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75" windowWidth="14820" windowHeight="6945" tabRatio="894" activeTab="19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</sheets>
  <externalReferences>
    <externalReference r:id="rId21"/>
    <externalReference r:id="rId22"/>
  </externalReferences>
  <definedNames>
    <definedName name="_C111">TH!$Q$10:$Q$1511</definedName>
    <definedName name="_C112">TH!$T$10:$T$1511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hidden="1">#REF!</definedName>
    <definedName name="_xlnm._FilterDatabase" localSheetId="4" hidden="1">'111'!$A$12:$J$120</definedName>
    <definedName name="_xlnm._FilterDatabase" localSheetId="6" hidden="1">'112'!$A$10:$K$98</definedName>
    <definedName name="_xlnm._FilterDatabase" localSheetId="8" hidden="1">'131-CT'!$A$12:$I$25</definedName>
    <definedName name="_xlnm._FilterDatabase" localSheetId="10" hidden="1">'331-CT'!$A$12:$I$21</definedName>
    <definedName name="_xlnm._FilterDatabase" localSheetId="16" hidden="1">BTGT!$A$4:$U$4</definedName>
    <definedName name="_xlnm._FilterDatabase" localSheetId="3" hidden="1">CTTK!$A$13:$J$15</definedName>
    <definedName name="_xlnm._FilterDatabase" localSheetId="12" hidden="1">NXT!$A$8:$L$183</definedName>
    <definedName name="_xlnm._FilterDatabase" localSheetId="1" hidden="1">TH!$A$9:$AC$1396</definedName>
    <definedName name="_xlnm._FilterDatabase" localSheetId="15" hidden="1">TK!$A$1:$J$1</definedName>
    <definedName name="_M">TH!$B$10:$B$1511</definedName>
    <definedName name="_N111">TH!$P$10:$P$1511</definedName>
    <definedName name="_N112">TH!$S$10:$S$1511</definedName>
    <definedName name="_TM1">IF('IN-TC'!$S$4=1,1,IF('IN-TC'!$S$4=2,4,IF('IN-TC'!$S$4=3,7,10)))</definedName>
    <definedName name="_TM2">IF('IN-TC'!$S$4=1,3,IF('IN-TC'!$S$4=2,6,IF('IN-TC'!$S$4=3,9,12)))</definedName>
    <definedName name="DG">TH!$J$10:$J$1511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S_131">'131'!$B$6:$B$42</definedName>
    <definedName name="DSGT1">BTGT!$B$6:$B$125</definedName>
    <definedName name="DSGT2">BTGT!$B$134:$B$272</definedName>
    <definedName name="DSKH">'331'!$B$6:$B$15</definedName>
    <definedName name="DSSP1">BTGT!$B$6:$K$125</definedName>
    <definedName name="DSSP2">BTGT!$B$134:$K$272</definedName>
    <definedName name="DSTK">CDPS!$A$10:$D$54</definedName>
    <definedName name="DSTS1">'SO-TS'!$D$14:$D$18</definedName>
    <definedName name="KH">TH!$H$10:$H$1511</definedName>
    <definedName name="KHC">TH!$M$10:$M$1511</definedName>
    <definedName name="KHN">TH!$L$10:$L$1511</definedName>
    <definedName name="Loai">OFFSET(TH!$N$5,,,COUNTA(TH!$N$5:$N$39821))</definedName>
    <definedName name="Loai1">OFFSET(TH!$O$5,,,COUNTA(TH!$O$5:$O$39821))</definedName>
    <definedName name="Loai10">OFFSET(TH!#REF!,,,COUNTA(TH!#REF!))</definedName>
    <definedName name="Loai2">OFFSET(TH!$R$5,,,COUNTA(TH!$R$5:$R$39821))</definedName>
    <definedName name="Loai3">OFFSET('SO-TS'!$P$14,,,COUNTA('SO-TS'!$P$14:$P$3890))</definedName>
    <definedName name="Loai5">OFFSET(TH!$X$5,,,COUNTA(TH!$X$5:$X$39821))</definedName>
    <definedName name="Loai6">OFFSET(TH!$Y$5,,,COUNTA(TH!$Y$5:$Y$39821))</definedName>
    <definedName name="Loai7">OFFSET(TH!$U$5,,,COUNTA(TH!$U$5:$U$39821))</definedName>
    <definedName name="Loai8">OFFSET(TH!$V$5,,,COUNTA(TH!$V$5:$V$39821))</definedName>
    <definedName name="Loai9">OFFSET(TH!$W$5,,,COUNTA(TH!$W$5:$W$39821))</definedName>
    <definedName name="MH">TH!$F$10:$F$1511</definedName>
    <definedName name="NXT">NXT!$A$9:$A$505</definedName>
    <definedName name="_xlnm.Print_Area" localSheetId="4">'111'!$A$1:$J$133</definedName>
    <definedName name="_xlnm.Print_Area" localSheetId="6">'112'!$A$1:$I$106</definedName>
    <definedName name="_xlnm.Print_Area" localSheetId="7">'131'!$A$1:$H$47</definedName>
    <definedName name="_xlnm.Print_Area" localSheetId="8">'131-CT'!$A$1:$I$69</definedName>
    <definedName name="_xlnm.Print_Area" localSheetId="14">'152-CT'!$B$2:$M$37</definedName>
    <definedName name="_xlnm.Print_Area" localSheetId="9">'331'!$A$1:$H$20</definedName>
    <definedName name="_xlnm.Print_Area" localSheetId="10">'331-CT'!$A$1:$I$58</definedName>
    <definedName name="_xlnm.Print_Area" localSheetId="16">BTGT!$A$129:$K$273</definedName>
    <definedName name="_xlnm.Print_Area" localSheetId="0">CDPS!$A$2:$H$55</definedName>
    <definedName name="_xlnm.Print_Area" localSheetId="3">CTTK!$A$2:$I$69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NXT!$B$1:$L$188</definedName>
    <definedName name="_xlnm.Print_Area" localSheetId="18">'SO-TS'!$A$1:$O$34</definedName>
    <definedName name="_xlnm.Print_Area" localSheetId="19">'THE-TS'!$A$2:$H$52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6">BTGT!$133:$133</definedName>
    <definedName name="_xlnm.Print_Titles" localSheetId="3">CTTK!$11:$13</definedName>
    <definedName name="_xlnm.Print_Titles" localSheetId="2">NKC!$8:$9</definedName>
    <definedName name="_xlnm.Print_Titles" localSheetId="12">NXT!$6:$8</definedName>
    <definedName name="_xlnm.Print_Titles" localSheetId="18">'SO-TS'!$9:$12</definedName>
    <definedName name="SL">TH!$I$10:$I$1511</definedName>
    <definedName name="TH">TH!$K$10:$K$1511</definedName>
    <definedName name="TM">TH!$A$10:$M$1511</definedName>
  </definedNames>
  <calcPr calcId="144525"/>
</workbook>
</file>

<file path=xl/calcChain.xml><?xml version="1.0" encoding="utf-8"?>
<calcChain xmlns="http://schemas.openxmlformats.org/spreadsheetml/2006/main">
  <c r="A25" i="68" l="1"/>
  <c r="A26" i="68"/>
  <c r="A27" i="68"/>
  <c r="B21" i="68"/>
  <c r="A21" i="68" s="1"/>
  <c r="C21" i="68"/>
  <c r="D21" i="68"/>
  <c r="E21" i="68"/>
  <c r="B22" i="68"/>
  <c r="A22" i="68" s="1"/>
  <c r="C22" i="68"/>
  <c r="D22" i="68"/>
  <c r="E22" i="68"/>
  <c r="B23" i="68"/>
  <c r="A23" i="68" s="1"/>
  <c r="C23" i="68"/>
  <c r="D23" i="68"/>
  <c r="E23" i="68"/>
  <c r="B24" i="68"/>
  <c r="A24" i="68" s="1"/>
  <c r="C24" i="68"/>
  <c r="D24" i="68"/>
  <c r="E24" i="68"/>
  <c r="B10" i="55" l="1"/>
  <c r="B11" i="55"/>
  <c r="B12" i="55"/>
  <c r="B9" i="55"/>
  <c r="N17" i="34" l="1"/>
  <c r="O17" i="34"/>
  <c r="P17" i="34"/>
  <c r="Q17" i="34"/>
  <c r="R17" i="34"/>
  <c r="S17" i="34"/>
  <c r="T17" i="34"/>
  <c r="U17" i="34"/>
  <c r="V17" i="34"/>
  <c r="W17" i="34"/>
  <c r="X17" i="34"/>
  <c r="Y17" i="34"/>
  <c r="N18" i="34"/>
  <c r="O18" i="34"/>
  <c r="P18" i="34"/>
  <c r="Q18" i="34"/>
  <c r="R18" i="34"/>
  <c r="S18" i="34"/>
  <c r="T18" i="34"/>
  <c r="U18" i="34"/>
  <c r="V18" i="34"/>
  <c r="W18" i="34"/>
  <c r="X18" i="34"/>
  <c r="Y18" i="34"/>
  <c r="N19" i="34"/>
  <c r="O19" i="34"/>
  <c r="P19" i="34"/>
  <c r="Q19" i="34"/>
  <c r="R19" i="34"/>
  <c r="S19" i="34"/>
  <c r="T19" i="34"/>
  <c r="U19" i="34"/>
  <c r="V19" i="34"/>
  <c r="W19" i="34"/>
  <c r="X19" i="34"/>
  <c r="Y19" i="34"/>
  <c r="N20" i="34"/>
  <c r="O20" i="34"/>
  <c r="P20" i="34"/>
  <c r="Q20" i="34"/>
  <c r="R20" i="34"/>
  <c r="S20" i="34"/>
  <c r="T20" i="34"/>
  <c r="U20" i="34"/>
  <c r="V20" i="34"/>
  <c r="W20" i="34"/>
  <c r="X20" i="34"/>
  <c r="Y20" i="34"/>
  <c r="N21" i="34"/>
  <c r="O21" i="34"/>
  <c r="P21" i="34"/>
  <c r="Q21" i="34"/>
  <c r="R21" i="34"/>
  <c r="S21" i="34"/>
  <c r="T21" i="34"/>
  <c r="U21" i="34"/>
  <c r="V21" i="34"/>
  <c r="W21" i="34"/>
  <c r="X21" i="34"/>
  <c r="Y21" i="34"/>
  <c r="N22" i="34"/>
  <c r="O22" i="34"/>
  <c r="P22" i="34"/>
  <c r="Q22" i="34"/>
  <c r="R22" i="34"/>
  <c r="S22" i="34"/>
  <c r="T22" i="34"/>
  <c r="U22" i="34"/>
  <c r="V22" i="34"/>
  <c r="W22" i="34"/>
  <c r="X22" i="34"/>
  <c r="Y22" i="34"/>
  <c r="N23" i="34"/>
  <c r="O23" i="34"/>
  <c r="P23" i="34"/>
  <c r="Q23" i="34"/>
  <c r="R23" i="34"/>
  <c r="S23" i="34"/>
  <c r="T23" i="34"/>
  <c r="U23" i="34"/>
  <c r="V23" i="34"/>
  <c r="W23" i="34"/>
  <c r="X23" i="34"/>
  <c r="Y23" i="34"/>
  <c r="N24" i="34"/>
  <c r="O24" i="34"/>
  <c r="P24" i="34"/>
  <c r="Q24" i="34"/>
  <c r="R24" i="34"/>
  <c r="S24" i="34"/>
  <c r="T24" i="34"/>
  <c r="U24" i="34"/>
  <c r="V24" i="34"/>
  <c r="W24" i="34"/>
  <c r="X24" i="34"/>
  <c r="Y24" i="34"/>
  <c r="N25" i="34"/>
  <c r="O25" i="34"/>
  <c r="P25" i="34"/>
  <c r="Q25" i="34"/>
  <c r="R25" i="34"/>
  <c r="S25" i="34"/>
  <c r="T25" i="34"/>
  <c r="U25" i="34"/>
  <c r="V25" i="34"/>
  <c r="W25" i="34"/>
  <c r="X25" i="34"/>
  <c r="Y25" i="34"/>
  <c r="N26" i="34"/>
  <c r="O26" i="34"/>
  <c r="P26" i="34"/>
  <c r="Q26" i="34"/>
  <c r="R26" i="34"/>
  <c r="S26" i="34"/>
  <c r="T26" i="34"/>
  <c r="U26" i="34"/>
  <c r="V26" i="34"/>
  <c r="W26" i="34"/>
  <c r="X26" i="34"/>
  <c r="Y26" i="34"/>
  <c r="N27" i="34"/>
  <c r="O27" i="34"/>
  <c r="P27" i="34"/>
  <c r="Q27" i="34"/>
  <c r="R27" i="34"/>
  <c r="S27" i="34"/>
  <c r="T27" i="34"/>
  <c r="U27" i="34"/>
  <c r="V27" i="34"/>
  <c r="W27" i="34"/>
  <c r="X27" i="34"/>
  <c r="Y27" i="34"/>
  <c r="N28" i="34"/>
  <c r="O28" i="34"/>
  <c r="P28" i="34"/>
  <c r="Q28" i="34"/>
  <c r="R28" i="34"/>
  <c r="S28" i="34"/>
  <c r="T28" i="34"/>
  <c r="U28" i="34"/>
  <c r="V28" i="34"/>
  <c r="W28" i="34"/>
  <c r="X28" i="34"/>
  <c r="Y28" i="34"/>
  <c r="N29" i="34"/>
  <c r="O29" i="34"/>
  <c r="P29" i="34"/>
  <c r="Q29" i="34"/>
  <c r="R29" i="34"/>
  <c r="S29" i="34"/>
  <c r="T29" i="34"/>
  <c r="U29" i="34"/>
  <c r="V29" i="34"/>
  <c r="W29" i="34"/>
  <c r="X29" i="34"/>
  <c r="Y29" i="34"/>
  <c r="N30" i="34"/>
  <c r="O30" i="34"/>
  <c r="P30" i="34"/>
  <c r="Q30" i="34"/>
  <c r="R30" i="34"/>
  <c r="S30" i="34"/>
  <c r="T30" i="34"/>
  <c r="U30" i="34"/>
  <c r="V30" i="34"/>
  <c r="W30" i="34"/>
  <c r="X30" i="34"/>
  <c r="Y30" i="34"/>
  <c r="N31" i="34"/>
  <c r="O31" i="34"/>
  <c r="P31" i="34"/>
  <c r="Q31" i="34"/>
  <c r="R31" i="34"/>
  <c r="S31" i="34"/>
  <c r="T31" i="34"/>
  <c r="U31" i="34"/>
  <c r="V31" i="34"/>
  <c r="W31" i="34"/>
  <c r="X31" i="34"/>
  <c r="Y31" i="34"/>
  <c r="N32" i="34"/>
  <c r="O32" i="34"/>
  <c r="P32" i="34"/>
  <c r="Q32" i="34"/>
  <c r="R32" i="34"/>
  <c r="S32" i="34"/>
  <c r="T32" i="34"/>
  <c r="U32" i="34"/>
  <c r="V32" i="34"/>
  <c r="W32" i="34"/>
  <c r="X32" i="34"/>
  <c r="Y32" i="34"/>
  <c r="N33" i="34"/>
  <c r="O33" i="34"/>
  <c r="P33" i="34"/>
  <c r="Q33" i="34"/>
  <c r="R33" i="34"/>
  <c r="S33" i="34"/>
  <c r="T33" i="34"/>
  <c r="U33" i="34"/>
  <c r="V33" i="34"/>
  <c r="W33" i="34"/>
  <c r="X33" i="34"/>
  <c r="Y33" i="34"/>
  <c r="N34" i="34"/>
  <c r="O34" i="34"/>
  <c r="P34" i="34"/>
  <c r="Q34" i="34"/>
  <c r="R34" i="34"/>
  <c r="S34" i="34"/>
  <c r="T34" i="34"/>
  <c r="U34" i="34"/>
  <c r="V34" i="34"/>
  <c r="W34" i="34"/>
  <c r="X34" i="34"/>
  <c r="Y34" i="34"/>
  <c r="N35" i="34"/>
  <c r="O35" i="34"/>
  <c r="P35" i="34"/>
  <c r="Q35" i="34"/>
  <c r="R35" i="34"/>
  <c r="S35" i="34"/>
  <c r="T35" i="34"/>
  <c r="U35" i="34"/>
  <c r="V35" i="34"/>
  <c r="W35" i="34"/>
  <c r="X35" i="34"/>
  <c r="Y35" i="34"/>
  <c r="N36" i="34"/>
  <c r="O36" i="34"/>
  <c r="P36" i="34"/>
  <c r="Q36" i="34"/>
  <c r="R36" i="34"/>
  <c r="S36" i="34"/>
  <c r="T36" i="34"/>
  <c r="U36" i="34"/>
  <c r="V36" i="34"/>
  <c r="W36" i="34"/>
  <c r="X36" i="34"/>
  <c r="Y36" i="34"/>
  <c r="N37" i="34"/>
  <c r="O37" i="34"/>
  <c r="P37" i="34"/>
  <c r="Q37" i="34"/>
  <c r="R37" i="34"/>
  <c r="S37" i="34"/>
  <c r="T37" i="34"/>
  <c r="U37" i="34"/>
  <c r="V37" i="34"/>
  <c r="W37" i="34"/>
  <c r="X37" i="34"/>
  <c r="Y37" i="34"/>
  <c r="N38" i="34"/>
  <c r="O38" i="34"/>
  <c r="P38" i="34"/>
  <c r="Q38" i="34"/>
  <c r="R38" i="34"/>
  <c r="S38" i="34"/>
  <c r="T38" i="34"/>
  <c r="U38" i="34"/>
  <c r="V38" i="34"/>
  <c r="W38" i="34"/>
  <c r="X38" i="34"/>
  <c r="Y38" i="34"/>
  <c r="N39" i="34"/>
  <c r="O39" i="34"/>
  <c r="P39" i="34"/>
  <c r="Q39" i="34"/>
  <c r="R39" i="34"/>
  <c r="S39" i="34"/>
  <c r="T39" i="34"/>
  <c r="U39" i="34"/>
  <c r="V39" i="34"/>
  <c r="W39" i="34"/>
  <c r="X39" i="34"/>
  <c r="Y39" i="34"/>
  <c r="N40" i="34"/>
  <c r="O40" i="34"/>
  <c r="P40" i="34"/>
  <c r="Q40" i="34"/>
  <c r="R40" i="34"/>
  <c r="S40" i="34"/>
  <c r="T40" i="34"/>
  <c r="U40" i="34"/>
  <c r="V40" i="34"/>
  <c r="W40" i="34"/>
  <c r="X40" i="34"/>
  <c r="Y40" i="34"/>
  <c r="N41" i="34"/>
  <c r="O41" i="34"/>
  <c r="P41" i="34"/>
  <c r="Q41" i="34"/>
  <c r="R41" i="34"/>
  <c r="S41" i="34"/>
  <c r="T41" i="34"/>
  <c r="U41" i="34"/>
  <c r="V41" i="34"/>
  <c r="W41" i="34"/>
  <c r="X41" i="34"/>
  <c r="Y41" i="34"/>
  <c r="N42" i="34"/>
  <c r="O42" i="34"/>
  <c r="P42" i="34"/>
  <c r="Q42" i="34"/>
  <c r="R42" i="34"/>
  <c r="S42" i="34"/>
  <c r="T42" i="34"/>
  <c r="U42" i="34"/>
  <c r="V42" i="34"/>
  <c r="W42" i="34"/>
  <c r="X42" i="34"/>
  <c r="Y42" i="34"/>
  <c r="N43" i="34"/>
  <c r="O43" i="34"/>
  <c r="P43" i="34"/>
  <c r="Q43" i="34"/>
  <c r="R43" i="34"/>
  <c r="S43" i="34"/>
  <c r="T43" i="34"/>
  <c r="U43" i="34"/>
  <c r="V43" i="34"/>
  <c r="W43" i="34"/>
  <c r="X43" i="34"/>
  <c r="Y43" i="34"/>
  <c r="N44" i="34"/>
  <c r="O44" i="34"/>
  <c r="P44" i="34"/>
  <c r="Q44" i="34"/>
  <c r="R44" i="34"/>
  <c r="S44" i="34"/>
  <c r="T44" i="34"/>
  <c r="U44" i="34"/>
  <c r="V44" i="34"/>
  <c r="W44" i="34"/>
  <c r="X44" i="34"/>
  <c r="Y44" i="34"/>
  <c r="N45" i="34"/>
  <c r="O45" i="34"/>
  <c r="P45" i="34"/>
  <c r="Q45" i="34"/>
  <c r="R45" i="34"/>
  <c r="S45" i="34"/>
  <c r="T45" i="34"/>
  <c r="U45" i="34"/>
  <c r="V45" i="34"/>
  <c r="W45" i="34"/>
  <c r="X45" i="34"/>
  <c r="Y45" i="34"/>
  <c r="N46" i="34"/>
  <c r="O46" i="34"/>
  <c r="P46" i="34"/>
  <c r="Q46" i="34"/>
  <c r="R46" i="34"/>
  <c r="S46" i="34"/>
  <c r="T46" i="34"/>
  <c r="U46" i="34"/>
  <c r="V46" i="34"/>
  <c r="W46" i="34"/>
  <c r="X46" i="34"/>
  <c r="Y46" i="34"/>
  <c r="N47" i="34"/>
  <c r="O47" i="34"/>
  <c r="P47" i="34"/>
  <c r="Q47" i="34"/>
  <c r="R47" i="34"/>
  <c r="S47" i="34"/>
  <c r="T47" i="34"/>
  <c r="U47" i="34"/>
  <c r="V47" i="34"/>
  <c r="W47" i="34"/>
  <c r="X47" i="34"/>
  <c r="Y47" i="34"/>
  <c r="N48" i="34"/>
  <c r="O48" i="34"/>
  <c r="P48" i="34"/>
  <c r="Q48" i="34"/>
  <c r="R48" i="34"/>
  <c r="S48" i="34"/>
  <c r="T48" i="34"/>
  <c r="U48" i="34"/>
  <c r="V48" i="34"/>
  <c r="W48" i="34"/>
  <c r="X48" i="34"/>
  <c r="Y48" i="34"/>
  <c r="N49" i="34"/>
  <c r="O49" i="34"/>
  <c r="P49" i="34"/>
  <c r="Q49" i="34"/>
  <c r="R49" i="34"/>
  <c r="S49" i="34"/>
  <c r="T49" i="34"/>
  <c r="U49" i="34"/>
  <c r="V49" i="34"/>
  <c r="W49" i="34"/>
  <c r="X49" i="34"/>
  <c r="Y49" i="34"/>
  <c r="N50" i="34"/>
  <c r="O50" i="34"/>
  <c r="P50" i="34"/>
  <c r="Q50" i="34"/>
  <c r="R50" i="34"/>
  <c r="S50" i="34"/>
  <c r="T50" i="34"/>
  <c r="U50" i="34"/>
  <c r="V50" i="34"/>
  <c r="W50" i="34"/>
  <c r="X50" i="34"/>
  <c r="Y50" i="34"/>
  <c r="N51" i="34"/>
  <c r="O51" i="34"/>
  <c r="P51" i="34"/>
  <c r="Q51" i="34"/>
  <c r="R51" i="34"/>
  <c r="S51" i="34"/>
  <c r="T51" i="34"/>
  <c r="U51" i="34"/>
  <c r="V51" i="34"/>
  <c r="W51" i="34"/>
  <c r="X51" i="34"/>
  <c r="Y51" i="34"/>
  <c r="N52" i="34"/>
  <c r="O52" i="34"/>
  <c r="P52" i="34"/>
  <c r="Q52" i="34"/>
  <c r="R52" i="34"/>
  <c r="S52" i="34"/>
  <c r="T52" i="34"/>
  <c r="U52" i="34"/>
  <c r="V52" i="34"/>
  <c r="W52" i="34"/>
  <c r="X52" i="34"/>
  <c r="Y52" i="34"/>
  <c r="N53" i="34"/>
  <c r="O53" i="34"/>
  <c r="P53" i="34"/>
  <c r="Q53" i="34"/>
  <c r="R53" i="34"/>
  <c r="S53" i="34"/>
  <c r="T53" i="34"/>
  <c r="U53" i="34"/>
  <c r="V53" i="34"/>
  <c r="W53" i="34"/>
  <c r="X53" i="34"/>
  <c r="Y53" i="34"/>
  <c r="N54" i="34"/>
  <c r="O54" i="34"/>
  <c r="P54" i="34"/>
  <c r="Q54" i="34"/>
  <c r="R54" i="34"/>
  <c r="S54" i="34"/>
  <c r="T54" i="34"/>
  <c r="U54" i="34"/>
  <c r="V54" i="34"/>
  <c r="W54" i="34"/>
  <c r="X54" i="34"/>
  <c r="Y54" i="34"/>
  <c r="N55" i="34"/>
  <c r="O55" i="34"/>
  <c r="P55" i="34"/>
  <c r="Q55" i="34"/>
  <c r="R55" i="34"/>
  <c r="S55" i="34"/>
  <c r="T55" i="34"/>
  <c r="U55" i="34"/>
  <c r="V55" i="34"/>
  <c r="W55" i="34"/>
  <c r="X55" i="34"/>
  <c r="Y55" i="34"/>
  <c r="N56" i="34"/>
  <c r="O56" i="34"/>
  <c r="P56" i="34"/>
  <c r="Q56" i="34"/>
  <c r="R56" i="34"/>
  <c r="S56" i="34"/>
  <c r="T56" i="34"/>
  <c r="U56" i="34"/>
  <c r="V56" i="34"/>
  <c r="W56" i="34"/>
  <c r="X56" i="34"/>
  <c r="Y56" i="34"/>
  <c r="N57" i="34"/>
  <c r="O57" i="34"/>
  <c r="P57" i="34"/>
  <c r="Q57" i="34"/>
  <c r="R57" i="34"/>
  <c r="S57" i="34"/>
  <c r="T57" i="34"/>
  <c r="U57" i="34"/>
  <c r="V57" i="34"/>
  <c r="W57" i="34"/>
  <c r="X57" i="34"/>
  <c r="Y57" i="34"/>
  <c r="N58" i="34"/>
  <c r="O58" i="34"/>
  <c r="P58" i="34"/>
  <c r="Q58" i="34"/>
  <c r="R58" i="34"/>
  <c r="S58" i="34"/>
  <c r="T58" i="34"/>
  <c r="U58" i="34"/>
  <c r="V58" i="34"/>
  <c r="W58" i="34"/>
  <c r="X58" i="34"/>
  <c r="Y58" i="34"/>
  <c r="N59" i="34"/>
  <c r="O59" i="34"/>
  <c r="P59" i="34"/>
  <c r="Q59" i="34"/>
  <c r="R59" i="34"/>
  <c r="S59" i="34"/>
  <c r="T59" i="34"/>
  <c r="U59" i="34"/>
  <c r="V59" i="34"/>
  <c r="W59" i="34"/>
  <c r="X59" i="34"/>
  <c r="Y59" i="34"/>
  <c r="N60" i="34"/>
  <c r="O60" i="34"/>
  <c r="P60" i="34"/>
  <c r="Q60" i="34"/>
  <c r="R60" i="34"/>
  <c r="S60" i="34"/>
  <c r="T60" i="34"/>
  <c r="U60" i="34"/>
  <c r="V60" i="34"/>
  <c r="W60" i="34"/>
  <c r="X60" i="34"/>
  <c r="Y60" i="34"/>
  <c r="N61" i="34"/>
  <c r="O61" i="34"/>
  <c r="P61" i="34"/>
  <c r="Q61" i="34"/>
  <c r="R61" i="34"/>
  <c r="S61" i="34"/>
  <c r="T61" i="34"/>
  <c r="U61" i="34"/>
  <c r="V61" i="34"/>
  <c r="W61" i="34"/>
  <c r="X61" i="34"/>
  <c r="Y61" i="34"/>
  <c r="N62" i="34"/>
  <c r="O62" i="34"/>
  <c r="P62" i="34"/>
  <c r="Q62" i="34"/>
  <c r="R62" i="34"/>
  <c r="S62" i="34"/>
  <c r="T62" i="34"/>
  <c r="U62" i="34"/>
  <c r="V62" i="34"/>
  <c r="W62" i="34"/>
  <c r="X62" i="34"/>
  <c r="Y62" i="34"/>
  <c r="N63" i="34"/>
  <c r="O63" i="34"/>
  <c r="P63" i="34"/>
  <c r="Q63" i="34"/>
  <c r="R63" i="34"/>
  <c r="S63" i="34"/>
  <c r="T63" i="34"/>
  <c r="U63" i="34"/>
  <c r="V63" i="34"/>
  <c r="W63" i="34"/>
  <c r="X63" i="34"/>
  <c r="Y63" i="34"/>
  <c r="N64" i="34"/>
  <c r="O64" i="34"/>
  <c r="P64" i="34"/>
  <c r="Q64" i="34"/>
  <c r="R64" i="34"/>
  <c r="S64" i="34"/>
  <c r="T64" i="34"/>
  <c r="U64" i="34"/>
  <c r="V64" i="34"/>
  <c r="W64" i="34"/>
  <c r="X64" i="34"/>
  <c r="Y64" i="34"/>
  <c r="N65" i="34"/>
  <c r="O65" i="34"/>
  <c r="P65" i="34"/>
  <c r="Q65" i="34"/>
  <c r="R65" i="34"/>
  <c r="S65" i="34"/>
  <c r="T65" i="34"/>
  <c r="U65" i="34"/>
  <c r="V65" i="34"/>
  <c r="W65" i="34"/>
  <c r="X65" i="34"/>
  <c r="Y65" i="34"/>
  <c r="N66" i="34"/>
  <c r="O66" i="34"/>
  <c r="P66" i="34"/>
  <c r="Q66" i="34"/>
  <c r="R66" i="34"/>
  <c r="S66" i="34"/>
  <c r="T66" i="34"/>
  <c r="U66" i="34"/>
  <c r="V66" i="34"/>
  <c r="W66" i="34"/>
  <c r="X66" i="34"/>
  <c r="Y66" i="34"/>
  <c r="N67" i="34"/>
  <c r="O67" i="34"/>
  <c r="P67" i="34"/>
  <c r="Q67" i="34"/>
  <c r="R67" i="34"/>
  <c r="S67" i="34"/>
  <c r="T67" i="34"/>
  <c r="U67" i="34"/>
  <c r="V67" i="34"/>
  <c r="W67" i="34"/>
  <c r="X67" i="34"/>
  <c r="Y67" i="34"/>
  <c r="N68" i="34"/>
  <c r="O68" i="34"/>
  <c r="P68" i="34"/>
  <c r="Q68" i="34"/>
  <c r="R68" i="34"/>
  <c r="S68" i="34"/>
  <c r="T68" i="34"/>
  <c r="U68" i="34"/>
  <c r="V68" i="34"/>
  <c r="W68" i="34"/>
  <c r="X68" i="34"/>
  <c r="Y68" i="34"/>
  <c r="N69" i="34"/>
  <c r="O69" i="34"/>
  <c r="P69" i="34"/>
  <c r="Q69" i="34"/>
  <c r="R69" i="34"/>
  <c r="S69" i="34"/>
  <c r="T69" i="34"/>
  <c r="U69" i="34"/>
  <c r="V69" i="34"/>
  <c r="W69" i="34"/>
  <c r="X69" i="34"/>
  <c r="Y69" i="34"/>
  <c r="N70" i="34"/>
  <c r="O70" i="34"/>
  <c r="P70" i="34"/>
  <c r="Q70" i="34"/>
  <c r="R70" i="34"/>
  <c r="S70" i="34"/>
  <c r="T70" i="34"/>
  <c r="U70" i="34"/>
  <c r="V70" i="34"/>
  <c r="W70" i="34"/>
  <c r="X70" i="34"/>
  <c r="Y70" i="34"/>
  <c r="N71" i="34"/>
  <c r="O71" i="34"/>
  <c r="P71" i="34"/>
  <c r="Q71" i="34"/>
  <c r="R71" i="34"/>
  <c r="S71" i="34"/>
  <c r="T71" i="34"/>
  <c r="U71" i="34"/>
  <c r="V71" i="34"/>
  <c r="W71" i="34"/>
  <c r="X71" i="34"/>
  <c r="Y71" i="34"/>
  <c r="N72" i="34"/>
  <c r="O72" i="34"/>
  <c r="P72" i="34"/>
  <c r="Q72" i="34"/>
  <c r="R72" i="34"/>
  <c r="S72" i="34"/>
  <c r="T72" i="34"/>
  <c r="U72" i="34"/>
  <c r="V72" i="34"/>
  <c r="W72" i="34"/>
  <c r="X72" i="34"/>
  <c r="Y72" i="34"/>
  <c r="N73" i="34"/>
  <c r="O73" i="34"/>
  <c r="P73" i="34"/>
  <c r="Q73" i="34"/>
  <c r="R73" i="34"/>
  <c r="S73" i="34"/>
  <c r="T73" i="34"/>
  <c r="U73" i="34"/>
  <c r="V73" i="34"/>
  <c r="W73" i="34"/>
  <c r="X73" i="34"/>
  <c r="Y73" i="34"/>
  <c r="N74" i="34"/>
  <c r="O74" i="34"/>
  <c r="P74" i="34"/>
  <c r="Q74" i="34"/>
  <c r="R74" i="34"/>
  <c r="S74" i="34"/>
  <c r="T74" i="34"/>
  <c r="U74" i="34"/>
  <c r="V74" i="34"/>
  <c r="W74" i="34"/>
  <c r="X74" i="34"/>
  <c r="Y74" i="34"/>
  <c r="N75" i="34"/>
  <c r="O75" i="34"/>
  <c r="P75" i="34"/>
  <c r="Q75" i="34"/>
  <c r="R75" i="34"/>
  <c r="S75" i="34"/>
  <c r="T75" i="34"/>
  <c r="U75" i="34"/>
  <c r="V75" i="34"/>
  <c r="W75" i="34"/>
  <c r="X75" i="34"/>
  <c r="Y75" i="34"/>
  <c r="N76" i="34"/>
  <c r="O76" i="34"/>
  <c r="P76" i="34"/>
  <c r="Q76" i="34"/>
  <c r="R76" i="34"/>
  <c r="S76" i="34"/>
  <c r="T76" i="34"/>
  <c r="U76" i="34"/>
  <c r="V76" i="34"/>
  <c r="W76" i="34"/>
  <c r="X76" i="34"/>
  <c r="Y76" i="34"/>
  <c r="N77" i="34"/>
  <c r="O77" i="34"/>
  <c r="P77" i="34"/>
  <c r="Q77" i="34"/>
  <c r="R77" i="34"/>
  <c r="S77" i="34"/>
  <c r="T77" i="34"/>
  <c r="U77" i="34"/>
  <c r="V77" i="34"/>
  <c r="W77" i="34"/>
  <c r="X77" i="34"/>
  <c r="Y77" i="34"/>
  <c r="N78" i="34"/>
  <c r="O78" i="34"/>
  <c r="P78" i="34"/>
  <c r="Q78" i="34"/>
  <c r="R78" i="34"/>
  <c r="S78" i="34"/>
  <c r="T78" i="34"/>
  <c r="U78" i="34"/>
  <c r="V78" i="34"/>
  <c r="W78" i="34"/>
  <c r="X78" i="34"/>
  <c r="Y78" i="34"/>
  <c r="N79" i="34"/>
  <c r="O79" i="34"/>
  <c r="P79" i="34"/>
  <c r="Q79" i="34"/>
  <c r="R79" i="34"/>
  <c r="S79" i="34"/>
  <c r="T79" i="34"/>
  <c r="U79" i="34"/>
  <c r="V79" i="34"/>
  <c r="W79" i="34"/>
  <c r="X79" i="34"/>
  <c r="Y79" i="34"/>
  <c r="N80" i="34"/>
  <c r="O80" i="34"/>
  <c r="P80" i="34"/>
  <c r="Q80" i="34"/>
  <c r="R80" i="34"/>
  <c r="S80" i="34"/>
  <c r="T80" i="34"/>
  <c r="U80" i="34"/>
  <c r="V80" i="34"/>
  <c r="W80" i="34"/>
  <c r="X80" i="34"/>
  <c r="Y80" i="34"/>
  <c r="N81" i="34"/>
  <c r="O81" i="34"/>
  <c r="P81" i="34"/>
  <c r="Q81" i="34"/>
  <c r="R81" i="34"/>
  <c r="S81" i="34"/>
  <c r="T81" i="34"/>
  <c r="U81" i="34"/>
  <c r="V81" i="34"/>
  <c r="W81" i="34"/>
  <c r="X81" i="34"/>
  <c r="Y81" i="34"/>
  <c r="N82" i="34"/>
  <c r="O82" i="34"/>
  <c r="P82" i="34"/>
  <c r="Q82" i="34"/>
  <c r="R82" i="34"/>
  <c r="S82" i="34"/>
  <c r="T82" i="34"/>
  <c r="U82" i="34"/>
  <c r="V82" i="34"/>
  <c r="W82" i="34"/>
  <c r="X82" i="34"/>
  <c r="Y82" i="34"/>
  <c r="N83" i="34"/>
  <c r="O83" i="34"/>
  <c r="P83" i="34"/>
  <c r="Q83" i="34"/>
  <c r="R83" i="34"/>
  <c r="S83" i="34"/>
  <c r="T83" i="34"/>
  <c r="U83" i="34"/>
  <c r="V83" i="34"/>
  <c r="W83" i="34"/>
  <c r="X83" i="34"/>
  <c r="Y83" i="34"/>
  <c r="N84" i="34"/>
  <c r="O84" i="34"/>
  <c r="P84" i="34"/>
  <c r="Q84" i="34"/>
  <c r="R84" i="34"/>
  <c r="S84" i="34"/>
  <c r="T84" i="34"/>
  <c r="U84" i="34"/>
  <c r="V84" i="34"/>
  <c r="W84" i="34"/>
  <c r="X84" i="34"/>
  <c r="Y84" i="34"/>
  <c r="N85" i="34"/>
  <c r="O85" i="34"/>
  <c r="P85" i="34"/>
  <c r="Q85" i="34"/>
  <c r="R85" i="34"/>
  <c r="S85" i="34"/>
  <c r="T85" i="34"/>
  <c r="U85" i="34"/>
  <c r="V85" i="34"/>
  <c r="W85" i="34"/>
  <c r="X85" i="34"/>
  <c r="Y85" i="34"/>
  <c r="N86" i="34"/>
  <c r="O86" i="34"/>
  <c r="P86" i="34"/>
  <c r="Q86" i="34"/>
  <c r="R86" i="34"/>
  <c r="S86" i="34"/>
  <c r="T86" i="34"/>
  <c r="U86" i="34"/>
  <c r="V86" i="34"/>
  <c r="W86" i="34"/>
  <c r="X86" i="34"/>
  <c r="Y86" i="34"/>
  <c r="N87" i="34"/>
  <c r="O87" i="34"/>
  <c r="P87" i="34"/>
  <c r="Q87" i="34"/>
  <c r="R87" i="34"/>
  <c r="S87" i="34"/>
  <c r="T87" i="34"/>
  <c r="U87" i="34"/>
  <c r="V87" i="34"/>
  <c r="W87" i="34"/>
  <c r="X87" i="34"/>
  <c r="Y87" i="34"/>
  <c r="N88" i="34"/>
  <c r="O88" i="34"/>
  <c r="P88" i="34"/>
  <c r="Q88" i="34"/>
  <c r="R88" i="34"/>
  <c r="S88" i="34"/>
  <c r="T88" i="34"/>
  <c r="U88" i="34"/>
  <c r="V88" i="34"/>
  <c r="W88" i="34"/>
  <c r="X88" i="34"/>
  <c r="Y88" i="34"/>
  <c r="N89" i="34"/>
  <c r="O89" i="34"/>
  <c r="P89" i="34"/>
  <c r="Q89" i="34"/>
  <c r="R89" i="34"/>
  <c r="S89" i="34"/>
  <c r="T89" i="34"/>
  <c r="U89" i="34"/>
  <c r="V89" i="34"/>
  <c r="W89" i="34"/>
  <c r="X89" i="34"/>
  <c r="Y89" i="34"/>
  <c r="N90" i="34"/>
  <c r="O90" i="34"/>
  <c r="P90" i="34"/>
  <c r="Q90" i="34"/>
  <c r="R90" i="34"/>
  <c r="S90" i="34"/>
  <c r="T90" i="34"/>
  <c r="U90" i="34"/>
  <c r="V90" i="34"/>
  <c r="W90" i="34"/>
  <c r="X90" i="34"/>
  <c r="Y90" i="34"/>
  <c r="N91" i="34"/>
  <c r="O91" i="34"/>
  <c r="P91" i="34"/>
  <c r="Q91" i="34"/>
  <c r="R91" i="34"/>
  <c r="S91" i="34"/>
  <c r="T91" i="34"/>
  <c r="U91" i="34"/>
  <c r="V91" i="34"/>
  <c r="W91" i="34"/>
  <c r="X91" i="34"/>
  <c r="Y91" i="34"/>
  <c r="N92" i="34"/>
  <c r="O92" i="34"/>
  <c r="P92" i="34"/>
  <c r="Q92" i="34"/>
  <c r="R92" i="34"/>
  <c r="S92" i="34"/>
  <c r="T92" i="34"/>
  <c r="U92" i="34"/>
  <c r="V92" i="34"/>
  <c r="W92" i="34"/>
  <c r="X92" i="34"/>
  <c r="Y92" i="34"/>
  <c r="N93" i="34"/>
  <c r="O93" i="34"/>
  <c r="P93" i="34"/>
  <c r="Q93" i="34"/>
  <c r="R93" i="34"/>
  <c r="S93" i="34"/>
  <c r="T93" i="34"/>
  <c r="U93" i="34"/>
  <c r="V93" i="34"/>
  <c r="W93" i="34"/>
  <c r="X93" i="34"/>
  <c r="Y93" i="34"/>
  <c r="N94" i="34"/>
  <c r="O94" i="34"/>
  <c r="P94" i="34"/>
  <c r="Q94" i="34"/>
  <c r="R94" i="34"/>
  <c r="S94" i="34"/>
  <c r="T94" i="34"/>
  <c r="U94" i="34"/>
  <c r="V94" i="34"/>
  <c r="W94" i="34"/>
  <c r="X94" i="34"/>
  <c r="Y94" i="34"/>
  <c r="N95" i="34"/>
  <c r="O95" i="34"/>
  <c r="P95" i="34"/>
  <c r="Q95" i="34"/>
  <c r="R95" i="34"/>
  <c r="S95" i="34"/>
  <c r="T95" i="34"/>
  <c r="U95" i="34"/>
  <c r="V95" i="34"/>
  <c r="W95" i="34"/>
  <c r="X95" i="34"/>
  <c r="Y95" i="34"/>
  <c r="N96" i="34"/>
  <c r="O96" i="34"/>
  <c r="P96" i="34"/>
  <c r="Q96" i="34"/>
  <c r="R96" i="34"/>
  <c r="S96" i="34"/>
  <c r="T96" i="34"/>
  <c r="U96" i="34"/>
  <c r="V96" i="34"/>
  <c r="W96" i="34"/>
  <c r="X96" i="34"/>
  <c r="Y96" i="34"/>
  <c r="N97" i="34"/>
  <c r="O97" i="34"/>
  <c r="P97" i="34"/>
  <c r="Q97" i="34"/>
  <c r="R97" i="34"/>
  <c r="S97" i="34"/>
  <c r="T97" i="34"/>
  <c r="U97" i="34"/>
  <c r="V97" i="34"/>
  <c r="W97" i="34"/>
  <c r="X97" i="34"/>
  <c r="Y97" i="34"/>
  <c r="N98" i="34"/>
  <c r="O98" i="34"/>
  <c r="P98" i="34"/>
  <c r="Q98" i="34"/>
  <c r="R98" i="34"/>
  <c r="S98" i="34"/>
  <c r="T98" i="34"/>
  <c r="U98" i="34"/>
  <c r="V98" i="34"/>
  <c r="W98" i="34"/>
  <c r="X98" i="34"/>
  <c r="Y98" i="34"/>
  <c r="N99" i="34"/>
  <c r="O99" i="34"/>
  <c r="P99" i="34"/>
  <c r="Q99" i="34"/>
  <c r="R99" i="34"/>
  <c r="S99" i="34"/>
  <c r="T99" i="34"/>
  <c r="U99" i="34"/>
  <c r="V99" i="34"/>
  <c r="W99" i="34"/>
  <c r="X99" i="34"/>
  <c r="Y99" i="34"/>
  <c r="N100" i="34"/>
  <c r="O100" i="34"/>
  <c r="P100" i="34"/>
  <c r="Q100" i="34"/>
  <c r="R100" i="34"/>
  <c r="S100" i="34"/>
  <c r="T100" i="34"/>
  <c r="U100" i="34"/>
  <c r="V100" i="34"/>
  <c r="W100" i="34"/>
  <c r="X100" i="34"/>
  <c r="Y100" i="34"/>
  <c r="N101" i="34"/>
  <c r="O101" i="34"/>
  <c r="P101" i="34"/>
  <c r="Q101" i="34"/>
  <c r="R101" i="34"/>
  <c r="S101" i="34"/>
  <c r="T101" i="34"/>
  <c r="U101" i="34"/>
  <c r="V101" i="34"/>
  <c r="W101" i="34"/>
  <c r="X101" i="34"/>
  <c r="Y101" i="34"/>
  <c r="N102" i="34"/>
  <c r="O102" i="34"/>
  <c r="P102" i="34"/>
  <c r="Q102" i="34"/>
  <c r="R102" i="34"/>
  <c r="S102" i="34"/>
  <c r="T102" i="34"/>
  <c r="U102" i="34"/>
  <c r="V102" i="34"/>
  <c r="W102" i="34"/>
  <c r="X102" i="34"/>
  <c r="Y102" i="34"/>
  <c r="N103" i="34"/>
  <c r="O103" i="34"/>
  <c r="P103" i="34"/>
  <c r="Q103" i="34"/>
  <c r="R103" i="34"/>
  <c r="S103" i="34"/>
  <c r="T103" i="34"/>
  <c r="U103" i="34"/>
  <c r="V103" i="34"/>
  <c r="W103" i="34"/>
  <c r="X103" i="34"/>
  <c r="Y103" i="34"/>
  <c r="N104" i="34"/>
  <c r="O104" i="34"/>
  <c r="P104" i="34"/>
  <c r="Q104" i="34"/>
  <c r="R104" i="34"/>
  <c r="S104" i="34"/>
  <c r="T104" i="34"/>
  <c r="U104" i="34"/>
  <c r="V104" i="34"/>
  <c r="W104" i="34"/>
  <c r="X104" i="34"/>
  <c r="Y104" i="34"/>
  <c r="N105" i="34"/>
  <c r="O105" i="34"/>
  <c r="P105" i="34"/>
  <c r="Q105" i="34"/>
  <c r="R105" i="34"/>
  <c r="S105" i="34"/>
  <c r="T105" i="34"/>
  <c r="U105" i="34"/>
  <c r="V105" i="34"/>
  <c r="W105" i="34"/>
  <c r="X105" i="34"/>
  <c r="Y105" i="34"/>
  <c r="N106" i="34"/>
  <c r="O106" i="34"/>
  <c r="P106" i="34"/>
  <c r="Q106" i="34"/>
  <c r="R106" i="34"/>
  <c r="S106" i="34"/>
  <c r="T106" i="34"/>
  <c r="U106" i="34"/>
  <c r="V106" i="34"/>
  <c r="W106" i="34"/>
  <c r="X106" i="34"/>
  <c r="Y106" i="34"/>
  <c r="N107" i="34"/>
  <c r="O107" i="34"/>
  <c r="P107" i="34"/>
  <c r="Q107" i="34"/>
  <c r="R107" i="34"/>
  <c r="S107" i="34"/>
  <c r="T107" i="34"/>
  <c r="U107" i="34"/>
  <c r="V107" i="34"/>
  <c r="W107" i="34"/>
  <c r="X107" i="34"/>
  <c r="Y107" i="34"/>
  <c r="N108" i="34"/>
  <c r="O108" i="34"/>
  <c r="P108" i="34"/>
  <c r="Q108" i="34"/>
  <c r="R108" i="34"/>
  <c r="S108" i="34"/>
  <c r="T108" i="34"/>
  <c r="U108" i="34"/>
  <c r="V108" i="34"/>
  <c r="W108" i="34"/>
  <c r="X108" i="34"/>
  <c r="Y108" i="34"/>
  <c r="N109" i="34"/>
  <c r="O109" i="34"/>
  <c r="P109" i="34"/>
  <c r="Q109" i="34"/>
  <c r="R109" i="34"/>
  <c r="S109" i="34"/>
  <c r="T109" i="34"/>
  <c r="U109" i="34"/>
  <c r="V109" i="34"/>
  <c r="W109" i="34"/>
  <c r="X109" i="34"/>
  <c r="Y109" i="34"/>
  <c r="N110" i="34"/>
  <c r="O110" i="34"/>
  <c r="P110" i="34"/>
  <c r="Q110" i="34"/>
  <c r="R110" i="34"/>
  <c r="S110" i="34"/>
  <c r="T110" i="34"/>
  <c r="U110" i="34"/>
  <c r="V110" i="34"/>
  <c r="W110" i="34"/>
  <c r="X110" i="34"/>
  <c r="Y110" i="34"/>
  <c r="N111" i="34"/>
  <c r="O111" i="34"/>
  <c r="P111" i="34"/>
  <c r="Q111" i="34"/>
  <c r="R111" i="34"/>
  <c r="S111" i="34"/>
  <c r="T111" i="34"/>
  <c r="U111" i="34"/>
  <c r="V111" i="34"/>
  <c r="W111" i="34"/>
  <c r="X111" i="34"/>
  <c r="Y111" i="34"/>
  <c r="N112" i="34"/>
  <c r="O112" i="34"/>
  <c r="P112" i="34"/>
  <c r="Q112" i="34"/>
  <c r="R112" i="34"/>
  <c r="S112" i="34"/>
  <c r="T112" i="34"/>
  <c r="U112" i="34"/>
  <c r="V112" i="34"/>
  <c r="W112" i="34"/>
  <c r="X112" i="34"/>
  <c r="Y112" i="34"/>
  <c r="N113" i="34"/>
  <c r="O113" i="34"/>
  <c r="P113" i="34"/>
  <c r="Q113" i="34"/>
  <c r="R113" i="34"/>
  <c r="S113" i="34"/>
  <c r="T113" i="34"/>
  <c r="U113" i="34"/>
  <c r="V113" i="34"/>
  <c r="W113" i="34"/>
  <c r="X113" i="34"/>
  <c r="Y113" i="34"/>
  <c r="N114" i="34"/>
  <c r="O114" i="34"/>
  <c r="P114" i="34"/>
  <c r="Q114" i="34"/>
  <c r="R114" i="34"/>
  <c r="S114" i="34"/>
  <c r="T114" i="34"/>
  <c r="U114" i="34"/>
  <c r="V114" i="34"/>
  <c r="W114" i="34"/>
  <c r="X114" i="34"/>
  <c r="Y114" i="34"/>
  <c r="N115" i="34"/>
  <c r="O115" i="34"/>
  <c r="P115" i="34"/>
  <c r="Q115" i="34"/>
  <c r="R115" i="34"/>
  <c r="S115" i="34"/>
  <c r="T115" i="34"/>
  <c r="U115" i="34"/>
  <c r="V115" i="34"/>
  <c r="W115" i="34"/>
  <c r="X115" i="34"/>
  <c r="Y115" i="34"/>
  <c r="N116" i="34"/>
  <c r="O116" i="34"/>
  <c r="P116" i="34"/>
  <c r="Q116" i="34"/>
  <c r="R116" i="34"/>
  <c r="S116" i="34"/>
  <c r="T116" i="34"/>
  <c r="U116" i="34"/>
  <c r="V116" i="34"/>
  <c r="W116" i="34"/>
  <c r="X116" i="34"/>
  <c r="Y116" i="34"/>
  <c r="N117" i="34"/>
  <c r="O117" i="34"/>
  <c r="P117" i="34"/>
  <c r="Q117" i="34"/>
  <c r="R117" i="34"/>
  <c r="S117" i="34"/>
  <c r="T117" i="34"/>
  <c r="U117" i="34"/>
  <c r="V117" i="34"/>
  <c r="W117" i="34"/>
  <c r="X117" i="34"/>
  <c r="Y117" i="34"/>
  <c r="N118" i="34"/>
  <c r="O118" i="34"/>
  <c r="P118" i="34"/>
  <c r="Q118" i="34"/>
  <c r="R118" i="34"/>
  <c r="S118" i="34"/>
  <c r="T118" i="34"/>
  <c r="U118" i="34"/>
  <c r="V118" i="34"/>
  <c r="W118" i="34"/>
  <c r="X118" i="34"/>
  <c r="Y118" i="34"/>
  <c r="N119" i="34"/>
  <c r="O119" i="34"/>
  <c r="P119" i="34"/>
  <c r="Q119" i="34"/>
  <c r="R119" i="34"/>
  <c r="S119" i="34"/>
  <c r="T119" i="34"/>
  <c r="U119" i="34"/>
  <c r="V119" i="34"/>
  <c r="W119" i="34"/>
  <c r="X119" i="34"/>
  <c r="Y119" i="34"/>
  <c r="N120" i="34"/>
  <c r="O120" i="34"/>
  <c r="P120" i="34"/>
  <c r="Q120" i="34"/>
  <c r="R120" i="34"/>
  <c r="S120" i="34"/>
  <c r="T120" i="34"/>
  <c r="U120" i="34"/>
  <c r="V120" i="34"/>
  <c r="W120" i="34"/>
  <c r="X120" i="34"/>
  <c r="Y120" i="34"/>
  <c r="N121" i="34"/>
  <c r="O121" i="34"/>
  <c r="P121" i="34"/>
  <c r="Q121" i="34"/>
  <c r="R121" i="34"/>
  <c r="S121" i="34"/>
  <c r="T121" i="34"/>
  <c r="U121" i="34"/>
  <c r="V121" i="34"/>
  <c r="W121" i="34"/>
  <c r="X121" i="34"/>
  <c r="Y121" i="34"/>
  <c r="N122" i="34"/>
  <c r="O122" i="34"/>
  <c r="P122" i="34"/>
  <c r="Q122" i="34"/>
  <c r="R122" i="34"/>
  <c r="S122" i="34"/>
  <c r="T122" i="34"/>
  <c r="U122" i="34"/>
  <c r="V122" i="34"/>
  <c r="W122" i="34"/>
  <c r="X122" i="34"/>
  <c r="Y122" i="34"/>
  <c r="N123" i="34"/>
  <c r="O123" i="34"/>
  <c r="P123" i="34"/>
  <c r="Q123" i="34"/>
  <c r="R123" i="34"/>
  <c r="S123" i="34"/>
  <c r="T123" i="34"/>
  <c r="U123" i="34"/>
  <c r="V123" i="34"/>
  <c r="W123" i="34"/>
  <c r="X123" i="34"/>
  <c r="Y123" i="34"/>
  <c r="N124" i="34"/>
  <c r="O124" i="34"/>
  <c r="P124" i="34"/>
  <c r="Q124" i="34"/>
  <c r="R124" i="34"/>
  <c r="S124" i="34"/>
  <c r="T124" i="34"/>
  <c r="U124" i="34"/>
  <c r="V124" i="34"/>
  <c r="W124" i="34"/>
  <c r="X124" i="34"/>
  <c r="Y124" i="34"/>
  <c r="N125" i="34"/>
  <c r="O125" i="34"/>
  <c r="P125" i="34"/>
  <c r="Q125" i="34"/>
  <c r="R125" i="34"/>
  <c r="S125" i="34"/>
  <c r="T125" i="34"/>
  <c r="U125" i="34"/>
  <c r="V125" i="34"/>
  <c r="W125" i="34"/>
  <c r="X125" i="34"/>
  <c r="Y125" i="34"/>
  <c r="N126" i="34"/>
  <c r="O126" i="34"/>
  <c r="P126" i="34"/>
  <c r="Q126" i="34"/>
  <c r="R126" i="34"/>
  <c r="S126" i="34"/>
  <c r="T126" i="34"/>
  <c r="U126" i="34"/>
  <c r="V126" i="34"/>
  <c r="W126" i="34"/>
  <c r="X126" i="34"/>
  <c r="Y126" i="34"/>
  <c r="N127" i="34"/>
  <c r="O127" i="34"/>
  <c r="P127" i="34"/>
  <c r="Q127" i="34"/>
  <c r="R127" i="34"/>
  <c r="S127" i="34"/>
  <c r="T127" i="34"/>
  <c r="U127" i="34"/>
  <c r="V127" i="34"/>
  <c r="W127" i="34"/>
  <c r="X127" i="34"/>
  <c r="Y127" i="34"/>
  <c r="N128" i="34"/>
  <c r="O128" i="34"/>
  <c r="P128" i="34"/>
  <c r="Q128" i="34"/>
  <c r="R128" i="34"/>
  <c r="S128" i="34"/>
  <c r="T128" i="34"/>
  <c r="U128" i="34"/>
  <c r="V128" i="34"/>
  <c r="W128" i="34"/>
  <c r="X128" i="34"/>
  <c r="Y128" i="34"/>
  <c r="N129" i="34"/>
  <c r="O129" i="34"/>
  <c r="P129" i="34"/>
  <c r="Q129" i="34"/>
  <c r="R129" i="34"/>
  <c r="S129" i="34"/>
  <c r="T129" i="34"/>
  <c r="U129" i="34"/>
  <c r="V129" i="34"/>
  <c r="W129" i="34"/>
  <c r="X129" i="34"/>
  <c r="Y129" i="34"/>
  <c r="N130" i="34"/>
  <c r="O130" i="34"/>
  <c r="P130" i="34"/>
  <c r="Q130" i="34"/>
  <c r="R130" i="34"/>
  <c r="S130" i="34"/>
  <c r="T130" i="34"/>
  <c r="U130" i="34"/>
  <c r="V130" i="34"/>
  <c r="W130" i="34"/>
  <c r="X130" i="34"/>
  <c r="Y130" i="34"/>
  <c r="N131" i="34"/>
  <c r="O131" i="34"/>
  <c r="P131" i="34"/>
  <c r="Q131" i="34"/>
  <c r="R131" i="34"/>
  <c r="S131" i="34"/>
  <c r="T131" i="34"/>
  <c r="U131" i="34"/>
  <c r="V131" i="34"/>
  <c r="W131" i="34"/>
  <c r="X131" i="34"/>
  <c r="Y131" i="34"/>
  <c r="N132" i="34"/>
  <c r="O132" i="34"/>
  <c r="P132" i="34"/>
  <c r="Q132" i="34"/>
  <c r="R132" i="34"/>
  <c r="S132" i="34"/>
  <c r="T132" i="34"/>
  <c r="U132" i="34"/>
  <c r="V132" i="34"/>
  <c r="W132" i="34"/>
  <c r="X132" i="34"/>
  <c r="Y132" i="34"/>
  <c r="N133" i="34"/>
  <c r="O133" i="34"/>
  <c r="P133" i="34"/>
  <c r="Q133" i="34"/>
  <c r="R133" i="34"/>
  <c r="S133" i="34"/>
  <c r="T133" i="34"/>
  <c r="U133" i="34"/>
  <c r="V133" i="34"/>
  <c r="W133" i="34"/>
  <c r="X133" i="34"/>
  <c r="Y133" i="34"/>
  <c r="N134" i="34"/>
  <c r="O134" i="34"/>
  <c r="P134" i="34"/>
  <c r="Q134" i="34"/>
  <c r="R134" i="34"/>
  <c r="S134" i="34"/>
  <c r="T134" i="34"/>
  <c r="U134" i="34"/>
  <c r="V134" i="34"/>
  <c r="W134" i="34"/>
  <c r="X134" i="34"/>
  <c r="Y134" i="34"/>
  <c r="N135" i="34"/>
  <c r="O135" i="34"/>
  <c r="P135" i="34"/>
  <c r="Q135" i="34"/>
  <c r="R135" i="34"/>
  <c r="S135" i="34"/>
  <c r="T135" i="34"/>
  <c r="U135" i="34"/>
  <c r="V135" i="34"/>
  <c r="W135" i="34"/>
  <c r="X135" i="34"/>
  <c r="Y135" i="34"/>
  <c r="N136" i="34"/>
  <c r="O136" i="34"/>
  <c r="P136" i="34"/>
  <c r="Q136" i="34"/>
  <c r="R136" i="34"/>
  <c r="S136" i="34"/>
  <c r="T136" i="34"/>
  <c r="U136" i="34"/>
  <c r="V136" i="34"/>
  <c r="W136" i="34"/>
  <c r="X136" i="34"/>
  <c r="Y136" i="34"/>
  <c r="N137" i="34"/>
  <c r="O137" i="34"/>
  <c r="P137" i="34"/>
  <c r="Q137" i="34"/>
  <c r="R137" i="34"/>
  <c r="S137" i="34"/>
  <c r="T137" i="34"/>
  <c r="U137" i="34"/>
  <c r="V137" i="34"/>
  <c r="W137" i="34"/>
  <c r="X137" i="34"/>
  <c r="Y137" i="34"/>
  <c r="N138" i="34"/>
  <c r="O138" i="34"/>
  <c r="P138" i="34"/>
  <c r="Q138" i="34"/>
  <c r="R138" i="34"/>
  <c r="S138" i="34"/>
  <c r="T138" i="34"/>
  <c r="U138" i="34"/>
  <c r="V138" i="34"/>
  <c r="W138" i="34"/>
  <c r="X138" i="34"/>
  <c r="Y138" i="34"/>
  <c r="N139" i="34"/>
  <c r="O139" i="34"/>
  <c r="P139" i="34"/>
  <c r="Q139" i="34"/>
  <c r="R139" i="34"/>
  <c r="S139" i="34"/>
  <c r="T139" i="34"/>
  <c r="U139" i="34"/>
  <c r="V139" i="34"/>
  <c r="W139" i="34"/>
  <c r="X139" i="34"/>
  <c r="Y139" i="34"/>
  <c r="N140" i="34"/>
  <c r="O140" i="34"/>
  <c r="P140" i="34"/>
  <c r="Q140" i="34"/>
  <c r="R140" i="34"/>
  <c r="S140" i="34"/>
  <c r="T140" i="34"/>
  <c r="U140" i="34"/>
  <c r="V140" i="34"/>
  <c r="W140" i="34"/>
  <c r="X140" i="34"/>
  <c r="Y140" i="34"/>
  <c r="N141" i="34"/>
  <c r="O141" i="34"/>
  <c r="P141" i="34"/>
  <c r="Q141" i="34"/>
  <c r="R141" i="34"/>
  <c r="S141" i="34"/>
  <c r="T141" i="34"/>
  <c r="U141" i="34"/>
  <c r="V141" i="34"/>
  <c r="W141" i="34"/>
  <c r="X141" i="34"/>
  <c r="Y141" i="34"/>
  <c r="N142" i="34"/>
  <c r="O142" i="34"/>
  <c r="P142" i="34"/>
  <c r="Q142" i="34"/>
  <c r="R142" i="34"/>
  <c r="S142" i="34"/>
  <c r="T142" i="34"/>
  <c r="U142" i="34"/>
  <c r="V142" i="34"/>
  <c r="W142" i="34"/>
  <c r="X142" i="34"/>
  <c r="Y142" i="34"/>
  <c r="N143" i="34"/>
  <c r="O143" i="34"/>
  <c r="P143" i="34"/>
  <c r="Q143" i="34"/>
  <c r="R143" i="34"/>
  <c r="S143" i="34"/>
  <c r="T143" i="34"/>
  <c r="U143" i="34"/>
  <c r="V143" i="34"/>
  <c r="W143" i="34"/>
  <c r="X143" i="34"/>
  <c r="Y143" i="34"/>
  <c r="N144" i="34"/>
  <c r="O144" i="34"/>
  <c r="P144" i="34"/>
  <c r="Q144" i="34"/>
  <c r="R144" i="34"/>
  <c r="S144" i="34"/>
  <c r="T144" i="34"/>
  <c r="U144" i="34"/>
  <c r="V144" i="34"/>
  <c r="W144" i="34"/>
  <c r="X144" i="34"/>
  <c r="Y144" i="34"/>
  <c r="N145" i="34"/>
  <c r="O145" i="34"/>
  <c r="P145" i="34"/>
  <c r="Q145" i="34"/>
  <c r="R145" i="34"/>
  <c r="S145" i="34"/>
  <c r="T145" i="34"/>
  <c r="U145" i="34"/>
  <c r="V145" i="34"/>
  <c r="W145" i="34"/>
  <c r="X145" i="34"/>
  <c r="Y145" i="34"/>
  <c r="N146" i="34"/>
  <c r="O146" i="34"/>
  <c r="P146" i="34"/>
  <c r="Q146" i="34"/>
  <c r="R146" i="34"/>
  <c r="S146" i="34"/>
  <c r="T146" i="34"/>
  <c r="U146" i="34"/>
  <c r="V146" i="34"/>
  <c r="W146" i="34"/>
  <c r="X146" i="34"/>
  <c r="Y146" i="34"/>
  <c r="N147" i="34"/>
  <c r="O147" i="34"/>
  <c r="P147" i="34"/>
  <c r="Q147" i="34"/>
  <c r="R147" i="34"/>
  <c r="S147" i="34"/>
  <c r="T147" i="34"/>
  <c r="U147" i="34"/>
  <c r="V147" i="34"/>
  <c r="W147" i="34"/>
  <c r="X147" i="34"/>
  <c r="Y147" i="34"/>
  <c r="N148" i="34"/>
  <c r="O148" i="34"/>
  <c r="P148" i="34"/>
  <c r="Q148" i="34"/>
  <c r="R148" i="34"/>
  <c r="S148" i="34"/>
  <c r="T148" i="34"/>
  <c r="U148" i="34"/>
  <c r="V148" i="34"/>
  <c r="W148" i="34"/>
  <c r="X148" i="34"/>
  <c r="Y148" i="34"/>
  <c r="N149" i="34"/>
  <c r="O149" i="34"/>
  <c r="P149" i="34"/>
  <c r="Q149" i="34"/>
  <c r="R149" i="34"/>
  <c r="S149" i="34"/>
  <c r="T149" i="34"/>
  <c r="U149" i="34"/>
  <c r="V149" i="34"/>
  <c r="W149" i="34"/>
  <c r="X149" i="34"/>
  <c r="Y149" i="34"/>
  <c r="N150" i="34"/>
  <c r="O150" i="34"/>
  <c r="P150" i="34"/>
  <c r="Q150" i="34"/>
  <c r="R150" i="34"/>
  <c r="S150" i="34"/>
  <c r="T150" i="34"/>
  <c r="U150" i="34"/>
  <c r="V150" i="34"/>
  <c r="W150" i="34"/>
  <c r="X150" i="34"/>
  <c r="Y150" i="34"/>
  <c r="N151" i="34"/>
  <c r="O151" i="34"/>
  <c r="P151" i="34"/>
  <c r="Q151" i="34"/>
  <c r="R151" i="34"/>
  <c r="S151" i="34"/>
  <c r="T151" i="34"/>
  <c r="U151" i="34"/>
  <c r="V151" i="34"/>
  <c r="W151" i="34"/>
  <c r="X151" i="34"/>
  <c r="Y151" i="34"/>
  <c r="N152" i="34"/>
  <c r="O152" i="34"/>
  <c r="P152" i="34"/>
  <c r="Q152" i="34"/>
  <c r="R152" i="34"/>
  <c r="S152" i="34"/>
  <c r="T152" i="34"/>
  <c r="U152" i="34"/>
  <c r="V152" i="34"/>
  <c r="W152" i="34"/>
  <c r="X152" i="34"/>
  <c r="Y152" i="34"/>
  <c r="N153" i="34"/>
  <c r="O153" i="34"/>
  <c r="P153" i="34"/>
  <c r="Q153" i="34"/>
  <c r="R153" i="34"/>
  <c r="S153" i="34"/>
  <c r="T153" i="34"/>
  <c r="U153" i="34"/>
  <c r="V153" i="34"/>
  <c r="W153" i="34"/>
  <c r="X153" i="34"/>
  <c r="Y153" i="34"/>
  <c r="N154" i="34"/>
  <c r="O154" i="34"/>
  <c r="P154" i="34"/>
  <c r="Q154" i="34"/>
  <c r="R154" i="34"/>
  <c r="S154" i="34"/>
  <c r="T154" i="34"/>
  <c r="U154" i="34"/>
  <c r="V154" i="34"/>
  <c r="W154" i="34"/>
  <c r="X154" i="34"/>
  <c r="Y154" i="34"/>
  <c r="N155" i="34"/>
  <c r="O155" i="34"/>
  <c r="P155" i="34"/>
  <c r="Q155" i="34"/>
  <c r="R155" i="34"/>
  <c r="S155" i="34"/>
  <c r="T155" i="34"/>
  <c r="U155" i="34"/>
  <c r="V155" i="34"/>
  <c r="W155" i="34"/>
  <c r="X155" i="34"/>
  <c r="Y155" i="34"/>
  <c r="N156" i="34"/>
  <c r="O156" i="34"/>
  <c r="P156" i="34"/>
  <c r="Q156" i="34"/>
  <c r="R156" i="34"/>
  <c r="S156" i="34"/>
  <c r="T156" i="34"/>
  <c r="U156" i="34"/>
  <c r="V156" i="34"/>
  <c r="W156" i="34"/>
  <c r="X156" i="34"/>
  <c r="Y156" i="34"/>
  <c r="N157" i="34"/>
  <c r="O157" i="34"/>
  <c r="P157" i="34"/>
  <c r="Q157" i="34"/>
  <c r="R157" i="34"/>
  <c r="S157" i="34"/>
  <c r="T157" i="34"/>
  <c r="U157" i="34"/>
  <c r="V157" i="34"/>
  <c r="W157" i="34"/>
  <c r="X157" i="34"/>
  <c r="Y157" i="34"/>
  <c r="N158" i="34"/>
  <c r="O158" i="34"/>
  <c r="P158" i="34"/>
  <c r="Q158" i="34"/>
  <c r="R158" i="34"/>
  <c r="S158" i="34"/>
  <c r="T158" i="34"/>
  <c r="U158" i="34"/>
  <c r="V158" i="34"/>
  <c r="W158" i="34"/>
  <c r="X158" i="34"/>
  <c r="Y158" i="34"/>
  <c r="N159" i="34"/>
  <c r="O159" i="34"/>
  <c r="P159" i="34"/>
  <c r="Q159" i="34"/>
  <c r="R159" i="34"/>
  <c r="S159" i="34"/>
  <c r="T159" i="34"/>
  <c r="U159" i="34"/>
  <c r="V159" i="34"/>
  <c r="W159" i="34"/>
  <c r="X159" i="34"/>
  <c r="Y159" i="34"/>
  <c r="N160" i="34"/>
  <c r="O160" i="34"/>
  <c r="P160" i="34"/>
  <c r="Q160" i="34"/>
  <c r="R160" i="34"/>
  <c r="S160" i="34"/>
  <c r="T160" i="34"/>
  <c r="U160" i="34"/>
  <c r="V160" i="34"/>
  <c r="W160" i="34"/>
  <c r="X160" i="34"/>
  <c r="Y160" i="34"/>
  <c r="N161" i="34"/>
  <c r="O161" i="34"/>
  <c r="P161" i="34"/>
  <c r="Q161" i="34"/>
  <c r="R161" i="34"/>
  <c r="S161" i="34"/>
  <c r="T161" i="34"/>
  <c r="U161" i="34"/>
  <c r="V161" i="34"/>
  <c r="W161" i="34"/>
  <c r="X161" i="34"/>
  <c r="Y161" i="34"/>
  <c r="N162" i="34"/>
  <c r="O162" i="34"/>
  <c r="P162" i="34"/>
  <c r="Q162" i="34"/>
  <c r="R162" i="34"/>
  <c r="S162" i="34"/>
  <c r="T162" i="34"/>
  <c r="U162" i="34"/>
  <c r="V162" i="34"/>
  <c r="W162" i="34"/>
  <c r="X162" i="34"/>
  <c r="Y162" i="34"/>
  <c r="N163" i="34"/>
  <c r="O163" i="34"/>
  <c r="P163" i="34"/>
  <c r="Q163" i="34"/>
  <c r="R163" i="34"/>
  <c r="S163" i="34"/>
  <c r="T163" i="34"/>
  <c r="U163" i="34"/>
  <c r="V163" i="34"/>
  <c r="W163" i="34"/>
  <c r="X163" i="34"/>
  <c r="Y163" i="34"/>
  <c r="N164" i="34"/>
  <c r="O164" i="34"/>
  <c r="P164" i="34"/>
  <c r="Q164" i="34"/>
  <c r="R164" i="34"/>
  <c r="S164" i="34"/>
  <c r="T164" i="34"/>
  <c r="U164" i="34"/>
  <c r="V164" i="34"/>
  <c r="W164" i="34"/>
  <c r="X164" i="34"/>
  <c r="Y164" i="34"/>
  <c r="N165" i="34"/>
  <c r="O165" i="34"/>
  <c r="P165" i="34"/>
  <c r="Q165" i="34"/>
  <c r="R165" i="34"/>
  <c r="S165" i="34"/>
  <c r="T165" i="34"/>
  <c r="U165" i="34"/>
  <c r="V165" i="34"/>
  <c r="W165" i="34"/>
  <c r="X165" i="34"/>
  <c r="Y165" i="34"/>
  <c r="N166" i="34"/>
  <c r="O166" i="34"/>
  <c r="P166" i="34"/>
  <c r="Q166" i="34"/>
  <c r="R166" i="34"/>
  <c r="S166" i="34"/>
  <c r="T166" i="34"/>
  <c r="U166" i="34"/>
  <c r="V166" i="34"/>
  <c r="W166" i="34"/>
  <c r="X166" i="34"/>
  <c r="Y166" i="34"/>
  <c r="N167" i="34"/>
  <c r="O167" i="34"/>
  <c r="P167" i="34"/>
  <c r="Q167" i="34"/>
  <c r="R167" i="34"/>
  <c r="S167" i="34"/>
  <c r="T167" i="34"/>
  <c r="U167" i="34"/>
  <c r="V167" i="34"/>
  <c r="W167" i="34"/>
  <c r="X167" i="34"/>
  <c r="Y167" i="34"/>
  <c r="N168" i="34"/>
  <c r="O168" i="34"/>
  <c r="P168" i="34"/>
  <c r="Q168" i="34"/>
  <c r="R168" i="34"/>
  <c r="S168" i="34"/>
  <c r="T168" i="34"/>
  <c r="U168" i="34"/>
  <c r="V168" i="34"/>
  <c r="W168" i="34"/>
  <c r="X168" i="34"/>
  <c r="Y168" i="34"/>
  <c r="N169" i="34"/>
  <c r="O169" i="34"/>
  <c r="P169" i="34"/>
  <c r="Q169" i="34"/>
  <c r="R169" i="34"/>
  <c r="S169" i="34"/>
  <c r="T169" i="34"/>
  <c r="U169" i="34"/>
  <c r="V169" i="34"/>
  <c r="W169" i="34"/>
  <c r="X169" i="34"/>
  <c r="Y169" i="34"/>
  <c r="N170" i="34"/>
  <c r="O170" i="34"/>
  <c r="P170" i="34"/>
  <c r="Q170" i="34"/>
  <c r="R170" i="34"/>
  <c r="S170" i="34"/>
  <c r="T170" i="34"/>
  <c r="U170" i="34"/>
  <c r="V170" i="34"/>
  <c r="W170" i="34"/>
  <c r="X170" i="34"/>
  <c r="Y170" i="34"/>
  <c r="N171" i="34"/>
  <c r="O171" i="34"/>
  <c r="P171" i="34"/>
  <c r="Q171" i="34"/>
  <c r="R171" i="34"/>
  <c r="S171" i="34"/>
  <c r="T171" i="34"/>
  <c r="U171" i="34"/>
  <c r="V171" i="34"/>
  <c r="W171" i="34"/>
  <c r="X171" i="34"/>
  <c r="Y171" i="34"/>
  <c r="N172" i="34"/>
  <c r="O172" i="34"/>
  <c r="P172" i="34"/>
  <c r="Q172" i="34"/>
  <c r="R172" i="34"/>
  <c r="S172" i="34"/>
  <c r="T172" i="34"/>
  <c r="U172" i="34"/>
  <c r="V172" i="34"/>
  <c r="W172" i="34"/>
  <c r="X172" i="34"/>
  <c r="Y172" i="34"/>
  <c r="N173" i="34"/>
  <c r="O173" i="34"/>
  <c r="P173" i="34"/>
  <c r="Q173" i="34"/>
  <c r="R173" i="34"/>
  <c r="S173" i="34"/>
  <c r="T173" i="34"/>
  <c r="U173" i="34"/>
  <c r="V173" i="34"/>
  <c r="W173" i="34"/>
  <c r="X173" i="34"/>
  <c r="Y173" i="34"/>
  <c r="N174" i="34"/>
  <c r="O174" i="34"/>
  <c r="P174" i="34"/>
  <c r="Q174" i="34"/>
  <c r="R174" i="34"/>
  <c r="S174" i="34"/>
  <c r="T174" i="34"/>
  <c r="U174" i="34"/>
  <c r="V174" i="34"/>
  <c r="W174" i="34"/>
  <c r="X174" i="34"/>
  <c r="Y174" i="34"/>
  <c r="N175" i="34"/>
  <c r="O175" i="34"/>
  <c r="P175" i="34"/>
  <c r="Q175" i="34"/>
  <c r="R175" i="34"/>
  <c r="S175" i="34"/>
  <c r="T175" i="34"/>
  <c r="U175" i="34"/>
  <c r="V175" i="34"/>
  <c r="W175" i="34"/>
  <c r="X175" i="34"/>
  <c r="Y175" i="34"/>
  <c r="N176" i="34"/>
  <c r="O176" i="34"/>
  <c r="P176" i="34"/>
  <c r="Q176" i="34"/>
  <c r="R176" i="34"/>
  <c r="S176" i="34"/>
  <c r="T176" i="34"/>
  <c r="U176" i="34"/>
  <c r="V176" i="34"/>
  <c r="W176" i="34"/>
  <c r="X176" i="34"/>
  <c r="Y176" i="34"/>
  <c r="N177" i="34"/>
  <c r="O177" i="34"/>
  <c r="P177" i="34"/>
  <c r="Q177" i="34"/>
  <c r="R177" i="34"/>
  <c r="S177" i="34"/>
  <c r="T177" i="34"/>
  <c r="U177" i="34"/>
  <c r="V177" i="34"/>
  <c r="W177" i="34"/>
  <c r="X177" i="34"/>
  <c r="Y177" i="34"/>
  <c r="N178" i="34"/>
  <c r="O178" i="34"/>
  <c r="P178" i="34"/>
  <c r="Q178" i="34"/>
  <c r="R178" i="34"/>
  <c r="S178" i="34"/>
  <c r="T178" i="34"/>
  <c r="U178" i="34"/>
  <c r="V178" i="34"/>
  <c r="W178" i="34"/>
  <c r="X178" i="34"/>
  <c r="Y178" i="34"/>
  <c r="N179" i="34"/>
  <c r="O179" i="34"/>
  <c r="P179" i="34"/>
  <c r="Q179" i="34"/>
  <c r="R179" i="34"/>
  <c r="S179" i="34"/>
  <c r="T179" i="34"/>
  <c r="U179" i="34"/>
  <c r="V179" i="34"/>
  <c r="W179" i="34"/>
  <c r="X179" i="34"/>
  <c r="Y179" i="34"/>
  <c r="N180" i="34"/>
  <c r="O180" i="34"/>
  <c r="P180" i="34"/>
  <c r="Q180" i="34"/>
  <c r="R180" i="34"/>
  <c r="S180" i="34"/>
  <c r="T180" i="34"/>
  <c r="U180" i="34"/>
  <c r="V180" i="34"/>
  <c r="W180" i="34"/>
  <c r="X180" i="34"/>
  <c r="Y180" i="34"/>
  <c r="N181" i="34"/>
  <c r="O181" i="34"/>
  <c r="P181" i="34"/>
  <c r="Q181" i="34"/>
  <c r="R181" i="34"/>
  <c r="S181" i="34"/>
  <c r="T181" i="34"/>
  <c r="U181" i="34"/>
  <c r="V181" i="34"/>
  <c r="W181" i="34"/>
  <c r="X181" i="34"/>
  <c r="Y181" i="34"/>
  <c r="N182" i="34"/>
  <c r="O182" i="34"/>
  <c r="P182" i="34"/>
  <c r="Q182" i="34"/>
  <c r="R182" i="34"/>
  <c r="S182" i="34"/>
  <c r="T182" i="34"/>
  <c r="U182" i="34"/>
  <c r="V182" i="34"/>
  <c r="W182" i="34"/>
  <c r="X182" i="34"/>
  <c r="Y182" i="34"/>
  <c r="N183" i="34"/>
  <c r="O183" i="34"/>
  <c r="P183" i="34"/>
  <c r="Q183" i="34"/>
  <c r="R183" i="34"/>
  <c r="S183" i="34"/>
  <c r="T183" i="34"/>
  <c r="U183" i="34"/>
  <c r="V183" i="34"/>
  <c r="W183" i="34"/>
  <c r="X183" i="34"/>
  <c r="Y183" i="34"/>
  <c r="N184" i="34"/>
  <c r="O184" i="34"/>
  <c r="P184" i="34"/>
  <c r="Q184" i="34"/>
  <c r="R184" i="34"/>
  <c r="S184" i="34"/>
  <c r="T184" i="34"/>
  <c r="U184" i="34"/>
  <c r="V184" i="34"/>
  <c r="W184" i="34"/>
  <c r="X184" i="34"/>
  <c r="Y184" i="34"/>
  <c r="N185" i="34"/>
  <c r="O185" i="34"/>
  <c r="P185" i="34"/>
  <c r="Q185" i="34"/>
  <c r="R185" i="34"/>
  <c r="S185" i="34"/>
  <c r="T185" i="34"/>
  <c r="U185" i="34"/>
  <c r="V185" i="34"/>
  <c r="W185" i="34"/>
  <c r="X185" i="34"/>
  <c r="Y185" i="34"/>
  <c r="N186" i="34"/>
  <c r="O186" i="34"/>
  <c r="P186" i="34"/>
  <c r="Q186" i="34"/>
  <c r="R186" i="34"/>
  <c r="S186" i="34"/>
  <c r="T186" i="34"/>
  <c r="U186" i="34"/>
  <c r="V186" i="34"/>
  <c r="W186" i="34"/>
  <c r="X186" i="34"/>
  <c r="Y186" i="34"/>
  <c r="N187" i="34"/>
  <c r="O187" i="34"/>
  <c r="P187" i="34"/>
  <c r="Q187" i="34"/>
  <c r="R187" i="34"/>
  <c r="S187" i="34"/>
  <c r="T187" i="34"/>
  <c r="U187" i="34"/>
  <c r="V187" i="34"/>
  <c r="W187" i="34"/>
  <c r="X187" i="34"/>
  <c r="Y187" i="34"/>
  <c r="N188" i="34"/>
  <c r="O188" i="34"/>
  <c r="P188" i="34"/>
  <c r="Q188" i="34"/>
  <c r="R188" i="34"/>
  <c r="S188" i="34"/>
  <c r="T188" i="34"/>
  <c r="U188" i="34"/>
  <c r="V188" i="34"/>
  <c r="W188" i="34"/>
  <c r="X188" i="34"/>
  <c r="Y188" i="34"/>
  <c r="N189" i="34"/>
  <c r="O189" i="34"/>
  <c r="P189" i="34"/>
  <c r="Q189" i="34"/>
  <c r="R189" i="34"/>
  <c r="S189" i="34"/>
  <c r="T189" i="34"/>
  <c r="U189" i="34"/>
  <c r="V189" i="34"/>
  <c r="W189" i="34"/>
  <c r="X189" i="34"/>
  <c r="Y189" i="34"/>
  <c r="N190" i="34"/>
  <c r="O190" i="34"/>
  <c r="P190" i="34"/>
  <c r="Q190" i="34"/>
  <c r="R190" i="34"/>
  <c r="S190" i="34"/>
  <c r="T190" i="34"/>
  <c r="U190" i="34"/>
  <c r="V190" i="34"/>
  <c r="W190" i="34"/>
  <c r="X190" i="34"/>
  <c r="Y190" i="34"/>
  <c r="N191" i="34"/>
  <c r="O191" i="34"/>
  <c r="P191" i="34"/>
  <c r="Q191" i="34"/>
  <c r="R191" i="34"/>
  <c r="S191" i="34"/>
  <c r="T191" i="34"/>
  <c r="U191" i="34"/>
  <c r="V191" i="34"/>
  <c r="W191" i="34"/>
  <c r="X191" i="34"/>
  <c r="Y191" i="34"/>
  <c r="N192" i="34"/>
  <c r="O192" i="34"/>
  <c r="P192" i="34"/>
  <c r="Q192" i="34"/>
  <c r="R192" i="34"/>
  <c r="S192" i="34"/>
  <c r="T192" i="34"/>
  <c r="U192" i="34"/>
  <c r="V192" i="34"/>
  <c r="W192" i="34"/>
  <c r="X192" i="34"/>
  <c r="Y192" i="34"/>
  <c r="N193" i="34"/>
  <c r="O193" i="34"/>
  <c r="P193" i="34"/>
  <c r="Q193" i="34"/>
  <c r="R193" i="34"/>
  <c r="S193" i="34"/>
  <c r="T193" i="34"/>
  <c r="U193" i="34"/>
  <c r="V193" i="34"/>
  <c r="W193" i="34"/>
  <c r="X193" i="34"/>
  <c r="Y193" i="34"/>
  <c r="N194" i="34"/>
  <c r="O194" i="34"/>
  <c r="P194" i="34"/>
  <c r="Q194" i="34"/>
  <c r="R194" i="34"/>
  <c r="S194" i="34"/>
  <c r="T194" i="34"/>
  <c r="U194" i="34"/>
  <c r="V194" i="34"/>
  <c r="W194" i="34"/>
  <c r="X194" i="34"/>
  <c r="Y194" i="34"/>
  <c r="N195" i="34"/>
  <c r="O195" i="34"/>
  <c r="P195" i="34"/>
  <c r="Q195" i="34"/>
  <c r="R195" i="34"/>
  <c r="S195" i="34"/>
  <c r="T195" i="34"/>
  <c r="U195" i="34"/>
  <c r="V195" i="34"/>
  <c r="W195" i="34"/>
  <c r="X195" i="34"/>
  <c r="Y195" i="34"/>
  <c r="N196" i="34"/>
  <c r="O196" i="34"/>
  <c r="P196" i="34"/>
  <c r="Q196" i="34"/>
  <c r="R196" i="34"/>
  <c r="S196" i="34"/>
  <c r="T196" i="34"/>
  <c r="U196" i="34"/>
  <c r="V196" i="34"/>
  <c r="W196" i="34"/>
  <c r="X196" i="34"/>
  <c r="Y196" i="34"/>
  <c r="N197" i="34"/>
  <c r="O197" i="34"/>
  <c r="P197" i="34"/>
  <c r="Q197" i="34"/>
  <c r="R197" i="34"/>
  <c r="S197" i="34"/>
  <c r="T197" i="34"/>
  <c r="U197" i="34"/>
  <c r="V197" i="34"/>
  <c r="W197" i="34"/>
  <c r="X197" i="34"/>
  <c r="Y197" i="34"/>
  <c r="N198" i="34"/>
  <c r="O198" i="34"/>
  <c r="P198" i="34"/>
  <c r="Q198" i="34"/>
  <c r="R198" i="34"/>
  <c r="S198" i="34"/>
  <c r="T198" i="34"/>
  <c r="U198" i="34"/>
  <c r="V198" i="34"/>
  <c r="W198" i="34"/>
  <c r="X198" i="34"/>
  <c r="Y198" i="34"/>
  <c r="N199" i="34"/>
  <c r="O199" i="34"/>
  <c r="P199" i="34"/>
  <c r="Q199" i="34"/>
  <c r="R199" i="34"/>
  <c r="S199" i="34"/>
  <c r="T199" i="34"/>
  <c r="U199" i="34"/>
  <c r="V199" i="34"/>
  <c r="W199" i="34"/>
  <c r="X199" i="34"/>
  <c r="Y199" i="34"/>
  <c r="N200" i="34"/>
  <c r="O200" i="34"/>
  <c r="P200" i="34"/>
  <c r="Q200" i="34"/>
  <c r="R200" i="34"/>
  <c r="S200" i="34"/>
  <c r="T200" i="34"/>
  <c r="U200" i="34"/>
  <c r="V200" i="34"/>
  <c r="W200" i="34"/>
  <c r="X200" i="34"/>
  <c r="Y200" i="34"/>
  <c r="N201" i="34"/>
  <c r="O201" i="34"/>
  <c r="P201" i="34"/>
  <c r="Q201" i="34"/>
  <c r="R201" i="34"/>
  <c r="S201" i="34"/>
  <c r="T201" i="34"/>
  <c r="U201" i="34"/>
  <c r="V201" i="34"/>
  <c r="W201" i="34"/>
  <c r="X201" i="34"/>
  <c r="Y201" i="34"/>
  <c r="N202" i="34"/>
  <c r="O202" i="34"/>
  <c r="P202" i="34"/>
  <c r="Q202" i="34"/>
  <c r="R202" i="34"/>
  <c r="S202" i="34"/>
  <c r="T202" i="34"/>
  <c r="U202" i="34"/>
  <c r="V202" i="34"/>
  <c r="W202" i="34"/>
  <c r="X202" i="34"/>
  <c r="Y202" i="34"/>
  <c r="N203" i="34"/>
  <c r="O203" i="34"/>
  <c r="P203" i="34"/>
  <c r="Q203" i="34"/>
  <c r="R203" i="34"/>
  <c r="S203" i="34"/>
  <c r="T203" i="34"/>
  <c r="U203" i="34"/>
  <c r="V203" i="34"/>
  <c r="W203" i="34"/>
  <c r="X203" i="34"/>
  <c r="Y203" i="34"/>
  <c r="N204" i="34"/>
  <c r="O204" i="34"/>
  <c r="P204" i="34"/>
  <c r="Q204" i="34"/>
  <c r="R204" i="34"/>
  <c r="S204" i="34"/>
  <c r="T204" i="34"/>
  <c r="U204" i="34"/>
  <c r="V204" i="34"/>
  <c r="W204" i="34"/>
  <c r="X204" i="34"/>
  <c r="Y204" i="34"/>
  <c r="N205" i="34"/>
  <c r="O205" i="34"/>
  <c r="P205" i="34"/>
  <c r="Q205" i="34"/>
  <c r="R205" i="34"/>
  <c r="S205" i="34"/>
  <c r="T205" i="34"/>
  <c r="U205" i="34"/>
  <c r="V205" i="34"/>
  <c r="W205" i="34"/>
  <c r="X205" i="34"/>
  <c r="Y205" i="34"/>
  <c r="N206" i="34"/>
  <c r="O206" i="34"/>
  <c r="P206" i="34"/>
  <c r="Q206" i="34"/>
  <c r="R206" i="34"/>
  <c r="S206" i="34"/>
  <c r="T206" i="34"/>
  <c r="U206" i="34"/>
  <c r="V206" i="34"/>
  <c r="W206" i="34"/>
  <c r="X206" i="34"/>
  <c r="Y206" i="34"/>
  <c r="N207" i="34"/>
  <c r="O207" i="34"/>
  <c r="P207" i="34"/>
  <c r="Q207" i="34"/>
  <c r="R207" i="34"/>
  <c r="S207" i="34"/>
  <c r="T207" i="34"/>
  <c r="U207" i="34"/>
  <c r="V207" i="34"/>
  <c r="W207" i="34"/>
  <c r="X207" i="34"/>
  <c r="Y207" i="34"/>
  <c r="N208" i="34"/>
  <c r="O208" i="34"/>
  <c r="P208" i="34"/>
  <c r="Q208" i="34"/>
  <c r="R208" i="34"/>
  <c r="S208" i="34"/>
  <c r="T208" i="34"/>
  <c r="U208" i="34"/>
  <c r="V208" i="34"/>
  <c r="W208" i="34"/>
  <c r="X208" i="34"/>
  <c r="Y208" i="34"/>
  <c r="N209" i="34"/>
  <c r="O209" i="34"/>
  <c r="P209" i="34"/>
  <c r="Q209" i="34"/>
  <c r="R209" i="34"/>
  <c r="S209" i="34"/>
  <c r="T209" i="34"/>
  <c r="U209" i="34"/>
  <c r="V209" i="34"/>
  <c r="W209" i="34"/>
  <c r="X209" i="34"/>
  <c r="Y209" i="34"/>
  <c r="N210" i="34"/>
  <c r="O210" i="34"/>
  <c r="P210" i="34"/>
  <c r="Q210" i="34"/>
  <c r="R210" i="34"/>
  <c r="S210" i="34"/>
  <c r="T210" i="34"/>
  <c r="U210" i="34"/>
  <c r="V210" i="34"/>
  <c r="W210" i="34"/>
  <c r="X210" i="34"/>
  <c r="Y210" i="34"/>
  <c r="N211" i="34"/>
  <c r="O211" i="34"/>
  <c r="P211" i="34"/>
  <c r="Q211" i="34"/>
  <c r="R211" i="34"/>
  <c r="S211" i="34"/>
  <c r="T211" i="34"/>
  <c r="U211" i="34"/>
  <c r="V211" i="34"/>
  <c r="W211" i="34"/>
  <c r="X211" i="34"/>
  <c r="Y211" i="34"/>
  <c r="N212" i="34"/>
  <c r="O212" i="34"/>
  <c r="P212" i="34"/>
  <c r="Q212" i="34"/>
  <c r="R212" i="34"/>
  <c r="S212" i="34"/>
  <c r="T212" i="34"/>
  <c r="U212" i="34"/>
  <c r="V212" i="34"/>
  <c r="W212" i="34"/>
  <c r="X212" i="34"/>
  <c r="Y212" i="34"/>
  <c r="N213" i="34"/>
  <c r="O213" i="34"/>
  <c r="P213" i="34"/>
  <c r="Q213" i="34"/>
  <c r="R213" i="34"/>
  <c r="S213" i="34"/>
  <c r="T213" i="34"/>
  <c r="U213" i="34"/>
  <c r="V213" i="34"/>
  <c r="W213" i="34"/>
  <c r="X213" i="34"/>
  <c r="Y213" i="34"/>
  <c r="N214" i="34"/>
  <c r="O214" i="34"/>
  <c r="P214" i="34"/>
  <c r="Q214" i="34"/>
  <c r="R214" i="34"/>
  <c r="S214" i="34"/>
  <c r="T214" i="34"/>
  <c r="U214" i="34"/>
  <c r="V214" i="34"/>
  <c r="W214" i="34"/>
  <c r="X214" i="34"/>
  <c r="Y214" i="34"/>
  <c r="N215" i="34"/>
  <c r="O215" i="34"/>
  <c r="P215" i="34"/>
  <c r="Q215" i="34"/>
  <c r="R215" i="34"/>
  <c r="S215" i="34"/>
  <c r="T215" i="34"/>
  <c r="U215" i="34"/>
  <c r="V215" i="34"/>
  <c r="W215" i="34"/>
  <c r="X215" i="34"/>
  <c r="Y215" i="34"/>
  <c r="N216" i="34"/>
  <c r="O216" i="34"/>
  <c r="P216" i="34"/>
  <c r="Q216" i="34"/>
  <c r="R216" i="34"/>
  <c r="S216" i="34"/>
  <c r="T216" i="34"/>
  <c r="U216" i="34"/>
  <c r="V216" i="34"/>
  <c r="W216" i="34"/>
  <c r="X216" i="34"/>
  <c r="Y216" i="34"/>
  <c r="N217" i="34"/>
  <c r="O217" i="34"/>
  <c r="P217" i="34"/>
  <c r="Q217" i="34"/>
  <c r="R217" i="34"/>
  <c r="S217" i="34"/>
  <c r="T217" i="34"/>
  <c r="U217" i="34"/>
  <c r="V217" i="34"/>
  <c r="W217" i="34"/>
  <c r="X217" i="34"/>
  <c r="Y217" i="34"/>
  <c r="N218" i="34"/>
  <c r="O218" i="34"/>
  <c r="P218" i="34"/>
  <c r="Q218" i="34"/>
  <c r="R218" i="34"/>
  <c r="S218" i="34"/>
  <c r="T218" i="34"/>
  <c r="U218" i="34"/>
  <c r="V218" i="34"/>
  <c r="W218" i="34"/>
  <c r="X218" i="34"/>
  <c r="Y218" i="34"/>
  <c r="N219" i="34"/>
  <c r="O219" i="34"/>
  <c r="P219" i="34"/>
  <c r="Q219" i="34"/>
  <c r="R219" i="34"/>
  <c r="S219" i="34"/>
  <c r="T219" i="34"/>
  <c r="U219" i="34"/>
  <c r="V219" i="34"/>
  <c r="W219" i="34"/>
  <c r="X219" i="34"/>
  <c r="Y219" i="34"/>
  <c r="N220" i="34"/>
  <c r="O220" i="34"/>
  <c r="P220" i="34"/>
  <c r="Q220" i="34"/>
  <c r="R220" i="34"/>
  <c r="S220" i="34"/>
  <c r="T220" i="34"/>
  <c r="U220" i="34"/>
  <c r="V220" i="34"/>
  <c r="W220" i="34"/>
  <c r="X220" i="34"/>
  <c r="Y220" i="34"/>
  <c r="N221" i="34"/>
  <c r="O221" i="34"/>
  <c r="P221" i="34"/>
  <c r="Q221" i="34"/>
  <c r="R221" i="34"/>
  <c r="S221" i="34"/>
  <c r="T221" i="34"/>
  <c r="U221" i="34"/>
  <c r="V221" i="34"/>
  <c r="W221" i="34"/>
  <c r="X221" i="34"/>
  <c r="Y221" i="34"/>
  <c r="N222" i="34"/>
  <c r="O222" i="34"/>
  <c r="P222" i="34"/>
  <c r="Q222" i="34"/>
  <c r="R222" i="34"/>
  <c r="S222" i="34"/>
  <c r="T222" i="34"/>
  <c r="U222" i="34"/>
  <c r="V222" i="34"/>
  <c r="W222" i="34"/>
  <c r="X222" i="34"/>
  <c r="Y222" i="34"/>
  <c r="N223" i="34"/>
  <c r="O223" i="34"/>
  <c r="P223" i="34"/>
  <c r="Q223" i="34"/>
  <c r="R223" i="34"/>
  <c r="S223" i="34"/>
  <c r="T223" i="34"/>
  <c r="U223" i="34"/>
  <c r="V223" i="34"/>
  <c r="W223" i="34"/>
  <c r="X223" i="34"/>
  <c r="Y223" i="34"/>
  <c r="N224" i="34"/>
  <c r="O224" i="34"/>
  <c r="P224" i="34"/>
  <c r="Q224" i="34"/>
  <c r="R224" i="34"/>
  <c r="S224" i="34"/>
  <c r="T224" i="34"/>
  <c r="U224" i="34"/>
  <c r="V224" i="34"/>
  <c r="W224" i="34"/>
  <c r="X224" i="34"/>
  <c r="Y224" i="34"/>
  <c r="N225" i="34"/>
  <c r="O225" i="34"/>
  <c r="P225" i="34"/>
  <c r="Q225" i="34"/>
  <c r="R225" i="34"/>
  <c r="S225" i="34"/>
  <c r="T225" i="34"/>
  <c r="U225" i="34"/>
  <c r="V225" i="34"/>
  <c r="W225" i="34"/>
  <c r="X225" i="34"/>
  <c r="Y225" i="34"/>
  <c r="N226" i="34"/>
  <c r="O226" i="34"/>
  <c r="P226" i="34"/>
  <c r="Q226" i="34"/>
  <c r="R226" i="34"/>
  <c r="S226" i="34"/>
  <c r="T226" i="34"/>
  <c r="U226" i="34"/>
  <c r="V226" i="34"/>
  <c r="W226" i="34"/>
  <c r="X226" i="34"/>
  <c r="Y226" i="34"/>
  <c r="N227" i="34"/>
  <c r="O227" i="34"/>
  <c r="P227" i="34"/>
  <c r="Q227" i="34"/>
  <c r="R227" i="34"/>
  <c r="S227" i="34"/>
  <c r="T227" i="34"/>
  <c r="U227" i="34"/>
  <c r="V227" i="34"/>
  <c r="W227" i="34"/>
  <c r="X227" i="34"/>
  <c r="Y227" i="34"/>
  <c r="N228" i="34"/>
  <c r="O228" i="34"/>
  <c r="P228" i="34"/>
  <c r="Q228" i="34"/>
  <c r="R228" i="34"/>
  <c r="S228" i="34"/>
  <c r="T228" i="34"/>
  <c r="U228" i="34"/>
  <c r="V228" i="34"/>
  <c r="W228" i="34"/>
  <c r="X228" i="34"/>
  <c r="Y228" i="34"/>
  <c r="N229" i="34"/>
  <c r="O229" i="34"/>
  <c r="P229" i="34"/>
  <c r="Q229" i="34"/>
  <c r="R229" i="34"/>
  <c r="S229" i="34"/>
  <c r="T229" i="34"/>
  <c r="U229" i="34"/>
  <c r="V229" i="34"/>
  <c r="W229" i="34"/>
  <c r="X229" i="34"/>
  <c r="Y229" i="34"/>
  <c r="N230" i="34"/>
  <c r="O230" i="34"/>
  <c r="P230" i="34"/>
  <c r="Q230" i="34"/>
  <c r="R230" i="34"/>
  <c r="S230" i="34"/>
  <c r="T230" i="34"/>
  <c r="U230" i="34"/>
  <c r="V230" i="34"/>
  <c r="W230" i="34"/>
  <c r="X230" i="34"/>
  <c r="Y230" i="34"/>
  <c r="N231" i="34"/>
  <c r="O231" i="34"/>
  <c r="P231" i="34"/>
  <c r="Q231" i="34"/>
  <c r="R231" i="34"/>
  <c r="S231" i="34"/>
  <c r="T231" i="34"/>
  <c r="U231" i="34"/>
  <c r="V231" i="34"/>
  <c r="W231" i="34"/>
  <c r="X231" i="34"/>
  <c r="Y231" i="34"/>
  <c r="N232" i="34"/>
  <c r="O232" i="34"/>
  <c r="P232" i="34"/>
  <c r="Q232" i="34"/>
  <c r="R232" i="34"/>
  <c r="S232" i="34"/>
  <c r="T232" i="34"/>
  <c r="U232" i="34"/>
  <c r="V232" i="34"/>
  <c r="W232" i="34"/>
  <c r="X232" i="34"/>
  <c r="Y232" i="34"/>
  <c r="N233" i="34"/>
  <c r="O233" i="34"/>
  <c r="P233" i="34"/>
  <c r="Q233" i="34"/>
  <c r="R233" i="34"/>
  <c r="S233" i="34"/>
  <c r="T233" i="34"/>
  <c r="U233" i="34"/>
  <c r="V233" i="34"/>
  <c r="W233" i="34"/>
  <c r="X233" i="34"/>
  <c r="Y233" i="34"/>
  <c r="N234" i="34"/>
  <c r="O234" i="34"/>
  <c r="P234" i="34"/>
  <c r="Q234" i="34"/>
  <c r="R234" i="34"/>
  <c r="S234" i="34"/>
  <c r="T234" i="34"/>
  <c r="U234" i="34"/>
  <c r="V234" i="34"/>
  <c r="W234" i="34"/>
  <c r="X234" i="34"/>
  <c r="Y234" i="34"/>
  <c r="N235" i="34"/>
  <c r="O235" i="34"/>
  <c r="P235" i="34"/>
  <c r="Q235" i="34"/>
  <c r="R235" i="34"/>
  <c r="S235" i="34"/>
  <c r="T235" i="34"/>
  <c r="U235" i="34"/>
  <c r="V235" i="34"/>
  <c r="W235" i="34"/>
  <c r="X235" i="34"/>
  <c r="Y235" i="34"/>
  <c r="N236" i="34"/>
  <c r="O236" i="34"/>
  <c r="P236" i="34"/>
  <c r="Q236" i="34"/>
  <c r="R236" i="34"/>
  <c r="S236" i="34"/>
  <c r="T236" i="34"/>
  <c r="U236" i="34"/>
  <c r="V236" i="34"/>
  <c r="W236" i="34"/>
  <c r="X236" i="34"/>
  <c r="Y236" i="34"/>
  <c r="N237" i="34"/>
  <c r="O237" i="34"/>
  <c r="P237" i="34"/>
  <c r="Q237" i="34"/>
  <c r="R237" i="34"/>
  <c r="S237" i="34"/>
  <c r="T237" i="34"/>
  <c r="U237" i="34"/>
  <c r="V237" i="34"/>
  <c r="W237" i="34"/>
  <c r="X237" i="34"/>
  <c r="Y237" i="34"/>
  <c r="N238" i="34"/>
  <c r="O238" i="34"/>
  <c r="P238" i="34"/>
  <c r="Q238" i="34"/>
  <c r="R238" i="34"/>
  <c r="S238" i="34"/>
  <c r="T238" i="34"/>
  <c r="U238" i="34"/>
  <c r="V238" i="34"/>
  <c r="W238" i="34"/>
  <c r="X238" i="34"/>
  <c r="Y238" i="34"/>
  <c r="N239" i="34"/>
  <c r="O239" i="34"/>
  <c r="P239" i="34"/>
  <c r="Q239" i="34"/>
  <c r="R239" i="34"/>
  <c r="S239" i="34"/>
  <c r="T239" i="34"/>
  <c r="U239" i="34"/>
  <c r="V239" i="34"/>
  <c r="W239" i="34"/>
  <c r="X239" i="34"/>
  <c r="Y239" i="34"/>
  <c r="N240" i="34"/>
  <c r="O240" i="34"/>
  <c r="P240" i="34"/>
  <c r="Q240" i="34"/>
  <c r="R240" i="34"/>
  <c r="S240" i="34"/>
  <c r="T240" i="34"/>
  <c r="U240" i="34"/>
  <c r="V240" i="34"/>
  <c r="W240" i="34"/>
  <c r="X240" i="34"/>
  <c r="Y240" i="34"/>
  <c r="N241" i="34"/>
  <c r="O241" i="34"/>
  <c r="P241" i="34"/>
  <c r="Q241" i="34"/>
  <c r="R241" i="34"/>
  <c r="S241" i="34"/>
  <c r="T241" i="34"/>
  <c r="U241" i="34"/>
  <c r="V241" i="34"/>
  <c r="W241" i="34"/>
  <c r="X241" i="34"/>
  <c r="Y241" i="34"/>
  <c r="N242" i="34"/>
  <c r="O242" i="34"/>
  <c r="P242" i="34"/>
  <c r="Q242" i="34"/>
  <c r="R242" i="34"/>
  <c r="S242" i="34"/>
  <c r="T242" i="34"/>
  <c r="U242" i="34"/>
  <c r="V242" i="34"/>
  <c r="W242" i="34"/>
  <c r="X242" i="34"/>
  <c r="Y242" i="34"/>
  <c r="N243" i="34"/>
  <c r="O243" i="34"/>
  <c r="P243" i="34"/>
  <c r="Q243" i="34"/>
  <c r="R243" i="34"/>
  <c r="S243" i="34"/>
  <c r="T243" i="34"/>
  <c r="U243" i="34"/>
  <c r="V243" i="34"/>
  <c r="W243" i="34"/>
  <c r="X243" i="34"/>
  <c r="Y243" i="34"/>
  <c r="N244" i="34"/>
  <c r="O244" i="34"/>
  <c r="P244" i="34"/>
  <c r="Q244" i="34"/>
  <c r="R244" i="34"/>
  <c r="S244" i="34"/>
  <c r="T244" i="34"/>
  <c r="U244" i="34"/>
  <c r="V244" i="34"/>
  <c r="W244" i="34"/>
  <c r="X244" i="34"/>
  <c r="Y244" i="34"/>
  <c r="N245" i="34"/>
  <c r="O245" i="34"/>
  <c r="P245" i="34"/>
  <c r="Q245" i="34"/>
  <c r="R245" i="34"/>
  <c r="S245" i="34"/>
  <c r="T245" i="34"/>
  <c r="U245" i="34"/>
  <c r="V245" i="34"/>
  <c r="W245" i="34"/>
  <c r="X245" i="34"/>
  <c r="Y245" i="34"/>
  <c r="N246" i="34"/>
  <c r="O246" i="34"/>
  <c r="P246" i="34"/>
  <c r="Q246" i="34"/>
  <c r="R246" i="34"/>
  <c r="S246" i="34"/>
  <c r="T246" i="34"/>
  <c r="U246" i="34"/>
  <c r="V246" i="34"/>
  <c r="W246" i="34"/>
  <c r="X246" i="34"/>
  <c r="Y246" i="34"/>
  <c r="N247" i="34"/>
  <c r="O247" i="34"/>
  <c r="P247" i="34"/>
  <c r="Q247" i="34"/>
  <c r="R247" i="34"/>
  <c r="S247" i="34"/>
  <c r="T247" i="34"/>
  <c r="U247" i="34"/>
  <c r="V247" i="34"/>
  <c r="W247" i="34"/>
  <c r="X247" i="34"/>
  <c r="Y247" i="34"/>
  <c r="N248" i="34"/>
  <c r="O248" i="34"/>
  <c r="P248" i="34"/>
  <c r="Q248" i="34"/>
  <c r="R248" i="34"/>
  <c r="S248" i="34"/>
  <c r="T248" i="34"/>
  <c r="U248" i="34"/>
  <c r="V248" i="34"/>
  <c r="W248" i="34"/>
  <c r="X248" i="34"/>
  <c r="Y248" i="34"/>
  <c r="N249" i="34"/>
  <c r="O249" i="34"/>
  <c r="P249" i="34"/>
  <c r="Q249" i="34"/>
  <c r="R249" i="34"/>
  <c r="S249" i="34"/>
  <c r="T249" i="34"/>
  <c r="U249" i="34"/>
  <c r="V249" i="34"/>
  <c r="W249" i="34"/>
  <c r="X249" i="34"/>
  <c r="Y249" i="34"/>
  <c r="N250" i="34"/>
  <c r="O250" i="34"/>
  <c r="P250" i="34"/>
  <c r="Q250" i="34"/>
  <c r="R250" i="34"/>
  <c r="S250" i="34"/>
  <c r="T250" i="34"/>
  <c r="U250" i="34"/>
  <c r="V250" i="34"/>
  <c r="W250" i="34"/>
  <c r="X250" i="34"/>
  <c r="Y250" i="34"/>
  <c r="N251" i="34"/>
  <c r="O251" i="34"/>
  <c r="P251" i="34"/>
  <c r="Q251" i="34"/>
  <c r="R251" i="34"/>
  <c r="S251" i="34"/>
  <c r="T251" i="34"/>
  <c r="U251" i="34"/>
  <c r="V251" i="34"/>
  <c r="W251" i="34"/>
  <c r="X251" i="34"/>
  <c r="Y251" i="34"/>
  <c r="N252" i="34"/>
  <c r="O252" i="34"/>
  <c r="P252" i="34"/>
  <c r="Q252" i="34"/>
  <c r="R252" i="34"/>
  <c r="S252" i="34"/>
  <c r="T252" i="34"/>
  <c r="U252" i="34"/>
  <c r="V252" i="34"/>
  <c r="W252" i="34"/>
  <c r="X252" i="34"/>
  <c r="Y252" i="34"/>
  <c r="N253" i="34"/>
  <c r="O253" i="34"/>
  <c r="P253" i="34"/>
  <c r="Q253" i="34"/>
  <c r="R253" i="34"/>
  <c r="S253" i="34"/>
  <c r="T253" i="34"/>
  <c r="U253" i="34"/>
  <c r="V253" i="34"/>
  <c r="W253" i="34"/>
  <c r="X253" i="34"/>
  <c r="Y253" i="34"/>
  <c r="N254" i="34"/>
  <c r="O254" i="34"/>
  <c r="P254" i="34"/>
  <c r="Q254" i="34"/>
  <c r="R254" i="34"/>
  <c r="S254" i="34"/>
  <c r="T254" i="34"/>
  <c r="U254" i="34"/>
  <c r="V254" i="34"/>
  <c r="W254" i="34"/>
  <c r="X254" i="34"/>
  <c r="Y254" i="34"/>
  <c r="N255" i="34"/>
  <c r="O255" i="34"/>
  <c r="P255" i="34"/>
  <c r="Q255" i="34"/>
  <c r="R255" i="34"/>
  <c r="S255" i="34"/>
  <c r="T255" i="34"/>
  <c r="U255" i="34"/>
  <c r="V255" i="34"/>
  <c r="W255" i="34"/>
  <c r="X255" i="34"/>
  <c r="Y255" i="34"/>
  <c r="N256" i="34"/>
  <c r="O256" i="34"/>
  <c r="P256" i="34"/>
  <c r="Q256" i="34"/>
  <c r="R256" i="34"/>
  <c r="S256" i="34"/>
  <c r="T256" i="34"/>
  <c r="U256" i="34"/>
  <c r="V256" i="34"/>
  <c r="W256" i="34"/>
  <c r="X256" i="34"/>
  <c r="Y256" i="34"/>
  <c r="N257" i="34"/>
  <c r="O257" i="34"/>
  <c r="P257" i="34"/>
  <c r="Q257" i="34"/>
  <c r="R257" i="34"/>
  <c r="S257" i="34"/>
  <c r="T257" i="34"/>
  <c r="U257" i="34"/>
  <c r="V257" i="34"/>
  <c r="W257" i="34"/>
  <c r="X257" i="34"/>
  <c r="Y257" i="34"/>
  <c r="N258" i="34"/>
  <c r="O258" i="34"/>
  <c r="P258" i="34"/>
  <c r="Q258" i="34"/>
  <c r="R258" i="34"/>
  <c r="S258" i="34"/>
  <c r="T258" i="34"/>
  <c r="U258" i="34"/>
  <c r="V258" i="34"/>
  <c r="W258" i="34"/>
  <c r="X258" i="34"/>
  <c r="Y258" i="34"/>
  <c r="N259" i="34"/>
  <c r="O259" i="34"/>
  <c r="P259" i="34"/>
  <c r="Q259" i="34"/>
  <c r="R259" i="34"/>
  <c r="S259" i="34"/>
  <c r="T259" i="34"/>
  <c r="U259" i="34"/>
  <c r="V259" i="34"/>
  <c r="W259" i="34"/>
  <c r="X259" i="34"/>
  <c r="Y259" i="34"/>
  <c r="N260" i="34"/>
  <c r="O260" i="34"/>
  <c r="P260" i="34"/>
  <c r="Q260" i="34"/>
  <c r="R260" i="34"/>
  <c r="S260" i="34"/>
  <c r="T260" i="34"/>
  <c r="U260" i="34"/>
  <c r="V260" i="34"/>
  <c r="W260" i="34"/>
  <c r="X260" i="34"/>
  <c r="Y260" i="34"/>
  <c r="N261" i="34"/>
  <c r="O261" i="34"/>
  <c r="P261" i="34"/>
  <c r="Q261" i="34"/>
  <c r="R261" i="34"/>
  <c r="S261" i="34"/>
  <c r="T261" i="34"/>
  <c r="U261" i="34"/>
  <c r="V261" i="34"/>
  <c r="W261" i="34"/>
  <c r="X261" i="34"/>
  <c r="Y261" i="34"/>
  <c r="N262" i="34"/>
  <c r="O262" i="34"/>
  <c r="P262" i="34"/>
  <c r="Q262" i="34"/>
  <c r="R262" i="34"/>
  <c r="S262" i="34"/>
  <c r="T262" i="34"/>
  <c r="U262" i="34"/>
  <c r="V262" i="34"/>
  <c r="W262" i="34"/>
  <c r="X262" i="34"/>
  <c r="Y262" i="34"/>
  <c r="N263" i="34"/>
  <c r="O263" i="34"/>
  <c r="P263" i="34"/>
  <c r="Q263" i="34"/>
  <c r="R263" i="34"/>
  <c r="S263" i="34"/>
  <c r="T263" i="34"/>
  <c r="U263" i="34"/>
  <c r="V263" i="34"/>
  <c r="W263" i="34"/>
  <c r="X263" i="34"/>
  <c r="Y263" i="34"/>
  <c r="N264" i="34"/>
  <c r="O264" i="34"/>
  <c r="P264" i="34"/>
  <c r="Q264" i="34"/>
  <c r="R264" i="34"/>
  <c r="S264" i="34"/>
  <c r="T264" i="34"/>
  <c r="U264" i="34"/>
  <c r="V264" i="34"/>
  <c r="W264" i="34"/>
  <c r="X264" i="34"/>
  <c r="Y264" i="34"/>
  <c r="N265" i="34"/>
  <c r="O265" i="34"/>
  <c r="P265" i="34"/>
  <c r="Q265" i="34"/>
  <c r="R265" i="34"/>
  <c r="S265" i="34"/>
  <c r="T265" i="34"/>
  <c r="U265" i="34"/>
  <c r="V265" i="34"/>
  <c r="W265" i="34"/>
  <c r="X265" i="34"/>
  <c r="Y265" i="34"/>
  <c r="N266" i="34"/>
  <c r="O266" i="34"/>
  <c r="P266" i="34"/>
  <c r="Q266" i="34"/>
  <c r="R266" i="34"/>
  <c r="S266" i="34"/>
  <c r="T266" i="34"/>
  <c r="U266" i="34"/>
  <c r="V266" i="34"/>
  <c r="W266" i="34"/>
  <c r="X266" i="34"/>
  <c r="Y266" i="34"/>
  <c r="N267" i="34"/>
  <c r="O267" i="34"/>
  <c r="P267" i="34"/>
  <c r="Q267" i="34"/>
  <c r="R267" i="34"/>
  <c r="S267" i="34"/>
  <c r="T267" i="34"/>
  <c r="U267" i="34"/>
  <c r="V267" i="34"/>
  <c r="W267" i="34"/>
  <c r="X267" i="34"/>
  <c r="Y267" i="34"/>
  <c r="N268" i="34"/>
  <c r="O268" i="34"/>
  <c r="P268" i="34"/>
  <c r="Q268" i="34"/>
  <c r="R268" i="34"/>
  <c r="S268" i="34"/>
  <c r="T268" i="34"/>
  <c r="U268" i="34"/>
  <c r="V268" i="34"/>
  <c r="W268" i="34"/>
  <c r="X268" i="34"/>
  <c r="Y268" i="34"/>
  <c r="N269" i="34"/>
  <c r="O269" i="34"/>
  <c r="P269" i="34"/>
  <c r="Q269" i="34"/>
  <c r="R269" i="34"/>
  <c r="S269" i="34"/>
  <c r="T269" i="34"/>
  <c r="U269" i="34"/>
  <c r="V269" i="34"/>
  <c r="W269" i="34"/>
  <c r="X269" i="34"/>
  <c r="Y269" i="34"/>
  <c r="N270" i="34"/>
  <c r="O270" i="34"/>
  <c r="P270" i="34"/>
  <c r="Q270" i="34"/>
  <c r="R270" i="34"/>
  <c r="S270" i="34"/>
  <c r="T270" i="34"/>
  <c r="U270" i="34"/>
  <c r="V270" i="34"/>
  <c r="W270" i="34"/>
  <c r="X270" i="34"/>
  <c r="Y270" i="34"/>
  <c r="N271" i="34"/>
  <c r="O271" i="34"/>
  <c r="P271" i="34"/>
  <c r="Q271" i="34"/>
  <c r="R271" i="34"/>
  <c r="S271" i="34"/>
  <c r="T271" i="34"/>
  <c r="U271" i="34"/>
  <c r="V271" i="34"/>
  <c r="W271" i="34"/>
  <c r="X271" i="34"/>
  <c r="Y271" i="34"/>
  <c r="N272" i="34"/>
  <c r="O272" i="34"/>
  <c r="P272" i="34"/>
  <c r="Q272" i="34"/>
  <c r="R272" i="34"/>
  <c r="S272" i="34"/>
  <c r="T272" i="34"/>
  <c r="U272" i="34"/>
  <c r="V272" i="34"/>
  <c r="W272" i="34"/>
  <c r="X272" i="34"/>
  <c r="Y272" i="34"/>
  <c r="N273" i="34"/>
  <c r="O273" i="34"/>
  <c r="P273" i="34"/>
  <c r="Q273" i="34"/>
  <c r="R273" i="34"/>
  <c r="S273" i="34"/>
  <c r="T273" i="34"/>
  <c r="U273" i="34"/>
  <c r="V273" i="34"/>
  <c r="W273" i="34"/>
  <c r="X273" i="34"/>
  <c r="Y273" i="34"/>
  <c r="N274" i="34"/>
  <c r="O274" i="34"/>
  <c r="P274" i="34"/>
  <c r="Q274" i="34"/>
  <c r="R274" i="34"/>
  <c r="S274" i="34"/>
  <c r="T274" i="34"/>
  <c r="U274" i="34"/>
  <c r="V274" i="34"/>
  <c r="W274" i="34"/>
  <c r="X274" i="34"/>
  <c r="Y274" i="34"/>
  <c r="N275" i="34"/>
  <c r="O275" i="34"/>
  <c r="P275" i="34"/>
  <c r="Q275" i="34"/>
  <c r="R275" i="34"/>
  <c r="S275" i="34"/>
  <c r="T275" i="34"/>
  <c r="U275" i="34"/>
  <c r="V275" i="34"/>
  <c r="W275" i="34"/>
  <c r="X275" i="34"/>
  <c r="Y275" i="34"/>
  <c r="N276" i="34"/>
  <c r="O276" i="34"/>
  <c r="P276" i="34"/>
  <c r="Q276" i="34"/>
  <c r="R276" i="34"/>
  <c r="S276" i="34"/>
  <c r="T276" i="34"/>
  <c r="U276" i="34"/>
  <c r="V276" i="34"/>
  <c r="W276" i="34"/>
  <c r="X276" i="34"/>
  <c r="Y276" i="34"/>
  <c r="N277" i="34"/>
  <c r="O277" i="34"/>
  <c r="P277" i="34"/>
  <c r="Q277" i="34"/>
  <c r="R277" i="34"/>
  <c r="S277" i="34"/>
  <c r="T277" i="34"/>
  <c r="U277" i="34"/>
  <c r="V277" i="34"/>
  <c r="W277" i="34"/>
  <c r="X277" i="34"/>
  <c r="Y277" i="34"/>
  <c r="N278" i="34"/>
  <c r="O278" i="34"/>
  <c r="P278" i="34"/>
  <c r="Q278" i="34"/>
  <c r="R278" i="34"/>
  <c r="S278" i="34"/>
  <c r="T278" i="34"/>
  <c r="U278" i="34"/>
  <c r="V278" i="34"/>
  <c r="W278" i="34"/>
  <c r="X278" i="34"/>
  <c r="Y278" i="34"/>
  <c r="N279" i="34"/>
  <c r="O279" i="34"/>
  <c r="P279" i="34"/>
  <c r="Q279" i="34"/>
  <c r="R279" i="34"/>
  <c r="S279" i="34"/>
  <c r="T279" i="34"/>
  <c r="U279" i="34"/>
  <c r="V279" i="34"/>
  <c r="W279" i="34"/>
  <c r="X279" i="34"/>
  <c r="Y279" i="34"/>
  <c r="N280" i="34"/>
  <c r="O280" i="34"/>
  <c r="P280" i="34"/>
  <c r="Q280" i="34"/>
  <c r="R280" i="34"/>
  <c r="S280" i="34"/>
  <c r="T280" i="34"/>
  <c r="U280" i="34"/>
  <c r="V280" i="34"/>
  <c r="W280" i="34"/>
  <c r="X280" i="34"/>
  <c r="Y280" i="34"/>
  <c r="N281" i="34"/>
  <c r="O281" i="34"/>
  <c r="P281" i="34"/>
  <c r="Q281" i="34"/>
  <c r="R281" i="34"/>
  <c r="S281" i="34"/>
  <c r="T281" i="34"/>
  <c r="U281" i="34"/>
  <c r="V281" i="34"/>
  <c r="W281" i="34"/>
  <c r="X281" i="34"/>
  <c r="Y281" i="34"/>
  <c r="N282" i="34"/>
  <c r="O282" i="34"/>
  <c r="P282" i="34"/>
  <c r="Q282" i="34"/>
  <c r="R282" i="34"/>
  <c r="S282" i="34"/>
  <c r="T282" i="34"/>
  <c r="U282" i="34"/>
  <c r="V282" i="34"/>
  <c r="W282" i="34"/>
  <c r="X282" i="34"/>
  <c r="Y282" i="34"/>
  <c r="N283" i="34"/>
  <c r="O283" i="34"/>
  <c r="P283" i="34"/>
  <c r="Q283" i="34"/>
  <c r="R283" i="34"/>
  <c r="S283" i="34"/>
  <c r="T283" i="34"/>
  <c r="U283" i="34"/>
  <c r="V283" i="34"/>
  <c r="W283" i="34"/>
  <c r="X283" i="34"/>
  <c r="Y283" i="34"/>
  <c r="N284" i="34"/>
  <c r="O284" i="34"/>
  <c r="P284" i="34"/>
  <c r="Q284" i="34"/>
  <c r="R284" i="34"/>
  <c r="S284" i="34"/>
  <c r="T284" i="34"/>
  <c r="U284" i="34"/>
  <c r="V284" i="34"/>
  <c r="W284" i="34"/>
  <c r="X284" i="34"/>
  <c r="Y284" i="34"/>
  <c r="N285" i="34"/>
  <c r="O285" i="34"/>
  <c r="P285" i="34"/>
  <c r="Q285" i="34"/>
  <c r="R285" i="34"/>
  <c r="S285" i="34"/>
  <c r="T285" i="34"/>
  <c r="U285" i="34"/>
  <c r="V285" i="34"/>
  <c r="W285" i="34"/>
  <c r="X285" i="34"/>
  <c r="Y285" i="34"/>
  <c r="N286" i="34"/>
  <c r="O286" i="34"/>
  <c r="P286" i="34"/>
  <c r="Q286" i="34"/>
  <c r="R286" i="34"/>
  <c r="S286" i="34"/>
  <c r="T286" i="34"/>
  <c r="U286" i="34"/>
  <c r="V286" i="34"/>
  <c r="W286" i="34"/>
  <c r="X286" i="34"/>
  <c r="Y286" i="34"/>
  <c r="N287" i="34"/>
  <c r="O287" i="34"/>
  <c r="P287" i="34"/>
  <c r="Q287" i="34"/>
  <c r="R287" i="34"/>
  <c r="S287" i="34"/>
  <c r="T287" i="34"/>
  <c r="U287" i="34"/>
  <c r="V287" i="34"/>
  <c r="W287" i="34"/>
  <c r="X287" i="34"/>
  <c r="Y287" i="34"/>
  <c r="N288" i="34"/>
  <c r="O288" i="34"/>
  <c r="P288" i="34"/>
  <c r="Q288" i="34"/>
  <c r="R288" i="34"/>
  <c r="S288" i="34"/>
  <c r="T288" i="34"/>
  <c r="U288" i="34"/>
  <c r="V288" i="34"/>
  <c r="W288" i="34"/>
  <c r="X288" i="34"/>
  <c r="Y288" i="34"/>
  <c r="N289" i="34"/>
  <c r="O289" i="34"/>
  <c r="P289" i="34"/>
  <c r="Q289" i="34"/>
  <c r="R289" i="34"/>
  <c r="S289" i="34"/>
  <c r="T289" i="34"/>
  <c r="U289" i="34"/>
  <c r="V289" i="34"/>
  <c r="W289" i="34"/>
  <c r="X289" i="34"/>
  <c r="Y289" i="34"/>
  <c r="N290" i="34"/>
  <c r="O290" i="34"/>
  <c r="P290" i="34"/>
  <c r="Q290" i="34"/>
  <c r="R290" i="34"/>
  <c r="S290" i="34"/>
  <c r="T290" i="34"/>
  <c r="U290" i="34"/>
  <c r="V290" i="34"/>
  <c r="W290" i="34"/>
  <c r="X290" i="34"/>
  <c r="Y290" i="34"/>
  <c r="N291" i="34"/>
  <c r="O291" i="34"/>
  <c r="P291" i="34"/>
  <c r="Q291" i="34"/>
  <c r="R291" i="34"/>
  <c r="S291" i="34"/>
  <c r="T291" i="34"/>
  <c r="U291" i="34"/>
  <c r="V291" i="34"/>
  <c r="W291" i="34"/>
  <c r="X291" i="34"/>
  <c r="Y291" i="34"/>
  <c r="N292" i="34"/>
  <c r="O292" i="34"/>
  <c r="P292" i="34"/>
  <c r="Q292" i="34"/>
  <c r="R292" i="34"/>
  <c r="S292" i="34"/>
  <c r="T292" i="34"/>
  <c r="U292" i="34"/>
  <c r="V292" i="34"/>
  <c r="W292" i="34"/>
  <c r="X292" i="34"/>
  <c r="Y292" i="34"/>
  <c r="N293" i="34"/>
  <c r="O293" i="34"/>
  <c r="P293" i="34"/>
  <c r="Q293" i="34"/>
  <c r="R293" i="34"/>
  <c r="S293" i="34"/>
  <c r="T293" i="34"/>
  <c r="U293" i="34"/>
  <c r="V293" i="34"/>
  <c r="W293" i="34"/>
  <c r="X293" i="34"/>
  <c r="Y293" i="34"/>
  <c r="N294" i="34"/>
  <c r="O294" i="34"/>
  <c r="P294" i="34"/>
  <c r="Q294" i="34"/>
  <c r="R294" i="34"/>
  <c r="S294" i="34"/>
  <c r="T294" i="34"/>
  <c r="U294" i="34"/>
  <c r="V294" i="34"/>
  <c r="W294" i="34"/>
  <c r="X294" i="34"/>
  <c r="Y294" i="34"/>
  <c r="N295" i="34"/>
  <c r="O295" i="34"/>
  <c r="P295" i="34"/>
  <c r="Q295" i="34"/>
  <c r="R295" i="34"/>
  <c r="S295" i="34"/>
  <c r="T295" i="34"/>
  <c r="U295" i="34"/>
  <c r="V295" i="34"/>
  <c r="W295" i="34"/>
  <c r="X295" i="34"/>
  <c r="Y295" i="34"/>
  <c r="N296" i="34"/>
  <c r="O296" i="34"/>
  <c r="P296" i="34"/>
  <c r="Q296" i="34"/>
  <c r="R296" i="34"/>
  <c r="S296" i="34"/>
  <c r="T296" i="34"/>
  <c r="U296" i="34"/>
  <c r="V296" i="34"/>
  <c r="W296" i="34"/>
  <c r="X296" i="34"/>
  <c r="Y296" i="34"/>
  <c r="N297" i="34"/>
  <c r="O297" i="34"/>
  <c r="P297" i="34"/>
  <c r="Q297" i="34"/>
  <c r="R297" i="34"/>
  <c r="S297" i="34"/>
  <c r="T297" i="34"/>
  <c r="U297" i="34"/>
  <c r="V297" i="34"/>
  <c r="W297" i="34"/>
  <c r="X297" i="34"/>
  <c r="Y297" i="34"/>
  <c r="N298" i="34"/>
  <c r="O298" i="34"/>
  <c r="P298" i="34"/>
  <c r="Q298" i="34"/>
  <c r="R298" i="34"/>
  <c r="S298" i="34"/>
  <c r="T298" i="34"/>
  <c r="U298" i="34"/>
  <c r="V298" i="34"/>
  <c r="W298" i="34"/>
  <c r="X298" i="34"/>
  <c r="Y298" i="34"/>
  <c r="N299" i="34"/>
  <c r="O299" i="34"/>
  <c r="P299" i="34"/>
  <c r="Q299" i="34"/>
  <c r="R299" i="34"/>
  <c r="S299" i="34"/>
  <c r="T299" i="34"/>
  <c r="U299" i="34"/>
  <c r="V299" i="34"/>
  <c r="W299" i="34"/>
  <c r="X299" i="34"/>
  <c r="Y299" i="34"/>
  <c r="N300" i="34"/>
  <c r="O300" i="34"/>
  <c r="P300" i="34"/>
  <c r="Q300" i="34"/>
  <c r="R300" i="34"/>
  <c r="S300" i="34"/>
  <c r="T300" i="34"/>
  <c r="U300" i="34"/>
  <c r="V300" i="34"/>
  <c r="W300" i="34"/>
  <c r="X300" i="34"/>
  <c r="Y300" i="34"/>
  <c r="N301" i="34"/>
  <c r="O301" i="34"/>
  <c r="P301" i="34"/>
  <c r="Q301" i="34"/>
  <c r="R301" i="34"/>
  <c r="S301" i="34"/>
  <c r="T301" i="34"/>
  <c r="U301" i="34"/>
  <c r="V301" i="34"/>
  <c r="W301" i="34"/>
  <c r="X301" i="34"/>
  <c r="Y301" i="34"/>
  <c r="N302" i="34"/>
  <c r="O302" i="34"/>
  <c r="P302" i="34"/>
  <c r="Q302" i="34"/>
  <c r="R302" i="34"/>
  <c r="S302" i="34"/>
  <c r="T302" i="34"/>
  <c r="U302" i="34"/>
  <c r="V302" i="34"/>
  <c r="W302" i="34"/>
  <c r="X302" i="34"/>
  <c r="Y302" i="34"/>
  <c r="N303" i="34"/>
  <c r="O303" i="34"/>
  <c r="P303" i="34"/>
  <c r="Q303" i="34"/>
  <c r="R303" i="34"/>
  <c r="S303" i="34"/>
  <c r="T303" i="34"/>
  <c r="U303" i="34"/>
  <c r="V303" i="34"/>
  <c r="W303" i="34"/>
  <c r="X303" i="34"/>
  <c r="Y303" i="34"/>
  <c r="N304" i="34"/>
  <c r="O304" i="34"/>
  <c r="P304" i="34"/>
  <c r="Q304" i="34"/>
  <c r="R304" i="34"/>
  <c r="S304" i="34"/>
  <c r="T304" i="34"/>
  <c r="U304" i="34"/>
  <c r="V304" i="34"/>
  <c r="W304" i="34"/>
  <c r="X304" i="34"/>
  <c r="Y304" i="34"/>
  <c r="N305" i="34"/>
  <c r="O305" i="34"/>
  <c r="P305" i="34"/>
  <c r="Q305" i="34"/>
  <c r="R305" i="34"/>
  <c r="S305" i="34"/>
  <c r="T305" i="34"/>
  <c r="U305" i="34"/>
  <c r="V305" i="34"/>
  <c r="W305" i="34"/>
  <c r="X305" i="34"/>
  <c r="Y305" i="34"/>
  <c r="N306" i="34"/>
  <c r="O306" i="34"/>
  <c r="P306" i="34"/>
  <c r="Q306" i="34"/>
  <c r="R306" i="34"/>
  <c r="S306" i="34"/>
  <c r="T306" i="34"/>
  <c r="U306" i="34"/>
  <c r="V306" i="34"/>
  <c r="W306" i="34"/>
  <c r="X306" i="34"/>
  <c r="Y306" i="34"/>
  <c r="N307" i="34"/>
  <c r="O307" i="34"/>
  <c r="P307" i="34"/>
  <c r="Q307" i="34"/>
  <c r="R307" i="34"/>
  <c r="S307" i="34"/>
  <c r="T307" i="34"/>
  <c r="U307" i="34"/>
  <c r="V307" i="34"/>
  <c r="W307" i="34"/>
  <c r="X307" i="34"/>
  <c r="Y307" i="34"/>
  <c r="N308" i="34"/>
  <c r="O308" i="34"/>
  <c r="P308" i="34"/>
  <c r="Q308" i="34"/>
  <c r="R308" i="34"/>
  <c r="S308" i="34"/>
  <c r="T308" i="34"/>
  <c r="U308" i="34"/>
  <c r="V308" i="34"/>
  <c r="W308" i="34"/>
  <c r="X308" i="34"/>
  <c r="Y308" i="34"/>
  <c r="N309" i="34"/>
  <c r="O309" i="34"/>
  <c r="P309" i="34"/>
  <c r="Q309" i="34"/>
  <c r="R309" i="34"/>
  <c r="S309" i="34"/>
  <c r="T309" i="34"/>
  <c r="U309" i="34"/>
  <c r="V309" i="34"/>
  <c r="W309" i="34"/>
  <c r="X309" i="34"/>
  <c r="Y309" i="34"/>
  <c r="N310" i="34"/>
  <c r="O310" i="34"/>
  <c r="P310" i="34"/>
  <c r="Q310" i="34"/>
  <c r="R310" i="34"/>
  <c r="S310" i="34"/>
  <c r="T310" i="34"/>
  <c r="U310" i="34"/>
  <c r="V310" i="34"/>
  <c r="W310" i="34"/>
  <c r="X310" i="34"/>
  <c r="Y310" i="34"/>
  <c r="N311" i="34"/>
  <c r="O311" i="34"/>
  <c r="P311" i="34"/>
  <c r="Q311" i="34"/>
  <c r="R311" i="34"/>
  <c r="S311" i="34"/>
  <c r="T311" i="34"/>
  <c r="U311" i="34"/>
  <c r="V311" i="34"/>
  <c r="W311" i="34"/>
  <c r="X311" i="34"/>
  <c r="Y311" i="34"/>
  <c r="N312" i="34"/>
  <c r="O312" i="34"/>
  <c r="P312" i="34"/>
  <c r="Q312" i="34"/>
  <c r="R312" i="34"/>
  <c r="S312" i="34"/>
  <c r="T312" i="34"/>
  <c r="U312" i="34"/>
  <c r="V312" i="34"/>
  <c r="W312" i="34"/>
  <c r="X312" i="34"/>
  <c r="Y312" i="34"/>
  <c r="N313" i="34"/>
  <c r="O313" i="34"/>
  <c r="P313" i="34"/>
  <c r="Q313" i="34"/>
  <c r="R313" i="34"/>
  <c r="S313" i="34"/>
  <c r="T313" i="34"/>
  <c r="U313" i="34"/>
  <c r="V313" i="34"/>
  <c r="W313" i="34"/>
  <c r="X313" i="34"/>
  <c r="Y313" i="34"/>
  <c r="N314" i="34"/>
  <c r="O314" i="34"/>
  <c r="P314" i="34"/>
  <c r="Q314" i="34"/>
  <c r="R314" i="34"/>
  <c r="S314" i="34"/>
  <c r="T314" i="34"/>
  <c r="U314" i="34"/>
  <c r="V314" i="34"/>
  <c r="W314" i="34"/>
  <c r="X314" i="34"/>
  <c r="Y314" i="34"/>
  <c r="N315" i="34"/>
  <c r="O315" i="34"/>
  <c r="P315" i="34"/>
  <c r="Q315" i="34"/>
  <c r="R315" i="34"/>
  <c r="S315" i="34"/>
  <c r="T315" i="34"/>
  <c r="U315" i="34"/>
  <c r="V315" i="34"/>
  <c r="W315" i="34"/>
  <c r="X315" i="34"/>
  <c r="Y315" i="34"/>
  <c r="N316" i="34"/>
  <c r="O316" i="34"/>
  <c r="P316" i="34"/>
  <c r="Q316" i="34"/>
  <c r="R316" i="34"/>
  <c r="S316" i="34"/>
  <c r="T316" i="34"/>
  <c r="U316" i="34"/>
  <c r="V316" i="34"/>
  <c r="W316" i="34"/>
  <c r="X316" i="34"/>
  <c r="Y316" i="34"/>
  <c r="N317" i="34"/>
  <c r="O317" i="34"/>
  <c r="P317" i="34"/>
  <c r="Q317" i="34"/>
  <c r="R317" i="34"/>
  <c r="S317" i="34"/>
  <c r="T317" i="34"/>
  <c r="U317" i="34"/>
  <c r="V317" i="34"/>
  <c r="W317" i="34"/>
  <c r="X317" i="34"/>
  <c r="Y317" i="34"/>
  <c r="N318" i="34"/>
  <c r="O318" i="34"/>
  <c r="P318" i="34"/>
  <c r="Q318" i="34"/>
  <c r="R318" i="34"/>
  <c r="S318" i="34"/>
  <c r="T318" i="34"/>
  <c r="U318" i="34"/>
  <c r="V318" i="34"/>
  <c r="W318" i="34"/>
  <c r="X318" i="34"/>
  <c r="Y318" i="34"/>
  <c r="N319" i="34"/>
  <c r="O319" i="34"/>
  <c r="P319" i="34"/>
  <c r="Q319" i="34"/>
  <c r="R319" i="34"/>
  <c r="S319" i="34"/>
  <c r="T319" i="34"/>
  <c r="U319" i="34"/>
  <c r="V319" i="34"/>
  <c r="W319" i="34"/>
  <c r="X319" i="34"/>
  <c r="Y319" i="34"/>
  <c r="N320" i="34"/>
  <c r="O320" i="34"/>
  <c r="P320" i="34"/>
  <c r="Q320" i="34"/>
  <c r="R320" i="34"/>
  <c r="S320" i="34"/>
  <c r="T320" i="34"/>
  <c r="U320" i="34"/>
  <c r="V320" i="34"/>
  <c r="W320" i="34"/>
  <c r="X320" i="34"/>
  <c r="Y320" i="34"/>
  <c r="N321" i="34"/>
  <c r="O321" i="34"/>
  <c r="P321" i="34"/>
  <c r="Q321" i="34"/>
  <c r="R321" i="34"/>
  <c r="S321" i="34"/>
  <c r="T321" i="34"/>
  <c r="U321" i="34"/>
  <c r="V321" i="34"/>
  <c r="W321" i="34"/>
  <c r="X321" i="34"/>
  <c r="Y321" i="34"/>
  <c r="N322" i="34"/>
  <c r="O322" i="34"/>
  <c r="P322" i="34"/>
  <c r="Q322" i="34"/>
  <c r="R322" i="34"/>
  <c r="S322" i="34"/>
  <c r="T322" i="34"/>
  <c r="U322" i="34"/>
  <c r="V322" i="34"/>
  <c r="W322" i="34"/>
  <c r="X322" i="34"/>
  <c r="Y322" i="34"/>
  <c r="N323" i="34"/>
  <c r="O323" i="34"/>
  <c r="P323" i="34"/>
  <c r="Q323" i="34"/>
  <c r="R323" i="34"/>
  <c r="S323" i="34"/>
  <c r="T323" i="34"/>
  <c r="U323" i="34"/>
  <c r="V323" i="34"/>
  <c r="W323" i="34"/>
  <c r="X323" i="34"/>
  <c r="Y323" i="34"/>
  <c r="N324" i="34"/>
  <c r="O324" i="34"/>
  <c r="P324" i="34"/>
  <c r="Q324" i="34"/>
  <c r="R324" i="34"/>
  <c r="S324" i="34"/>
  <c r="T324" i="34"/>
  <c r="U324" i="34"/>
  <c r="V324" i="34"/>
  <c r="W324" i="34"/>
  <c r="X324" i="34"/>
  <c r="Y324" i="34"/>
  <c r="N325" i="34"/>
  <c r="O325" i="34"/>
  <c r="P325" i="34"/>
  <c r="Q325" i="34"/>
  <c r="R325" i="34"/>
  <c r="S325" i="34"/>
  <c r="T325" i="34"/>
  <c r="U325" i="34"/>
  <c r="V325" i="34"/>
  <c r="W325" i="34"/>
  <c r="X325" i="34"/>
  <c r="Y325" i="34"/>
  <c r="N326" i="34"/>
  <c r="O326" i="34"/>
  <c r="P326" i="34"/>
  <c r="Q326" i="34"/>
  <c r="R326" i="34"/>
  <c r="S326" i="34"/>
  <c r="T326" i="34"/>
  <c r="U326" i="34"/>
  <c r="V326" i="34"/>
  <c r="W326" i="34"/>
  <c r="X326" i="34"/>
  <c r="Y326" i="34"/>
  <c r="N327" i="34"/>
  <c r="O327" i="34"/>
  <c r="P327" i="34"/>
  <c r="Q327" i="34"/>
  <c r="R327" i="34"/>
  <c r="S327" i="34"/>
  <c r="T327" i="34"/>
  <c r="U327" i="34"/>
  <c r="V327" i="34"/>
  <c r="W327" i="34"/>
  <c r="X327" i="34"/>
  <c r="Y327" i="34"/>
  <c r="N328" i="34"/>
  <c r="O328" i="34"/>
  <c r="P328" i="34"/>
  <c r="Q328" i="34"/>
  <c r="R328" i="34"/>
  <c r="S328" i="34"/>
  <c r="T328" i="34"/>
  <c r="U328" i="34"/>
  <c r="V328" i="34"/>
  <c r="W328" i="34"/>
  <c r="X328" i="34"/>
  <c r="Y328" i="34"/>
  <c r="N329" i="34"/>
  <c r="O329" i="34"/>
  <c r="P329" i="34"/>
  <c r="Q329" i="34"/>
  <c r="R329" i="34"/>
  <c r="S329" i="34"/>
  <c r="T329" i="34"/>
  <c r="U329" i="34"/>
  <c r="V329" i="34"/>
  <c r="W329" i="34"/>
  <c r="X329" i="34"/>
  <c r="Y329" i="34"/>
  <c r="N330" i="34"/>
  <c r="O330" i="34"/>
  <c r="P330" i="34"/>
  <c r="Q330" i="34"/>
  <c r="R330" i="34"/>
  <c r="S330" i="34"/>
  <c r="T330" i="34"/>
  <c r="U330" i="34"/>
  <c r="V330" i="34"/>
  <c r="W330" i="34"/>
  <c r="X330" i="34"/>
  <c r="Y330" i="34"/>
  <c r="N331" i="34"/>
  <c r="O331" i="34"/>
  <c r="P331" i="34"/>
  <c r="Q331" i="34"/>
  <c r="R331" i="34"/>
  <c r="S331" i="34"/>
  <c r="T331" i="34"/>
  <c r="U331" i="34"/>
  <c r="V331" i="34"/>
  <c r="W331" i="34"/>
  <c r="X331" i="34"/>
  <c r="Y331" i="34"/>
  <c r="N332" i="34"/>
  <c r="O332" i="34"/>
  <c r="P332" i="34"/>
  <c r="Q332" i="34"/>
  <c r="R332" i="34"/>
  <c r="S332" i="34"/>
  <c r="T332" i="34"/>
  <c r="U332" i="34"/>
  <c r="V332" i="34"/>
  <c r="W332" i="34"/>
  <c r="X332" i="34"/>
  <c r="Y332" i="34"/>
  <c r="N333" i="34"/>
  <c r="O333" i="34"/>
  <c r="P333" i="34"/>
  <c r="Q333" i="34"/>
  <c r="R333" i="34"/>
  <c r="S333" i="34"/>
  <c r="T333" i="34"/>
  <c r="U333" i="34"/>
  <c r="V333" i="34"/>
  <c r="W333" i="34"/>
  <c r="X333" i="34"/>
  <c r="Y333" i="34"/>
  <c r="N334" i="34"/>
  <c r="O334" i="34"/>
  <c r="P334" i="34"/>
  <c r="Q334" i="34"/>
  <c r="R334" i="34"/>
  <c r="S334" i="34"/>
  <c r="T334" i="34"/>
  <c r="U334" i="34"/>
  <c r="V334" i="34"/>
  <c r="W334" i="34"/>
  <c r="X334" i="34"/>
  <c r="Y334" i="34"/>
  <c r="N335" i="34"/>
  <c r="O335" i="34"/>
  <c r="P335" i="34"/>
  <c r="Q335" i="34"/>
  <c r="R335" i="34"/>
  <c r="S335" i="34"/>
  <c r="T335" i="34"/>
  <c r="U335" i="34"/>
  <c r="V335" i="34"/>
  <c r="W335" i="34"/>
  <c r="X335" i="34"/>
  <c r="Y335" i="34"/>
  <c r="N336" i="34"/>
  <c r="O336" i="34"/>
  <c r="P336" i="34"/>
  <c r="Q336" i="34"/>
  <c r="R336" i="34"/>
  <c r="S336" i="34"/>
  <c r="T336" i="34"/>
  <c r="U336" i="34"/>
  <c r="V336" i="34"/>
  <c r="W336" i="34"/>
  <c r="X336" i="34"/>
  <c r="Y336" i="34"/>
  <c r="N337" i="34"/>
  <c r="O337" i="34"/>
  <c r="P337" i="34"/>
  <c r="Q337" i="34"/>
  <c r="R337" i="34"/>
  <c r="S337" i="34"/>
  <c r="T337" i="34"/>
  <c r="U337" i="34"/>
  <c r="V337" i="34"/>
  <c r="W337" i="34"/>
  <c r="X337" i="34"/>
  <c r="Y337" i="34"/>
  <c r="N338" i="34"/>
  <c r="O338" i="34"/>
  <c r="P338" i="34"/>
  <c r="Q338" i="34"/>
  <c r="R338" i="34"/>
  <c r="S338" i="34"/>
  <c r="T338" i="34"/>
  <c r="U338" i="34"/>
  <c r="V338" i="34"/>
  <c r="W338" i="34"/>
  <c r="X338" i="34"/>
  <c r="Y338" i="34"/>
  <c r="N339" i="34"/>
  <c r="O339" i="34"/>
  <c r="P339" i="34"/>
  <c r="Q339" i="34"/>
  <c r="R339" i="34"/>
  <c r="S339" i="34"/>
  <c r="T339" i="34"/>
  <c r="U339" i="34"/>
  <c r="V339" i="34"/>
  <c r="W339" i="34"/>
  <c r="X339" i="34"/>
  <c r="Y339" i="34"/>
  <c r="N340" i="34"/>
  <c r="O340" i="34"/>
  <c r="P340" i="34"/>
  <c r="Q340" i="34"/>
  <c r="R340" i="34"/>
  <c r="S340" i="34"/>
  <c r="T340" i="34"/>
  <c r="U340" i="34"/>
  <c r="V340" i="34"/>
  <c r="W340" i="34"/>
  <c r="X340" i="34"/>
  <c r="Y340" i="34"/>
  <c r="N341" i="34"/>
  <c r="O341" i="34"/>
  <c r="P341" i="34"/>
  <c r="Q341" i="34"/>
  <c r="R341" i="34"/>
  <c r="S341" i="34"/>
  <c r="T341" i="34"/>
  <c r="U341" i="34"/>
  <c r="V341" i="34"/>
  <c r="W341" i="34"/>
  <c r="X341" i="34"/>
  <c r="Y341" i="34"/>
  <c r="N342" i="34"/>
  <c r="O342" i="34"/>
  <c r="P342" i="34"/>
  <c r="Q342" i="34"/>
  <c r="R342" i="34"/>
  <c r="S342" i="34"/>
  <c r="T342" i="34"/>
  <c r="U342" i="34"/>
  <c r="V342" i="34"/>
  <c r="W342" i="34"/>
  <c r="X342" i="34"/>
  <c r="Y342" i="34"/>
  <c r="N343" i="34"/>
  <c r="O343" i="34"/>
  <c r="P343" i="34"/>
  <c r="Q343" i="34"/>
  <c r="R343" i="34"/>
  <c r="S343" i="34"/>
  <c r="T343" i="34"/>
  <c r="U343" i="34"/>
  <c r="V343" i="34"/>
  <c r="W343" i="34"/>
  <c r="X343" i="34"/>
  <c r="Y343" i="34"/>
  <c r="N344" i="34"/>
  <c r="O344" i="34"/>
  <c r="P344" i="34"/>
  <c r="Q344" i="34"/>
  <c r="R344" i="34"/>
  <c r="S344" i="34"/>
  <c r="T344" i="34"/>
  <c r="U344" i="34"/>
  <c r="V344" i="34"/>
  <c r="W344" i="34"/>
  <c r="X344" i="34"/>
  <c r="Y344" i="34"/>
  <c r="N345" i="34"/>
  <c r="O345" i="34"/>
  <c r="P345" i="34"/>
  <c r="Q345" i="34"/>
  <c r="R345" i="34"/>
  <c r="S345" i="34"/>
  <c r="T345" i="34"/>
  <c r="U345" i="34"/>
  <c r="V345" i="34"/>
  <c r="W345" i="34"/>
  <c r="X345" i="34"/>
  <c r="Y345" i="34"/>
  <c r="N346" i="34"/>
  <c r="O346" i="34"/>
  <c r="P346" i="34"/>
  <c r="Q346" i="34"/>
  <c r="R346" i="34"/>
  <c r="S346" i="34"/>
  <c r="T346" i="34"/>
  <c r="U346" i="34"/>
  <c r="V346" i="34"/>
  <c r="W346" i="34"/>
  <c r="X346" i="34"/>
  <c r="Y346" i="34"/>
  <c r="N347" i="34"/>
  <c r="O347" i="34"/>
  <c r="P347" i="34"/>
  <c r="Q347" i="34"/>
  <c r="R347" i="34"/>
  <c r="S347" i="34"/>
  <c r="T347" i="34"/>
  <c r="U347" i="34"/>
  <c r="V347" i="34"/>
  <c r="W347" i="34"/>
  <c r="X347" i="34"/>
  <c r="Y347" i="34"/>
  <c r="N348" i="34"/>
  <c r="O348" i="34"/>
  <c r="P348" i="34"/>
  <c r="Q348" i="34"/>
  <c r="R348" i="34"/>
  <c r="S348" i="34"/>
  <c r="T348" i="34"/>
  <c r="U348" i="34"/>
  <c r="V348" i="34"/>
  <c r="W348" i="34"/>
  <c r="X348" i="34"/>
  <c r="Y348" i="34"/>
  <c r="N349" i="34"/>
  <c r="O349" i="34"/>
  <c r="P349" i="34"/>
  <c r="Q349" i="34"/>
  <c r="R349" i="34"/>
  <c r="S349" i="34"/>
  <c r="T349" i="34"/>
  <c r="U349" i="34"/>
  <c r="V349" i="34"/>
  <c r="W349" i="34"/>
  <c r="X349" i="34"/>
  <c r="Y349" i="34"/>
  <c r="N350" i="34"/>
  <c r="O350" i="34"/>
  <c r="P350" i="34"/>
  <c r="Q350" i="34"/>
  <c r="R350" i="34"/>
  <c r="S350" i="34"/>
  <c r="T350" i="34"/>
  <c r="U350" i="34"/>
  <c r="V350" i="34"/>
  <c r="W350" i="34"/>
  <c r="X350" i="34"/>
  <c r="Y350" i="34"/>
  <c r="N351" i="34"/>
  <c r="O351" i="34"/>
  <c r="P351" i="34"/>
  <c r="Q351" i="34"/>
  <c r="R351" i="34"/>
  <c r="S351" i="34"/>
  <c r="T351" i="34"/>
  <c r="U351" i="34"/>
  <c r="V351" i="34"/>
  <c r="W351" i="34"/>
  <c r="X351" i="34"/>
  <c r="Y351" i="34"/>
  <c r="N352" i="34"/>
  <c r="O352" i="34"/>
  <c r="P352" i="34"/>
  <c r="Q352" i="34"/>
  <c r="R352" i="34"/>
  <c r="S352" i="34"/>
  <c r="T352" i="34"/>
  <c r="U352" i="34"/>
  <c r="V352" i="34"/>
  <c r="W352" i="34"/>
  <c r="X352" i="34"/>
  <c r="Y352" i="34"/>
  <c r="N353" i="34"/>
  <c r="O353" i="34"/>
  <c r="P353" i="34"/>
  <c r="Q353" i="34"/>
  <c r="R353" i="34"/>
  <c r="S353" i="34"/>
  <c r="T353" i="34"/>
  <c r="U353" i="34"/>
  <c r="V353" i="34"/>
  <c r="W353" i="34"/>
  <c r="X353" i="34"/>
  <c r="Y353" i="34"/>
  <c r="N354" i="34"/>
  <c r="O354" i="34"/>
  <c r="P354" i="34"/>
  <c r="Q354" i="34"/>
  <c r="R354" i="34"/>
  <c r="S354" i="34"/>
  <c r="T354" i="34"/>
  <c r="U354" i="34"/>
  <c r="V354" i="34"/>
  <c r="W354" i="34"/>
  <c r="X354" i="34"/>
  <c r="Y354" i="34"/>
  <c r="N355" i="34"/>
  <c r="O355" i="34"/>
  <c r="P355" i="34"/>
  <c r="Q355" i="34"/>
  <c r="R355" i="34"/>
  <c r="S355" i="34"/>
  <c r="T355" i="34"/>
  <c r="U355" i="34"/>
  <c r="V355" i="34"/>
  <c r="W355" i="34"/>
  <c r="X355" i="34"/>
  <c r="Y355" i="34"/>
  <c r="N356" i="34"/>
  <c r="O356" i="34"/>
  <c r="P356" i="34"/>
  <c r="Q356" i="34"/>
  <c r="R356" i="34"/>
  <c r="S356" i="34"/>
  <c r="T356" i="34"/>
  <c r="U356" i="34"/>
  <c r="V356" i="34"/>
  <c r="W356" i="34"/>
  <c r="X356" i="34"/>
  <c r="Y356" i="34"/>
  <c r="N357" i="34"/>
  <c r="O357" i="34"/>
  <c r="P357" i="34"/>
  <c r="Q357" i="34"/>
  <c r="R357" i="34"/>
  <c r="S357" i="34"/>
  <c r="T357" i="34"/>
  <c r="U357" i="34"/>
  <c r="V357" i="34"/>
  <c r="W357" i="34"/>
  <c r="X357" i="34"/>
  <c r="Y357" i="34"/>
  <c r="N358" i="34"/>
  <c r="O358" i="34"/>
  <c r="P358" i="34"/>
  <c r="Q358" i="34"/>
  <c r="R358" i="34"/>
  <c r="S358" i="34"/>
  <c r="T358" i="34"/>
  <c r="U358" i="34"/>
  <c r="V358" i="34"/>
  <c r="W358" i="34"/>
  <c r="X358" i="34"/>
  <c r="Y358" i="34"/>
  <c r="N359" i="34"/>
  <c r="O359" i="34"/>
  <c r="P359" i="34"/>
  <c r="Q359" i="34"/>
  <c r="R359" i="34"/>
  <c r="S359" i="34"/>
  <c r="T359" i="34"/>
  <c r="U359" i="34"/>
  <c r="V359" i="34"/>
  <c r="W359" i="34"/>
  <c r="X359" i="34"/>
  <c r="Y359" i="34"/>
  <c r="N360" i="34"/>
  <c r="O360" i="34"/>
  <c r="P360" i="34"/>
  <c r="Q360" i="34"/>
  <c r="R360" i="34"/>
  <c r="S360" i="34"/>
  <c r="T360" i="34"/>
  <c r="U360" i="34"/>
  <c r="V360" i="34"/>
  <c r="W360" i="34"/>
  <c r="X360" i="34"/>
  <c r="Y360" i="34"/>
  <c r="N361" i="34"/>
  <c r="O361" i="34"/>
  <c r="P361" i="34"/>
  <c r="Q361" i="34"/>
  <c r="R361" i="34"/>
  <c r="S361" i="34"/>
  <c r="T361" i="34"/>
  <c r="U361" i="34"/>
  <c r="V361" i="34"/>
  <c r="W361" i="34"/>
  <c r="X361" i="34"/>
  <c r="Y361" i="34"/>
  <c r="N362" i="34"/>
  <c r="O362" i="34"/>
  <c r="P362" i="34"/>
  <c r="Q362" i="34"/>
  <c r="R362" i="34"/>
  <c r="S362" i="34"/>
  <c r="T362" i="34"/>
  <c r="U362" i="34"/>
  <c r="V362" i="34"/>
  <c r="W362" i="34"/>
  <c r="X362" i="34"/>
  <c r="Y362" i="34"/>
  <c r="N363" i="34"/>
  <c r="O363" i="34"/>
  <c r="P363" i="34"/>
  <c r="Q363" i="34"/>
  <c r="R363" i="34"/>
  <c r="S363" i="34"/>
  <c r="T363" i="34"/>
  <c r="U363" i="34"/>
  <c r="V363" i="34"/>
  <c r="W363" i="34"/>
  <c r="X363" i="34"/>
  <c r="Y363" i="34"/>
  <c r="N364" i="34"/>
  <c r="O364" i="34"/>
  <c r="P364" i="34"/>
  <c r="Q364" i="34"/>
  <c r="R364" i="34"/>
  <c r="S364" i="34"/>
  <c r="T364" i="34"/>
  <c r="U364" i="34"/>
  <c r="V364" i="34"/>
  <c r="W364" i="34"/>
  <c r="X364" i="34"/>
  <c r="Y364" i="34"/>
  <c r="N365" i="34"/>
  <c r="O365" i="34"/>
  <c r="P365" i="34"/>
  <c r="Q365" i="34"/>
  <c r="R365" i="34"/>
  <c r="S365" i="34"/>
  <c r="T365" i="34"/>
  <c r="U365" i="34"/>
  <c r="V365" i="34"/>
  <c r="W365" i="34"/>
  <c r="X365" i="34"/>
  <c r="Y365" i="34"/>
  <c r="N366" i="34"/>
  <c r="O366" i="34"/>
  <c r="P366" i="34"/>
  <c r="Q366" i="34"/>
  <c r="R366" i="34"/>
  <c r="S366" i="34"/>
  <c r="T366" i="34"/>
  <c r="U366" i="34"/>
  <c r="V366" i="34"/>
  <c r="W366" i="34"/>
  <c r="X366" i="34"/>
  <c r="Y366" i="34"/>
  <c r="N367" i="34"/>
  <c r="O367" i="34"/>
  <c r="P367" i="34"/>
  <c r="Q367" i="34"/>
  <c r="R367" i="34"/>
  <c r="S367" i="34"/>
  <c r="T367" i="34"/>
  <c r="U367" i="34"/>
  <c r="V367" i="34"/>
  <c r="W367" i="34"/>
  <c r="X367" i="34"/>
  <c r="Y367" i="34"/>
  <c r="N368" i="34"/>
  <c r="O368" i="34"/>
  <c r="P368" i="34"/>
  <c r="Q368" i="34"/>
  <c r="R368" i="34"/>
  <c r="S368" i="34"/>
  <c r="T368" i="34"/>
  <c r="U368" i="34"/>
  <c r="V368" i="34"/>
  <c r="W368" i="34"/>
  <c r="X368" i="34"/>
  <c r="Y368" i="34"/>
  <c r="N369" i="34"/>
  <c r="O369" i="34"/>
  <c r="P369" i="34"/>
  <c r="Q369" i="34"/>
  <c r="R369" i="34"/>
  <c r="S369" i="34"/>
  <c r="T369" i="34"/>
  <c r="U369" i="34"/>
  <c r="V369" i="34"/>
  <c r="W369" i="34"/>
  <c r="X369" i="34"/>
  <c r="Y369" i="34"/>
  <c r="N370" i="34"/>
  <c r="O370" i="34"/>
  <c r="P370" i="34"/>
  <c r="Q370" i="34"/>
  <c r="R370" i="34"/>
  <c r="S370" i="34"/>
  <c r="T370" i="34"/>
  <c r="U370" i="34"/>
  <c r="V370" i="34"/>
  <c r="W370" i="34"/>
  <c r="X370" i="34"/>
  <c r="Y370" i="34"/>
  <c r="N371" i="34"/>
  <c r="O371" i="34"/>
  <c r="P371" i="34"/>
  <c r="Q371" i="34"/>
  <c r="R371" i="34"/>
  <c r="S371" i="34"/>
  <c r="T371" i="34"/>
  <c r="U371" i="34"/>
  <c r="V371" i="34"/>
  <c r="W371" i="34"/>
  <c r="X371" i="34"/>
  <c r="Y371" i="34"/>
  <c r="N372" i="34"/>
  <c r="O372" i="34"/>
  <c r="P372" i="34"/>
  <c r="Q372" i="34"/>
  <c r="R372" i="34"/>
  <c r="S372" i="34"/>
  <c r="T372" i="34"/>
  <c r="U372" i="34"/>
  <c r="V372" i="34"/>
  <c r="W372" i="34"/>
  <c r="X372" i="34"/>
  <c r="Y372" i="34"/>
  <c r="N373" i="34"/>
  <c r="O373" i="34"/>
  <c r="P373" i="34"/>
  <c r="Q373" i="34"/>
  <c r="R373" i="34"/>
  <c r="S373" i="34"/>
  <c r="T373" i="34"/>
  <c r="U373" i="34"/>
  <c r="V373" i="34"/>
  <c r="W373" i="34"/>
  <c r="X373" i="34"/>
  <c r="Y373" i="34"/>
  <c r="N374" i="34"/>
  <c r="O374" i="34"/>
  <c r="P374" i="34"/>
  <c r="Q374" i="34"/>
  <c r="R374" i="34"/>
  <c r="S374" i="34"/>
  <c r="T374" i="34"/>
  <c r="U374" i="34"/>
  <c r="V374" i="34"/>
  <c r="W374" i="34"/>
  <c r="X374" i="34"/>
  <c r="Y374" i="34"/>
  <c r="N375" i="34"/>
  <c r="O375" i="34"/>
  <c r="P375" i="34"/>
  <c r="Q375" i="34"/>
  <c r="R375" i="34"/>
  <c r="S375" i="34"/>
  <c r="T375" i="34"/>
  <c r="U375" i="34"/>
  <c r="V375" i="34"/>
  <c r="W375" i="34"/>
  <c r="X375" i="34"/>
  <c r="Y375" i="34"/>
  <c r="N376" i="34"/>
  <c r="O376" i="34"/>
  <c r="P376" i="34"/>
  <c r="Q376" i="34"/>
  <c r="R376" i="34"/>
  <c r="S376" i="34"/>
  <c r="T376" i="34"/>
  <c r="U376" i="34"/>
  <c r="V376" i="34"/>
  <c r="W376" i="34"/>
  <c r="X376" i="34"/>
  <c r="Y376" i="34"/>
  <c r="N377" i="34"/>
  <c r="O377" i="34"/>
  <c r="P377" i="34"/>
  <c r="Q377" i="34"/>
  <c r="R377" i="34"/>
  <c r="S377" i="34"/>
  <c r="T377" i="34"/>
  <c r="U377" i="34"/>
  <c r="V377" i="34"/>
  <c r="W377" i="34"/>
  <c r="X377" i="34"/>
  <c r="Y377" i="34"/>
  <c r="N378" i="34"/>
  <c r="O378" i="34"/>
  <c r="P378" i="34"/>
  <c r="Q378" i="34"/>
  <c r="R378" i="34"/>
  <c r="S378" i="34"/>
  <c r="T378" i="34"/>
  <c r="U378" i="34"/>
  <c r="V378" i="34"/>
  <c r="W378" i="34"/>
  <c r="X378" i="34"/>
  <c r="Y378" i="34"/>
  <c r="N379" i="34"/>
  <c r="O379" i="34"/>
  <c r="P379" i="34"/>
  <c r="Q379" i="34"/>
  <c r="R379" i="34"/>
  <c r="S379" i="34"/>
  <c r="T379" i="34"/>
  <c r="U379" i="34"/>
  <c r="V379" i="34"/>
  <c r="W379" i="34"/>
  <c r="X379" i="34"/>
  <c r="Y379" i="34"/>
  <c r="N380" i="34"/>
  <c r="O380" i="34"/>
  <c r="P380" i="34"/>
  <c r="Q380" i="34"/>
  <c r="R380" i="34"/>
  <c r="S380" i="34"/>
  <c r="T380" i="34"/>
  <c r="U380" i="34"/>
  <c r="V380" i="34"/>
  <c r="W380" i="34"/>
  <c r="X380" i="34"/>
  <c r="Y380" i="34"/>
  <c r="N381" i="34"/>
  <c r="O381" i="34"/>
  <c r="P381" i="34"/>
  <c r="Q381" i="34"/>
  <c r="R381" i="34"/>
  <c r="S381" i="34"/>
  <c r="T381" i="34"/>
  <c r="U381" i="34"/>
  <c r="V381" i="34"/>
  <c r="W381" i="34"/>
  <c r="X381" i="34"/>
  <c r="Y381" i="34"/>
  <c r="N382" i="34"/>
  <c r="O382" i="34"/>
  <c r="P382" i="34"/>
  <c r="Q382" i="34"/>
  <c r="R382" i="34"/>
  <c r="S382" i="34"/>
  <c r="T382" i="34"/>
  <c r="U382" i="34"/>
  <c r="V382" i="34"/>
  <c r="W382" i="34"/>
  <c r="X382" i="34"/>
  <c r="Y382" i="34"/>
  <c r="N383" i="34"/>
  <c r="O383" i="34"/>
  <c r="P383" i="34"/>
  <c r="Q383" i="34"/>
  <c r="R383" i="34"/>
  <c r="S383" i="34"/>
  <c r="T383" i="34"/>
  <c r="U383" i="34"/>
  <c r="V383" i="34"/>
  <c r="W383" i="34"/>
  <c r="X383" i="34"/>
  <c r="Y383" i="34"/>
  <c r="N384" i="34"/>
  <c r="O384" i="34"/>
  <c r="P384" i="34"/>
  <c r="Q384" i="34"/>
  <c r="R384" i="34"/>
  <c r="S384" i="34"/>
  <c r="T384" i="34"/>
  <c r="U384" i="34"/>
  <c r="V384" i="34"/>
  <c r="W384" i="34"/>
  <c r="X384" i="34"/>
  <c r="Y384" i="34"/>
  <c r="N385" i="34"/>
  <c r="O385" i="34"/>
  <c r="P385" i="34"/>
  <c r="Q385" i="34"/>
  <c r="R385" i="34"/>
  <c r="S385" i="34"/>
  <c r="T385" i="34"/>
  <c r="U385" i="34"/>
  <c r="V385" i="34"/>
  <c r="W385" i="34"/>
  <c r="X385" i="34"/>
  <c r="Y385" i="34"/>
  <c r="N386" i="34"/>
  <c r="O386" i="34"/>
  <c r="P386" i="34"/>
  <c r="Q386" i="34"/>
  <c r="R386" i="34"/>
  <c r="S386" i="34"/>
  <c r="T386" i="34"/>
  <c r="U386" i="34"/>
  <c r="V386" i="34"/>
  <c r="W386" i="34"/>
  <c r="X386" i="34"/>
  <c r="Y386" i="34"/>
  <c r="N387" i="34"/>
  <c r="O387" i="34"/>
  <c r="P387" i="34"/>
  <c r="Q387" i="34"/>
  <c r="R387" i="34"/>
  <c r="S387" i="34"/>
  <c r="T387" i="34"/>
  <c r="U387" i="34"/>
  <c r="V387" i="34"/>
  <c r="W387" i="34"/>
  <c r="X387" i="34"/>
  <c r="Y387" i="34"/>
  <c r="N388" i="34"/>
  <c r="O388" i="34"/>
  <c r="P388" i="34"/>
  <c r="Q388" i="34"/>
  <c r="R388" i="34"/>
  <c r="S388" i="34"/>
  <c r="T388" i="34"/>
  <c r="U388" i="34"/>
  <c r="V388" i="34"/>
  <c r="W388" i="34"/>
  <c r="X388" i="34"/>
  <c r="Y388" i="34"/>
  <c r="N389" i="34"/>
  <c r="O389" i="34"/>
  <c r="P389" i="34"/>
  <c r="Q389" i="34"/>
  <c r="R389" i="34"/>
  <c r="S389" i="34"/>
  <c r="T389" i="34"/>
  <c r="U389" i="34"/>
  <c r="V389" i="34"/>
  <c r="W389" i="34"/>
  <c r="X389" i="34"/>
  <c r="Y389" i="34"/>
  <c r="N390" i="34"/>
  <c r="O390" i="34"/>
  <c r="P390" i="34"/>
  <c r="Q390" i="34"/>
  <c r="R390" i="34"/>
  <c r="S390" i="34"/>
  <c r="T390" i="34"/>
  <c r="U390" i="34"/>
  <c r="V390" i="34"/>
  <c r="W390" i="34"/>
  <c r="X390" i="34"/>
  <c r="Y390" i="34"/>
  <c r="N391" i="34"/>
  <c r="O391" i="34"/>
  <c r="P391" i="34"/>
  <c r="Q391" i="34"/>
  <c r="R391" i="34"/>
  <c r="S391" i="34"/>
  <c r="T391" i="34"/>
  <c r="U391" i="34"/>
  <c r="V391" i="34"/>
  <c r="W391" i="34"/>
  <c r="X391" i="34"/>
  <c r="Y391" i="34"/>
  <c r="N392" i="34"/>
  <c r="O392" i="34"/>
  <c r="P392" i="34"/>
  <c r="Q392" i="34"/>
  <c r="R392" i="34"/>
  <c r="S392" i="34"/>
  <c r="T392" i="34"/>
  <c r="U392" i="34"/>
  <c r="V392" i="34"/>
  <c r="W392" i="34"/>
  <c r="X392" i="34"/>
  <c r="Y392" i="34"/>
  <c r="N393" i="34"/>
  <c r="O393" i="34"/>
  <c r="P393" i="34"/>
  <c r="Q393" i="34"/>
  <c r="R393" i="34"/>
  <c r="S393" i="34"/>
  <c r="T393" i="34"/>
  <c r="U393" i="34"/>
  <c r="V393" i="34"/>
  <c r="W393" i="34"/>
  <c r="X393" i="34"/>
  <c r="Y393" i="34"/>
  <c r="N394" i="34"/>
  <c r="O394" i="34"/>
  <c r="P394" i="34"/>
  <c r="Q394" i="34"/>
  <c r="R394" i="34"/>
  <c r="S394" i="34"/>
  <c r="T394" i="34"/>
  <c r="U394" i="34"/>
  <c r="V394" i="34"/>
  <c r="W394" i="34"/>
  <c r="X394" i="34"/>
  <c r="Y394" i="34"/>
  <c r="N395" i="34"/>
  <c r="O395" i="34"/>
  <c r="P395" i="34"/>
  <c r="Q395" i="34"/>
  <c r="R395" i="34"/>
  <c r="S395" i="34"/>
  <c r="T395" i="34"/>
  <c r="U395" i="34"/>
  <c r="V395" i="34"/>
  <c r="W395" i="34"/>
  <c r="X395" i="34"/>
  <c r="Y395" i="34"/>
  <c r="N396" i="34"/>
  <c r="O396" i="34"/>
  <c r="P396" i="34"/>
  <c r="Q396" i="34"/>
  <c r="R396" i="34"/>
  <c r="S396" i="34"/>
  <c r="T396" i="34"/>
  <c r="U396" i="34"/>
  <c r="V396" i="34"/>
  <c r="W396" i="34"/>
  <c r="X396" i="34"/>
  <c r="Y396" i="34"/>
  <c r="N397" i="34"/>
  <c r="O397" i="34"/>
  <c r="P397" i="34"/>
  <c r="Q397" i="34"/>
  <c r="R397" i="34"/>
  <c r="S397" i="34"/>
  <c r="T397" i="34"/>
  <c r="U397" i="34"/>
  <c r="V397" i="34"/>
  <c r="W397" i="34"/>
  <c r="X397" i="34"/>
  <c r="Y397" i="34"/>
  <c r="N398" i="34"/>
  <c r="O398" i="34"/>
  <c r="P398" i="34"/>
  <c r="Q398" i="34"/>
  <c r="R398" i="34"/>
  <c r="S398" i="34"/>
  <c r="T398" i="34"/>
  <c r="U398" i="34"/>
  <c r="V398" i="34"/>
  <c r="W398" i="34"/>
  <c r="X398" i="34"/>
  <c r="Y398" i="34"/>
  <c r="N399" i="34"/>
  <c r="O399" i="34"/>
  <c r="P399" i="34"/>
  <c r="Q399" i="34"/>
  <c r="R399" i="34"/>
  <c r="S399" i="34"/>
  <c r="T399" i="34"/>
  <c r="U399" i="34"/>
  <c r="V399" i="34"/>
  <c r="W399" i="34"/>
  <c r="X399" i="34"/>
  <c r="Y399" i="34"/>
  <c r="N400" i="34"/>
  <c r="O400" i="34"/>
  <c r="P400" i="34"/>
  <c r="Q400" i="34"/>
  <c r="R400" i="34"/>
  <c r="S400" i="34"/>
  <c r="T400" i="34"/>
  <c r="U400" i="34"/>
  <c r="V400" i="34"/>
  <c r="W400" i="34"/>
  <c r="X400" i="34"/>
  <c r="Y400" i="34"/>
  <c r="N401" i="34"/>
  <c r="O401" i="34"/>
  <c r="P401" i="34"/>
  <c r="Q401" i="34"/>
  <c r="R401" i="34"/>
  <c r="S401" i="34"/>
  <c r="T401" i="34"/>
  <c r="U401" i="34"/>
  <c r="V401" i="34"/>
  <c r="W401" i="34"/>
  <c r="X401" i="34"/>
  <c r="Y401" i="34"/>
  <c r="N402" i="34"/>
  <c r="O402" i="34"/>
  <c r="P402" i="34"/>
  <c r="Q402" i="34"/>
  <c r="R402" i="34"/>
  <c r="S402" i="34"/>
  <c r="T402" i="34"/>
  <c r="U402" i="34"/>
  <c r="V402" i="34"/>
  <c r="W402" i="34"/>
  <c r="X402" i="34"/>
  <c r="Y402" i="34"/>
  <c r="N403" i="34"/>
  <c r="O403" i="34"/>
  <c r="P403" i="34"/>
  <c r="Q403" i="34"/>
  <c r="R403" i="34"/>
  <c r="S403" i="34"/>
  <c r="T403" i="34"/>
  <c r="U403" i="34"/>
  <c r="V403" i="34"/>
  <c r="W403" i="34"/>
  <c r="X403" i="34"/>
  <c r="Y403" i="34"/>
  <c r="N404" i="34"/>
  <c r="O404" i="34"/>
  <c r="P404" i="34"/>
  <c r="Q404" i="34"/>
  <c r="R404" i="34"/>
  <c r="S404" i="34"/>
  <c r="T404" i="34"/>
  <c r="U404" i="34"/>
  <c r="V404" i="34"/>
  <c r="W404" i="34"/>
  <c r="X404" i="34"/>
  <c r="Y404" i="34"/>
  <c r="N405" i="34"/>
  <c r="O405" i="34"/>
  <c r="P405" i="34"/>
  <c r="Q405" i="34"/>
  <c r="R405" i="34"/>
  <c r="S405" i="34"/>
  <c r="T405" i="34"/>
  <c r="U405" i="34"/>
  <c r="V405" i="34"/>
  <c r="W405" i="34"/>
  <c r="X405" i="34"/>
  <c r="Y405" i="34"/>
  <c r="N406" i="34"/>
  <c r="O406" i="34"/>
  <c r="P406" i="34"/>
  <c r="Q406" i="34"/>
  <c r="R406" i="34"/>
  <c r="S406" i="34"/>
  <c r="T406" i="34"/>
  <c r="U406" i="34"/>
  <c r="V406" i="34"/>
  <c r="W406" i="34"/>
  <c r="X406" i="34"/>
  <c r="Y406" i="34"/>
  <c r="N407" i="34"/>
  <c r="O407" i="34"/>
  <c r="P407" i="34"/>
  <c r="Q407" i="34"/>
  <c r="R407" i="34"/>
  <c r="S407" i="34"/>
  <c r="T407" i="34"/>
  <c r="U407" i="34"/>
  <c r="V407" i="34"/>
  <c r="W407" i="34"/>
  <c r="X407" i="34"/>
  <c r="Y407" i="34"/>
  <c r="N408" i="34"/>
  <c r="O408" i="34"/>
  <c r="P408" i="34"/>
  <c r="Q408" i="34"/>
  <c r="R408" i="34"/>
  <c r="S408" i="34"/>
  <c r="T408" i="34"/>
  <c r="U408" i="34"/>
  <c r="V408" i="34"/>
  <c r="W408" i="34"/>
  <c r="X408" i="34"/>
  <c r="Y408" i="34"/>
  <c r="N409" i="34"/>
  <c r="O409" i="34"/>
  <c r="P409" i="34"/>
  <c r="Q409" i="34"/>
  <c r="R409" i="34"/>
  <c r="S409" i="34"/>
  <c r="T409" i="34"/>
  <c r="U409" i="34"/>
  <c r="V409" i="34"/>
  <c r="W409" i="34"/>
  <c r="X409" i="34"/>
  <c r="Y409" i="34"/>
  <c r="N410" i="34"/>
  <c r="O410" i="34"/>
  <c r="P410" i="34"/>
  <c r="Q410" i="34"/>
  <c r="R410" i="34"/>
  <c r="S410" i="34"/>
  <c r="T410" i="34"/>
  <c r="U410" i="34"/>
  <c r="V410" i="34"/>
  <c r="W410" i="34"/>
  <c r="X410" i="34"/>
  <c r="Y410" i="34"/>
  <c r="N411" i="34"/>
  <c r="O411" i="34"/>
  <c r="P411" i="34"/>
  <c r="Q411" i="34"/>
  <c r="R411" i="34"/>
  <c r="S411" i="34"/>
  <c r="T411" i="34"/>
  <c r="U411" i="34"/>
  <c r="V411" i="34"/>
  <c r="W411" i="34"/>
  <c r="X411" i="34"/>
  <c r="Y411" i="34"/>
  <c r="N412" i="34"/>
  <c r="O412" i="34"/>
  <c r="P412" i="34"/>
  <c r="Q412" i="34"/>
  <c r="R412" i="34"/>
  <c r="S412" i="34"/>
  <c r="T412" i="34"/>
  <c r="U412" i="34"/>
  <c r="V412" i="34"/>
  <c r="W412" i="34"/>
  <c r="X412" i="34"/>
  <c r="Y412" i="34"/>
  <c r="N413" i="34"/>
  <c r="O413" i="34"/>
  <c r="P413" i="34"/>
  <c r="Q413" i="34"/>
  <c r="R413" i="34"/>
  <c r="S413" i="34"/>
  <c r="T413" i="34"/>
  <c r="U413" i="34"/>
  <c r="V413" i="34"/>
  <c r="W413" i="34"/>
  <c r="X413" i="34"/>
  <c r="Y413" i="34"/>
  <c r="N414" i="34"/>
  <c r="O414" i="34"/>
  <c r="P414" i="34"/>
  <c r="Q414" i="34"/>
  <c r="R414" i="34"/>
  <c r="S414" i="34"/>
  <c r="T414" i="34"/>
  <c r="U414" i="34"/>
  <c r="V414" i="34"/>
  <c r="W414" i="34"/>
  <c r="X414" i="34"/>
  <c r="Y414" i="34"/>
  <c r="N415" i="34"/>
  <c r="O415" i="34"/>
  <c r="P415" i="34"/>
  <c r="Q415" i="34"/>
  <c r="R415" i="34"/>
  <c r="S415" i="34"/>
  <c r="T415" i="34"/>
  <c r="U415" i="34"/>
  <c r="V415" i="34"/>
  <c r="W415" i="34"/>
  <c r="X415" i="34"/>
  <c r="Y415" i="34"/>
  <c r="N416" i="34"/>
  <c r="O416" i="34"/>
  <c r="P416" i="34"/>
  <c r="Q416" i="34"/>
  <c r="R416" i="34"/>
  <c r="S416" i="34"/>
  <c r="T416" i="34"/>
  <c r="U416" i="34"/>
  <c r="V416" i="34"/>
  <c r="W416" i="34"/>
  <c r="X416" i="34"/>
  <c r="Y416" i="34"/>
  <c r="N417" i="34"/>
  <c r="O417" i="34"/>
  <c r="P417" i="34"/>
  <c r="Q417" i="34"/>
  <c r="R417" i="34"/>
  <c r="S417" i="34"/>
  <c r="T417" i="34"/>
  <c r="U417" i="34"/>
  <c r="V417" i="34"/>
  <c r="W417" i="34"/>
  <c r="X417" i="34"/>
  <c r="Y417" i="34"/>
  <c r="N418" i="34"/>
  <c r="O418" i="34"/>
  <c r="P418" i="34"/>
  <c r="Q418" i="34"/>
  <c r="R418" i="34"/>
  <c r="S418" i="34"/>
  <c r="T418" i="34"/>
  <c r="U418" i="34"/>
  <c r="V418" i="34"/>
  <c r="W418" i="34"/>
  <c r="X418" i="34"/>
  <c r="Y418" i="34"/>
  <c r="N419" i="34"/>
  <c r="O419" i="34"/>
  <c r="P419" i="34"/>
  <c r="Q419" i="34"/>
  <c r="R419" i="34"/>
  <c r="S419" i="34"/>
  <c r="T419" i="34"/>
  <c r="U419" i="34"/>
  <c r="V419" i="34"/>
  <c r="W419" i="34"/>
  <c r="X419" i="34"/>
  <c r="Y419" i="34"/>
  <c r="N420" i="34"/>
  <c r="O420" i="34"/>
  <c r="P420" i="34"/>
  <c r="Q420" i="34"/>
  <c r="R420" i="34"/>
  <c r="S420" i="34"/>
  <c r="T420" i="34"/>
  <c r="U420" i="34"/>
  <c r="V420" i="34"/>
  <c r="W420" i="34"/>
  <c r="X420" i="34"/>
  <c r="Y420" i="34"/>
  <c r="N421" i="34"/>
  <c r="O421" i="34"/>
  <c r="P421" i="34"/>
  <c r="Q421" i="34"/>
  <c r="R421" i="34"/>
  <c r="S421" i="34"/>
  <c r="T421" i="34"/>
  <c r="U421" i="34"/>
  <c r="V421" i="34"/>
  <c r="W421" i="34"/>
  <c r="X421" i="34"/>
  <c r="Y421" i="34"/>
  <c r="N422" i="34"/>
  <c r="O422" i="34"/>
  <c r="P422" i="34"/>
  <c r="Q422" i="34"/>
  <c r="R422" i="34"/>
  <c r="S422" i="34"/>
  <c r="T422" i="34"/>
  <c r="U422" i="34"/>
  <c r="V422" i="34"/>
  <c r="W422" i="34"/>
  <c r="X422" i="34"/>
  <c r="Y422" i="34"/>
  <c r="N423" i="34"/>
  <c r="O423" i="34"/>
  <c r="P423" i="34"/>
  <c r="Q423" i="34"/>
  <c r="R423" i="34"/>
  <c r="S423" i="34"/>
  <c r="T423" i="34"/>
  <c r="U423" i="34"/>
  <c r="V423" i="34"/>
  <c r="W423" i="34"/>
  <c r="X423" i="34"/>
  <c r="Y423" i="34"/>
  <c r="N424" i="34"/>
  <c r="O424" i="34"/>
  <c r="P424" i="34"/>
  <c r="Q424" i="34"/>
  <c r="R424" i="34"/>
  <c r="S424" i="34"/>
  <c r="T424" i="34"/>
  <c r="U424" i="34"/>
  <c r="V424" i="34"/>
  <c r="W424" i="34"/>
  <c r="X424" i="34"/>
  <c r="Y424" i="34"/>
  <c r="N425" i="34"/>
  <c r="O425" i="34"/>
  <c r="P425" i="34"/>
  <c r="Q425" i="34"/>
  <c r="R425" i="34"/>
  <c r="S425" i="34"/>
  <c r="T425" i="34"/>
  <c r="U425" i="34"/>
  <c r="V425" i="34"/>
  <c r="W425" i="34"/>
  <c r="X425" i="34"/>
  <c r="Y425" i="34"/>
  <c r="N426" i="34"/>
  <c r="O426" i="34"/>
  <c r="P426" i="34"/>
  <c r="Q426" i="34"/>
  <c r="R426" i="34"/>
  <c r="S426" i="34"/>
  <c r="T426" i="34"/>
  <c r="U426" i="34"/>
  <c r="V426" i="34"/>
  <c r="W426" i="34"/>
  <c r="X426" i="34"/>
  <c r="Y426" i="34"/>
  <c r="N427" i="34"/>
  <c r="O427" i="34"/>
  <c r="P427" i="34"/>
  <c r="Q427" i="34"/>
  <c r="R427" i="34"/>
  <c r="S427" i="34"/>
  <c r="T427" i="34"/>
  <c r="U427" i="34"/>
  <c r="V427" i="34"/>
  <c r="W427" i="34"/>
  <c r="X427" i="34"/>
  <c r="Y427" i="34"/>
  <c r="N428" i="34"/>
  <c r="O428" i="34"/>
  <c r="P428" i="34"/>
  <c r="Q428" i="34"/>
  <c r="R428" i="34"/>
  <c r="S428" i="34"/>
  <c r="T428" i="34"/>
  <c r="U428" i="34"/>
  <c r="V428" i="34"/>
  <c r="W428" i="34"/>
  <c r="X428" i="34"/>
  <c r="Y428" i="34"/>
  <c r="N429" i="34"/>
  <c r="O429" i="34"/>
  <c r="P429" i="34"/>
  <c r="Q429" i="34"/>
  <c r="R429" i="34"/>
  <c r="S429" i="34"/>
  <c r="T429" i="34"/>
  <c r="U429" i="34"/>
  <c r="V429" i="34"/>
  <c r="W429" i="34"/>
  <c r="X429" i="34"/>
  <c r="Y429" i="34"/>
  <c r="N430" i="34"/>
  <c r="O430" i="34"/>
  <c r="P430" i="34"/>
  <c r="Q430" i="34"/>
  <c r="R430" i="34"/>
  <c r="S430" i="34"/>
  <c r="T430" i="34"/>
  <c r="U430" i="34"/>
  <c r="V430" i="34"/>
  <c r="W430" i="34"/>
  <c r="X430" i="34"/>
  <c r="Y430" i="34"/>
  <c r="N431" i="34"/>
  <c r="O431" i="34"/>
  <c r="P431" i="34"/>
  <c r="Q431" i="34"/>
  <c r="R431" i="34"/>
  <c r="S431" i="34"/>
  <c r="T431" i="34"/>
  <c r="U431" i="34"/>
  <c r="V431" i="34"/>
  <c r="W431" i="34"/>
  <c r="X431" i="34"/>
  <c r="Y431" i="34"/>
  <c r="N432" i="34"/>
  <c r="O432" i="34"/>
  <c r="P432" i="34"/>
  <c r="Q432" i="34"/>
  <c r="R432" i="34"/>
  <c r="S432" i="34"/>
  <c r="T432" i="34"/>
  <c r="U432" i="34"/>
  <c r="V432" i="34"/>
  <c r="W432" i="34"/>
  <c r="X432" i="34"/>
  <c r="Y432" i="34"/>
  <c r="N433" i="34"/>
  <c r="O433" i="34"/>
  <c r="P433" i="34"/>
  <c r="Q433" i="34"/>
  <c r="R433" i="34"/>
  <c r="S433" i="34"/>
  <c r="T433" i="34"/>
  <c r="U433" i="34"/>
  <c r="V433" i="34"/>
  <c r="W433" i="34"/>
  <c r="X433" i="34"/>
  <c r="Y433" i="34"/>
  <c r="N434" i="34"/>
  <c r="O434" i="34"/>
  <c r="P434" i="34"/>
  <c r="Q434" i="34"/>
  <c r="R434" i="34"/>
  <c r="S434" i="34"/>
  <c r="T434" i="34"/>
  <c r="U434" i="34"/>
  <c r="V434" i="34"/>
  <c r="W434" i="34"/>
  <c r="X434" i="34"/>
  <c r="Y434" i="34"/>
  <c r="N435" i="34"/>
  <c r="O435" i="34"/>
  <c r="P435" i="34"/>
  <c r="Q435" i="34"/>
  <c r="R435" i="34"/>
  <c r="S435" i="34"/>
  <c r="T435" i="34"/>
  <c r="U435" i="34"/>
  <c r="V435" i="34"/>
  <c r="W435" i="34"/>
  <c r="X435" i="34"/>
  <c r="Y435" i="34"/>
  <c r="N436" i="34"/>
  <c r="O436" i="34"/>
  <c r="P436" i="34"/>
  <c r="Q436" i="34"/>
  <c r="R436" i="34"/>
  <c r="S436" i="34"/>
  <c r="T436" i="34"/>
  <c r="U436" i="34"/>
  <c r="V436" i="34"/>
  <c r="W436" i="34"/>
  <c r="X436" i="34"/>
  <c r="Y436" i="34"/>
  <c r="N437" i="34"/>
  <c r="O437" i="34"/>
  <c r="P437" i="34"/>
  <c r="Q437" i="34"/>
  <c r="R437" i="34"/>
  <c r="S437" i="34"/>
  <c r="T437" i="34"/>
  <c r="U437" i="34"/>
  <c r="V437" i="34"/>
  <c r="W437" i="34"/>
  <c r="X437" i="34"/>
  <c r="Y437" i="34"/>
  <c r="N438" i="34"/>
  <c r="O438" i="34"/>
  <c r="P438" i="34"/>
  <c r="Q438" i="34"/>
  <c r="R438" i="34"/>
  <c r="S438" i="34"/>
  <c r="T438" i="34"/>
  <c r="U438" i="34"/>
  <c r="V438" i="34"/>
  <c r="W438" i="34"/>
  <c r="X438" i="34"/>
  <c r="Y438" i="34"/>
  <c r="N439" i="34"/>
  <c r="O439" i="34"/>
  <c r="P439" i="34"/>
  <c r="Q439" i="34"/>
  <c r="R439" i="34"/>
  <c r="S439" i="34"/>
  <c r="T439" i="34"/>
  <c r="U439" i="34"/>
  <c r="V439" i="34"/>
  <c r="W439" i="34"/>
  <c r="X439" i="34"/>
  <c r="Y439" i="34"/>
  <c r="N440" i="34"/>
  <c r="O440" i="34"/>
  <c r="P440" i="34"/>
  <c r="Q440" i="34"/>
  <c r="R440" i="34"/>
  <c r="S440" i="34"/>
  <c r="T440" i="34"/>
  <c r="U440" i="34"/>
  <c r="V440" i="34"/>
  <c r="W440" i="34"/>
  <c r="X440" i="34"/>
  <c r="Y440" i="34"/>
  <c r="N441" i="34"/>
  <c r="O441" i="34"/>
  <c r="P441" i="34"/>
  <c r="Q441" i="34"/>
  <c r="R441" i="34"/>
  <c r="S441" i="34"/>
  <c r="T441" i="34"/>
  <c r="U441" i="34"/>
  <c r="V441" i="34"/>
  <c r="W441" i="34"/>
  <c r="X441" i="34"/>
  <c r="Y441" i="34"/>
  <c r="N442" i="34"/>
  <c r="O442" i="34"/>
  <c r="P442" i="34"/>
  <c r="Q442" i="34"/>
  <c r="R442" i="34"/>
  <c r="S442" i="34"/>
  <c r="T442" i="34"/>
  <c r="U442" i="34"/>
  <c r="V442" i="34"/>
  <c r="W442" i="34"/>
  <c r="X442" i="34"/>
  <c r="Y442" i="34"/>
  <c r="N443" i="34"/>
  <c r="O443" i="34"/>
  <c r="P443" i="34"/>
  <c r="Q443" i="34"/>
  <c r="R443" i="34"/>
  <c r="S443" i="34"/>
  <c r="T443" i="34"/>
  <c r="U443" i="34"/>
  <c r="V443" i="34"/>
  <c r="W443" i="34"/>
  <c r="X443" i="34"/>
  <c r="Y443" i="34"/>
  <c r="N444" i="34"/>
  <c r="O444" i="34"/>
  <c r="P444" i="34"/>
  <c r="Q444" i="34"/>
  <c r="R444" i="34"/>
  <c r="S444" i="34"/>
  <c r="T444" i="34"/>
  <c r="U444" i="34"/>
  <c r="V444" i="34"/>
  <c r="W444" i="34"/>
  <c r="X444" i="34"/>
  <c r="Y444" i="34"/>
  <c r="N445" i="34"/>
  <c r="O445" i="34"/>
  <c r="P445" i="34"/>
  <c r="Q445" i="34"/>
  <c r="R445" i="34"/>
  <c r="S445" i="34"/>
  <c r="T445" i="34"/>
  <c r="U445" i="34"/>
  <c r="V445" i="34"/>
  <c r="W445" i="34"/>
  <c r="X445" i="34"/>
  <c r="Y445" i="34"/>
  <c r="N446" i="34"/>
  <c r="O446" i="34"/>
  <c r="P446" i="34"/>
  <c r="Q446" i="34"/>
  <c r="R446" i="34"/>
  <c r="S446" i="34"/>
  <c r="T446" i="34"/>
  <c r="U446" i="34"/>
  <c r="V446" i="34"/>
  <c r="W446" i="34"/>
  <c r="X446" i="34"/>
  <c r="Y446" i="34"/>
  <c r="N447" i="34"/>
  <c r="O447" i="34"/>
  <c r="P447" i="34"/>
  <c r="Q447" i="34"/>
  <c r="R447" i="34"/>
  <c r="S447" i="34"/>
  <c r="T447" i="34"/>
  <c r="U447" i="34"/>
  <c r="V447" i="34"/>
  <c r="W447" i="34"/>
  <c r="X447" i="34"/>
  <c r="Y447" i="34"/>
  <c r="N448" i="34"/>
  <c r="O448" i="34"/>
  <c r="P448" i="34"/>
  <c r="Q448" i="34"/>
  <c r="R448" i="34"/>
  <c r="S448" i="34"/>
  <c r="T448" i="34"/>
  <c r="U448" i="34"/>
  <c r="V448" i="34"/>
  <c r="W448" i="34"/>
  <c r="X448" i="34"/>
  <c r="Y448" i="34"/>
  <c r="N449" i="34"/>
  <c r="O449" i="34"/>
  <c r="P449" i="34"/>
  <c r="Q449" i="34"/>
  <c r="R449" i="34"/>
  <c r="S449" i="34"/>
  <c r="T449" i="34"/>
  <c r="U449" i="34"/>
  <c r="V449" i="34"/>
  <c r="W449" i="34"/>
  <c r="X449" i="34"/>
  <c r="Y449" i="34"/>
  <c r="N450" i="34"/>
  <c r="O450" i="34"/>
  <c r="P450" i="34"/>
  <c r="Q450" i="34"/>
  <c r="R450" i="34"/>
  <c r="S450" i="34"/>
  <c r="T450" i="34"/>
  <c r="U450" i="34"/>
  <c r="V450" i="34"/>
  <c r="W450" i="34"/>
  <c r="X450" i="34"/>
  <c r="Y450" i="34"/>
  <c r="N451" i="34"/>
  <c r="O451" i="34"/>
  <c r="P451" i="34"/>
  <c r="Q451" i="34"/>
  <c r="R451" i="34"/>
  <c r="S451" i="34"/>
  <c r="T451" i="34"/>
  <c r="U451" i="34"/>
  <c r="V451" i="34"/>
  <c r="W451" i="34"/>
  <c r="X451" i="34"/>
  <c r="Y451" i="34"/>
  <c r="N452" i="34"/>
  <c r="O452" i="34"/>
  <c r="P452" i="34"/>
  <c r="Q452" i="34"/>
  <c r="R452" i="34"/>
  <c r="S452" i="34"/>
  <c r="T452" i="34"/>
  <c r="U452" i="34"/>
  <c r="V452" i="34"/>
  <c r="W452" i="34"/>
  <c r="X452" i="34"/>
  <c r="Y452" i="34"/>
  <c r="N453" i="34"/>
  <c r="O453" i="34"/>
  <c r="P453" i="34"/>
  <c r="Q453" i="34"/>
  <c r="R453" i="34"/>
  <c r="S453" i="34"/>
  <c r="T453" i="34"/>
  <c r="U453" i="34"/>
  <c r="V453" i="34"/>
  <c r="W453" i="34"/>
  <c r="X453" i="34"/>
  <c r="Y453" i="34"/>
  <c r="N454" i="34"/>
  <c r="O454" i="34"/>
  <c r="P454" i="34"/>
  <c r="Q454" i="34"/>
  <c r="R454" i="34"/>
  <c r="S454" i="34"/>
  <c r="T454" i="34"/>
  <c r="U454" i="34"/>
  <c r="V454" i="34"/>
  <c r="W454" i="34"/>
  <c r="X454" i="34"/>
  <c r="Y454" i="34"/>
  <c r="N455" i="34"/>
  <c r="O455" i="34"/>
  <c r="P455" i="34"/>
  <c r="Q455" i="34"/>
  <c r="R455" i="34"/>
  <c r="S455" i="34"/>
  <c r="T455" i="34"/>
  <c r="U455" i="34"/>
  <c r="V455" i="34"/>
  <c r="W455" i="34"/>
  <c r="X455" i="34"/>
  <c r="Y455" i="34"/>
  <c r="N456" i="34"/>
  <c r="O456" i="34"/>
  <c r="P456" i="34"/>
  <c r="Q456" i="34"/>
  <c r="R456" i="34"/>
  <c r="S456" i="34"/>
  <c r="T456" i="34"/>
  <c r="U456" i="34"/>
  <c r="V456" i="34"/>
  <c r="W456" i="34"/>
  <c r="X456" i="34"/>
  <c r="Y456" i="34"/>
  <c r="N457" i="34"/>
  <c r="O457" i="34"/>
  <c r="P457" i="34"/>
  <c r="Q457" i="34"/>
  <c r="R457" i="34"/>
  <c r="S457" i="34"/>
  <c r="T457" i="34"/>
  <c r="U457" i="34"/>
  <c r="V457" i="34"/>
  <c r="W457" i="34"/>
  <c r="X457" i="34"/>
  <c r="Y457" i="34"/>
  <c r="N458" i="34"/>
  <c r="O458" i="34"/>
  <c r="P458" i="34"/>
  <c r="Q458" i="34"/>
  <c r="R458" i="34"/>
  <c r="S458" i="34"/>
  <c r="T458" i="34"/>
  <c r="U458" i="34"/>
  <c r="V458" i="34"/>
  <c r="W458" i="34"/>
  <c r="X458" i="34"/>
  <c r="Y458" i="34"/>
  <c r="N459" i="34"/>
  <c r="O459" i="34"/>
  <c r="P459" i="34"/>
  <c r="Q459" i="34"/>
  <c r="R459" i="34"/>
  <c r="S459" i="34"/>
  <c r="T459" i="34"/>
  <c r="U459" i="34"/>
  <c r="V459" i="34"/>
  <c r="W459" i="34"/>
  <c r="X459" i="34"/>
  <c r="Y459" i="34"/>
  <c r="N460" i="34"/>
  <c r="O460" i="34"/>
  <c r="P460" i="34"/>
  <c r="Q460" i="34"/>
  <c r="R460" i="34"/>
  <c r="S460" i="34"/>
  <c r="T460" i="34"/>
  <c r="U460" i="34"/>
  <c r="V460" i="34"/>
  <c r="W460" i="34"/>
  <c r="X460" i="34"/>
  <c r="Y460" i="34"/>
  <c r="N461" i="34"/>
  <c r="O461" i="34"/>
  <c r="P461" i="34"/>
  <c r="Q461" i="34"/>
  <c r="R461" i="34"/>
  <c r="S461" i="34"/>
  <c r="T461" i="34"/>
  <c r="U461" i="34"/>
  <c r="V461" i="34"/>
  <c r="W461" i="34"/>
  <c r="X461" i="34"/>
  <c r="Y461" i="34"/>
  <c r="N462" i="34"/>
  <c r="O462" i="34"/>
  <c r="P462" i="34"/>
  <c r="Q462" i="34"/>
  <c r="R462" i="34"/>
  <c r="S462" i="34"/>
  <c r="T462" i="34"/>
  <c r="U462" i="34"/>
  <c r="V462" i="34"/>
  <c r="W462" i="34"/>
  <c r="X462" i="34"/>
  <c r="Y462" i="34"/>
  <c r="N463" i="34"/>
  <c r="O463" i="34"/>
  <c r="P463" i="34"/>
  <c r="Q463" i="34"/>
  <c r="R463" i="34"/>
  <c r="S463" i="34"/>
  <c r="T463" i="34"/>
  <c r="U463" i="34"/>
  <c r="V463" i="34"/>
  <c r="W463" i="34"/>
  <c r="X463" i="34"/>
  <c r="Y463" i="34"/>
  <c r="N464" i="34"/>
  <c r="O464" i="34"/>
  <c r="P464" i="34"/>
  <c r="Q464" i="34"/>
  <c r="R464" i="34"/>
  <c r="S464" i="34"/>
  <c r="T464" i="34"/>
  <c r="U464" i="34"/>
  <c r="V464" i="34"/>
  <c r="W464" i="34"/>
  <c r="X464" i="34"/>
  <c r="Y464" i="34"/>
  <c r="N465" i="34"/>
  <c r="O465" i="34"/>
  <c r="P465" i="34"/>
  <c r="Q465" i="34"/>
  <c r="R465" i="34"/>
  <c r="S465" i="34"/>
  <c r="T465" i="34"/>
  <c r="U465" i="34"/>
  <c r="V465" i="34"/>
  <c r="W465" i="34"/>
  <c r="X465" i="34"/>
  <c r="Y465" i="34"/>
  <c r="N466" i="34"/>
  <c r="O466" i="34"/>
  <c r="P466" i="34"/>
  <c r="Q466" i="34"/>
  <c r="R466" i="34"/>
  <c r="S466" i="34"/>
  <c r="T466" i="34"/>
  <c r="U466" i="34"/>
  <c r="V466" i="34"/>
  <c r="W466" i="34"/>
  <c r="X466" i="34"/>
  <c r="Y466" i="34"/>
  <c r="N467" i="34"/>
  <c r="O467" i="34"/>
  <c r="P467" i="34"/>
  <c r="Q467" i="34"/>
  <c r="R467" i="34"/>
  <c r="S467" i="34"/>
  <c r="T467" i="34"/>
  <c r="U467" i="34"/>
  <c r="V467" i="34"/>
  <c r="W467" i="34"/>
  <c r="X467" i="34"/>
  <c r="Y467" i="34"/>
  <c r="N468" i="34"/>
  <c r="O468" i="34"/>
  <c r="P468" i="34"/>
  <c r="Q468" i="34"/>
  <c r="R468" i="34"/>
  <c r="S468" i="34"/>
  <c r="T468" i="34"/>
  <c r="U468" i="34"/>
  <c r="V468" i="34"/>
  <c r="W468" i="34"/>
  <c r="X468" i="34"/>
  <c r="Y468" i="34"/>
  <c r="N469" i="34"/>
  <c r="O469" i="34"/>
  <c r="P469" i="34"/>
  <c r="Q469" i="34"/>
  <c r="R469" i="34"/>
  <c r="S469" i="34"/>
  <c r="T469" i="34"/>
  <c r="U469" i="34"/>
  <c r="V469" i="34"/>
  <c r="W469" i="34"/>
  <c r="X469" i="34"/>
  <c r="Y469" i="34"/>
  <c r="N470" i="34"/>
  <c r="O470" i="34"/>
  <c r="P470" i="34"/>
  <c r="Q470" i="34"/>
  <c r="R470" i="34"/>
  <c r="S470" i="34"/>
  <c r="T470" i="34"/>
  <c r="U470" i="34"/>
  <c r="V470" i="34"/>
  <c r="W470" i="34"/>
  <c r="X470" i="34"/>
  <c r="Y470" i="34"/>
  <c r="N471" i="34"/>
  <c r="O471" i="34"/>
  <c r="P471" i="34"/>
  <c r="Q471" i="34"/>
  <c r="R471" i="34"/>
  <c r="S471" i="34"/>
  <c r="T471" i="34"/>
  <c r="U471" i="34"/>
  <c r="V471" i="34"/>
  <c r="W471" i="34"/>
  <c r="X471" i="34"/>
  <c r="Y471" i="34"/>
  <c r="N472" i="34"/>
  <c r="O472" i="34"/>
  <c r="P472" i="34"/>
  <c r="Q472" i="34"/>
  <c r="R472" i="34"/>
  <c r="S472" i="34"/>
  <c r="T472" i="34"/>
  <c r="U472" i="34"/>
  <c r="V472" i="34"/>
  <c r="W472" i="34"/>
  <c r="X472" i="34"/>
  <c r="Y472" i="34"/>
  <c r="N473" i="34"/>
  <c r="O473" i="34"/>
  <c r="P473" i="34"/>
  <c r="Q473" i="34"/>
  <c r="R473" i="34"/>
  <c r="S473" i="34"/>
  <c r="T473" i="34"/>
  <c r="U473" i="34"/>
  <c r="V473" i="34"/>
  <c r="W473" i="34"/>
  <c r="X473" i="34"/>
  <c r="Y473" i="34"/>
  <c r="N474" i="34"/>
  <c r="O474" i="34"/>
  <c r="P474" i="34"/>
  <c r="Q474" i="34"/>
  <c r="R474" i="34"/>
  <c r="S474" i="34"/>
  <c r="T474" i="34"/>
  <c r="U474" i="34"/>
  <c r="V474" i="34"/>
  <c r="W474" i="34"/>
  <c r="X474" i="34"/>
  <c r="Y474" i="34"/>
  <c r="N475" i="34"/>
  <c r="O475" i="34"/>
  <c r="P475" i="34"/>
  <c r="Q475" i="34"/>
  <c r="R475" i="34"/>
  <c r="S475" i="34"/>
  <c r="T475" i="34"/>
  <c r="U475" i="34"/>
  <c r="V475" i="34"/>
  <c r="W475" i="34"/>
  <c r="X475" i="34"/>
  <c r="Y475" i="34"/>
  <c r="N476" i="34"/>
  <c r="O476" i="34"/>
  <c r="P476" i="34"/>
  <c r="Q476" i="34"/>
  <c r="R476" i="34"/>
  <c r="S476" i="34"/>
  <c r="T476" i="34"/>
  <c r="U476" i="34"/>
  <c r="V476" i="34"/>
  <c r="W476" i="34"/>
  <c r="X476" i="34"/>
  <c r="Y476" i="34"/>
  <c r="N477" i="34"/>
  <c r="O477" i="34"/>
  <c r="P477" i="34"/>
  <c r="Q477" i="34"/>
  <c r="R477" i="34"/>
  <c r="S477" i="34"/>
  <c r="T477" i="34"/>
  <c r="U477" i="34"/>
  <c r="V477" i="34"/>
  <c r="W477" i="34"/>
  <c r="X477" i="34"/>
  <c r="Y477" i="34"/>
  <c r="N478" i="34"/>
  <c r="O478" i="34"/>
  <c r="P478" i="34"/>
  <c r="Q478" i="34"/>
  <c r="R478" i="34"/>
  <c r="S478" i="34"/>
  <c r="T478" i="34"/>
  <c r="U478" i="34"/>
  <c r="V478" i="34"/>
  <c r="W478" i="34"/>
  <c r="X478" i="34"/>
  <c r="Y478" i="34"/>
  <c r="N479" i="34"/>
  <c r="O479" i="34"/>
  <c r="P479" i="34"/>
  <c r="Q479" i="34"/>
  <c r="R479" i="34"/>
  <c r="S479" i="34"/>
  <c r="T479" i="34"/>
  <c r="U479" i="34"/>
  <c r="V479" i="34"/>
  <c r="W479" i="34"/>
  <c r="X479" i="34"/>
  <c r="Y479" i="34"/>
  <c r="N480" i="34"/>
  <c r="O480" i="34"/>
  <c r="P480" i="34"/>
  <c r="Q480" i="34"/>
  <c r="R480" i="34"/>
  <c r="S480" i="34"/>
  <c r="T480" i="34"/>
  <c r="U480" i="34"/>
  <c r="V480" i="34"/>
  <c r="W480" i="34"/>
  <c r="X480" i="34"/>
  <c r="Y480" i="34"/>
  <c r="N481" i="34"/>
  <c r="O481" i="34"/>
  <c r="P481" i="34"/>
  <c r="Q481" i="34"/>
  <c r="R481" i="34"/>
  <c r="S481" i="34"/>
  <c r="T481" i="34"/>
  <c r="U481" i="34"/>
  <c r="V481" i="34"/>
  <c r="W481" i="34"/>
  <c r="X481" i="34"/>
  <c r="Y481" i="34"/>
  <c r="N482" i="34"/>
  <c r="O482" i="34"/>
  <c r="P482" i="34"/>
  <c r="Q482" i="34"/>
  <c r="R482" i="34"/>
  <c r="S482" i="34"/>
  <c r="T482" i="34"/>
  <c r="U482" i="34"/>
  <c r="V482" i="34"/>
  <c r="W482" i="34"/>
  <c r="X482" i="34"/>
  <c r="Y482" i="34"/>
  <c r="N483" i="34"/>
  <c r="O483" i="34"/>
  <c r="P483" i="34"/>
  <c r="Q483" i="34"/>
  <c r="R483" i="34"/>
  <c r="S483" i="34"/>
  <c r="T483" i="34"/>
  <c r="U483" i="34"/>
  <c r="V483" i="34"/>
  <c r="W483" i="34"/>
  <c r="X483" i="34"/>
  <c r="Y483" i="34"/>
  <c r="N484" i="34"/>
  <c r="O484" i="34"/>
  <c r="P484" i="34"/>
  <c r="Q484" i="34"/>
  <c r="R484" i="34"/>
  <c r="S484" i="34"/>
  <c r="T484" i="34"/>
  <c r="U484" i="34"/>
  <c r="V484" i="34"/>
  <c r="W484" i="34"/>
  <c r="X484" i="34"/>
  <c r="Y484" i="34"/>
  <c r="N485" i="34"/>
  <c r="O485" i="34"/>
  <c r="P485" i="34"/>
  <c r="Q485" i="34"/>
  <c r="R485" i="34"/>
  <c r="S485" i="34"/>
  <c r="T485" i="34"/>
  <c r="U485" i="34"/>
  <c r="V485" i="34"/>
  <c r="W485" i="34"/>
  <c r="X485" i="34"/>
  <c r="Y485" i="34"/>
  <c r="N486" i="34"/>
  <c r="O486" i="34"/>
  <c r="P486" i="34"/>
  <c r="Q486" i="34"/>
  <c r="R486" i="34"/>
  <c r="S486" i="34"/>
  <c r="T486" i="34"/>
  <c r="U486" i="34"/>
  <c r="V486" i="34"/>
  <c r="W486" i="34"/>
  <c r="X486" i="34"/>
  <c r="Y486" i="34"/>
  <c r="N487" i="34"/>
  <c r="O487" i="34"/>
  <c r="P487" i="34"/>
  <c r="Q487" i="34"/>
  <c r="R487" i="34"/>
  <c r="S487" i="34"/>
  <c r="T487" i="34"/>
  <c r="U487" i="34"/>
  <c r="V487" i="34"/>
  <c r="W487" i="34"/>
  <c r="X487" i="34"/>
  <c r="Y487" i="34"/>
  <c r="N488" i="34"/>
  <c r="O488" i="34"/>
  <c r="P488" i="34"/>
  <c r="Q488" i="34"/>
  <c r="R488" i="34"/>
  <c r="S488" i="34"/>
  <c r="T488" i="34"/>
  <c r="U488" i="34"/>
  <c r="V488" i="34"/>
  <c r="W488" i="34"/>
  <c r="X488" i="34"/>
  <c r="Y488" i="34"/>
  <c r="N489" i="34"/>
  <c r="O489" i="34"/>
  <c r="P489" i="34"/>
  <c r="Q489" i="34"/>
  <c r="R489" i="34"/>
  <c r="S489" i="34"/>
  <c r="T489" i="34"/>
  <c r="U489" i="34"/>
  <c r="V489" i="34"/>
  <c r="W489" i="34"/>
  <c r="X489" i="34"/>
  <c r="Y489" i="34"/>
  <c r="N490" i="34"/>
  <c r="O490" i="34"/>
  <c r="P490" i="34"/>
  <c r="Q490" i="34"/>
  <c r="R490" i="34"/>
  <c r="S490" i="34"/>
  <c r="T490" i="34"/>
  <c r="U490" i="34"/>
  <c r="V490" i="34"/>
  <c r="W490" i="34"/>
  <c r="X490" i="34"/>
  <c r="Y490" i="34"/>
  <c r="N491" i="34"/>
  <c r="O491" i="34"/>
  <c r="P491" i="34"/>
  <c r="Q491" i="34"/>
  <c r="R491" i="34"/>
  <c r="S491" i="34"/>
  <c r="T491" i="34"/>
  <c r="U491" i="34"/>
  <c r="V491" i="34"/>
  <c r="W491" i="34"/>
  <c r="X491" i="34"/>
  <c r="Y491" i="34"/>
  <c r="N492" i="34"/>
  <c r="O492" i="34"/>
  <c r="P492" i="34"/>
  <c r="Q492" i="34"/>
  <c r="R492" i="34"/>
  <c r="S492" i="34"/>
  <c r="T492" i="34"/>
  <c r="U492" i="34"/>
  <c r="V492" i="34"/>
  <c r="W492" i="34"/>
  <c r="X492" i="34"/>
  <c r="Y492" i="34"/>
  <c r="N493" i="34"/>
  <c r="O493" i="34"/>
  <c r="P493" i="34"/>
  <c r="Q493" i="34"/>
  <c r="R493" i="34"/>
  <c r="S493" i="34"/>
  <c r="T493" i="34"/>
  <c r="U493" i="34"/>
  <c r="V493" i="34"/>
  <c r="W493" i="34"/>
  <c r="X493" i="34"/>
  <c r="Y493" i="34"/>
  <c r="N494" i="34"/>
  <c r="O494" i="34"/>
  <c r="P494" i="34"/>
  <c r="Q494" i="34"/>
  <c r="R494" i="34"/>
  <c r="S494" i="34"/>
  <c r="T494" i="34"/>
  <c r="U494" i="34"/>
  <c r="V494" i="34"/>
  <c r="W494" i="34"/>
  <c r="X494" i="34"/>
  <c r="Y494" i="34"/>
  <c r="N495" i="34"/>
  <c r="O495" i="34"/>
  <c r="P495" i="34"/>
  <c r="Q495" i="34"/>
  <c r="R495" i="34"/>
  <c r="S495" i="34"/>
  <c r="T495" i="34"/>
  <c r="U495" i="34"/>
  <c r="V495" i="34"/>
  <c r="W495" i="34"/>
  <c r="X495" i="34"/>
  <c r="Y495" i="34"/>
  <c r="N496" i="34"/>
  <c r="O496" i="34"/>
  <c r="P496" i="34"/>
  <c r="Q496" i="34"/>
  <c r="R496" i="34"/>
  <c r="S496" i="34"/>
  <c r="T496" i="34"/>
  <c r="U496" i="34"/>
  <c r="V496" i="34"/>
  <c r="W496" i="34"/>
  <c r="X496" i="34"/>
  <c r="Y496" i="34"/>
  <c r="N497" i="34"/>
  <c r="O497" i="34"/>
  <c r="P497" i="34"/>
  <c r="Q497" i="34"/>
  <c r="R497" i="34"/>
  <c r="S497" i="34"/>
  <c r="T497" i="34"/>
  <c r="U497" i="34"/>
  <c r="V497" i="34"/>
  <c r="W497" i="34"/>
  <c r="X497" i="34"/>
  <c r="Y497" i="34"/>
  <c r="N498" i="34"/>
  <c r="O498" i="34"/>
  <c r="P498" i="34"/>
  <c r="Q498" i="34"/>
  <c r="R498" i="34"/>
  <c r="S498" i="34"/>
  <c r="T498" i="34"/>
  <c r="U498" i="34"/>
  <c r="V498" i="34"/>
  <c r="W498" i="34"/>
  <c r="X498" i="34"/>
  <c r="Y498" i="34"/>
  <c r="N499" i="34"/>
  <c r="O499" i="34"/>
  <c r="P499" i="34"/>
  <c r="Q499" i="34"/>
  <c r="R499" i="34"/>
  <c r="S499" i="34"/>
  <c r="T499" i="34"/>
  <c r="U499" i="34"/>
  <c r="V499" i="34"/>
  <c r="W499" i="34"/>
  <c r="X499" i="34"/>
  <c r="Y499" i="34"/>
  <c r="N500" i="34"/>
  <c r="O500" i="34"/>
  <c r="P500" i="34"/>
  <c r="Q500" i="34"/>
  <c r="R500" i="34"/>
  <c r="S500" i="34"/>
  <c r="T500" i="34"/>
  <c r="U500" i="34"/>
  <c r="V500" i="34"/>
  <c r="W500" i="34"/>
  <c r="X500" i="34"/>
  <c r="Y500" i="34"/>
  <c r="N501" i="34"/>
  <c r="O501" i="34"/>
  <c r="P501" i="34"/>
  <c r="Q501" i="34"/>
  <c r="R501" i="34"/>
  <c r="S501" i="34"/>
  <c r="T501" i="34"/>
  <c r="U501" i="34"/>
  <c r="V501" i="34"/>
  <c r="W501" i="34"/>
  <c r="X501" i="34"/>
  <c r="Y501" i="34"/>
  <c r="N502" i="34"/>
  <c r="O502" i="34"/>
  <c r="P502" i="34"/>
  <c r="Q502" i="34"/>
  <c r="R502" i="34"/>
  <c r="S502" i="34"/>
  <c r="T502" i="34"/>
  <c r="U502" i="34"/>
  <c r="V502" i="34"/>
  <c r="W502" i="34"/>
  <c r="X502" i="34"/>
  <c r="Y502" i="34"/>
  <c r="N503" i="34"/>
  <c r="O503" i="34"/>
  <c r="P503" i="34"/>
  <c r="Q503" i="34"/>
  <c r="R503" i="34"/>
  <c r="S503" i="34"/>
  <c r="T503" i="34"/>
  <c r="U503" i="34"/>
  <c r="V503" i="34"/>
  <c r="W503" i="34"/>
  <c r="X503" i="34"/>
  <c r="Y503" i="34"/>
  <c r="N504" i="34"/>
  <c r="O504" i="34"/>
  <c r="P504" i="34"/>
  <c r="Q504" i="34"/>
  <c r="R504" i="34"/>
  <c r="S504" i="34"/>
  <c r="T504" i="34"/>
  <c r="U504" i="34"/>
  <c r="V504" i="34"/>
  <c r="W504" i="34"/>
  <c r="X504" i="34"/>
  <c r="Y504" i="34"/>
  <c r="N505" i="34"/>
  <c r="O505" i="34"/>
  <c r="P505" i="34"/>
  <c r="Q505" i="34"/>
  <c r="R505" i="34"/>
  <c r="S505" i="34"/>
  <c r="T505" i="34"/>
  <c r="U505" i="34"/>
  <c r="V505" i="34"/>
  <c r="W505" i="34"/>
  <c r="X505" i="34"/>
  <c r="Y505" i="34"/>
  <c r="N506" i="34"/>
  <c r="O506" i="34"/>
  <c r="P506" i="34"/>
  <c r="Q506" i="34"/>
  <c r="R506" i="34"/>
  <c r="S506" i="34"/>
  <c r="T506" i="34"/>
  <c r="U506" i="34"/>
  <c r="V506" i="34"/>
  <c r="W506" i="34"/>
  <c r="X506" i="34"/>
  <c r="Y506" i="34"/>
  <c r="N507" i="34"/>
  <c r="O507" i="34"/>
  <c r="P507" i="34"/>
  <c r="Q507" i="34"/>
  <c r="R507" i="34"/>
  <c r="S507" i="34"/>
  <c r="T507" i="34"/>
  <c r="U507" i="34"/>
  <c r="V507" i="34"/>
  <c r="W507" i="34"/>
  <c r="X507" i="34"/>
  <c r="Y507" i="34"/>
  <c r="N508" i="34"/>
  <c r="O508" i="34"/>
  <c r="P508" i="34"/>
  <c r="Q508" i="34"/>
  <c r="R508" i="34"/>
  <c r="S508" i="34"/>
  <c r="T508" i="34"/>
  <c r="U508" i="34"/>
  <c r="V508" i="34"/>
  <c r="W508" i="34"/>
  <c r="X508" i="34"/>
  <c r="Y508" i="34"/>
  <c r="N509" i="34"/>
  <c r="O509" i="34"/>
  <c r="P509" i="34"/>
  <c r="Q509" i="34"/>
  <c r="R509" i="34"/>
  <c r="S509" i="34"/>
  <c r="T509" i="34"/>
  <c r="U509" i="34"/>
  <c r="V509" i="34"/>
  <c r="W509" i="34"/>
  <c r="X509" i="34"/>
  <c r="Y509" i="34"/>
  <c r="N510" i="34"/>
  <c r="O510" i="34"/>
  <c r="P510" i="34"/>
  <c r="Q510" i="34"/>
  <c r="R510" i="34"/>
  <c r="S510" i="34"/>
  <c r="T510" i="34"/>
  <c r="U510" i="34"/>
  <c r="V510" i="34"/>
  <c r="W510" i="34"/>
  <c r="X510" i="34"/>
  <c r="Y510" i="34"/>
  <c r="N511" i="34"/>
  <c r="O511" i="34"/>
  <c r="P511" i="34"/>
  <c r="Q511" i="34"/>
  <c r="R511" i="34"/>
  <c r="S511" i="34"/>
  <c r="T511" i="34"/>
  <c r="U511" i="34"/>
  <c r="V511" i="34"/>
  <c r="W511" i="34"/>
  <c r="X511" i="34"/>
  <c r="Y511" i="34"/>
  <c r="N512" i="34"/>
  <c r="O512" i="34"/>
  <c r="P512" i="34"/>
  <c r="Q512" i="34"/>
  <c r="R512" i="34"/>
  <c r="S512" i="34"/>
  <c r="T512" i="34"/>
  <c r="U512" i="34"/>
  <c r="V512" i="34"/>
  <c r="W512" i="34"/>
  <c r="X512" i="34"/>
  <c r="Y512" i="34"/>
  <c r="N513" i="34"/>
  <c r="O513" i="34"/>
  <c r="P513" i="34"/>
  <c r="Q513" i="34"/>
  <c r="R513" i="34"/>
  <c r="S513" i="34"/>
  <c r="T513" i="34"/>
  <c r="U513" i="34"/>
  <c r="V513" i="34"/>
  <c r="W513" i="34"/>
  <c r="X513" i="34"/>
  <c r="Y513" i="34"/>
  <c r="N514" i="34"/>
  <c r="O514" i="34"/>
  <c r="P514" i="34"/>
  <c r="Q514" i="34"/>
  <c r="R514" i="34"/>
  <c r="S514" i="34"/>
  <c r="T514" i="34"/>
  <c r="U514" i="34"/>
  <c r="V514" i="34"/>
  <c r="W514" i="34"/>
  <c r="X514" i="34"/>
  <c r="Y514" i="34"/>
  <c r="N515" i="34"/>
  <c r="O515" i="34"/>
  <c r="P515" i="34"/>
  <c r="Q515" i="34"/>
  <c r="R515" i="34"/>
  <c r="S515" i="34"/>
  <c r="T515" i="34"/>
  <c r="U515" i="34"/>
  <c r="V515" i="34"/>
  <c r="W515" i="34"/>
  <c r="X515" i="34"/>
  <c r="Y515" i="34"/>
  <c r="N516" i="34"/>
  <c r="O516" i="34"/>
  <c r="P516" i="34"/>
  <c r="Q516" i="34"/>
  <c r="R516" i="34"/>
  <c r="S516" i="34"/>
  <c r="T516" i="34"/>
  <c r="U516" i="34"/>
  <c r="V516" i="34"/>
  <c r="W516" i="34"/>
  <c r="X516" i="34"/>
  <c r="Y516" i="34"/>
  <c r="N517" i="34"/>
  <c r="O517" i="34"/>
  <c r="P517" i="34"/>
  <c r="Q517" i="34"/>
  <c r="R517" i="34"/>
  <c r="S517" i="34"/>
  <c r="T517" i="34"/>
  <c r="U517" i="34"/>
  <c r="V517" i="34"/>
  <c r="W517" i="34"/>
  <c r="X517" i="34"/>
  <c r="Y517" i="34"/>
  <c r="N518" i="34"/>
  <c r="O518" i="34"/>
  <c r="P518" i="34"/>
  <c r="Q518" i="34"/>
  <c r="R518" i="34"/>
  <c r="S518" i="34"/>
  <c r="T518" i="34"/>
  <c r="U518" i="34"/>
  <c r="V518" i="34"/>
  <c r="W518" i="34"/>
  <c r="X518" i="34"/>
  <c r="Y518" i="34"/>
  <c r="N519" i="34"/>
  <c r="O519" i="34"/>
  <c r="P519" i="34"/>
  <c r="Q519" i="34"/>
  <c r="R519" i="34"/>
  <c r="S519" i="34"/>
  <c r="T519" i="34"/>
  <c r="U519" i="34"/>
  <c r="V519" i="34"/>
  <c r="W519" i="34"/>
  <c r="X519" i="34"/>
  <c r="Y519" i="34"/>
  <c r="N520" i="34"/>
  <c r="O520" i="34"/>
  <c r="P520" i="34"/>
  <c r="Q520" i="34"/>
  <c r="R520" i="34"/>
  <c r="S520" i="34"/>
  <c r="T520" i="34"/>
  <c r="U520" i="34"/>
  <c r="V520" i="34"/>
  <c r="W520" i="34"/>
  <c r="X520" i="34"/>
  <c r="Y520" i="34"/>
  <c r="N521" i="34"/>
  <c r="O521" i="34"/>
  <c r="P521" i="34"/>
  <c r="Q521" i="34"/>
  <c r="R521" i="34"/>
  <c r="S521" i="34"/>
  <c r="T521" i="34"/>
  <c r="U521" i="34"/>
  <c r="V521" i="34"/>
  <c r="W521" i="34"/>
  <c r="X521" i="34"/>
  <c r="Y521" i="34"/>
  <c r="N522" i="34"/>
  <c r="O522" i="34"/>
  <c r="P522" i="34"/>
  <c r="Q522" i="34"/>
  <c r="R522" i="34"/>
  <c r="S522" i="34"/>
  <c r="T522" i="34"/>
  <c r="U522" i="34"/>
  <c r="V522" i="34"/>
  <c r="W522" i="34"/>
  <c r="X522" i="34"/>
  <c r="Y522" i="34"/>
  <c r="N523" i="34"/>
  <c r="O523" i="34"/>
  <c r="P523" i="34"/>
  <c r="Q523" i="34"/>
  <c r="R523" i="34"/>
  <c r="S523" i="34"/>
  <c r="T523" i="34"/>
  <c r="U523" i="34"/>
  <c r="V523" i="34"/>
  <c r="W523" i="34"/>
  <c r="X523" i="34"/>
  <c r="Y523" i="34"/>
  <c r="N524" i="34"/>
  <c r="O524" i="34"/>
  <c r="P524" i="34"/>
  <c r="Q524" i="34"/>
  <c r="R524" i="34"/>
  <c r="S524" i="34"/>
  <c r="T524" i="34"/>
  <c r="U524" i="34"/>
  <c r="V524" i="34"/>
  <c r="W524" i="34"/>
  <c r="X524" i="34"/>
  <c r="Y524" i="34"/>
  <c r="N525" i="34"/>
  <c r="O525" i="34"/>
  <c r="P525" i="34"/>
  <c r="Q525" i="34"/>
  <c r="R525" i="34"/>
  <c r="S525" i="34"/>
  <c r="T525" i="34"/>
  <c r="U525" i="34"/>
  <c r="V525" i="34"/>
  <c r="W525" i="34"/>
  <c r="X525" i="34"/>
  <c r="Y525" i="34"/>
  <c r="N526" i="34"/>
  <c r="O526" i="34"/>
  <c r="P526" i="34"/>
  <c r="Q526" i="34"/>
  <c r="R526" i="34"/>
  <c r="S526" i="34"/>
  <c r="T526" i="34"/>
  <c r="U526" i="34"/>
  <c r="V526" i="34"/>
  <c r="W526" i="34"/>
  <c r="X526" i="34"/>
  <c r="Y526" i="34"/>
  <c r="N527" i="34"/>
  <c r="O527" i="34"/>
  <c r="P527" i="34"/>
  <c r="Q527" i="34"/>
  <c r="R527" i="34"/>
  <c r="S527" i="34"/>
  <c r="T527" i="34"/>
  <c r="U527" i="34"/>
  <c r="V527" i="34"/>
  <c r="W527" i="34"/>
  <c r="X527" i="34"/>
  <c r="Y527" i="34"/>
  <c r="N528" i="34"/>
  <c r="O528" i="34"/>
  <c r="P528" i="34"/>
  <c r="Q528" i="34"/>
  <c r="R528" i="34"/>
  <c r="S528" i="34"/>
  <c r="T528" i="34"/>
  <c r="U528" i="34"/>
  <c r="V528" i="34"/>
  <c r="W528" i="34"/>
  <c r="X528" i="34"/>
  <c r="Y528" i="34"/>
  <c r="N529" i="34"/>
  <c r="O529" i="34"/>
  <c r="P529" i="34"/>
  <c r="Q529" i="34"/>
  <c r="R529" i="34"/>
  <c r="S529" i="34"/>
  <c r="T529" i="34"/>
  <c r="U529" i="34"/>
  <c r="V529" i="34"/>
  <c r="W529" i="34"/>
  <c r="X529" i="34"/>
  <c r="Y529" i="34"/>
  <c r="N530" i="34"/>
  <c r="O530" i="34"/>
  <c r="P530" i="34"/>
  <c r="Q530" i="34"/>
  <c r="R530" i="34"/>
  <c r="S530" i="34"/>
  <c r="T530" i="34"/>
  <c r="U530" i="34"/>
  <c r="V530" i="34"/>
  <c r="W530" i="34"/>
  <c r="X530" i="34"/>
  <c r="Y530" i="34"/>
  <c r="N531" i="34"/>
  <c r="O531" i="34"/>
  <c r="P531" i="34"/>
  <c r="Q531" i="34"/>
  <c r="R531" i="34"/>
  <c r="S531" i="34"/>
  <c r="T531" i="34"/>
  <c r="U531" i="34"/>
  <c r="V531" i="34"/>
  <c r="W531" i="34"/>
  <c r="X531" i="34"/>
  <c r="Y531" i="34"/>
  <c r="N532" i="34"/>
  <c r="O532" i="34"/>
  <c r="P532" i="34"/>
  <c r="Q532" i="34"/>
  <c r="R532" i="34"/>
  <c r="S532" i="34"/>
  <c r="T532" i="34"/>
  <c r="U532" i="34"/>
  <c r="V532" i="34"/>
  <c r="W532" i="34"/>
  <c r="X532" i="34"/>
  <c r="Y532" i="34"/>
  <c r="N533" i="34"/>
  <c r="O533" i="34"/>
  <c r="P533" i="34"/>
  <c r="Q533" i="34"/>
  <c r="R533" i="34"/>
  <c r="S533" i="34"/>
  <c r="T533" i="34"/>
  <c r="U533" i="34"/>
  <c r="V533" i="34"/>
  <c r="W533" i="34"/>
  <c r="X533" i="34"/>
  <c r="Y533" i="34"/>
  <c r="N534" i="34"/>
  <c r="O534" i="34"/>
  <c r="P534" i="34"/>
  <c r="Q534" i="34"/>
  <c r="R534" i="34"/>
  <c r="S534" i="34"/>
  <c r="T534" i="34"/>
  <c r="U534" i="34"/>
  <c r="V534" i="34"/>
  <c r="W534" i="34"/>
  <c r="X534" i="34"/>
  <c r="Y534" i="34"/>
  <c r="N535" i="34"/>
  <c r="O535" i="34"/>
  <c r="P535" i="34"/>
  <c r="Q535" i="34"/>
  <c r="R535" i="34"/>
  <c r="S535" i="34"/>
  <c r="T535" i="34"/>
  <c r="U535" i="34"/>
  <c r="V535" i="34"/>
  <c r="W535" i="34"/>
  <c r="X535" i="34"/>
  <c r="Y535" i="34"/>
  <c r="N536" i="34"/>
  <c r="O536" i="34"/>
  <c r="P536" i="34"/>
  <c r="Q536" i="34"/>
  <c r="R536" i="34"/>
  <c r="S536" i="34"/>
  <c r="T536" i="34"/>
  <c r="U536" i="34"/>
  <c r="V536" i="34"/>
  <c r="W536" i="34"/>
  <c r="X536" i="34"/>
  <c r="Y536" i="34"/>
  <c r="N537" i="34"/>
  <c r="O537" i="34"/>
  <c r="P537" i="34"/>
  <c r="Q537" i="34"/>
  <c r="R537" i="34"/>
  <c r="S537" i="34"/>
  <c r="T537" i="34"/>
  <c r="U537" i="34"/>
  <c r="V537" i="34"/>
  <c r="W537" i="34"/>
  <c r="X537" i="34"/>
  <c r="Y537" i="34"/>
  <c r="N538" i="34"/>
  <c r="O538" i="34"/>
  <c r="P538" i="34"/>
  <c r="Q538" i="34"/>
  <c r="R538" i="34"/>
  <c r="S538" i="34"/>
  <c r="T538" i="34"/>
  <c r="U538" i="34"/>
  <c r="V538" i="34"/>
  <c r="W538" i="34"/>
  <c r="X538" i="34"/>
  <c r="Y538" i="34"/>
  <c r="N539" i="34"/>
  <c r="O539" i="34"/>
  <c r="P539" i="34"/>
  <c r="Q539" i="34"/>
  <c r="R539" i="34"/>
  <c r="S539" i="34"/>
  <c r="T539" i="34"/>
  <c r="U539" i="34"/>
  <c r="V539" i="34"/>
  <c r="W539" i="34"/>
  <c r="X539" i="34"/>
  <c r="Y539" i="34"/>
  <c r="N540" i="34"/>
  <c r="O540" i="34"/>
  <c r="P540" i="34"/>
  <c r="Q540" i="34"/>
  <c r="R540" i="34"/>
  <c r="S540" i="34"/>
  <c r="T540" i="34"/>
  <c r="U540" i="34"/>
  <c r="V540" i="34"/>
  <c r="W540" i="34"/>
  <c r="X540" i="34"/>
  <c r="Y540" i="34"/>
  <c r="N541" i="34"/>
  <c r="O541" i="34"/>
  <c r="P541" i="34"/>
  <c r="Q541" i="34"/>
  <c r="R541" i="34"/>
  <c r="S541" i="34"/>
  <c r="T541" i="34"/>
  <c r="U541" i="34"/>
  <c r="V541" i="34"/>
  <c r="W541" i="34"/>
  <c r="X541" i="34"/>
  <c r="Y541" i="34"/>
  <c r="N542" i="34"/>
  <c r="O542" i="34"/>
  <c r="P542" i="34"/>
  <c r="Q542" i="34"/>
  <c r="R542" i="34"/>
  <c r="S542" i="34"/>
  <c r="T542" i="34"/>
  <c r="U542" i="34"/>
  <c r="V542" i="34"/>
  <c r="W542" i="34"/>
  <c r="X542" i="34"/>
  <c r="Y542" i="34"/>
  <c r="N543" i="34"/>
  <c r="O543" i="34"/>
  <c r="P543" i="34"/>
  <c r="Q543" i="34"/>
  <c r="R543" i="34"/>
  <c r="S543" i="34"/>
  <c r="T543" i="34"/>
  <c r="U543" i="34"/>
  <c r="V543" i="34"/>
  <c r="W543" i="34"/>
  <c r="X543" i="34"/>
  <c r="Y543" i="34"/>
  <c r="N544" i="34"/>
  <c r="O544" i="34"/>
  <c r="P544" i="34"/>
  <c r="Q544" i="34"/>
  <c r="R544" i="34"/>
  <c r="S544" i="34"/>
  <c r="T544" i="34"/>
  <c r="U544" i="34"/>
  <c r="V544" i="34"/>
  <c r="W544" i="34"/>
  <c r="X544" i="34"/>
  <c r="Y544" i="34"/>
  <c r="N545" i="34"/>
  <c r="O545" i="34"/>
  <c r="P545" i="34"/>
  <c r="Q545" i="34"/>
  <c r="R545" i="34"/>
  <c r="S545" i="34"/>
  <c r="T545" i="34"/>
  <c r="U545" i="34"/>
  <c r="V545" i="34"/>
  <c r="W545" i="34"/>
  <c r="X545" i="34"/>
  <c r="Y545" i="34"/>
  <c r="N546" i="34"/>
  <c r="O546" i="34"/>
  <c r="P546" i="34"/>
  <c r="Q546" i="34"/>
  <c r="R546" i="34"/>
  <c r="S546" i="34"/>
  <c r="T546" i="34"/>
  <c r="U546" i="34"/>
  <c r="V546" i="34"/>
  <c r="W546" i="34"/>
  <c r="X546" i="34"/>
  <c r="Y546" i="34"/>
  <c r="N547" i="34"/>
  <c r="O547" i="34"/>
  <c r="P547" i="34"/>
  <c r="Q547" i="34"/>
  <c r="R547" i="34"/>
  <c r="S547" i="34"/>
  <c r="T547" i="34"/>
  <c r="U547" i="34"/>
  <c r="V547" i="34"/>
  <c r="W547" i="34"/>
  <c r="X547" i="34"/>
  <c r="Y547" i="34"/>
  <c r="N548" i="34"/>
  <c r="O548" i="34"/>
  <c r="P548" i="34"/>
  <c r="Q548" i="34"/>
  <c r="R548" i="34"/>
  <c r="S548" i="34"/>
  <c r="T548" i="34"/>
  <c r="U548" i="34"/>
  <c r="V548" i="34"/>
  <c r="W548" i="34"/>
  <c r="X548" i="34"/>
  <c r="Y548" i="34"/>
  <c r="N549" i="34"/>
  <c r="O549" i="34"/>
  <c r="P549" i="34"/>
  <c r="Q549" i="34"/>
  <c r="R549" i="34"/>
  <c r="S549" i="34"/>
  <c r="T549" i="34"/>
  <c r="U549" i="34"/>
  <c r="V549" i="34"/>
  <c r="W549" i="34"/>
  <c r="X549" i="34"/>
  <c r="Y549" i="34"/>
  <c r="N550" i="34"/>
  <c r="O550" i="34"/>
  <c r="P550" i="34"/>
  <c r="Q550" i="34"/>
  <c r="R550" i="34"/>
  <c r="S550" i="34"/>
  <c r="T550" i="34"/>
  <c r="U550" i="34"/>
  <c r="V550" i="34"/>
  <c r="W550" i="34"/>
  <c r="X550" i="34"/>
  <c r="Y550" i="34"/>
  <c r="N551" i="34"/>
  <c r="O551" i="34"/>
  <c r="P551" i="34"/>
  <c r="Q551" i="34"/>
  <c r="R551" i="34"/>
  <c r="S551" i="34"/>
  <c r="T551" i="34"/>
  <c r="U551" i="34"/>
  <c r="V551" i="34"/>
  <c r="W551" i="34"/>
  <c r="X551" i="34"/>
  <c r="Y551" i="34"/>
  <c r="N552" i="34"/>
  <c r="O552" i="34"/>
  <c r="P552" i="34"/>
  <c r="Q552" i="34"/>
  <c r="R552" i="34"/>
  <c r="S552" i="34"/>
  <c r="T552" i="34"/>
  <c r="U552" i="34"/>
  <c r="V552" i="34"/>
  <c r="W552" i="34"/>
  <c r="X552" i="34"/>
  <c r="Y552" i="34"/>
  <c r="N553" i="34"/>
  <c r="O553" i="34"/>
  <c r="P553" i="34"/>
  <c r="Q553" i="34"/>
  <c r="R553" i="34"/>
  <c r="S553" i="34"/>
  <c r="T553" i="34"/>
  <c r="U553" i="34"/>
  <c r="V553" i="34"/>
  <c r="W553" i="34"/>
  <c r="X553" i="34"/>
  <c r="Y553" i="34"/>
  <c r="N554" i="34"/>
  <c r="O554" i="34"/>
  <c r="P554" i="34"/>
  <c r="Q554" i="34"/>
  <c r="R554" i="34"/>
  <c r="S554" i="34"/>
  <c r="T554" i="34"/>
  <c r="U554" i="34"/>
  <c r="V554" i="34"/>
  <c r="W554" i="34"/>
  <c r="X554" i="34"/>
  <c r="Y554" i="34"/>
  <c r="N555" i="34"/>
  <c r="O555" i="34"/>
  <c r="P555" i="34"/>
  <c r="Q555" i="34"/>
  <c r="R555" i="34"/>
  <c r="S555" i="34"/>
  <c r="T555" i="34"/>
  <c r="U555" i="34"/>
  <c r="V555" i="34"/>
  <c r="W555" i="34"/>
  <c r="X555" i="34"/>
  <c r="Y555" i="34"/>
  <c r="N556" i="34"/>
  <c r="O556" i="34"/>
  <c r="P556" i="34"/>
  <c r="Q556" i="34"/>
  <c r="R556" i="34"/>
  <c r="S556" i="34"/>
  <c r="T556" i="34"/>
  <c r="U556" i="34"/>
  <c r="V556" i="34"/>
  <c r="W556" i="34"/>
  <c r="X556" i="34"/>
  <c r="Y556" i="34"/>
  <c r="N557" i="34"/>
  <c r="O557" i="34"/>
  <c r="P557" i="34"/>
  <c r="Q557" i="34"/>
  <c r="R557" i="34"/>
  <c r="S557" i="34"/>
  <c r="T557" i="34"/>
  <c r="U557" i="34"/>
  <c r="V557" i="34"/>
  <c r="W557" i="34"/>
  <c r="X557" i="34"/>
  <c r="Y557" i="34"/>
  <c r="N558" i="34"/>
  <c r="O558" i="34"/>
  <c r="P558" i="34"/>
  <c r="Q558" i="34"/>
  <c r="R558" i="34"/>
  <c r="S558" i="34"/>
  <c r="T558" i="34"/>
  <c r="U558" i="34"/>
  <c r="V558" i="34"/>
  <c r="W558" i="34"/>
  <c r="X558" i="34"/>
  <c r="Y558" i="34"/>
  <c r="N559" i="34"/>
  <c r="O559" i="34"/>
  <c r="P559" i="34"/>
  <c r="Q559" i="34"/>
  <c r="R559" i="34"/>
  <c r="S559" i="34"/>
  <c r="T559" i="34"/>
  <c r="U559" i="34"/>
  <c r="V559" i="34"/>
  <c r="W559" i="34"/>
  <c r="X559" i="34"/>
  <c r="Y559" i="34"/>
  <c r="N560" i="34"/>
  <c r="O560" i="34"/>
  <c r="P560" i="34"/>
  <c r="Q560" i="34"/>
  <c r="R560" i="34"/>
  <c r="S560" i="34"/>
  <c r="T560" i="34"/>
  <c r="U560" i="34"/>
  <c r="V560" i="34"/>
  <c r="W560" i="34"/>
  <c r="X560" i="34"/>
  <c r="Y560" i="34"/>
  <c r="N561" i="34"/>
  <c r="O561" i="34"/>
  <c r="P561" i="34"/>
  <c r="Q561" i="34"/>
  <c r="R561" i="34"/>
  <c r="S561" i="34"/>
  <c r="T561" i="34"/>
  <c r="U561" i="34"/>
  <c r="V561" i="34"/>
  <c r="W561" i="34"/>
  <c r="X561" i="34"/>
  <c r="Y561" i="34"/>
  <c r="N562" i="34"/>
  <c r="O562" i="34"/>
  <c r="P562" i="34"/>
  <c r="Q562" i="34"/>
  <c r="R562" i="34"/>
  <c r="S562" i="34"/>
  <c r="T562" i="34"/>
  <c r="U562" i="34"/>
  <c r="V562" i="34"/>
  <c r="W562" i="34"/>
  <c r="X562" i="34"/>
  <c r="Y562" i="34"/>
  <c r="N563" i="34"/>
  <c r="O563" i="34"/>
  <c r="P563" i="34"/>
  <c r="Q563" i="34"/>
  <c r="R563" i="34"/>
  <c r="S563" i="34"/>
  <c r="T563" i="34"/>
  <c r="U563" i="34"/>
  <c r="V563" i="34"/>
  <c r="W563" i="34"/>
  <c r="X563" i="34"/>
  <c r="Y563" i="34"/>
  <c r="N564" i="34"/>
  <c r="O564" i="34"/>
  <c r="P564" i="34"/>
  <c r="Q564" i="34"/>
  <c r="R564" i="34"/>
  <c r="S564" i="34"/>
  <c r="T564" i="34"/>
  <c r="U564" i="34"/>
  <c r="V564" i="34"/>
  <c r="W564" i="34"/>
  <c r="X564" i="34"/>
  <c r="Y564" i="34"/>
  <c r="N565" i="34"/>
  <c r="O565" i="34"/>
  <c r="P565" i="34"/>
  <c r="Q565" i="34"/>
  <c r="R565" i="34"/>
  <c r="S565" i="34"/>
  <c r="T565" i="34"/>
  <c r="U565" i="34"/>
  <c r="V565" i="34"/>
  <c r="W565" i="34"/>
  <c r="X565" i="34"/>
  <c r="Y565" i="34"/>
  <c r="N566" i="34"/>
  <c r="O566" i="34"/>
  <c r="P566" i="34"/>
  <c r="Q566" i="34"/>
  <c r="R566" i="34"/>
  <c r="S566" i="34"/>
  <c r="T566" i="34"/>
  <c r="U566" i="34"/>
  <c r="V566" i="34"/>
  <c r="W566" i="34"/>
  <c r="X566" i="34"/>
  <c r="Y566" i="34"/>
  <c r="N567" i="34"/>
  <c r="O567" i="34"/>
  <c r="P567" i="34"/>
  <c r="Q567" i="34"/>
  <c r="R567" i="34"/>
  <c r="S567" i="34"/>
  <c r="T567" i="34"/>
  <c r="U567" i="34"/>
  <c r="V567" i="34"/>
  <c r="W567" i="34"/>
  <c r="X567" i="34"/>
  <c r="Y567" i="34"/>
  <c r="N568" i="34"/>
  <c r="O568" i="34"/>
  <c r="P568" i="34"/>
  <c r="Q568" i="34"/>
  <c r="R568" i="34"/>
  <c r="S568" i="34"/>
  <c r="T568" i="34"/>
  <c r="U568" i="34"/>
  <c r="V568" i="34"/>
  <c r="W568" i="34"/>
  <c r="X568" i="34"/>
  <c r="Y568" i="34"/>
  <c r="N569" i="34"/>
  <c r="O569" i="34"/>
  <c r="P569" i="34"/>
  <c r="Q569" i="34"/>
  <c r="R569" i="34"/>
  <c r="S569" i="34"/>
  <c r="T569" i="34"/>
  <c r="U569" i="34"/>
  <c r="V569" i="34"/>
  <c r="W569" i="34"/>
  <c r="X569" i="34"/>
  <c r="Y569" i="34"/>
  <c r="N570" i="34"/>
  <c r="O570" i="34"/>
  <c r="P570" i="34"/>
  <c r="Q570" i="34"/>
  <c r="R570" i="34"/>
  <c r="S570" i="34"/>
  <c r="T570" i="34"/>
  <c r="U570" i="34"/>
  <c r="V570" i="34"/>
  <c r="W570" i="34"/>
  <c r="X570" i="34"/>
  <c r="Y570" i="34"/>
  <c r="N571" i="34"/>
  <c r="O571" i="34"/>
  <c r="P571" i="34"/>
  <c r="Q571" i="34"/>
  <c r="R571" i="34"/>
  <c r="S571" i="34"/>
  <c r="T571" i="34"/>
  <c r="U571" i="34"/>
  <c r="V571" i="34"/>
  <c r="W571" i="34"/>
  <c r="X571" i="34"/>
  <c r="Y571" i="34"/>
  <c r="N572" i="34"/>
  <c r="O572" i="34"/>
  <c r="P572" i="34"/>
  <c r="Q572" i="34"/>
  <c r="R572" i="34"/>
  <c r="S572" i="34"/>
  <c r="T572" i="34"/>
  <c r="U572" i="34"/>
  <c r="V572" i="34"/>
  <c r="W572" i="34"/>
  <c r="X572" i="34"/>
  <c r="Y572" i="34"/>
  <c r="N573" i="34"/>
  <c r="O573" i="34"/>
  <c r="P573" i="34"/>
  <c r="Q573" i="34"/>
  <c r="R573" i="34"/>
  <c r="S573" i="34"/>
  <c r="T573" i="34"/>
  <c r="U573" i="34"/>
  <c r="V573" i="34"/>
  <c r="W573" i="34"/>
  <c r="X573" i="34"/>
  <c r="Y573" i="34"/>
  <c r="N574" i="34"/>
  <c r="O574" i="34"/>
  <c r="P574" i="34"/>
  <c r="Q574" i="34"/>
  <c r="R574" i="34"/>
  <c r="S574" i="34"/>
  <c r="T574" i="34"/>
  <c r="U574" i="34"/>
  <c r="V574" i="34"/>
  <c r="W574" i="34"/>
  <c r="X574" i="34"/>
  <c r="Y574" i="34"/>
  <c r="N575" i="34"/>
  <c r="O575" i="34"/>
  <c r="P575" i="34"/>
  <c r="Q575" i="34"/>
  <c r="R575" i="34"/>
  <c r="S575" i="34"/>
  <c r="T575" i="34"/>
  <c r="U575" i="34"/>
  <c r="V575" i="34"/>
  <c r="W575" i="34"/>
  <c r="X575" i="34"/>
  <c r="Y575" i="34"/>
  <c r="N576" i="34"/>
  <c r="O576" i="34"/>
  <c r="P576" i="34"/>
  <c r="Q576" i="34"/>
  <c r="R576" i="34"/>
  <c r="S576" i="34"/>
  <c r="T576" i="34"/>
  <c r="U576" i="34"/>
  <c r="V576" i="34"/>
  <c r="W576" i="34"/>
  <c r="X576" i="34"/>
  <c r="Y576" i="34"/>
  <c r="N577" i="34"/>
  <c r="O577" i="34"/>
  <c r="P577" i="34"/>
  <c r="Q577" i="34"/>
  <c r="R577" i="34"/>
  <c r="S577" i="34"/>
  <c r="T577" i="34"/>
  <c r="U577" i="34"/>
  <c r="V577" i="34"/>
  <c r="W577" i="34"/>
  <c r="X577" i="34"/>
  <c r="Y577" i="34"/>
  <c r="N578" i="34"/>
  <c r="O578" i="34"/>
  <c r="P578" i="34"/>
  <c r="Q578" i="34"/>
  <c r="R578" i="34"/>
  <c r="S578" i="34"/>
  <c r="T578" i="34"/>
  <c r="U578" i="34"/>
  <c r="V578" i="34"/>
  <c r="W578" i="34"/>
  <c r="X578" i="34"/>
  <c r="Y578" i="34"/>
  <c r="N579" i="34"/>
  <c r="O579" i="34"/>
  <c r="P579" i="34"/>
  <c r="Q579" i="34"/>
  <c r="R579" i="34"/>
  <c r="S579" i="34"/>
  <c r="T579" i="34"/>
  <c r="U579" i="34"/>
  <c r="V579" i="34"/>
  <c r="W579" i="34"/>
  <c r="X579" i="34"/>
  <c r="Y579" i="34"/>
  <c r="N580" i="34"/>
  <c r="O580" i="34"/>
  <c r="P580" i="34"/>
  <c r="Q580" i="34"/>
  <c r="R580" i="34"/>
  <c r="S580" i="34"/>
  <c r="T580" i="34"/>
  <c r="U580" i="34"/>
  <c r="V580" i="34"/>
  <c r="W580" i="34"/>
  <c r="X580" i="34"/>
  <c r="Y580" i="34"/>
  <c r="N581" i="34"/>
  <c r="O581" i="34"/>
  <c r="P581" i="34"/>
  <c r="Q581" i="34"/>
  <c r="R581" i="34"/>
  <c r="S581" i="34"/>
  <c r="T581" i="34"/>
  <c r="U581" i="34"/>
  <c r="V581" i="34"/>
  <c r="W581" i="34"/>
  <c r="X581" i="34"/>
  <c r="Y581" i="34"/>
  <c r="N582" i="34"/>
  <c r="O582" i="34"/>
  <c r="P582" i="34"/>
  <c r="Q582" i="34"/>
  <c r="R582" i="34"/>
  <c r="S582" i="34"/>
  <c r="T582" i="34"/>
  <c r="U582" i="34"/>
  <c r="V582" i="34"/>
  <c r="W582" i="34"/>
  <c r="X582" i="34"/>
  <c r="Y582" i="34"/>
  <c r="N583" i="34"/>
  <c r="O583" i="34"/>
  <c r="P583" i="34"/>
  <c r="Q583" i="34"/>
  <c r="R583" i="34"/>
  <c r="S583" i="34"/>
  <c r="T583" i="34"/>
  <c r="U583" i="34"/>
  <c r="V583" i="34"/>
  <c r="W583" i="34"/>
  <c r="X583" i="34"/>
  <c r="Y583" i="34"/>
  <c r="N584" i="34"/>
  <c r="O584" i="34"/>
  <c r="P584" i="34"/>
  <c r="Q584" i="34"/>
  <c r="R584" i="34"/>
  <c r="S584" i="34"/>
  <c r="T584" i="34"/>
  <c r="U584" i="34"/>
  <c r="V584" i="34"/>
  <c r="W584" i="34"/>
  <c r="X584" i="34"/>
  <c r="Y584" i="34"/>
  <c r="N585" i="34"/>
  <c r="O585" i="34"/>
  <c r="P585" i="34"/>
  <c r="Q585" i="34"/>
  <c r="R585" i="34"/>
  <c r="S585" i="34"/>
  <c r="T585" i="34"/>
  <c r="U585" i="34"/>
  <c r="V585" i="34"/>
  <c r="W585" i="34"/>
  <c r="X585" i="34"/>
  <c r="Y585" i="34"/>
  <c r="N586" i="34"/>
  <c r="O586" i="34"/>
  <c r="P586" i="34"/>
  <c r="Q586" i="34"/>
  <c r="R586" i="34"/>
  <c r="S586" i="34"/>
  <c r="T586" i="34"/>
  <c r="U586" i="34"/>
  <c r="V586" i="34"/>
  <c r="W586" i="34"/>
  <c r="X586" i="34"/>
  <c r="Y586" i="34"/>
  <c r="N587" i="34"/>
  <c r="O587" i="34"/>
  <c r="P587" i="34"/>
  <c r="Q587" i="34"/>
  <c r="R587" i="34"/>
  <c r="S587" i="34"/>
  <c r="T587" i="34"/>
  <c r="U587" i="34"/>
  <c r="V587" i="34"/>
  <c r="W587" i="34"/>
  <c r="X587" i="34"/>
  <c r="Y587" i="34"/>
  <c r="N588" i="34"/>
  <c r="O588" i="34"/>
  <c r="P588" i="34"/>
  <c r="Q588" i="34"/>
  <c r="R588" i="34"/>
  <c r="S588" i="34"/>
  <c r="T588" i="34"/>
  <c r="U588" i="34"/>
  <c r="V588" i="34"/>
  <c r="W588" i="34"/>
  <c r="X588" i="34"/>
  <c r="Y588" i="34"/>
  <c r="N589" i="34"/>
  <c r="O589" i="34"/>
  <c r="P589" i="34"/>
  <c r="Q589" i="34"/>
  <c r="R589" i="34"/>
  <c r="S589" i="34"/>
  <c r="T589" i="34"/>
  <c r="U589" i="34"/>
  <c r="V589" i="34"/>
  <c r="W589" i="34"/>
  <c r="X589" i="34"/>
  <c r="Y589" i="34"/>
  <c r="N590" i="34"/>
  <c r="O590" i="34"/>
  <c r="P590" i="34"/>
  <c r="Q590" i="34"/>
  <c r="R590" i="34"/>
  <c r="S590" i="34"/>
  <c r="T590" i="34"/>
  <c r="U590" i="34"/>
  <c r="V590" i="34"/>
  <c r="W590" i="34"/>
  <c r="X590" i="34"/>
  <c r="Y590" i="34"/>
  <c r="N591" i="34"/>
  <c r="O591" i="34"/>
  <c r="P591" i="34"/>
  <c r="Q591" i="34"/>
  <c r="R591" i="34"/>
  <c r="S591" i="34"/>
  <c r="T591" i="34"/>
  <c r="U591" i="34"/>
  <c r="V591" i="34"/>
  <c r="W591" i="34"/>
  <c r="X591" i="34"/>
  <c r="Y591" i="34"/>
  <c r="N592" i="34"/>
  <c r="O592" i="34"/>
  <c r="P592" i="34"/>
  <c r="Q592" i="34"/>
  <c r="R592" i="34"/>
  <c r="S592" i="34"/>
  <c r="T592" i="34"/>
  <c r="U592" i="34"/>
  <c r="V592" i="34"/>
  <c r="W592" i="34"/>
  <c r="X592" i="34"/>
  <c r="Y592" i="34"/>
  <c r="N593" i="34"/>
  <c r="O593" i="34"/>
  <c r="P593" i="34"/>
  <c r="Q593" i="34"/>
  <c r="R593" i="34"/>
  <c r="S593" i="34"/>
  <c r="T593" i="34"/>
  <c r="U593" i="34"/>
  <c r="V593" i="34"/>
  <c r="W593" i="34"/>
  <c r="X593" i="34"/>
  <c r="Y593" i="34"/>
  <c r="N594" i="34"/>
  <c r="O594" i="34"/>
  <c r="P594" i="34"/>
  <c r="Q594" i="34"/>
  <c r="R594" i="34"/>
  <c r="S594" i="34"/>
  <c r="T594" i="34"/>
  <c r="U594" i="34"/>
  <c r="V594" i="34"/>
  <c r="W594" i="34"/>
  <c r="X594" i="34"/>
  <c r="Y594" i="34"/>
  <c r="N595" i="34"/>
  <c r="O595" i="34"/>
  <c r="P595" i="34"/>
  <c r="Q595" i="34"/>
  <c r="R595" i="34"/>
  <c r="S595" i="34"/>
  <c r="T595" i="34"/>
  <c r="U595" i="34"/>
  <c r="V595" i="34"/>
  <c r="W595" i="34"/>
  <c r="X595" i="34"/>
  <c r="Y595" i="34"/>
  <c r="N596" i="34"/>
  <c r="O596" i="34"/>
  <c r="P596" i="34"/>
  <c r="Q596" i="34"/>
  <c r="R596" i="34"/>
  <c r="S596" i="34"/>
  <c r="T596" i="34"/>
  <c r="U596" i="34"/>
  <c r="V596" i="34"/>
  <c r="W596" i="34"/>
  <c r="X596" i="34"/>
  <c r="Y596" i="34"/>
  <c r="N597" i="34"/>
  <c r="O597" i="34"/>
  <c r="P597" i="34"/>
  <c r="Q597" i="34"/>
  <c r="R597" i="34"/>
  <c r="S597" i="34"/>
  <c r="T597" i="34"/>
  <c r="U597" i="34"/>
  <c r="V597" i="34"/>
  <c r="W597" i="34"/>
  <c r="X597" i="34"/>
  <c r="Y597" i="34"/>
  <c r="N598" i="34"/>
  <c r="O598" i="34"/>
  <c r="P598" i="34"/>
  <c r="Q598" i="34"/>
  <c r="R598" i="34"/>
  <c r="S598" i="34"/>
  <c r="T598" i="34"/>
  <c r="U598" i="34"/>
  <c r="V598" i="34"/>
  <c r="W598" i="34"/>
  <c r="X598" i="34"/>
  <c r="Y598" i="34"/>
  <c r="N599" i="34"/>
  <c r="O599" i="34"/>
  <c r="P599" i="34"/>
  <c r="Q599" i="34"/>
  <c r="R599" i="34"/>
  <c r="S599" i="34"/>
  <c r="T599" i="34"/>
  <c r="U599" i="34"/>
  <c r="V599" i="34"/>
  <c r="W599" i="34"/>
  <c r="X599" i="34"/>
  <c r="Y599" i="34"/>
  <c r="N600" i="34"/>
  <c r="O600" i="34"/>
  <c r="P600" i="34"/>
  <c r="Q600" i="34"/>
  <c r="R600" i="34"/>
  <c r="S600" i="34"/>
  <c r="T600" i="34"/>
  <c r="U600" i="34"/>
  <c r="V600" i="34"/>
  <c r="W600" i="34"/>
  <c r="X600" i="34"/>
  <c r="Y600" i="34"/>
  <c r="N601" i="34"/>
  <c r="O601" i="34"/>
  <c r="P601" i="34"/>
  <c r="Q601" i="34"/>
  <c r="R601" i="34"/>
  <c r="S601" i="34"/>
  <c r="T601" i="34"/>
  <c r="U601" i="34"/>
  <c r="V601" i="34"/>
  <c r="W601" i="34"/>
  <c r="X601" i="34"/>
  <c r="Y601" i="34"/>
  <c r="N602" i="34"/>
  <c r="O602" i="34"/>
  <c r="P602" i="34"/>
  <c r="Q602" i="34"/>
  <c r="R602" i="34"/>
  <c r="S602" i="34"/>
  <c r="T602" i="34"/>
  <c r="U602" i="34"/>
  <c r="V602" i="34"/>
  <c r="W602" i="34"/>
  <c r="X602" i="34"/>
  <c r="Y602" i="34"/>
  <c r="N603" i="34"/>
  <c r="O603" i="34"/>
  <c r="P603" i="34"/>
  <c r="Q603" i="34"/>
  <c r="R603" i="34"/>
  <c r="S603" i="34"/>
  <c r="T603" i="34"/>
  <c r="U603" i="34"/>
  <c r="V603" i="34"/>
  <c r="W603" i="34"/>
  <c r="X603" i="34"/>
  <c r="Y603" i="34"/>
  <c r="N604" i="34"/>
  <c r="O604" i="34"/>
  <c r="P604" i="34"/>
  <c r="Q604" i="34"/>
  <c r="R604" i="34"/>
  <c r="S604" i="34"/>
  <c r="T604" i="34"/>
  <c r="U604" i="34"/>
  <c r="V604" i="34"/>
  <c r="W604" i="34"/>
  <c r="X604" i="34"/>
  <c r="Y604" i="34"/>
  <c r="N605" i="34"/>
  <c r="O605" i="34"/>
  <c r="P605" i="34"/>
  <c r="Q605" i="34"/>
  <c r="R605" i="34"/>
  <c r="S605" i="34"/>
  <c r="T605" i="34"/>
  <c r="U605" i="34"/>
  <c r="V605" i="34"/>
  <c r="W605" i="34"/>
  <c r="X605" i="34"/>
  <c r="Y605" i="34"/>
  <c r="N606" i="34"/>
  <c r="O606" i="34"/>
  <c r="P606" i="34"/>
  <c r="Q606" i="34"/>
  <c r="R606" i="34"/>
  <c r="S606" i="34"/>
  <c r="T606" i="34"/>
  <c r="U606" i="34"/>
  <c r="V606" i="34"/>
  <c r="W606" i="34"/>
  <c r="X606" i="34"/>
  <c r="Y606" i="34"/>
  <c r="N607" i="34"/>
  <c r="O607" i="34"/>
  <c r="P607" i="34"/>
  <c r="Q607" i="34"/>
  <c r="R607" i="34"/>
  <c r="S607" i="34"/>
  <c r="T607" i="34"/>
  <c r="U607" i="34"/>
  <c r="V607" i="34"/>
  <c r="W607" i="34"/>
  <c r="X607" i="34"/>
  <c r="Y607" i="34"/>
  <c r="N608" i="34"/>
  <c r="O608" i="34"/>
  <c r="P608" i="34"/>
  <c r="Q608" i="34"/>
  <c r="R608" i="34"/>
  <c r="S608" i="34"/>
  <c r="T608" i="34"/>
  <c r="U608" i="34"/>
  <c r="V608" i="34"/>
  <c r="W608" i="34"/>
  <c r="X608" i="34"/>
  <c r="Y608" i="34"/>
  <c r="N609" i="34"/>
  <c r="O609" i="34"/>
  <c r="P609" i="34"/>
  <c r="Q609" i="34"/>
  <c r="R609" i="34"/>
  <c r="S609" i="34"/>
  <c r="T609" i="34"/>
  <c r="U609" i="34"/>
  <c r="V609" i="34"/>
  <c r="W609" i="34"/>
  <c r="X609" i="34"/>
  <c r="Y609" i="34"/>
  <c r="N610" i="34"/>
  <c r="O610" i="34"/>
  <c r="P610" i="34"/>
  <c r="Q610" i="34"/>
  <c r="R610" i="34"/>
  <c r="S610" i="34"/>
  <c r="T610" i="34"/>
  <c r="U610" i="34"/>
  <c r="V610" i="34"/>
  <c r="W610" i="34"/>
  <c r="X610" i="34"/>
  <c r="Y610" i="34"/>
  <c r="N611" i="34"/>
  <c r="O611" i="34"/>
  <c r="P611" i="34"/>
  <c r="Q611" i="34"/>
  <c r="R611" i="34"/>
  <c r="S611" i="34"/>
  <c r="T611" i="34"/>
  <c r="U611" i="34"/>
  <c r="V611" i="34"/>
  <c r="W611" i="34"/>
  <c r="X611" i="34"/>
  <c r="Y611" i="34"/>
  <c r="N612" i="34"/>
  <c r="O612" i="34"/>
  <c r="P612" i="34"/>
  <c r="Q612" i="34"/>
  <c r="R612" i="34"/>
  <c r="S612" i="34"/>
  <c r="T612" i="34"/>
  <c r="U612" i="34"/>
  <c r="V612" i="34"/>
  <c r="W612" i="34"/>
  <c r="X612" i="34"/>
  <c r="Y612" i="34"/>
  <c r="N613" i="34"/>
  <c r="O613" i="34"/>
  <c r="P613" i="34"/>
  <c r="Q613" i="34"/>
  <c r="R613" i="34"/>
  <c r="S613" i="34"/>
  <c r="T613" i="34"/>
  <c r="U613" i="34"/>
  <c r="V613" i="34"/>
  <c r="W613" i="34"/>
  <c r="X613" i="34"/>
  <c r="Y613" i="34"/>
  <c r="N614" i="34"/>
  <c r="O614" i="34"/>
  <c r="P614" i="34"/>
  <c r="Q614" i="34"/>
  <c r="R614" i="34"/>
  <c r="S614" i="34"/>
  <c r="T614" i="34"/>
  <c r="U614" i="34"/>
  <c r="V614" i="34"/>
  <c r="W614" i="34"/>
  <c r="X614" i="34"/>
  <c r="Y614" i="34"/>
  <c r="N615" i="34"/>
  <c r="O615" i="34"/>
  <c r="P615" i="34"/>
  <c r="Q615" i="34"/>
  <c r="R615" i="34"/>
  <c r="S615" i="34"/>
  <c r="T615" i="34"/>
  <c r="U615" i="34"/>
  <c r="V615" i="34"/>
  <c r="W615" i="34"/>
  <c r="X615" i="34"/>
  <c r="Y615" i="34"/>
  <c r="N616" i="34"/>
  <c r="O616" i="34"/>
  <c r="P616" i="34"/>
  <c r="Q616" i="34"/>
  <c r="R616" i="34"/>
  <c r="S616" i="34"/>
  <c r="T616" i="34"/>
  <c r="U616" i="34"/>
  <c r="V616" i="34"/>
  <c r="W616" i="34"/>
  <c r="X616" i="34"/>
  <c r="Y616" i="34"/>
  <c r="N617" i="34"/>
  <c r="O617" i="34"/>
  <c r="P617" i="34"/>
  <c r="Q617" i="34"/>
  <c r="R617" i="34"/>
  <c r="S617" i="34"/>
  <c r="T617" i="34"/>
  <c r="U617" i="34"/>
  <c r="V617" i="34"/>
  <c r="W617" i="34"/>
  <c r="X617" i="34"/>
  <c r="Y617" i="34"/>
  <c r="N618" i="34"/>
  <c r="O618" i="34"/>
  <c r="P618" i="34"/>
  <c r="Q618" i="34"/>
  <c r="R618" i="34"/>
  <c r="S618" i="34"/>
  <c r="T618" i="34"/>
  <c r="U618" i="34"/>
  <c r="V618" i="34"/>
  <c r="W618" i="34"/>
  <c r="X618" i="34"/>
  <c r="Y618" i="34"/>
  <c r="N619" i="34"/>
  <c r="O619" i="34"/>
  <c r="P619" i="34"/>
  <c r="Q619" i="34"/>
  <c r="R619" i="34"/>
  <c r="S619" i="34"/>
  <c r="T619" i="34"/>
  <c r="U619" i="34"/>
  <c r="V619" i="34"/>
  <c r="W619" i="34"/>
  <c r="X619" i="34"/>
  <c r="Y619" i="34"/>
  <c r="N620" i="34"/>
  <c r="O620" i="34"/>
  <c r="P620" i="34"/>
  <c r="Q620" i="34"/>
  <c r="R620" i="34"/>
  <c r="S620" i="34"/>
  <c r="T620" i="34"/>
  <c r="U620" i="34"/>
  <c r="V620" i="34"/>
  <c r="W620" i="34"/>
  <c r="X620" i="34"/>
  <c r="Y620" i="34"/>
  <c r="N621" i="34"/>
  <c r="O621" i="34"/>
  <c r="P621" i="34"/>
  <c r="Q621" i="34"/>
  <c r="R621" i="34"/>
  <c r="S621" i="34"/>
  <c r="T621" i="34"/>
  <c r="U621" i="34"/>
  <c r="V621" i="34"/>
  <c r="W621" i="34"/>
  <c r="X621" i="34"/>
  <c r="Y621" i="34"/>
  <c r="N622" i="34"/>
  <c r="O622" i="34"/>
  <c r="P622" i="34"/>
  <c r="Q622" i="34"/>
  <c r="R622" i="34"/>
  <c r="S622" i="34"/>
  <c r="T622" i="34"/>
  <c r="U622" i="34"/>
  <c r="V622" i="34"/>
  <c r="W622" i="34"/>
  <c r="X622" i="34"/>
  <c r="Y622" i="34"/>
  <c r="N623" i="34"/>
  <c r="O623" i="34"/>
  <c r="P623" i="34"/>
  <c r="Q623" i="34"/>
  <c r="R623" i="34"/>
  <c r="S623" i="34"/>
  <c r="T623" i="34"/>
  <c r="U623" i="34"/>
  <c r="V623" i="34"/>
  <c r="W623" i="34"/>
  <c r="X623" i="34"/>
  <c r="Y623" i="34"/>
  <c r="N624" i="34"/>
  <c r="O624" i="34"/>
  <c r="P624" i="34"/>
  <c r="Q624" i="34"/>
  <c r="R624" i="34"/>
  <c r="S624" i="34"/>
  <c r="T624" i="34"/>
  <c r="U624" i="34"/>
  <c r="V624" i="34"/>
  <c r="W624" i="34"/>
  <c r="X624" i="34"/>
  <c r="Y624" i="34"/>
  <c r="N625" i="34"/>
  <c r="O625" i="34"/>
  <c r="P625" i="34"/>
  <c r="Q625" i="34"/>
  <c r="R625" i="34"/>
  <c r="S625" i="34"/>
  <c r="T625" i="34"/>
  <c r="U625" i="34"/>
  <c r="V625" i="34"/>
  <c r="W625" i="34"/>
  <c r="X625" i="34"/>
  <c r="Y625" i="34"/>
  <c r="N626" i="34"/>
  <c r="O626" i="34"/>
  <c r="P626" i="34"/>
  <c r="Q626" i="34"/>
  <c r="R626" i="34"/>
  <c r="S626" i="34"/>
  <c r="T626" i="34"/>
  <c r="U626" i="34"/>
  <c r="V626" i="34"/>
  <c r="W626" i="34"/>
  <c r="X626" i="34"/>
  <c r="Y626" i="34"/>
  <c r="N627" i="34"/>
  <c r="O627" i="34"/>
  <c r="P627" i="34"/>
  <c r="Q627" i="34"/>
  <c r="R627" i="34"/>
  <c r="S627" i="34"/>
  <c r="T627" i="34"/>
  <c r="U627" i="34"/>
  <c r="V627" i="34"/>
  <c r="W627" i="34"/>
  <c r="X627" i="34"/>
  <c r="Y627" i="34"/>
  <c r="N628" i="34"/>
  <c r="O628" i="34"/>
  <c r="P628" i="34"/>
  <c r="Q628" i="34"/>
  <c r="R628" i="34"/>
  <c r="S628" i="34"/>
  <c r="T628" i="34"/>
  <c r="U628" i="34"/>
  <c r="V628" i="34"/>
  <c r="W628" i="34"/>
  <c r="X628" i="34"/>
  <c r="Y628" i="34"/>
  <c r="N629" i="34"/>
  <c r="O629" i="34"/>
  <c r="P629" i="34"/>
  <c r="Q629" i="34"/>
  <c r="R629" i="34"/>
  <c r="S629" i="34"/>
  <c r="T629" i="34"/>
  <c r="U629" i="34"/>
  <c r="V629" i="34"/>
  <c r="W629" i="34"/>
  <c r="X629" i="34"/>
  <c r="Y629" i="34"/>
  <c r="N630" i="34"/>
  <c r="O630" i="34"/>
  <c r="P630" i="34"/>
  <c r="Q630" i="34"/>
  <c r="R630" i="34"/>
  <c r="S630" i="34"/>
  <c r="T630" i="34"/>
  <c r="U630" i="34"/>
  <c r="V630" i="34"/>
  <c r="W630" i="34"/>
  <c r="X630" i="34"/>
  <c r="Y630" i="34"/>
  <c r="N631" i="34"/>
  <c r="O631" i="34"/>
  <c r="P631" i="34"/>
  <c r="Q631" i="34"/>
  <c r="R631" i="34"/>
  <c r="S631" i="34"/>
  <c r="T631" i="34"/>
  <c r="U631" i="34"/>
  <c r="V631" i="34"/>
  <c r="W631" i="34"/>
  <c r="X631" i="34"/>
  <c r="Y631" i="34"/>
  <c r="N632" i="34"/>
  <c r="O632" i="34"/>
  <c r="P632" i="34"/>
  <c r="Q632" i="34"/>
  <c r="R632" i="34"/>
  <c r="S632" i="34"/>
  <c r="T632" i="34"/>
  <c r="U632" i="34"/>
  <c r="V632" i="34"/>
  <c r="W632" i="34"/>
  <c r="X632" i="34"/>
  <c r="Y632" i="34"/>
  <c r="N633" i="34"/>
  <c r="O633" i="34"/>
  <c r="P633" i="34"/>
  <c r="Q633" i="34"/>
  <c r="R633" i="34"/>
  <c r="S633" i="34"/>
  <c r="T633" i="34"/>
  <c r="U633" i="34"/>
  <c r="V633" i="34"/>
  <c r="W633" i="34"/>
  <c r="X633" i="34"/>
  <c r="Y633" i="34"/>
  <c r="N634" i="34"/>
  <c r="O634" i="34"/>
  <c r="P634" i="34"/>
  <c r="Q634" i="34"/>
  <c r="R634" i="34"/>
  <c r="S634" i="34"/>
  <c r="T634" i="34"/>
  <c r="U634" i="34"/>
  <c r="V634" i="34"/>
  <c r="W634" i="34"/>
  <c r="X634" i="34"/>
  <c r="Y634" i="34"/>
  <c r="N635" i="34"/>
  <c r="O635" i="34"/>
  <c r="P635" i="34"/>
  <c r="Q635" i="34"/>
  <c r="R635" i="34"/>
  <c r="S635" i="34"/>
  <c r="T635" i="34"/>
  <c r="U635" i="34"/>
  <c r="V635" i="34"/>
  <c r="W635" i="34"/>
  <c r="X635" i="34"/>
  <c r="Y635" i="34"/>
  <c r="N636" i="34"/>
  <c r="O636" i="34"/>
  <c r="P636" i="34"/>
  <c r="Q636" i="34"/>
  <c r="R636" i="34"/>
  <c r="S636" i="34"/>
  <c r="T636" i="34"/>
  <c r="U636" i="34"/>
  <c r="V636" i="34"/>
  <c r="W636" i="34"/>
  <c r="X636" i="34"/>
  <c r="Y636" i="34"/>
  <c r="N637" i="34"/>
  <c r="O637" i="34"/>
  <c r="P637" i="34"/>
  <c r="Q637" i="34"/>
  <c r="R637" i="34"/>
  <c r="S637" i="34"/>
  <c r="T637" i="34"/>
  <c r="U637" i="34"/>
  <c r="V637" i="34"/>
  <c r="W637" i="34"/>
  <c r="X637" i="34"/>
  <c r="Y637" i="34"/>
  <c r="N638" i="34"/>
  <c r="O638" i="34"/>
  <c r="P638" i="34"/>
  <c r="Q638" i="34"/>
  <c r="R638" i="34"/>
  <c r="S638" i="34"/>
  <c r="T638" i="34"/>
  <c r="U638" i="34"/>
  <c r="V638" i="34"/>
  <c r="W638" i="34"/>
  <c r="X638" i="34"/>
  <c r="Y638" i="34"/>
  <c r="N639" i="34"/>
  <c r="O639" i="34"/>
  <c r="P639" i="34"/>
  <c r="Q639" i="34"/>
  <c r="R639" i="34"/>
  <c r="S639" i="34"/>
  <c r="T639" i="34"/>
  <c r="U639" i="34"/>
  <c r="V639" i="34"/>
  <c r="W639" i="34"/>
  <c r="X639" i="34"/>
  <c r="Y639" i="34"/>
  <c r="N640" i="34"/>
  <c r="O640" i="34"/>
  <c r="P640" i="34"/>
  <c r="Q640" i="34"/>
  <c r="R640" i="34"/>
  <c r="S640" i="34"/>
  <c r="T640" i="34"/>
  <c r="U640" i="34"/>
  <c r="V640" i="34"/>
  <c r="W640" i="34"/>
  <c r="X640" i="34"/>
  <c r="Y640" i="34"/>
  <c r="N641" i="34"/>
  <c r="O641" i="34"/>
  <c r="P641" i="34"/>
  <c r="Q641" i="34"/>
  <c r="R641" i="34"/>
  <c r="S641" i="34"/>
  <c r="T641" i="34"/>
  <c r="U641" i="34"/>
  <c r="V641" i="34"/>
  <c r="W641" i="34"/>
  <c r="X641" i="34"/>
  <c r="Y641" i="34"/>
  <c r="N642" i="34"/>
  <c r="O642" i="34"/>
  <c r="P642" i="34"/>
  <c r="Q642" i="34"/>
  <c r="R642" i="34"/>
  <c r="S642" i="34"/>
  <c r="T642" i="34"/>
  <c r="U642" i="34"/>
  <c r="V642" i="34"/>
  <c r="W642" i="34"/>
  <c r="X642" i="34"/>
  <c r="Y642" i="34"/>
  <c r="N643" i="34"/>
  <c r="O643" i="34"/>
  <c r="P643" i="34"/>
  <c r="Q643" i="34"/>
  <c r="R643" i="34"/>
  <c r="S643" i="34"/>
  <c r="T643" i="34"/>
  <c r="U643" i="34"/>
  <c r="V643" i="34"/>
  <c r="W643" i="34"/>
  <c r="X643" i="34"/>
  <c r="Y643" i="34"/>
  <c r="N644" i="34"/>
  <c r="O644" i="34"/>
  <c r="P644" i="34"/>
  <c r="Q644" i="34"/>
  <c r="R644" i="34"/>
  <c r="S644" i="34"/>
  <c r="T644" i="34"/>
  <c r="U644" i="34"/>
  <c r="V644" i="34"/>
  <c r="W644" i="34"/>
  <c r="X644" i="34"/>
  <c r="Y644" i="34"/>
  <c r="N645" i="34"/>
  <c r="O645" i="34"/>
  <c r="P645" i="34"/>
  <c r="Q645" i="34"/>
  <c r="R645" i="34"/>
  <c r="S645" i="34"/>
  <c r="T645" i="34"/>
  <c r="U645" i="34"/>
  <c r="V645" i="34"/>
  <c r="W645" i="34"/>
  <c r="X645" i="34"/>
  <c r="Y645" i="34"/>
  <c r="N646" i="34"/>
  <c r="O646" i="34"/>
  <c r="P646" i="34"/>
  <c r="Q646" i="34"/>
  <c r="R646" i="34"/>
  <c r="S646" i="34"/>
  <c r="T646" i="34"/>
  <c r="U646" i="34"/>
  <c r="V646" i="34"/>
  <c r="W646" i="34"/>
  <c r="X646" i="34"/>
  <c r="Y646" i="34"/>
  <c r="N647" i="34"/>
  <c r="O647" i="34"/>
  <c r="P647" i="34"/>
  <c r="Q647" i="34"/>
  <c r="R647" i="34"/>
  <c r="S647" i="34"/>
  <c r="T647" i="34"/>
  <c r="U647" i="34"/>
  <c r="V647" i="34"/>
  <c r="W647" i="34"/>
  <c r="X647" i="34"/>
  <c r="Y647" i="34"/>
  <c r="N648" i="34"/>
  <c r="O648" i="34"/>
  <c r="P648" i="34"/>
  <c r="Q648" i="34"/>
  <c r="R648" i="34"/>
  <c r="S648" i="34"/>
  <c r="T648" i="34"/>
  <c r="U648" i="34"/>
  <c r="V648" i="34"/>
  <c r="W648" i="34"/>
  <c r="X648" i="34"/>
  <c r="Y648" i="34"/>
  <c r="N649" i="34"/>
  <c r="O649" i="34"/>
  <c r="P649" i="34"/>
  <c r="Q649" i="34"/>
  <c r="R649" i="34"/>
  <c r="S649" i="34"/>
  <c r="T649" i="34"/>
  <c r="U649" i="34"/>
  <c r="V649" i="34"/>
  <c r="W649" i="34"/>
  <c r="X649" i="34"/>
  <c r="Y649" i="34"/>
  <c r="N650" i="34"/>
  <c r="O650" i="34"/>
  <c r="P650" i="34"/>
  <c r="Q650" i="34"/>
  <c r="R650" i="34"/>
  <c r="S650" i="34"/>
  <c r="T650" i="34"/>
  <c r="U650" i="34"/>
  <c r="V650" i="34"/>
  <c r="W650" i="34"/>
  <c r="X650" i="34"/>
  <c r="Y650" i="34"/>
  <c r="N651" i="34"/>
  <c r="O651" i="34"/>
  <c r="P651" i="34"/>
  <c r="Q651" i="34"/>
  <c r="R651" i="34"/>
  <c r="S651" i="34"/>
  <c r="T651" i="34"/>
  <c r="U651" i="34"/>
  <c r="V651" i="34"/>
  <c r="W651" i="34"/>
  <c r="X651" i="34"/>
  <c r="Y651" i="34"/>
  <c r="N652" i="34"/>
  <c r="O652" i="34"/>
  <c r="P652" i="34"/>
  <c r="Q652" i="34"/>
  <c r="R652" i="34"/>
  <c r="S652" i="34"/>
  <c r="T652" i="34"/>
  <c r="U652" i="34"/>
  <c r="V652" i="34"/>
  <c r="W652" i="34"/>
  <c r="X652" i="34"/>
  <c r="Y652" i="34"/>
  <c r="N653" i="34"/>
  <c r="O653" i="34"/>
  <c r="P653" i="34"/>
  <c r="Q653" i="34"/>
  <c r="R653" i="34"/>
  <c r="S653" i="34"/>
  <c r="T653" i="34"/>
  <c r="U653" i="34"/>
  <c r="V653" i="34"/>
  <c r="W653" i="34"/>
  <c r="X653" i="34"/>
  <c r="Y653" i="34"/>
  <c r="N654" i="34"/>
  <c r="O654" i="34"/>
  <c r="P654" i="34"/>
  <c r="Q654" i="34"/>
  <c r="R654" i="34"/>
  <c r="S654" i="34"/>
  <c r="T654" i="34"/>
  <c r="U654" i="34"/>
  <c r="V654" i="34"/>
  <c r="W654" i="34"/>
  <c r="X654" i="34"/>
  <c r="Y654" i="34"/>
  <c r="N655" i="34"/>
  <c r="O655" i="34"/>
  <c r="P655" i="34"/>
  <c r="Q655" i="34"/>
  <c r="R655" i="34"/>
  <c r="S655" i="34"/>
  <c r="T655" i="34"/>
  <c r="U655" i="34"/>
  <c r="V655" i="34"/>
  <c r="W655" i="34"/>
  <c r="X655" i="34"/>
  <c r="Y655" i="34"/>
  <c r="N656" i="34"/>
  <c r="O656" i="34"/>
  <c r="P656" i="34"/>
  <c r="Q656" i="34"/>
  <c r="R656" i="34"/>
  <c r="S656" i="34"/>
  <c r="T656" i="34"/>
  <c r="U656" i="34"/>
  <c r="V656" i="34"/>
  <c r="W656" i="34"/>
  <c r="X656" i="34"/>
  <c r="Y656" i="34"/>
  <c r="N657" i="34"/>
  <c r="O657" i="34"/>
  <c r="P657" i="34"/>
  <c r="Q657" i="34"/>
  <c r="R657" i="34"/>
  <c r="S657" i="34"/>
  <c r="T657" i="34"/>
  <c r="U657" i="34"/>
  <c r="V657" i="34"/>
  <c r="W657" i="34"/>
  <c r="X657" i="34"/>
  <c r="Y657" i="34"/>
  <c r="N658" i="34"/>
  <c r="O658" i="34"/>
  <c r="P658" i="34"/>
  <c r="Q658" i="34"/>
  <c r="R658" i="34"/>
  <c r="S658" i="34"/>
  <c r="T658" i="34"/>
  <c r="U658" i="34"/>
  <c r="V658" i="34"/>
  <c r="W658" i="34"/>
  <c r="X658" i="34"/>
  <c r="Y658" i="34"/>
  <c r="N659" i="34"/>
  <c r="O659" i="34"/>
  <c r="P659" i="34"/>
  <c r="Q659" i="34"/>
  <c r="R659" i="34"/>
  <c r="S659" i="34"/>
  <c r="T659" i="34"/>
  <c r="U659" i="34"/>
  <c r="V659" i="34"/>
  <c r="W659" i="34"/>
  <c r="X659" i="34"/>
  <c r="Y659" i="34"/>
  <c r="N660" i="34"/>
  <c r="O660" i="34"/>
  <c r="P660" i="34"/>
  <c r="Q660" i="34"/>
  <c r="R660" i="34"/>
  <c r="S660" i="34"/>
  <c r="T660" i="34"/>
  <c r="U660" i="34"/>
  <c r="V660" i="34"/>
  <c r="W660" i="34"/>
  <c r="X660" i="34"/>
  <c r="Y660" i="34"/>
  <c r="N661" i="34"/>
  <c r="O661" i="34"/>
  <c r="P661" i="34"/>
  <c r="Q661" i="34"/>
  <c r="R661" i="34"/>
  <c r="S661" i="34"/>
  <c r="T661" i="34"/>
  <c r="U661" i="34"/>
  <c r="V661" i="34"/>
  <c r="W661" i="34"/>
  <c r="X661" i="34"/>
  <c r="Y661" i="34"/>
  <c r="N662" i="34"/>
  <c r="O662" i="34"/>
  <c r="P662" i="34"/>
  <c r="Q662" i="34"/>
  <c r="R662" i="34"/>
  <c r="S662" i="34"/>
  <c r="T662" i="34"/>
  <c r="U662" i="34"/>
  <c r="V662" i="34"/>
  <c r="W662" i="34"/>
  <c r="X662" i="34"/>
  <c r="Y662" i="34"/>
  <c r="N663" i="34"/>
  <c r="O663" i="34"/>
  <c r="P663" i="34"/>
  <c r="Q663" i="34"/>
  <c r="R663" i="34"/>
  <c r="S663" i="34"/>
  <c r="T663" i="34"/>
  <c r="U663" i="34"/>
  <c r="V663" i="34"/>
  <c r="W663" i="34"/>
  <c r="X663" i="34"/>
  <c r="Y663" i="34"/>
  <c r="N664" i="34"/>
  <c r="O664" i="34"/>
  <c r="P664" i="34"/>
  <c r="Q664" i="34"/>
  <c r="R664" i="34"/>
  <c r="S664" i="34"/>
  <c r="T664" i="34"/>
  <c r="U664" i="34"/>
  <c r="V664" i="34"/>
  <c r="W664" i="34"/>
  <c r="X664" i="34"/>
  <c r="Y664" i="34"/>
  <c r="N665" i="34"/>
  <c r="O665" i="34"/>
  <c r="P665" i="34"/>
  <c r="Q665" i="34"/>
  <c r="R665" i="34"/>
  <c r="S665" i="34"/>
  <c r="T665" i="34"/>
  <c r="U665" i="34"/>
  <c r="V665" i="34"/>
  <c r="W665" i="34"/>
  <c r="X665" i="34"/>
  <c r="Y665" i="34"/>
  <c r="N666" i="34"/>
  <c r="O666" i="34"/>
  <c r="P666" i="34"/>
  <c r="Q666" i="34"/>
  <c r="R666" i="34"/>
  <c r="S666" i="34"/>
  <c r="T666" i="34"/>
  <c r="U666" i="34"/>
  <c r="V666" i="34"/>
  <c r="W666" i="34"/>
  <c r="X666" i="34"/>
  <c r="Y666" i="34"/>
  <c r="N667" i="34"/>
  <c r="O667" i="34"/>
  <c r="P667" i="34"/>
  <c r="Q667" i="34"/>
  <c r="R667" i="34"/>
  <c r="S667" i="34"/>
  <c r="T667" i="34"/>
  <c r="U667" i="34"/>
  <c r="V667" i="34"/>
  <c r="W667" i="34"/>
  <c r="X667" i="34"/>
  <c r="Y667" i="34"/>
  <c r="N668" i="34"/>
  <c r="O668" i="34"/>
  <c r="P668" i="34"/>
  <c r="Q668" i="34"/>
  <c r="R668" i="34"/>
  <c r="S668" i="34"/>
  <c r="T668" i="34"/>
  <c r="U668" i="34"/>
  <c r="V668" i="34"/>
  <c r="W668" i="34"/>
  <c r="X668" i="34"/>
  <c r="Y668" i="34"/>
  <c r="N669" i="34"/>
  <c r="O669" i="34"/>
  <c r="P669" i="34"/>
  <c r="Q669" i="34"/>
  <c r="R669" i="34"/>
  <c r="S669" i="34"/>
  <c r="T669" i="34"/>
  <c r="U669" i="34"/>
  <c r="V669" i="34"/>
  <c r="W669" i="34"/>
  <c r="X669" i="34"/>
  <c r="Y669" i="34"/>
  <c r="N670" i="34"/>
  <c r="O670" i="34"/>
  <c r="P670" i="34"/>
  <c r="Q670" i="34"/>
  <c r="R670" i="34"/>
  <c r="S670" i="34"/>
  <c r="T670" i="34"/>
  <c r="U670" i="34"/>
  <c r="V670" i="34"/>
  <c r="W670" i="34"/>
  <c r="X670" i="34"/>
  <c r="Y670" i="34"/>
  <c r="N671" i="34"/>
  <c r="O671" i="34"/>
  <c r="P671" i="34"/>
  <c r="Q671" i="34"/>
  <c r="R671" i="34"/>
  <c r="S671" i="34"/>
  <c r="T671" i="34"/>
  <c r="U671" i="34"/>
  <c r="V671" i="34"/>
  <c r="W671" i="34"/>
  <c r="X671" i="34"/>
  <c r="Y671" i="34"/>
  <c r="N672" i="34"/>
  <c r="O672" i="34"/>
  <c r="P672" i="34"/>
  <c r="Q672" i="34"/>
  <c r="R672" i="34"/>
  <c r="S672" i="34"/>
  <c r="T672" i="34"/>
  <c r="U672" i="34"/>
  <c r="V672" i="34"/>
  <c r="W672" i="34"/>
  <c r="X672" i="34"/>
  <c r="Y672" i="34"/>
  <c r="N673" i="34"/>
  <c r="O673" i="34"/>
  <c r="P673" i="34"/>
  <c r="Q673" i="34"/>
  <c r="R673" i="34"/>
  <c r="S673" i="34"/>
  <c r="T673" i="34"/>
  <c r="U673" i="34"/>
  <c r="V673" i="34"/>
  <c r="W673" i="34"/>
  <c r="X673" i="34"/>
  <c r="Y673" i="34"/>
  <c r="N674" i="34"/>
  <c r="O674" i="34"/>
  <c r="P674" i="34"/>
  <c r="Q674" i="34"/>
  <c r="R674" i="34"/>
  <c r="S674" i="34"/>
  <c r="T674" i="34"/>
  <c r="U674" i="34"/>
  <c r="V674" i="34"/>
  <c r="W674" i="34"/>
  <c r="X674" i="34"/>
  <c r="Y674" i="34"/>
  <c r="N675" i="34"/>
  <c r="O675" i="34"/>
  <c r="P675" i="34"/>
  <c r="Q675" i="34"/>
  <c r="R675" i="34"/>
  <c r="S675" i="34"/>
  <c r="T675" i="34"/>
  <c r="U675" i="34"/>
  <c r="V675" i="34"/>
  <c r="W675" i="34"/>
  <c r="X675" i="34"/>
  <c r="Y675" i="34"/>
  <c r="N676" i="34"/>
  <c r="O676" i="34"/>
  <c r="P676" i="34"/>
  <c r="Q676" i="34"/>
  <c r="R676" i="34"/>
  <c r="S676" i="34"/>
  <c r="T676" i="34"/>
  <c r="U676" i="34"/>
  <c r="V676" i="34"/>
  <c r="W676" i="34"/>
  <c r="X676" i="34"/>
  <c r="Y676" i="34"/>
  <c r="N677" i="34"/>
  <c r="O677" i="34"/>
  <c r="P677" i="34"/>
  <c r="Q677" i="34"/>
  <c r="R677" i="34"/>
  <c r="S677" i="34"/>
  <c r="T677" i="34"/>
  <c r="U677" i="34"/>
  <c r="V677" i="34"/>
  <c r="W677" i="34"/>
  <c r="X677" i="34"/>
  <c r="Y677" i="34"/>
  <c r="N678" i="34"/>
  <c r="O678" i="34"/>
  <c r="P678" i="34"/>
  <c r="Q678" i="34"/>
  <c r="R678" i="34"/>
  <c r="S678" i="34"/>
  <c r="T678" i="34"/>
  <c r="U678" i="34"/>
  <c r="V678" i="34"/>
  <c r="W678" i="34"/>
  <c r="X678" i="34"/>
  <c r="Y678" i="34"/>
  <c r="N679" i="34"/>
  <c r="O679" i="34"/>
  <c r="P679" i="34"/>
  <c r="Q679" i="34"/>
  <c r="R679" i="34"/>
  <c r="S679" i="34"/>
  <c r="T679" i="34"/>
  <c r="U679" i="34"/>
  <c r="V679" i="34"/>
  <c r="W679" i="34"/>
  <c r="X679" i="34"/>
  <c r="Y679" i="34"/>
  <c r="N680" i="34"/>
  <c r="O680" i="34"/>
  <c r="P680" i="34"/>
  <c r="Q680" i="34"/>
  <c r="R680" i="34"/>
  <c r="S680" i="34"/>
  <c r="T680" i="34"/>
  <c r="U680" i="34"/>
  <c r="V680" i="34"/>
  <c r="W680" i="34"/>
  <c r="X680" i="34"/>
  <c r="Y680" i="34"/>
  <c r="N681" i="34"/>
  <c r="O681" i="34"/>
  <c r="P681" i="34"/>
  <c r="Q681" i="34"/>
  <c r="R681" i="34"/>
  <c r="S681" i="34"/>
  <c r="T681" i="34"/>
  <c r="U681" i="34"/>
  <c r="V681" i="34"/>
  <c r="W681" i="34"/>
  <c r="X681" i="34"/>
  <c r="Y681" i="34"/>
  <c r="N682" i="34"/>
  <c r="O682" i="34"/>
  <c r="P682" i="34"/>
  <c r="Q682" i="34"/>
  <c r="R682" i="34"/>
  <c r="S682" i="34"/>
  <c r="T682" i="34"/>
  <c r="U682" i="34"/>
  <c r="V682" i="34"/>
  <c r="W682" i="34"/>
  <c r="X682" i="34"/>
  <c r="Y682" i="34"/>
  <c r="N683" i="34"/>
  <c r="O683" i="34"/>
  <c r="P683" i="34"/>
  <c r="Q683" i="34"/>
  <c r="R683" i="34"/>
  <c r="S683" i="34"/>
  <c r="T683" i="34"/>
  <c r="U683" i="34"/>
  <c r="V683" i="34"/>
  <c r="W683" i="34"/>
  <c r="X683" i="34"/>
  <c r="Y683" i="34"/>
  <c r="N684" i="34"/>
  <c r="O684" i="34"/>
  <c r="P684" i="34"/>
  <c r="Q684" i="34"/>
  <c r="R684" i="34"/>
  <c r="S684" i="34"/>
  <c r="T684" i="34"/>
  <c r="U684" i="34"/>
  <c r="V684" i="34"/>
  <c r="W684" i="34"/>
  <c r="X684" i="34"/>
  <c r="Y684" i="34"/>
  <c r="N685" i="34"/>
  <c r="O685" i="34"/>
  <c r="P685" i="34"/>
  <c r="Q685" i="34"/>
  <c r="R685" i="34"/>
  <c r="S685" i="34"/>
  <c r="T685" i="34"/>
  <c r="U685" i="34"/>
  <c r="V685" i="34"/>
  <c r="W685" i="34"/>
  <c r="X685" i="34"/>
  <c r="Y685" i="34"/>
  <c r="N686" i="34"/>
  <c r="O686" i="34"/>
  <c r="P686" i="34"/>
  <c r="Q686" i="34"/>
  <c r="R686" i="34"/>
  <c r="S686" i="34"/>
  <c r="T686" i="34"/>
  <c r="U686" i="34"/>
  <c r="V686" i="34"/>
  <c r="W686" i="34"/>
  <c r="X686" i="34"/>
  <c r="Y686" i="34"/>
  <c r="N687" i="34"/>
  <c r="O687" i="34"/>
  <c r="P687" i="34"/>
  <c r="Q687" i="34"/>
  <c r="R687" i="34"/>
  <c r="S687" i="34"/>
  <c r="T687" i="34"/>
  <c r="U687" i="34"/>
  <c r="V687" i="34"/>
  <c r="W687" i="34"/>
  <c r="X687" i="34"/>
  <c r="Y687" i="34"/>
  <c r="N688" i="34"/>
  <c r="O688" i="34"/>
  <c r="P688" i="34"/>
  <c r="Q688" i="34"/>
  <c r="R688" i="34"/>
  <c r="S688" i="34"/>
  <c r="T688" i="34"/>
  <c r="U688" i="34"/>
  <c r="V688" i="34"/>
  <c r="W688" i="34"/>
  <c r="X688" i="34"/>
  <c r="Y688" i="34"/>
  <c r="N689" i="34"/>
  <c r="O689" i="34"/>
  <c r="P689" i="34"/>
  <c r="Q689" i="34"/>
  <c r="R689" i="34"/>
  <c r="S689" i="34"/>
  <c r="T689" i="34"/>
  <c r="U689" i="34"/>
  <c r="V689" i="34"/>
  <c r="W689" i="34"/>
  <c r="X689" i="34"/>
  <c r="Y689" i="34"/>
  <c r="N690" i="34"/>
  <c r="O690" i="34"/>
  <c r="P690" i="34"/>
  <c r="Q690" i="34"/>
  <c r="R690" i="34"/>
  <c r="S690" i="34"/>
  <c r="T690" i="34"/>
  <c r="U690" i="34"/>
  <c r="V690" i="34"/>
  <c r="W690" i="34"/>
  <c r="X690" i="34"/>
  <c r="Y690" i="34"/>
  <c r="N691" i="34"/>
  <c r="O691" i="34"/>
  <c r="P691" i="34"/>
  <c r="Q691" i="34"/>
  <c r="R691" i="34"/>
  <c r="S691" i="34"/>
  <c r="T691" i="34"/>
  <c r="U691" i="34"/>
  <c r="V691" i="34"/>
  <c r="W691" i="34"/>
  <c r="X691" i="34"/>
  <c r="Y691" i="34"/>
  <c r="N692" i="34"/>
  <c r="O692" i="34"/>
  <c r="P692" i="34"/>
  <c r="Q692" i="34"/>
  <c r="R692" i="34"/>
  <c r="S692" i="34"/>
  <c r="T692" i="34"/>
  <c r="U692" i="34"/>
  <c r="V692" i="34"/>
  <c r="W692" i="34"/>
  <c r="X692" i="34"/>
  <c r="Y692" i="34"/>
  <c r="N693" i="34"/>
  <c r="O693" i="34"/>
  <c r="P693" i="34"/>
  <c r="Q693" i="34"/>
  <c r="R693" i="34"/>
  <c r="S693" i="34"/>
  <c r="T693" i="34"/>
  <c r="U693" i="34"/>
  <c r="V693" i="34"/>
  <c r="W693" i="34"/>
  <c r="X693" i="34"/>
  <c r="Y693" i="34"/>
  <c r="N694" i="34"/>
  <c r="O694" i="34"/>
  <c r="P694" i="34"/>
  <c r="Q694" i="34"/>
  <c r="R694" i="34"/>
  <c r="S694" i="34"/>
  <c r="T694" i="34"/>
  <c r="U694" i="34"/>
  <c r="V694" i="34"/>
  <c r="W694" i="34"/>
  <c r="X694" i="34"/>
  <c r="Y694" i="34"/>
  <c r="N695" i="34"/>
  <c r="O695" i="34"/>
  <c r="P695" i="34"/>
  <c r="Q695" i="34"/>
  <c r="R695" i="34"/>
  <c r="S695" i="34"/>
  <c r="T695" i="34"/>
  <c r="U695" i="34"/>
  <c r="V695" i="34"/>
  <c r="W695" i="34"/>
  <c r="X695" i="34"/>
  <c r="Y695" i="34"/>
  <c r="N696" i="34"/>
  <c r="O696" i="34"/>
  <c r="P696" i="34"/>
  <c r="Q696" i="34"/>
  <c r="R696" i="34"/>
  <c r="S696" i="34"/>
  <c r="T696" i="34"/>
  <c r="U696" i="34"/>
  <c r="V696" i="34"/>
  <c r="W696" i="34"/>
  <c r="X696" i="34"/>
  <c r="Y696" i="34"/>
  <c r="N697" i="34"/>
  <c r="O697" i="34"/>
  <c r="P697" i="34"/>
  <c r="Q697" i="34"/>
  <c r="R697" i="34"/>
  <c r="S697" i="34"/>
  <c r="T697" i="34"/>
  <c r="U697" i="34"/>
  <c r="V697" i="34"/>
  <c r="W697" i="34"/>
  <c r="X697" i="34"/>
  <c r="Y697" i="34"/>
  <c r="N698" i="34"/>
  <c r="O698" i="34"/>
  <c r="P698" i="34"/>
  <c r="Q698" i="34"/>
  <c r="R698" i="34"/>
  <c r="S698" i="34"/>
  <c r="T698" i="34"/>
  <c r="U698" i="34"/>
  <c r="V698" i="34"/>
  <c r="W698" i="34"/>
  <c r="X698" i="34"/>
  <c r="Y698" i="34"/>
  <c r="N699" i="34"/>
  <c r="O699" i="34"/>
  <c r="P699" i="34"/>
  <c r="Q699" i="34"/>
  <c r="R699" i="34"/>
  <c r="S699" i="34"/>
  <c r="T699" i="34"/>
  <c r="U699" i="34"/>
  <c r="V699" i="34"/>
  <c r="W699" i="34"/>
  <c r="X699" i="34"/>
  <c r="Y699" i="34"/>
  <c r="N700" i="34"/>
  <c r="O700" i="34"/>
  <c r="P700" i="34"/>
  <c r="Q700" i="34"/>
  <c r="R700" i="34"/>
  <c r="S700" i="34"/>
  <c r="T700" i="34"/>
  <c r="U700" i="34"/>
  <c r="V700" i="34"/>
  <c r="W700" i="34"/>
  <c r="X700" i="34"/>
  <c r="Y700" i="34"/>
  <c r="N701" i="34"/>
  <c r="O701" i="34"/>
  <c r="P701" i="34"/>
  <c r="Q701" i="34"/>
  <c r="R701" i="34"/>
  <c r="S701" i="34"/>
  <c r="T701" i="34"/>
  <c r="U701" i="34"/>
  <c r="V701" i="34"/>
  <c r="W701" i="34"/>
  <c r="X701" i="34"/>
  <c r="Y701" i="34"/>
  <c r="N702" i="34"/>
  <c r="O702" i="34"/>
  <c r="P702" i="34"/>
  <c r="Q702" i="34"/>
  <c r="R702" i="34"/>
  <c r="S702" i="34"/>
  <c r="T702" i="34"/>
  <c r="U702" i="34"/>
  <c r="V702" i="34"/>
  <c r="W702" i="34"/>
  <c r="X702" i="34"/>
  <c r="Y702" i="34"/>
  <c r="N703" i="34"/>
  <c r="O703" i="34"/>
  <c r="P703" i="34"/>
  <c r="Q703" i="34"/>
  <c r="R703" i="34"/>
  <c r="S703" i="34"/>
  <c r="T703" i="34"/>
  <c r="U703" i="34"/>
  <c r="V703" i="34"/>
  <c r="W703" i="34"/>
  <c r="X703" i="34"/>
  <c r="Y703" i="34"/>
  <c r="N704" i="34"/>
  <c r="O704" i="34"/>
  <c r="P704" i="34"/>
  <c r="Q704" i="34"/>
  <c r="R704" i="34"/>
  <c r="S704" i="34"/>
  <c r="T704" i="34"/>
  <c r="U704" i="34"/>
  <c r="V704" i="34"/>
  <c r="W704" i="34"/>
  <c r="X704" i="34"/>
  <c r="Y704" i="34"/>
  <c r="N705" i="34"/>
  <c r="O705" i="34"/>
  <c r="P705" i="34"/>
  <c r="Q705" i="34"/>
  <c r="R705" i="34"/>
  <c r="S705" i="34"/>
  <c r="T705" i="34"/>
  <c r="U705" i="34"/>
  <c r="V705" i="34"/>
  <c r="W705" i="34"/>
  <c r="X705" i="34"/>
  <c r="Y705" i="34"/>
  <c r="N706" i="34"/>
  <c r="O706" i="34"/>
  <c r="P706" i="34"/>
  <c r="Q706" i="34"/>
  <c r="R706" i="34"/>
  <c r="S706" i="34"/>
  <c r="T706" i="34"/>
  <c r="U706" i="34"/>
  <c r="V706" i="34"/>
  <c r="W706" i="34"/>
  <c r="X706" i="34"/>
  <c r="Y706" i="34"/>
  <c r="N707" i="34"/>
  <c r="O707" i="34"/>
  <c r="P707" i="34"/>
  <c r="Q707" i="34"/>
  <c r="R707" i="34"/>
  <c r="S707" i="34"/>
  <c r="T707" i="34"/>
  <c r="U707" i="34"/>
  <c r="V707" i="34"/>
  <c r="W707" i="34"/>
  <c r="X707" i="34"/>
  <c r="Y707" i="34"/>
  <c r="N708" i="34"/>
  <c r="O708" i="34"/>
  <c r="P708" i="34"/>
  <c r="Q708" i="34"/>
  <c r="R708" i="34"/>
  <c r="S708" i="34"/>
  <c r="T708" i="34"/>
  <c r="U708" i="34"/>
  <c r="V708" i="34"/>
  <c r="W708" i="34"/>
  <c r="X708" i="34"/>
  <c r="Y708" i="34"/>
  <c r="N709" i="34"/>
  <c r="O709" i="34"/>
  <c r="P709" i="34"/>
  <c r="Q709" i="34"/>
  <c r="R709" i="34"/>
  <c r="S709" i="34"/>
  <c r="T709" i="34"/>
  <c r="U709" i="34"/>
  <c r="V709" i="34"/>
  <c r="W709" i="34"/>
  <c r="X709" i="34"/>
  <c r="Y709" i="34"/>
  <c r="N710" i="34"/>
  <c r="O710" i="34"/>
  <c r="P710" i="34"/>
  <c r="Q710" i="34"/>
  <c r="R710" i="34"/>
  <c r="S710" i="34"/>
  <c r="T710" i="34"/>
  <c r="U710" i="34"/>
  <c r="V710" i="34"/>
  <c r="W710" i="34"/>
  <c r="X710" i="34"/>
  <c r="Y710" i="34"/>
  <c r="N711" i="34"/>
  <c r="O711" i="34"/>
  <c r="P711" i="34"/>
  <c r="Q711" i="34"/>
  <c r="R711" i="34"/>
  <c r="S711" i="34"/>
  <c r="T711" i="34"/>
  <c r="U711" i="34"/>
  <c r="V711" i="34"/>
  <c r="W711" i="34"/>
  <c r="X711" i="34"/>
  <c r="Y711" i="34"/>
  <c r="N712" i="34"/>
  <c r="O712" i="34"/>
  <c r="P712" i="34"/>
  <c r="Q712" i="34"/>
  <c r="R712" i="34"/>
  <c r="S712" i="34"/>
  <c r="T712" i="34"/>
  <c r="U712" i="34"/>
  <c r="V712" i="34"/>
  <c r="W712" i="34"/>
  <c r="X712" i="34"/>
  <c r="Y712" i="34"/>
  <c r="N713" i="34"/>
  <c r="O713" i="34"/>
  <c r="P713" i="34"/>
  <c r="Q713" i="34"/>
  <c r="R713" i="34"/>
  <c r="S713" i="34"/>
  <c r="T713" i="34"/>
  <c r="U713" i="34"/>
  <c r="V713" i="34"/>
  <c r="W713" i="34"/>
  <c r="X713" i="34"/>
  <c r="Y713" i="34"/>
  <c r="N714" i="34"/>
  <c r="O714" i="34"/>
  <c r="P714" i="34"/>
  <c r="Q714" i="34"/>
  <c r="R714" i="34"/>
  <c r="S714" i="34"/>
  <c r="T714" i="34"/>
  <c r="U714" i="34"/>
  <c r="V714" i="34"/>
  <c r="W714" i="34"/>
  <c r="X714" i="34"/>
  <c r="Y714" i="34"/>
  <c r="N715" i="34"/>
  <c r="O715" i="34"/>
  <c r="P715" i="34"/>
  <c r="Q715" i="34"/>
  <c r="R715" i="34"/>
  <c r="S715" i="34"/>
  <c r="T715" i="34"/>
  <c r="U715" i="34"/>
  <c r="V715" i="34"/>
  <c r="W715" i="34"/>
  <c r="X715" i="34"/>
  <c r="Y715" i="34"/>
  <c r="N716" i="34"/>
  <c r="O716" i="34"/>
  <c r="P716" i="34"/>
  <c r="Q716" i="34"/>
  <c r="R716" i="34"/>
  <c r="S716" i="34"/>
  <c r="T716" i="34"/>
  <c r="U716" i="34"/>
  <c r="V716" i="34"/>
  <c r="W716" i="34"/>
  <c r="X716" i="34"/>
  <c r="Y716" i="34"/>
  <c r="N717" i="34"/>
  <c r="O717" i="34"/>
  <c r="P717" i="34"/>
  <c r="Q717" i="34"/>
  <c r="R717" i="34"/>
  <c r="S717" i="34"/>
  <c r="T717" i="34"/>
  <c r="U717" i="34"/>
  <c r="V717" i="34"/>
  <c r="W717" i="34"/>
  <c r="X717" i="34"/>
  <c r="Y717" i="34"/>
  <c r="N718" i="34"/>
  <c r="O718" i="34"/>
  <c r="P718" i="34"/>
  <c r="Q718" i="34"/>
  <c r="R718" i="34"/>
  <c r="S718" i="34"/>
  <c r="T718" i="34"/>
  <c r="U718" i="34"/>
  <c r="V718" i="34"/>
  <c r="W718" i="34"/>
  <c r="X718" i="34"/>
  <c r="Y718" i="34"/>
  <c r="N719" i="34"/>
  <c r="O719" i="34"/>
  <c r="P719" i="34"/>
  <c r="Q719" i="34"/>
  <c r="R719" i="34"/>
  <c r="S719" i="34"/>
  <c r="T719" i="34"/>
  <c r="U719" i="34"/>
  <c r="V719" i="34"/>
  <c r="W719" i="34"/>
  <c r="X719" i="34"/>
  <c r="Y719" i="34"/>
  <c r="N720" i="34"/>
  <c r="O720" i="34"/>
  <c r="P720" i="34"/>
  <c r="Q720" i="34"/>
  <c r="R720" i="34"/>
  <c r="S720" i="34"/>
  <c r="T720" i="34"/>
  <c r="U720" i="34"/>
  <c r="V720" i="34"/>
  <c r="W720" i="34"/>
  <c r="X720" i="34"/>
  <c r="Y720" i="34"/>
  <c r="N721" i="34"/>
  <c r="O721" i="34"/>
  <c r="P721" i="34"/>
  <c r="Q721" i="34"/>
  <c r="R721" i="34"/>
  <c r="S721" i="34"/>
  <c r="T721" i="34"/>
  <c r="U721" i="34"/>
  <c r="V721" i="34"/>
  <c r="W721" i="34"/>
  <c r="X721" i="34"/>
  <c r="Y721" i="34"/>
  <c r="N722" i="34"/>
  <c r="O722" i="34"/>
  <c r="P722" i="34"/>
  <c r="Q722" i="34"/>
  <c r="R722" i="34"/>
  <c r="S722" i="34"/>
  <c r="T722" i="34"/>
  <c r="U722" i="34"/>
  <c r="V722" i="34"/>
  <c r="W722" i="34"/>
  <c r="X722" i="34"/>
  <c r="Y722" i="34"/>
  <c r="N723" i="34"/>
  <c r="O723" i="34"/>
  <c r="P723" i="34"/>
  <c r="Q723" i="34"/>
  <c r="R723" i="34"/>
  <c r="S723" i="34"/>
  <c r="T723" i="34"/>
  <c r="U723" i="34"/>
  <c r="V723" i="34"/>
  <c r="W723" i="34"/>
  <c r="X723" i="34"/>
  <c r="Y723" i="34"/>
  <c r="N724" i="34"/>
  <c r="O724" i="34"/>
  <c r="P724" i="34"/>
  <c r="Q724" i="34"/>
  <c r="R724" i="34"/>
  <c r="S724" i="34"/>
  <c r="T724" i="34"/>
  <c r="U724" i="34"/>
  <c r="V724" i="34"/>
  <c r="W724" i="34"/>
  <c r="X724" i="34"/>
  <c r="Y724" i="34"/>
  <c r="N725" i="34"/>
  <c r="O725" i="34"/>
  <c r="P725" i="34"/>
  <c r="Q725" i="34"/>
  <c r="R725" i="34"/>
  <c r="S725" i="34"/>
  <c r="T725" i="34"/>
  <c r="U725" i="34"/>
  <c r="V725" i="34"/>
  <c r="W725" i="34"/>
  <c r="X725" i="34"/>
  <c r="Y725" i="34"/>
  <c r="N726" i="34"/>
  <c r="O726" i="34"/>
  <c r="P726" i="34"/>
  <c r="Q726" i="34"/>
  <c r="R726" i="34"/>
  <c r="S726" i="34"/>
  <c r="T726" i="34"/>
  <c r="U726" i="34"/>
  <c r="V726" i="34"/>
  <c r="W726" i="34"/>
  <c r="X726" i="34"/>
  <c r="Y726" i="34"/>
  <c r="N727" i="34"/>
  <c r="O727" i="34"/>
  <c r="P727" i="34"/>
  <c r="Q727" i="34"/>
  <c r="R727" i="34"/>
  <c r="S727" i="34"/>
  <c r="T727" i="34"/>
  <c r="U727" i="34"/>
  <c r="V727" i="34"/>
  <c r="W727" i="34"/>
  <c r="X727" i="34"/>
  <c r="Y727" i="34"/>
  <c r="N728" i="34"/>
  <c r="O728" i="34"/>
  <c r="P728" i="34"/>
  <c r="Q728" i="34"/>
  <c r="R728" i="34"/>
  <c r="S728" i="34"/>
  <c r="T728" i="34"/>
  <c r="U728" i="34"/>
  <c r="V728" i="34"/>
  <c r="W728" i="34"/>
  <c r="X728" i="34"/>
  <c r="Y728" i="34"/>
  <c r="N729" i="34"/>
  <c r="O729" i="34"/>
  <c r="P729" i="34"/>
  <c r="Q729" i="34"/>
  <c r="R729" i="34"/>
  <c r="S729" i="34"/>
  <c r="T729" i="34"/>
  <c r="U729" i="34"/>
  <c r="V729" i="34"/>
  <c r="W729" i="34"/>
  <c r="X729" i="34"/>
  <c r="Y729" i="34"/>
  <c r="N730" i="34"/>
  <c r="O730" i="34"/>
  <c r="P730" i="34"/>
  <c r="Q730" i="34"/>
  <c r="R730" i="34"/>
  <c r="S730" i="34"/>
  <c r="T730" i="34"/>
  <c r="U730" i="34"/>
  <c r="V730" i="34"/>
  <c r="W730" i="34"/>
  <c r="X730" i="34"/>
  <c r="Y730" i="34"/>
  <c r="N731" i="34"/>
  <c r="O731" i="34"/>
  <c r="P731" i="34"/>
  <c r="Q731" i="34"/>
  <c r="R731" i="34"/>
  <c r="S731" i="34"/>
  <c r="T731" i="34"/>
  <c r="U731" i="34"/>
  <c r="V731" i="34"/>
  <c r="W731" i="34"/>
  <c r="X731" i="34"/>
  <c r="Y731" i="34"/>
  <c r="N732" i="34"/>
  <c r="O732" i="34"/>
  <c r="P732" i="34"/>
  <c r="Q732" i="34"/>
  <c r="R732" i="34"/>
  <c r="S732" i="34"/>
  <c r="T732" i="34"/>
  <c r="U732" i="34"/>
  <c r="V732" i="34"/>
  <c r="W732" i="34"/>
  <c r="X732" i="34"/>
  <c r="Y732" i="34"/>
  <c r="N733" i="34"/>
  <c r="O733" i="34"/>
  <c r="P733" i="34"/>
  <c r="Q733" i="34"/>
  <c r="R733" i="34"/>
  <c r="S733" i="34"/>
  <c r="T733" i="34"/>
  <c r="U733" i="34"/>
  <c r="V733" i="34"/>
  <c r="W733" i="34"/>
  <c r="X733" i="34"/>
  <c r="Y733" i="34"/>
  <c r="N734" i="34"/>
  <c r="O734" i="34"/>
  <c r="P734" i="34"/>
  <c r="Q734" i="34"/>
  <c r="R734" i="34"/>
  <c r="S734" i="34"/>
  <c r="T734" i="34"/>
  <c r="U734" i="34"/>
  <c r="V734" i="34"/>
  <c r="W734" i="34"/>
  <c r="X734" i="34"/>
  <c r="Y734" i="34"/>
  <c r="N735" i="34"/>
  <c r="O735" i="34"/>
  <c r="P735" i="34"/>
  <c r="Q735" i="34"/>
  <c r="R735" i="34"/>
  <c r="S735" i="34"/>
  <c r="T735" i="34"/>
  <c r="U735" i="34"/>
  <c r="V735" i="34"/>
  <c r="W735" i="34"/>
  <c r="X735" i="34"/>
  <c r="Y735" i="34"/>
  <c r="N736" i="34"/>
  <c r="O736" i="34"/>
  <c r="P736" i="34"/>
  <c r="Q736" i="34"/>
  <c r="R736" i="34"/>
  <c r="S736" i="34"/>
  <c r="T736" i="34"/>
  <c r="U736" i="34"/>
  <c r="V736" i="34"/>
  <c r="W736" i="34"/>
  <c r="X736" i="34"/>
  <c r="Y736" i="34"/>
  <c r="N737" i="34"/>
  <c r="O737" i="34"/>
  <c r="P737" i="34"/>
  <c r="Q737" i="34"/>
  <c r="R737" i="34"/>
  <c r="S737" i="34"/>
  <c r="T737" i="34"/>
  <c r="U737" i="34"/>
  <c r="V737" i="34"/>
  <c r="W737" i="34"/>
  <c r="X737" i="34"/>
  <c r="Y737" i="34"/>
  <c r="N738" i="34"/>
  <c r="O738" i="34"/>
  <c r="P738" i="34"/>
  <c r="Q738" i="34"/>
  <c r="R738" i="34"/>
  <c r="S738" i="34"/>
  <c r="T738" i="34"/>
  <c r="U738" i="34"/>
  <c r="V738" i="34"/>
  <c r="W738" i="34"/>
  <c r="X738" i="34"/>
  <c r="Y738" i="34"/>
  <c r="N739" i="34"/>
  <c r="O739" i="34"/>
  <c r="P739" i="34"/>
  <c r="Q739" i="34"/>
  <c r="R739" i="34"/>
  <c r="S739" i="34"/>
  <c r="T739" i="34"/>
  <c r="U739" i="34"/>
  <c r="V739" i="34"/>
  <c r="W739" i="34"/>
  <c r="X739" i="34"/>
  <c r="Y739" i="34"/>
  <c r="N740" i="34"/>
  <c r="O740" i="34"/>
  <c r="P740" i="34"/>
  <c r="Q740" i="34"/>
  <c r="R740" i="34"/>
  <c r="S740" i="34"/>
  <c r="T740" i="34"/>
  <c r="U740" i="34"/>
  <c r="V740" i="34"/>
  <c r="W740" i="34"/>
  <c r="X740" i="34"/>
  <c r="Y740" i="34"/>
  <c r="N741" i="34"/>
  <c r="O741" i="34"/>
  <c r="P741" i="34"/>
  <c r="Q741" i="34"/>
  <c r="R741" i="34"/>
  <c r="S741" i="34"/>
  <c r="T741" i="34"/>
  <c r="U741" i="34"/>
  <c r="V741" i="34"/>
  <c r="W741" i="34"/>
  <c r="X741" i="34"/>
  <c r="Y741" i="34"/>
  <c r="N742" i="34"/>
  <c r="O742" i="34"/>
  <c r="P742" i="34"/>
  <c r="Q742" i="34"/>
  <c r="R742" i="34"/>
  <c r="S742" i="34"/>
  <c r="T742" i="34"/>
  <c r="U742" i="34"/>
  <c r="V742" i="34"/>
  <c r="W742" i="34"/>
  <c r="X742" i="34"/>
  <c r="Y742" i="34"/>
  <c r="N743" i="34"/>
  <c r="O743" i="34"/>
  <c r="P743" i="34"/>
  <c r="Q743" i="34"/>
  <c r="R743" i="34"/>
  <c r="S743" i="34"/>
  <c r="T743" i="34"/>
  <c r="U743" i="34"/>
  <c r="V743" i="34"/>
  <c r="W743" i="34"/>
  <c r="X743" i="34"/>
  <c r="Y743" i="34"/>
  <c r="N744" i="34"/>
  <c r="O744" i="34"/>
  <c r="P744" i="34"/>
  <c r="Q744" i="34"/>
  <c r="R744" i="34"/>
  <c r="S744" i="34"/>
  <c r="T744" i="34"/>
  <c r="U744" i="34"/>
  <c r="V744" i="34"/>
  <c r="W744" i="34"/>
  <c r="X744" i="34"/>
  <c r="Y744" i="34"/>
  <c r="N745" i="34"/>
  <c r="O745" i="34"/>
  <c r="P745" i="34"/>
  <c r="Q745" i="34"/>
  <c r="R745" i="34"/>
  <c r="S745" i="34"/>
  <c r="T745" i="34"/>
  <c r="U745" i="34"/>
  <c r="V745" i="34"/>
  <c r="W745" i="34"/>
  <c r="X745" i="34"/>
  <c r="Y745" i="34"/>
  <c r="N746" i="34"/>
  <c r="O746" i="34"/>
  <c r="P746" i="34"/>
  <c r="Q746" i="34"/>
  <c r="R746" i="34"/>
  <c r="S746" i="34"/>
  <c r="T746" i="34"/>
  <c r="U746" i="34"/>
  <c r="V746" i="34"/>
  <c r="W746" i="34"/>
  <c r="X746" i="34"/>
  <c r="Y746" i="34"/>
  <c r="N747" i="34"/>
  <c r="O747" i="34"/>
  <c r="P747" i="34"/>
  <c r="Q747" i="34"/>
  <c r="R747" i="34"/>
  <c r="S747" i="34"/>
  <c r="T747" i="34"/>
  <c r="U747" i="34"/>
  <c r="V747" i="34"/>
  <c r="W747" i="34"/>
  <c r="X747" i="34"/>
  <c r="Y747" i="34"/>
  <c r="N748" i="34"/>
  <c r="O748" i="34"/>
  <c r="P748" i="34"/>
  <c r="Q748" i="34"/>
  <c r="R748" i="34"/>
  <c r="S748" i="34"/>
  <c r="T748" i="34"/>
  <c r="U748" i="34"/>
  <c r="V748" i="34"/>
  <c r="W748" i="34"/>
  <c r="X748" i="34"/>
  <c r="Y748" i="34"/>
  <c r="N749" i="34"/>
  <c r="O749" i="34"/>
  <c r="P749" i="34"/>
  <c r="Q749" i="34"/>
  <c r="R749" i="34"/>
  <c r="S749" i="34"/>
  <c r="T749" i="34"/>
  <c r="U749" i="34"/>
  <c r="V749" i="34"/>
  <c r="W749" i="34"/>
  <c r="X749" i="34"/>
  <c r="Y749" i="34"/>
  <c r="N750" i="34"/>
  <c r="O750" i="34"/>
  <c r="P750" i="34"/>
  <c r="Q750" i="34"/>
  <c r="R750" i="34"/>
  <c r="S750" i="34"/>
  <c r="T750" i="34"/>
  <c r="U750" i="34"/>
  <c r="V750" i="34"/>
  <c r="W750" i="34"/>
  <c r="X750" i="34"/>
  <c r="Y750" i="34"/>
  <c r="N751" i="34"/>
  <c r="O751" i="34"/>
  <c r="P751" i="34"/>
  <c r="Q751" i="34"/>
  <c r="R751" i="34"/>
  <c r="S751" i="34"/>
  <c r="T751" i="34"/>
  <c r="U751" i="34"/>
  <c r="V751" i="34"/>
  <c r="W751" i="34"/>
  <c r="X751" i="34"/>
  <c r="Y751" i="34"/>
  <c r="N752" i="34"/>
  <c r="O752" i="34"/>
  <c r="P752" i="34"/>
  <c r="Q752" i="34"/>
  <c r="R752" i="34"/>
  <c r="S752" i="34"/>
  <c r="T752" i="34"/>
  <c r="U752" i="34"/>
  <c r="V752" i="34"/>
  <c r="W752" i="34"/>
  <c r="X752" i="34"/>
  <c r="Y752" i="34"/>
  <c r="N753" i="34"/>
  <c r="O753" i="34"/>
  <c r="P753" i="34"/>
  <c r="Q753" i="34"/>
  <c r="R753" i="34"/>
  <c r="S753" i="34"/>
  <c r="T753" i="34"/>
  <c r="U753" i="34"/>
  <c r="V753" i="34"/>
  <c r="W753" i="34"/>
  <c r="X753" i="34"/>
  <c r="Y753" i="34"/>
  <c r="N754" i="34"/>
  <c r="O754" i="34"/>
  <c r="P754" i="34"/>
  <c r="Q754" i="34"/>
  <c r="R754" i="34"/>
  <c r="S754" i="34"/>
  <c r="T754" i="34"/>
  <c r="U754" i="34"/>
  <c r="V754" i="34"/>
  <c r="W754" i="34"/>
  <c r="X754" i="34"/>
  <c r="Y754" i="34"/>
  <c r="N755" i="34"/>
  <c r="O755" i="34"/>
  <c r="P755" i="34"/>
  <c r="Q755" i="34"/>
  <c r="R755" i="34"/>
  <c r="S755" i="34"/>
  <c r="T755" i="34"/>
  <c r="U755" i="34"/>
  <c r="V755" i="34"/>
  <c r="W755" i="34"/>
  <c r="X755" i="34"/>
  <c r="Y755" i="34"/>
  <c r="N756" i="34"/>
  <c r="O756" i="34"/>
  <c r="P756" i="34"/>
  <c r="Q756" i="34"/>
  <c r="R756" i="34"/>
  <c r="S756" i="34"/>
  <c r="T756" i="34"/>
  <c r="U756" i="34"/>
  <c r="V756" i="34"/>
  <c r="W756" i="34"/>
  <c r="X756" i="34"/>
  <c r="Y756" i="34"/>
  <c r="N757" i="34"/>
  <c r="O757" i="34"/>
  <c r="P757" i="34"/>
  <c r="Q757" i="34"/>
  <c r="R757" i="34"/>
  <c r="S757" i="34"/>
  <c r="T757" i="34"/>
  <c r="U757" i="34"/>
  <c r="V757" i="34"/>
  <c r="W757" i="34"/>
  <c r="X757" i="34"/>
  <c r="Y757" i="34"/>
  <c r="N758" i="34"/>
  <c r="O758" i="34"/>
  <c r="P758" i="34"/>
  <c r="Q758" i="34"/>
  <c r="R758" i="34"/>
  <c r="S758" i="34"/>
  <c r="T758" i="34"/>
  <c r="U758" i="34"/>
  <c r="V758" i="34"/>
  <c r="W758" i="34"/>
  <c r="X758" i="34"/>
  <c r="Y758" i="34"/>
  <c r="N759" i="34"/>
  <c r="O759" i="34"/>
  <c r="P759" i="34"/>
  <c r="Q759" i="34"/>
  <c r="R759" i="34"/>
  <c r="S759" i="34"/>
  <c r="T759" i="34"/>
  <c r="U759" i="34"/>
  <c r="V759" i="34"/>
  <c r="W759" i="34"/>
  <c r="X759" i="34"/>
  <c r="Y759" i="34"/>
  <c r="N760" i="34"/>
  <c r="O760" i="34"/>
  <c r="P760" i="34"/>
  <c r="Q760" i="34"/>
  <c r="R760" i="34"/>
  <c r="S760" i="34"/>
  <c r="T760" i="34"/>
  <c r="U760" i="34"/>
  <c r="V760" i="34"/>
  <c r="W760" i="34"/>
  <c r="X760" i="34"/>
  <c r="Y760" i="34"/>
  <c r="N761" i="34"/>
  <c r="O761" i="34"/>
  <c r="P761" i="34"/>
  <c r="Q761" i="34"/>
  <c r="R761" i="34"/>
  <c r="S761" i="34"/>
  <c r="T761" i="34"/>
  <c r="U761" i="34"/>
  <c r="V761" i="34"/>
  <c r="W761" i="34"/>
  <c r="X761" i="34"/>
  <c r="Y761" i="34"/>
  <c r="N762" i="34"/>
  <c r="O762" i="34"/>
  <c r="P762" i="34"/>
  <c r="Q762" i="34"/>
  <c r="R762" i="34"/>
  <c r="S762" i="34"/>
  <c r="T762" i="34"/>
  <c r="U762" i="34"/>
  <c r="V762" i="34"/>
  <c r="W762" i="34"/>
  <c r="X762" i="34"/>
  <c r="Y762" i="34"/>
  <c r="N763" i="34"/>
  <c r="O763" i="34"/>
  <c r="P763" i="34"/>
  <c r="Q763" i="34"/>
  <c r="R763" i="34"/>
  <c r="S763" i="34"/>
  <c r="T763" i="34"/>
  <c r="U763" i="34"/>
  <c r="V763" i="34"/>
  <c r="W763" i="34"/>
  <c r="X763" i="34"/>
  <c r="Y763" i="34"/>
  <c r="N764" i="34"/>
  <c r="O764" i="34"/>
  <c r="P764" i="34"/>
  <c r="Q764" i="34"/>
  <c r="R764" i="34"/>
  <c r="S764" i="34"/>
  <c r="T764" i="34"/>
  <c r="U764" i="34"/>
  <c r="V764" i="34"/>
  <c r="W764" i="34"/>
  <c r="X764" i="34"/>
  <c r="Y764" i="34"/>
  <c r="N765" i="34"/>
  <c r="O765" i="34"/>
  <c r="P765" i="34"/>
  <c r="Q765" i="34"/>
  <c r="R765" i="34"/>
  <c r="S765" i="34"/>
  <c r="T765" i="34"/>
  <c r="U765" i="34"/>
  <c r="V765" i="34"/>
  <c r="W765" i="34"/>
  <c r="X765" i="34"/>
  <c r="Y765" i="34"/>
  <c r="N766" i="34"/>
  <c r="O766" i="34"/>
  <c r="P766" i="34"/>
  <c r="Q766" i="34"/>
  <c r="R766" i="34"/>
  <c r="S766" i="34"/>
  <c r="T766" i="34"/>
  <c r="U766" i="34"/>
  <c r="V766" i="34"/>
  <c r="W766" i="34"/>
  <c r="X766" i="34"/>
  <c r="Y766" i="34"/>
  <c r="N767" i="34"/>
  <c r="O767" i="34"/>
  <c r="P767" i="34"/>
  <c r="Q767" i="34"/>
  <c r="R767" i="34"/>
  <c r="S767" i="34"/>
  <c r="T767" i="34"/>
  <c r="U767" i="34"/>
  <c r="V767" i="34"/>
  <c r="W767" i="34"/>
  <c r="X767" i="34"/>
  <c r="Y767" i="34"/>
  <c r="N768" i="34"/>
  <c r="O768" i="34"/>
  <c r="P768" i="34"/>
  <c r="Q768" i="34"/>
  <c r="R768" i="34"/>
  <c r="S768" i="34"/>
  <c r="T768" i="34"/>
  <c r="U768" i="34"/>
  <c r="V768" i="34"/>
  <c r="W768" i="34"/>
  <c r="X768" i="34"/>
  <c r="Y768" i="34"/>
  <c r="N769" i="34"/>
  <c r="O769" i="34"/>
  <c r="P769" i="34"/>
  <c r="Q769" i="34"/>
  <c r="R769" i="34"/>
  <c r="S769" i="34"/>
  <c r="T769" i="34"/>
  <c r="U769" i="34"/>
  <c r="V769" i="34"/>
  <c r="W769" i="34"/>
  <c r="X769" i="34"/>
  <c r="Y769" i="34"/>
  <c r="N770" i="34"/>
  <c r="O770" i="34"/>
  <c r="P770" i="34"/>
  <c r="Q770" i="34"/>
  <c r="R770" i="34"/>
  <c r="S770" i="34"/>
  <c r="T770" i="34"/>
  <c r="U770" i="34"/>
  <c r="V770" i="34"/>
  <c r="W770" i="34"/>
  <c r="X770" i="34"/>
  <c r="Y770" i="34"/>
  <c r="N771" i="34"/>
  <c r="O771" i="34"/>
  <c r="P771" i="34"/>
  <c r="Q771" i="34"/>
  <c r="R771" i="34"/>
  <c r="S771" i="34"/>
  <c r="T771" i="34"/>
  <c r="U771" i="34"/>
  <c r="V771" i="34"/>
  <c r="W771" i="34"/>
  <c r="X771" i="34"/>
  <c r="Y771" i="34"/>
  <c r="N772" i="34"/>
  <c r="O772" i="34"/>
  <c r="P772" i="34"/>
  <c r="Q772" i="34"/>
  <c r="R772" i="34"/>
  <c r="S772" i="34"/>
  <c r="T772" i="34"/>
  <c r="U772" i="34"/>
  <c r="V772" i="34"/>
  <c r="W772" i="34"/>
  <c r="X772" i="34"/>
  <c r="Y772" i="34"/>
  <c r="N773" i="34"/>
  <c r="O773" i="34"/>
  <c r="P773" i="34"/>
  <c r="Q773" i="34"/>
  <c r="R773" i="34"/>
  <c r="S773" i="34"/>
  <c r="T773" i="34"/>
  <c r="U773" i="34"/>
  <c r="V773" i="34"/>
  <c r="W773" i="34"/>
  <c r="X773" i="34"/>
  <c r="Y773" i="34"/>
  <c r="N774" i="34"/>
  <c r="O774" i="34"/>
  <c r="P774" i="34"/>
  <c r="Q774" i="34"/>
  <c r="R774" i="34"/>
  <c r="S774" i="34"/>
  <c r="T774" i="34"/>
  <c r="U774" i="34"/>
  <c r="V774" i="34"/>
  <c r="W774" i="34"/>
  <c r="X774" i="34"/>
  <c r="Y774" i="34"/>
  <c r="N775" i="34"/>
  <c r="O775" i="34"/>
  <c r="P775" i="34"/>
  <c r="Q775" i="34"/>
  <c r="R775" i="34"/>
  <c r="S775" i="34"/>
  <c r="T775" i="34"/>
  <c r="U775" i="34"/>
  <c r="V775" i="34"/>
  <c r="W775" i="34"/>
  <c r="X775" i="34"/>
  <c r="Y775" i="34"/>
  <c r="N776" i="34"/>
  <c r="O776" i="34"/>
  <c r="P776" i="34"/>
  <c r="Q776" i="34"/>
  <c r="R776" i="34"/>
  <c r="S776" i="34"/>
  <c r="T776" i="34"/>
  <c r="U776" i="34"/>
  <c r="V776" i="34"/>
  <c r="W776" i="34"/>
  <c r="X776" i="34"/>
  <c r="Y776" i="34"/>
  <c r="N777" i="34"/>
  <c r="O777" i="34"/>
  <c r="P777" i="34"/>
  <c r="Q777" i="34"/>
  <c r="R777" i="34"/>
  <c r="S777" i="34"/>
  <c r="T777" i="34"/>
  <c r="U777" i="34"/>
  <c r="V777" i="34"/>
  <c r="W777" i="34"/>
  <c r="X777" i="34"/>
  <c r="Y777" i="34"/>
  <c r="N778" i="34"/>
  <c r="O778" i="34"/>
  <c r="P778" i="34"/>
  <c r="Q778" i="34"/>
  <c r="R778" i="34"/>
  <c r="S778" i="34"/>
  <c r="T778" i="34"/>
  <c r="U778" i="34"/>
  <c r="V778" i="34"/>
  <c r="W778" i="34"/>
  <c r="X778" i="34"/>
  <c r="Y778" i="34"/>
  <c r="N779" i="34"/>
  <c r="O779" i="34"/>
  <c r="P779" i="34"/>
  <c r="Q779" i="34"/>
  <c r="R779" i="34"/>
  <c r="S779" i="34"/>
  <c r="T779" i="34"/>
  <c r="U779" i="34"/>
  <c r="V779" i="34"/>
  <c r="W779" i="34"/>
  <c r="X779" i="34"/>
  <c r="Y779" i="34"/>
  <c r="N780" i="34"/>
  <c r="O780" i="34"/>
  <c r="P780" i="34"/>
  <c r="Q780" i="34"/>
  <c r="R780" i="34"/>
  <c r="S780" i="34"/>
  <c r="T780" i="34"/>
  <c r="U780" i="34"/>
  <c r="V780" i="34"/>
  <c r="W780" i="34"/>
  <c r="X780" i="34"/>
  <c r="Y780" i="34"/>
  <c r="N781" i="34"/>
  <c r="O781" i="34"/>
  <c r="P781" i="34"/>
  <c r="Q781" i="34"/>
  <c r="R781" i="34"/>
  <c r="S781" i="34"/>
  <c r="T781" i="34"/>
  <c r="U781" i="34"/>
  <c r="V781" i="34"/>
  <c r="W781" i="34"/>
  <c r="X781" i="34"/>
  <c r="Y781" i="34"/>
  <c r="N782" i="34"/>
  <c r="O782" i="34"/>
  <c r="P782" i="34"/>
  <c r="Q782" i="34"/>
  <c r="R782" i="34"/>
  <c r="S782" i="34"/>
  <c r="T782" i="34"/>
  <c r="U782" i="34"/>
  <c r="V782" i="34"/>
  <c r="W782" i="34"/>
  <c r="X782" i="34"/>
  <c r="Y782" i="34"/>
  <c r="N783" i="34"/>
  <c r="O783" i="34"/>
  <c r="P783" i="34"/>
  <c r="Q783" i="34"/>
  <c r="R783" i="34"/>
  <c r="S783" i="34"/>
  <c r="T783" i="34"/>
  <c r="U783" i="34"/>
  <c r="V783" i="34"/>
  <c r="W783" i="34"/>
  <c r="X783" i="34"/>
  <c r="Y783" i="34"/>
  <c r="N784" i="34"/>
  <c r="O784" i="34"/>
  <c r="P784" i="34"/>
  <c r="Q784" i="34"/>
  <c r="R784" i="34"/>
  <c r="S784" i="34"/>
  <c r="T784" i="34"/>
  <c r="U784" i="34"/>
  <c r="V784" i="34"/>
  <c r="W784" i="34"/>
  <c r="X784" i="34"/>
  <c r="Y784" i="34"/>
  <c r="N785" i="34"/>
  <c r="O785" i="34"/>
  <c r="P785" i="34"/>
  <c r="Q785" i="34"/>
  <c r="R785" i="34"/>
  <c r="S785" i="34"/>
  <c r="T785" i="34"/>
  <c r="U785" i="34"/>
  <c r="V785" i="34"/>
  <c r="W785" i="34"/>
  <c r="X785" i="34"/>
  <c r="Y785" i="34"/>
  <c r="N786" i="34"/>
  <c r="O786" i="34"/>
  <c r="P786" i="34"/>
  <c r="Q786" i="34"/>
  <c r="R786" i="34"/>
  <c r="S786" i="34"/>
  <c r="T786" i="34"/>
  <c r="U786" i="34"/>
  <c r="V786" i="34"/>
  <c r="W786" i="34"/>
  <c r="X786" i="34"/>
  <c r="Y786" i="34"/>
  <c r="N787" i="34"/>
  <c r="O787" i="34"/>
  <c r="P787" i="34"/>
  <c r="Q787" i="34"/>
  <c r="R787" i="34"/>
  <c r="S787" i="34"/>
  <c r="T787" i="34"/>
  <c r="U787" i="34"/>
  <c r="V787" i="34"/>
  <c r="W787" i="34"/>
  <c r="X787" i="34"/>
  <c r="Y787" i="34"/>
  <c r="N788" i="34"/>
  <c r="O788" i="34"/>
  <c r="P788" i="34"/>
  <c r="Q788" i="34"/>
  <c r="R788" i="34"/>
  <c r="S788" i="34"/>
  <c r="T788" i="34"/>
  <c r="U788" i="34"/>
  <c r="V788" i="34"/>
  <c r="W788" i="34"/>
  <c r="X788" i="34"/>
  <c r="Y788" i="34"/>
  <c r="N789" i="34"/>
  <c r="O789" i="34"/>
  <c r="P789" i="34"/>
  <c r="Q789" i="34"/>
  <c r="R789" i="34"/>
  <c r="S789" i="34"/>
  <c r="T789" i="34"/>
  <c r="U789" i="34"/>
  <c r="V789" i="34"/>
  <c r="W789" i="34"/>
  <c r="X789" i="34"/>
  <c r="Y789" i="34"/>
  <c r="N790" i="34"/>
  <c r="O790" i="34"/>
  <c r="P790" i="34"/>
  <c r="Q790" i="34"/>
  <c r="R790" i="34"/>
  <c r="S790" i="34"/>
  <c r="T790" i="34"/>
  <c r="U790" i="34"/>
  <c r="V790" i="34"/>
  <c r="W790" i="34"/>
  <c r="X790" i="34"/>
  <c r="Y790" i="34"/>
  <c r="N791" i="34"/>
  <c r="O791" i="34"/>
  <c r="P791" i="34"/>
  <c r="Q791" i="34"/>
  <c r="R791" i="34"/>
  <c r="S791" i="34"/>
  <c r="T791" i="34"/>
  <c r="U791" i="34"/>
  <c r="V791" i="34"/>
  <c r="W791" i="34"/>
  <c r="X791" i="34"/>
  <c r="Y791" i="34"/>
  <c r="N792" i="34"/>
  <c r="O792" i="34"/>
  <c r="P792" i="34"/>
  <c r="Q792" i="34"/>
  <c r="R792" i="34"/>
  <c r="S792" i="34"/>
  <c r="T792" i="34"/>
  <c r="U792" i="34"/>
  <c r="V792" i="34"/>
  <c r="W792" i="34"/>
  <c r="X792" i="34"/>
  <c r="Y792" i="34"/>
  <c r="N793" i="34"/>
  <c r="O793" i="34"/>
  <c r="P793" i="34"/>
  <c r="Q793" i="34"/>
  <c r="R793" i="34"/>
  <c r="S793" i="34"/>
  <c r="T793" i="34"/>
  <c r="U793" i="34"/>
  <c r="V793" i="34"/>
  <c r="W793" i="34"/>
  <c r="X793" i="34"/>
  <c r="Y793" i="34"/>
  <c r="N794" i="34"/>
  <c r="O794" i="34"/>
  <c r="P794" i="34"/>
  <c r="Q794" i="34"/>
  <c r="R794" i="34"/>
  <c r="S794" i="34"/>
  <c r="T794" i="34"/>
  <c r="U794" i="34"/>
  <c r="V794" i="34"/>
  <c r="W794" i="34"/>
  <c r="X794" i="34"/>
  <c r="Y794" i="34"/>
  <c r="N795" i="34"/>
  <c r="O795" i="34"/>
  <c r="P795" i="34"/>
  <c r="Q795" i="34"/>
  <c r="R795" i="34"/>
  <c r="S795" i="34"/>
  <c r="T795" i="34"/>
  <c r="U795" i="34"/>
  <c r="V795" i="34"/>
  <c r="W795" i="34"/>
  <c r="X795" i="34"/>
  <c r="Y795" i="34"/>
  <c r="N796" i="34"/>
  <c r="O796" i="34"/>
  <c r="P796" i="34"/>
  <c r="Q796" i="34"/>
  <c r="R796" i="34"/>
  <c r="S796" i="34"/>
  <c r="T796" i="34"/>
  <c r="U796" i="34"/>
  <c r="V796" i="34"/>
  <c r="W796" i="34"/>
  <c r="X796" i="34"/>
  <c r="Y796" i="34"/>
  <c r="N797" i="34"/>
  <c r="O797" i="34"/>
  <c r="P797" i="34"/>
  <c r="Q797" i="34"/>
  <c r="R797" i="34"/>
  <c r="S797" i="34"/>
  <c r="T797" i="34"/>
  <c r="U797" i="34"/>
  <c r="V797" i="34"/>
  <c r="W797" i="34"/>
  <c r="X797" i="34"/>
  <c r="Y797" i="34"/>
  <c r="N798" i="34"/>
  <c r="O798" i="34"/>
  <c r="P798" i="34"/>
  <c r="Q798" i="34"/>
  <c r="R798" i="34"/>
  <c r="S798" i="34"/>
  <c r="T798" i="34"/>
  <c r="U798" i="34"/>
  <c r="V798" i="34"/>
  <c r="W798" i="34"/>
  <c r="X798" i="34"/>
  <c r="Y798" i="34"/>
  <c r="N799" i="34"/>
  <c r="O799" i="34"/>
  <c r="P799" i="34"/>
  <c r="Q799" i="34"/>
  <c r="R799" i="34"/>
  <c r="S799" i="34"/>
  <c r="T799" i="34"/>
  <c r="U799" i="34"/>
  <c r="V799" i="34"/>
  <c r="W799" i="34"/>
  <c r="X799" i="34"/>
  <c r="Y799" i="34"/>
  <c r="N800" i="34"/>
  <c r="O800" i="34"/>
  <c r="P800" i="34"/>
  <c r="Q800" i="34"/>
  <c r="R800" i="34"/>
  <c r="S800" i="34"/>
  <c r="T800" i="34"/>
  <c r="U800" i="34"/>
  <c r="V800" i="34"/>
  <c r="W800" i="34"/>
  <c r="X800" i="34"/>
  <c r="Y800" i="34"/>
  <c r="N801" i="34"/>
  <c r="O801" i="34"/>
  <c r="P801" i="34"/>
  <c r="Q801" i="34"/>
  <c r="R801" i="34"/>
  <c r="S801" i="34"/>
  <c r="T801" i="34"/>
  <c r="U801" i="34"/>
  <c r="V801" i="34"/>
  <c r="W801" i="34"/>
  <c r="X801" i="34"/>
  <c r="Y801" i="34"/>
  <c r="N802" i="34"/>
  <c r="O802" i="34"/>
  <c r="P802" i="34"/>
  <c r="Q802" i="34"/>
  <c r="R802" i="34"/>
  <c r="S802" i="34"/>
  <c r="T802" i="34"/>
  <c r="U802" i="34"/>
  <c r="V802" i="34"/>
  <c r="W802" i="34"/>
  <c r="X802" i="34"/>
  <c r="Y802" i="34"/>
  <c r="N803" i="34"/>
  <c r="O803" i="34"/>
  <c r="P803" i="34"/>
  <c r="Q803" i="34"/>
  <c r="R803" i="34"/>
  <c r="S803" i="34"/>
  <c r="T803" i="34"/>
  <c r="U803" i="34"/>
  <c r="V803" i="34"/>
  <c r="W803" i="34"/>
  <c r="X803" i="34"/>
  <c r="Y803" i="34"/>
  <c r="N804" i="34"/>
  <c r="O804" i="34"/>
  <c r="P804" i="34"/>
  <c r="Q804" i="34"/>
  <c r="R804" i="34"/>
  <c r="S804" i="34"/>
  <c r="T804" i="34"/>
  <c r="U804" i="34"/>
  <c r="V804" i="34"/>
  <c r="W804" i="34"/>
  <c r="X804" i="34"/>
  <c r="Y804" i="34"/>
  <c r="N805" i="34"/>
  <c r="O805" i="34"/>
  <c r="P805" i="34"/>
  <c r="Q805" i="34"/>
  <c r="R805" i="34"/>
  <c r="S805" i="34"/>
  <c r="T805" i="34"/>
  <c r="U805" i="34"/>
  <c r="V805" i="34"/>
  <c r="W805" i="34"/>
  <c r="X805" i="34"/>
  <c r="Y805" i="34"/>
  <c r="N806" i="34"/>
  <c r="O806" i="34"/>
  <c r="P806" i="34"/>
  <c r="Q806" i="34"/>
  <c r="R806" i="34"/>
  <c r="S806" i="34"/>
  <c r="T806" i="34"/>
  <c r="U806" i="34"/>
  <c r="V806" i="34"/>
  <c r="W806" i="34"/>
  <c r="X806" i="34"/>
  <c r="Y806" i="34"/>
  <c r="N807" i="34"/>
  <c r="O807" i="34"/>
  <c r="P807" i="34"/>
  <c r="Q807" i="34"/>
  <c r="R807" i="34"/>
  <c r="S807" i="34"/>
  <c r="T807" i="34"/>
  <c r="U807" i="34"/>
  <c r="V807" i="34"/>
  <c r="W807" i="34"/>
  <c r="X807" i="34"/>
  <c r="Y807" i="34"/>
  <c r="N808" i="34"/>
  <c r="O808" i="34"/>
  <c r="P808" i="34"/>
  <c r="Q808" i="34"/>
  <c r="R808" i="34"/>
  <c r="S808" i="34"/>
  <c r="T808" i="34"/>
  <c r="U808" i="34"/>
  <c r="V808" i="34"/>
  <c r="W808" i="34"/>
  <c r="X808" i="34"/>
  <c r="Y808" i="34"/>
  <c r="N809" i="34"/>
  <c r="O809" i="34"/>
  <c r="P809" i="34"/>
  <c r="Q809" i="34"/>
  <c r="R809" i="34"/>
  <c r="S809" i="34"/>
  <c r="T809" i="34"/>
  <c r="U809" i="34"/>
  <c r="V809" i="34"/>
  <c r="W809" i="34"/>
  <c r="X809" i="34"/>
  <c r="Y809" i="34"/>
  <c r="N810" i="34"/>
  <c r="O810" i="34"/>
  <c r="P810" i="34"/>
  <c r="Q810" i="34"/>
  <c r="R810" i="34"/>
  <c r="S810" i="34"/>
  <c r="T810" i="34"/>
  <c r="U810" i="34"/>
  <c r="V810" i="34"/>
  <c r="W810" i="34"/>
  <c r="X810" i="34"/>
  <c r="Y810" i="34"/>
  <c r="N811" i="34"/>
  <c r="O811" i="34"/>
  <c r="P811" i="34"/>
  <c r="Q811" i="34"/>
  <c r="R811" i="34"/>
  <c r="S811" i="34"/>
  <c r="T811" i="34"/>
  <c r="U811" i="34"/>
  <c r="V811" i="34"/>
  <c r="W811" i="34"/>
  <c r="X811" i="34"/>
  <c r="Y811" i="34"/>
  <c r="N812" i="34"/>
  <c r="O812" i="34"/>
  <c r="P812" i="34"/>
  <c r="Q812" i="34"/>
  <c r="R812" i="34"/>
  <c r="S812" i="34"/>
  <c r="T812" i="34"/>
  <c r="U812" i="34"/>
  <c r="V812" i="34"/>
  <c r="W812" i="34"/>
  <c r="X812" i="34"/>
  <c r="Y812" i="34"/>
  <c r="N813" i="34"/>
  <c r="O813" i="34"/>
  <c r="P813" i="34"/>
  <c r="Q813" i="34"/>
  <c r="R813" i="34"/>
  <c r="S813" i="34"/>
  <c r="T813" i="34"/>
  <c r="U813" i="34"/>
  <c r="V813" i="34"/>
  <c r="W813" i="34"/>
  <c r="X813" i="34"/>
  <c r="Y813" i="34"/>
  <c r="N814" i="34"/>
  <c r="O814" i="34"/>
  <c r="P814" i="34"/>
  <c r="Q814" i="34"/>
  <c r="R814" i="34"/>
  <c r="S814" i="34"/>
  <c r="T814" i="34"/>
  <c r="U814" i="34"/>
  <c r="V814" i="34"/>
  <c r="W814" i="34"/>
  <c r="X814" i="34"/>
  <c r="Y814" i="34"/>
  <c r="N815" i="34"/>
  <c r="O815" i="34"/>
  <c r="P815" i="34"/>
  <c r="Q815" i="34"/>
  <c r="R815" i="34"/>
  <c r="S815" i="34"/>
  <c r="T815" i="34"/>
  <c r="U815" i="34"/>
  <c r="V815" i="34"/>
  <c r="W815" i="34"/>
  <c r="X815" i="34"/>
  <c r="Y815" i="34"/>
  <c r="N816" i="34"/>
  <c r="O816" i="34"/>
  <c r="P816" i="34"/>
  <c r="Q816" i="34"/>
  <c r="R816" i="34"/>
  <c r="S816" i="34"/>
  <c r="T816" i="34"/>
  <c r="U816" i="34"/>
  <c r="V816" i="34"/>
  <c r="W816" i="34"/>
  <c r="X816" i="34"/>
  <c r="Y816" i="34"/>
  <c r="N817" i="34"/>
  <c r="O817" i="34"/>
  <c r="P817" i="34"/>
  <c r="Q817" i="34"/>
  <c r="R817" i="34"/>
  <c r="S817" i="34"/>
  <c r="T817" i="34"/>
  <c r="U817" i="34"/>
  <c r="V817" i="34"/>
  <c r="W817" i="34"/>
  <c r="X817" i="34"/>
  <c r="Y817" i="34"/>
  <c r="N818" i="34"/>
  <c r="O818" i="34"/>
  <c r="P818" i="34"/>
  <c r="Q818" i="34"/>
  <c r="R818" i="34"/>
  <c r="S818" i="34"/>
  <c r="T818" i="34"/>
  <c r="U818" i="34"/>
  <c r="V818" i="34"/>
  <c r="W818" i="34"/>
  <c r="X818" i="34"/>
  <c r="Y818" i="34"/>
  <c r="N819" i="34"/>
  <c r="O819" i="34"/>
  <c r="P819" i="34"/>
  <c r="Q819" i="34"/>
  <c r="R819" i="34"/>
  <c r="S819" i="34"/>
  <c r="T819" i="34"/>
  <c r="U819" i="34"/>
  <c r="V819" i="34"/>
  <c r="W819" i="34"/>
  <c r="X819" i="34"/>
  <c r="Y819" i="34"/>
  <c r="N820" i="34"/>
  <c r="O820" i="34"/>
  <c r="P820" i="34"/>
  <c r="Q820" i="34"/>
  <c r="R820" i="34"/>
  <c r="S820" i="34"/>
  <c r="T820" i="34"/>
  <c r="U820" i="34"/>
  <c r="V820" i="34"/>
  <c r="W820" i="34"/>
  <c r="X820" i="34"/>
  <c r="Y820" i="34"/>
  <c r="N821" i="34"/>
  <c r="O821" i="34"/>
  <c r="P821" i="34"/>
  <c r="Q821" i="34"/>
  <c r="R821" i="34"/>
  <c r="S821" i="34"/>
  <c r="T821" i="34"/>
  <c r="U821" i="34"/>
  <c r="V821" i="34"/>
  <c r="W821" i="34"/>
  <c r="X821" i="34"/>
  <c r="Y821" i="34"/>
  <c r="N822" i="34"/>
  <c r="O822" i="34"/>
  <c r="P822" i="34"/>
  <c r="Q822" i="34"/>
  <c r="R822" i="34"/>
  <c r="S822" i="34"/>
  <c r="T822" i="34"/>
  <c r="U822" i="34"/>
  <c r="V822" i="34"/>
  <c r="W822" i="34"/>
  <c r="X822" i="34"/>
  <c r="Y822" i="34"/>
  <c r="N823" i="34"/>
  <c r="O823" i="34"/>
  <c r="P823" i="34"/>
  <c r="Q823" i="34"/>
  <c r="R823" i="34"/>
  <c r="S823" i="34"/>
  <c r="T823" i="34"/>
  <c r="U823" i="34"/>
  <c r="V823" i="34"/>
  <c r="W823" i="34"/>
  <c r="X823" i="34"/>
  <c r="Y823" i="34"/>
  <c r="N824" i="34"/>
  <c r="O824" i="34"/>
  <c r="P824" i="34"/>
  <c r="Q824" i="34"/>
  <c r="R824" i="34"/>
  <c r="S824" i="34"/>
  <c r="T824" i="34"/>
  <c r="U824" i="34"/>
  <c r="V824" i="34"/>
  <c r="W824" i="34"/>
  <c r="X824" i="34"/>
  <c r="Y824" i="34"/>
  <c r="N825" i="34"/>
  <c r="O825" i="34"/>
  <c r="P825" i="34"/>
  <c r="Q825" i="34"/>
  <c r="R825" i="34"/>
  <c r="S825" i="34"/>
  <c r="T825" i="34"/>
  <c r="U825" i="34"/>
  <c r="V825" i="34"/>
  <c r="W825" i="34"/>
  <c r="X825" i="34"/>
  <c r="Y825" i="34"/>
  <c r="N826" i="34"/>
  <c r="O826" i="34"/>
  <c r="P826" i="34"/>
  <c r="Q826" i="34"/>
  <c r="R826" i="34"/>
  <c r="S826" i="34"/>
  <c r="T826" i="34"/>
  <c r="U826" i="34"/>
  <c r="V826" i="34"/>
  <c r="W826" i="34"/>
  <c r="X826" i="34"/>
  <c r="Y826" i="34"/>
  <c r="N827" i="34"/>
  <c r="O827" i="34"/>
  <c r="P827" i="34"/>
  <c r="Q827" i="34"/>
  <c r="R827" i="34"/>
  <c r="S827" i="34"/>
  <c r="T827" i="34"/>
  <c r="U827" i="34"/>
  <c r="V827" i="34"/>
  <c r="W827" i="34"/>
  <c r="X827" i="34"/>
  <c r="Y827" i="34"/>
  <c r="N828" i="34"/>
  <c r="O828" i="34"/>
  <c r="P828" i="34"/>
  <c r="Q828" i="34"/>
  <c r="R828" i="34"/>
  <c r="S828" i="34"/>
  <c r="T828" i="34"/>
  <c r="U828" i="34"/>
  <c r="V828" i="34"/>
  <c r="W828" i="34"/>
  <c r="X828" i="34"/>
  <c r="Y828" i="34"/>
  <c r="N829" i="34"/>
  <c r="O829" i="34"/>
  <c r="P829" i="34"/>
  <c r="Q829" i="34"/>
  <c r="R829" i="34"/>
  <c r="S829" i="34"/>
  <c r="T829" i="34"/>
  <c r="U829" i="34"/>
  <c r="V829" i="34"/>
  <c r="W829" i="34"/>
  <c r="X829" i="34"/>
  <c r="Y829" i="34"/>
  <c r="N830" i="34"/>
  <c r="O830" i="34"/>
  <c r="P830" i="34"/>
  <c r="Q830" i="34"/>
  <c r="R830" i="34"/>
  <c r="S830" i="34"/>
  <c r="T830" i="34"/>
  <c r="U830" i="34"/>
  <c r="V830" i="34"/>
  <c r="W830" i="34"/>
  <c r="X830" i="34"/>
  <c r="Y830" i="34"/>
  <c r="N831" i="34"/>
  <c r="O831" i="34"/>
  <c r="P831" i="34"/>
  <c r="Q831" i="34"/>
  <c r="R831" i="34"/>
  <c r="S831" i="34"/>
  <c r="T831" i="34"/>
  <c r="U831" i="34"/>
  <c r="V831" i="34"/>
  <c r="W831" i="34"/>
  <c r="X831" i="34"/>
  <c r="Y831" i="34"/>
  <c r="N832" i="34"/>
  <c r="O832" i="34"/>
  <c r="P832" i="34"/>
  <c r="Q832" i="34"/>
  <c r="R832" i="34"/>
  <c r="S832" i="34"/>
  <c r="T832" i="34"/>
  <c r="U832" i="34"/>
  <c r="V832" i="34"/>
  <c r="W832" i="34"/>
  <c r="X832" i="34"/>
  <c r="Y832" i="34"/>
  <c r="N833" i="34"/>
  <c r="O833" i="34"/>
  <c r="P833" i="34"/>
  <c r="Q833" i="34"/>
  <c r="R833" i="34"/>
  <c r="S833" i="34"/>
  <c r="T833" i="34"/>
  <c r="U833" i="34"/>
  <c r="V833" i="34"/>
  <c r="W833" i="34"/>
  <c r="X833" i="34"/>
  <c r="Y833" i="34"/>
  <c r="N834" i="34"/>
  <c r="O834" i="34"/>
  <c r="P834" i="34"/>
  <c r="Q834" i="34"/>
  <c r="R834" i="34"/>
  <c r="S834" i="34"/>
  <c r="T834" i="34"/>
  <c r="U834" i="34"/>
  <c r="V834" i="34"/>
  <c r="W834" i="34"/>
  <c r="X834" i="34"/>
  <c r="Y834" i="34"/>
  <c r="N835" i="34"/>
  <c r="O835" i="34"/>
  <c r="P835" i="34"/>
  <c r="Q835" i="34"/>
  <c r="R835" i="34"/>
  <c r="S835" i="34"/>
  <c r="T835" i="34"/>
  <c r="U835" i="34"/>
  <c r="V835" i="34"/>
  <c r="W835" i="34"/>
  <c r="X835" i="34"/>
  <c r="Y835" i="34"/>
  <c r="N836" i="34"/>
  <c r="O836" i="34"/>
  <c r="P836" i="34"/>
  <c r="Q836" i="34"/>
  <c r="R836" i="34"/>
  <c r="S836" i="34"/>
  <c r="T836" i="34"/>
  <c r="U836" i="34"/>
  <c r="V836" i="34"/>
  <c r="W836" i="34"/>
  <c r="X836" i="34"/>
  <c r="Y836" i="34"/>
  <c r="N837" i="34"/>
  <c r="O837" i="34"/>
  <c r="P837" i="34"/>
  <c r="Q837" i="34"/>
  <c r="R837" i="34"/>
  <c r="S837" i="34"/>
  <c r="T837" i="34"/>
  <c r="U837" i="34"/>
  <c r="V837" i="34"/>
  <c r="W837" i="34"/>
  <c r="X837" i="34"/>
  <c r="Y837" i="34"/>
  <c r="N838" i="34"/>
  <c r="O838" i="34"/>
  <c r="P838" i="34"/>
  <c r="Q838" i="34"/>
  <c r="R838" i="34"/>
  <c r="S838" i="34"/>
  <c r="T838" i="34"/>
  <c r="U838" i="34"/>
  <c r="V838" i="34"/>
  <c r="W838" i="34"/>
  <c r="X838" i="34"/>
  <c r="Y838" i="34"/>
  <c r="N839" i="34"/>
  <c r="O839" i="34"/>
  <c r="P839" i="34"/>
  <c r="Q839" i="34"/>
  <c r="R839" i="34"/>
  <c r="S839" i="34"/>
  <c r="T839" i="34"/>
  <c r="U839" i="34"/>
  <c r="V839" i="34"/>
  <c r="W839" i="34"/>
  <c r="X839" i="34"/>
  <c r="Y839" i="34"/>
  <c r="N840" i="34"/>
  <c r="O840" i="34"/>
  <c r="P840" i="34"/>
  <c r="Q840" i="34"/>
  <c r="R840" i="34"/>
  <c r="S840" i="34"/>
  <c r="T840" i="34"/>
  <c r="U840" i="34"/>
  <c r="V840" i="34"/>
  <c r="W840" i="34"/>
  <c r="X840" i="34"/>
  <c r="Y840" i="34"/>
  <c r="N841" i="34"/>
  <c r="O841" i="34"/>
  <c r="P841" i="34"/>
  <c r="Q841" i="34"/>
  <c r="R841" i="34"/>
  <c r="S841" i="34"/>
  <c r="T841" i="34"/>
  <c r="U841" i="34"/>
  <c r="V841" i="34"/>
  <c r="W841" i="34"/>
  <c r="X841" i="34"/>
  <c r="Y841" i="34"/>
  <c r="N842" i="34"/>
  <c r="O842" i="34"/>
  <c r="P842" i="34"/>
  <c r="Q842" i="34"/>
  <c r="R842" i="34"/>
  <c r="S842" i="34"/>
  <c r="T842" i="34"/>
  <c r="U842" i="34"/>
  <c r="V842" i="34"/>
  <c r="W842" i="34"/>
  <c r="X842" i="34"/>
  <c r="Y842" i="34"/>
  <c r="N843" i="34"/>
  <c r="O843" i="34"/>
  <c r="P843" i="34"/>
  <c r="Q843" i="34"/>
  <c r="R843" i="34"/>
  <c r="S843" i="34"/>
  <c r="T843" i="34"/>
  <c r="U843" i="34"/>
  <c r="V843" i="34"/>
  <c r="W843" i="34"/>
  <c r="X843" i="34"/>
  <c r="Y843" i="34"/>
  <c r="N844" i="34"/>
  <c r="O844" i="34"/>
  <c r="P844" i="34"/>
  <c r="Q844" i="34"/>
  <c r="R844" i="34"/>
  <c r="S844" i="34"/>
  <c r="T844" i="34"/>
  <c r="U844" i="34"/>
  <c r="V844" i="34"/>
  <c r="W844" i="34"/>
  <c r="X844" i="34"/>
  <c r="Y844" i="34"/>
  <c r="N845" i="34"/>
  <c r="O845" i="34"/>
  <c r="P845" i="34"/>
  <c r="Q845" i="34"/>
  <c r="R845" i="34"/>
  <c r="S845" i="34"/>
  <c r="T845" i="34"/>
  <c r="U845" i="34"/>
  <c r="V845" i="34"/>
  <c r="W845" i="34"/>
  <c r="X845" i="34"/>
  <c r="Y845" i="34"/>
  <c r="N846" i="34"/>
  <c r="O846" i="34"/>
  <c r="P846" i="34"/>
  <c r="Q846" i="34"/>
  <c r="R846" i="34"/>
  <c r="S846" i="34"/>
  <c r="T846" i="34"/>
  <c r="U846" i="34"/>
  <c r="V846" i="34"/>
  <c r="W846" i="34"/>
  <c r="X846" i="34"/>
  <c r="Y846" i="34"/>
  <c r="N847" i="34"/>
  <c r="O847" i="34"/>
  <c r="P847" i="34"/>
  <c r="Q847" i="34"/>
  <c r="R847" i="34"/>
  <c r="S847" i="34"/>
  <c r="T847" i="34"/>
  <c r="U847" i="34"/>
  <c r="V847" i="34"/>
  <c r="W847" i="34"/>
  <c r="X847" i="34"/>
  <c r="Y847" i="34"/>
  <c r="N848" i="34"/>
  <c r="O848" i="34"/>
  <c r="P848" i="34"/>
  <c r="Q848" i="34"/>
  <c r="R848" i="34"/>
  <c r="S848" i="34"/>
  <c r="T848" i="34"/>
  <c r="U848" i="34"/>
  <c r="V848" i="34"/>
  <c r="W848" i="34"/>
  <c r="X848" i="34"/>
  <c r="Y848" i="34"/>
  <c r="N849" i="34"/>
  <c r="O849" i="34"/>
  <c r="P849" i="34"/>
  <c r="Q849" i="34"/>
  <c r="R849" i="34"/>
  <c r="S849" i="34"/>
  <c r="T849" i="34"/>
  <c r="U849" i="34"/>
  <c r="V849" i="34"/>
  <c r="W849" i="34"/>
  <c r="X849" i="34"/>
  <c r="Y849" i="34"/>
  <c r="N850" i="34"/>
  <c r="O850" i="34"/>
  <c r="P850" i="34"/>
  <c r="Q850" i="34"/>
  <c r="R850" i="34"/>
  <c r="S850" i="34"/>
  <c r="T850" i="34"/>
  <c r="U850" i="34"/>
  <c r="V850" i="34"/>
  <c r="W850" i="34"/>
  <c r="X850" i="34"/>
  <c r="Y850" i="34"/>
  <c r="N851" i="34"/>
  <c r="O851" i="34"/>
  <c r="P851" i="34"/>
  <c r="Q851" i="34"/>
  <c r="R851" i="34"/>
  <c r="S851" i="34"/>
  <c r="T851" i="34"/>
  <c r="U851" i="34"/>
  <c r="V851" i="34"/>
  <c r="W851" i="34"/>
  <c r="X851" i="34"/>
  <c r="Y851" i="34"/>
  <c r="N852" i="34"/>
  <c r="O852" i="34"/>
  <c r="P852" i="34"/>
  <c r="Q852" i="34"/>
  <c r="R852" i="34"/>
  <c r="S852" i="34"/>
  <c r="T852" i="34"/>
  <c r="U852" i="34"/>
  <c r="V852" i="34"/>
  <c r="W852" i="34"/>
  <c r="X852" i="34"/>
  <c r="Y852" i="34"/>
  <c r="N853" i="34"/>
  <c r="O853" i="34"/>
  <c r="P853" i="34"/>
  <c r="Q853" i="34"/>
  <c r="R853" i="34"/>
  <c r="S853" i="34"/>
  <c r="T853" i="34"/>
  <c r="U853" i="34"/>
  <c r="V853" i="34"/>
  <c r="W853" i="34"/>
  <c r="X853" i="34"/>
  <c r="Y853" i="34"/>
  <c r="N854" i="34"/>
  <c r="O854" i="34"/>
  <c r="P854" i="34"/>
  <c r="Q854" i="34"/>
  <c r="R854" i="34"/>
  <c r="S854" i="34"/>
  <c r="T854" i="34"/>
  <c r="U854" i="34"/>
  <c r="V854" i="34"/>
  <c r="W854" i="34"/>
  <c r="X854" i="34"/>
  <c r="Y854" i="34"/>
  <c r="N855" i="34"/>
  <c r="O855" i="34"/>
  <c r="P855" i="34"/>
  <c r="Q855" i="34"/>
  <c r="R855" i="34"/>
  <c r="S855" i="34"/>
  <c r="T855" i="34"/>
  <c r="U855" i="34"/>
  <c r="V855" i="34"/>
  <c r="W855" i="34"/>
  <c r="X855" i="34"/>
  <c r="Y855" i="34"/>
  <c r="N856" i="34"/>
  <c r="O856" i="34"/>
  <c r="P856" i="34"/>
  <c r="Q856" i="34"/>
  <c r="R856" i="34"/>
  <c r="S856" i="34"/>
  <c r="T856" i="34"/>
  <c r="U856" i="34"/>
  <c r="V856" i="34"/>
  <c r="W856" i="34"/>
  <c r="X856" i="34"/>
  <c r="Y856" i="34"/>
  <c r="N857" i="34"/>
  <c r="O857" i="34"/>
  <c r="P857" i="34"/>
  <c r="Q857" i="34"/>
  <c r="R857" i="34"/>
  <c r="S857" i="34"/>
  <c r="T857" i="34"/>
  <c r="U857" i="34"/>
  <c r="V857" i="34"/>
  <c r="W857" i="34"/>
  <c r="X857" i="34"/>
  <c r="Y857" i="34"/>
  <c r="N858" i="34"/>
  <c r="O858" i="34"/>
  <c r="P858" i="34"/>
  <c r="Q858" i="34"/>
  <c r="R858" i="34"/>
  <c r="S858" i="34"/>
  <c r="T858" i="34"/>
  <c r="U858" i="34"/>
  <c r="V858" i="34"/>
  <c r="W858" i="34"/>
  <c r="X858" i="34"/>
  <c r="Y858" i="34"/>
  <c r="N859" i="34"/>
  <c r="O859" i="34"/>
  <c r="P859" i="34"/>
  <c r="Q859" i="34"/>
  <c r="R859" i="34"/>
  <c r="S859" i="34"/>
  <c r="T859" i="34"/>
  <c r="U859" i="34"/>
  <c r="V859" i="34"/>
  <c r="W859" i="34"/>
  <c r="X859" i="34"/>
  <c r="Y859" i="34"/>
  <c r="N860" i="34"/>
  <c r="O860" i="34"/>
  <c r="P860" i="34"/>
  <c r="Q860" i="34"/>
  <c r="R860" i="34"/>
  <c r="S860" i="34"/>
  <c r="T860" i="34"/>
  <c r="U860" i="34"/>
  <c r="V860" i="34"/>
  <c r="W860" i="34"/>
  <c r="X860" i="34"/>
  <c r="Y860" i="34"/>
  <c r="N861" i="34"/>
  <c r="O861" i="34"/>
  <c r="P861" i="34"/>
  <c r="Q861" i="34"/>
  <c r="R861" i="34"/>
  <c r="S861" i="34"/>
  <c r="T861" i="34"/>
  <c r="U861" i="34"/>
  <c r="V861" i="34"/>
  <c r="W861" i="34"/>
  <c r="X861" i="34"/>
  <c r="Y861" i="34"/>
  <c r="N862" i="34"/>
  <c r="O862" i="34"/>
  <c r="P862" i="34"/>
  <c r="Q862" i="34"/>
  <c r="R862" i="34"/>
  <c r="S862" i="34"/>
  <c r="T862" i="34"/>
  <c r="U862" i="34"/>
  <c r="V862" i="34"/>
  <c r="W862" i="34"/>
  <c r="X862" i="34"/>
  <c r="Y862" i="34"/>
  <c r="N863" i="34"/>
  <c r="O863" i="34"/>
  <c r="P863" i="34"/>
  <c r="Q863" i="34"/>
  <c r="R863" i="34"/>
  <c r="S863" i="34"/>
  <c r="T863" i="34"/>
  <c r="U863" i="34"/>
  <c r="V863" i="34"/>
  <c r="W863" i="34"/>
  <c r="X863" i="34"/>
  <c r="Y863" i="34"/>
  <c r="N864" i="34"/>
  <c r="O864" i="34"/>
  <c r="P864" i="34"/>
  <c r="Q864" i="34"/>
  <c r="R864" i="34"/>
  <c r="S864" i="34"/>
  <c r="T864" i="34"/>
  <c r="U864" i="34"/>
  <c r="V864" i="34"/>
  <c r="W864" i="34"/>
  <c r="X864" i="34"/>
  <c r="Y864" i="34"/>
  <c r="N865" i="34"/>
  <c r="O865" i="34"/>
  <c r="P865" i="34"/>
  <c r="Q865" i="34"/>
  <c r="R865" i="34"/>
  <c r="S865" i="34"/>
  <c r="T865" i="34"/>
  <c r="U865" i="34"/>
  <c r="V865" i="34"/>
  <c r="W865" i="34"/>
  <c r="X865" i="34"/>
  <c r="Y865" i="34"/>
  <c r="N866" i="34"/>
  <c r="O866" i="34"/>
  <c r="P866" i="34"/>
  <c r="Q866" i="34"/>
  <c r="R866" i="34"/>
  <c r="S866" i="34"/>
  <c r="T866" i="34"/>
  <c r="U866" i="34"/>
  <c r="V866" i="34"/>
  <c r="W866" i="34"/>
  <c r="X866" i="34"/>
  <c r="Y866" i="34"/>
  <c r="N867" i="34"/>
  <c r="O867" i="34"/>
  <c r="P867" i="34"/>
  <c r="Q867" i="34"/>
  <c r="R867" i="34"/>
  <c r="S867" i="34"/>
  <c r="T867" i="34"/>
  <c r="U867" i="34"/>
  <c r="V867" i="34"/>
  <c r="W867" i="34"/>
  <c r="X867" i="34"/>
  <c r="Y867" i="34"/>
  <c r="N868" i="34"/>
  <c r="O868" i="34"/>
  <c r="P868" i="34"/>
  <c r="Q868" i="34"/>
  <c r="R868" i="34"/>
  <c r="S868" i="34"/>
  <c r="T868" i="34"/>
  <c r="U868" i="34"/>
  <c r="V868" i="34"/>
  <c r="W868" i="34"/>
  <c r="X868" i="34"/>
  <c r="Y868" i="34"/>
  <c r="N869" i="34"/>
  <c r="O869" i="34"/>
  <c r="P869" i="34"/>
  <c r="Q869" i="34"/>
  <c r="R869" i="34"/>
  <c r="S869" i="34"/>
  <c r="T869" i="34"/>
  <c r="U869" i="34"/>
  <c r="V869" i="34"/>
  <c r="W869" i="34"/>
  <c r="X869" i="34"/>
  <c r="Y869" i="34"/>
  <c r="N870" i="34"/>
  <c r="O870" i="34"/>
  <c r="P870" i="34"/>
  <c r="Q870" i="34"/>
  <c r="R870" i="34"/>
  <c r="S870" i="34"/>
  <c r="T870" i="34"/>
  <c r="U870" i="34"/>
  <c r="V870" i="34"/>
  <c r="W870" i="34"/>
  <c r="X870" i="34"/>
  <c r="Y870" i="34"/>
  <c r="N871" i="34"/>
  <c r="O871" i="34"/>
  <c r="P871" i="34"/>
  <c r="Q871" i="34"/>
  <c r="R871" i="34"/>
  <c r="S871" i="34"/>
  <c r="T871" i="34"/>
  <c r="U871" i="34"/>
  <c r="V871" i="34"/>
  <c r="W871" i="34"/>
  <c r="X871" i="34"/>
  <c r="Y871" i="34"/>
  <c r="N872" i="34"/>
  <c r="O872" i="34"/>
  <c r="P872" i="34"/>
  <c r="Q872" i="34"/>
  <c r="R872" i="34"/>
  <c r="S872" i="34"/>
  <c r="T872" i="34"/>
  <c r="U872" i="34"/>
  <c r="V872" i="34"/>
  <c r="W872" i="34"/>
  <c r="X872" i="34"/>
  <c r="Y872" i="34"/>
  <c r="N873" i="34"/>
  <c r="O873" i="34"/>
  <c r="P873" i="34"/>
  <c r="Q873" i="34"/>
  <c r="R873" i="34"/>
  <c r="S873" i="34"/>
  <c r="T873" i="34"/>
  <c r="U873" i="34"/>
  <c r="V873" i="34"/>
  <c r="W873" i="34"/>
  <c r="X873" i="34"/>
  <c r="Y873" i="34"/>
  <c r="N874" i="34"/>
  <c r="O874" i="34"/>
  <c r="P874" i="34"/>
  <c r="Q874" i="34"/>
  <c r="R874" i="34"/>
  <c r="S874" i="34"/>
  <c r="T874" i="34"/>
  <c r="U874" i="34"/>
  <c r="V874" i="34"/>
  <c r="W874" i="34"/>
  <c r="X874" i="34"/>
  <c r="Y874" i="34"/>
  <c r="N875" i="34"/>
  <c r="O875" i="34"/>
  <c r="P875" i="34"/>
  <c r="Q875" i="34"/>
  <c r="R875" i="34"/>
  <c r="S875" i="34"/>
  <c r="T875" i="34"/>
  <c r="U875" i="34"/>
  <c r="V875" i="34"/>
  <c r="W875" i="34"/>
  <c r="X875" i="34"/>
  <c r="Y875" i="34"/>
  <c r="N876" i="34"/>
  <c r="O876" i="34"/>
  <c r="P876" i="34"/>
  <c r="Q876" i="34"/>
  <c r="R876" i="34"/>
  <c r="S876" i="34"/>
  <c r="T876" i="34"/>
  <c r="U876" i="34"/>
  <c r="V876" i="34"/>
  <c r="W876" i="34"/>
  <c r="X876" i="34"/>
  <c r="Y876" i="34"/>
  <c r="N877" i="34"/>
  <c r="O877" i="34"/>
  <c r="P877" i="34"/>
  <c r="Q877" i="34"/>
  <c r="R877" i="34"/>
  <c r="S877" i="34"/>
  <c r="T877" i="34"/>
  <c r="U877" i="34"/>
  <c r="V877" i="34"/>
  <c r="W877" i="34"/>
  <c r="X877" i="34"/>
  <c r="Y877" i="34"/>
  <c r="N878" i="34"/>
  <c r="O878" i="34"/>
  <c r="P878" i="34"/>
  <c r="Q878" i="34"/>
  <c r="R878" i="34"/>
  <c r="S878" i="34"/>
  <c r="T878" i="34"/>
  <c r="U878" i="34"/>
  <c r="V878" i="34"/>
  <c r="W878" i="34"/>
  <c r="X878" i="34"/>
  <c r="Y878" i="34"/>
  <c r="N879" i="34"/>
  <c r="O879" i="34"/>
  <c r="P879" i="34"/>
  <c r="Q879" i="34"/>
  <c r="R879" i="34"/>
  <c r="S879" i="34"/>
  <c r="T879" i="34"/>
  <c r="U879" i="34"/>
  <c r="V879" i="34"/>
  <c r="W879" i="34"/>
  <c r="X879" i="34"/>
  <c r="Y879" i="34"/>
  <c r="N880" i="34"/>
  <c r="O880" i="34"/>
  <c r="P880" i="34"/>
  <c r="Q880" i="34"/>
  <c r="R880" i="34"/>
  <c r="S880" i="34"/>
  <c r="T880" i="34"/>
  <c r="U880" i="34"/>
  <c r="V880" i="34"/>
  <c r="W880" i="34"/>
  <c r="X880" i="34"/>
  <c r="Y880" i="34"/>
  <c r="N881" i="34"/>
  <c r="O881" i="34"/>
  <c r="P881" i="34"/>
  <c r="Q881" i="34"/>
  <c r="R881" i="34"/>
  <c r="S881" i="34"/>
  <c r="T881" i="34"/>
  <c r="U881" i="34"/>
  <c r="V881" i="34"/>
  <c r="W881" i="34"/>
  <c r="X881" i="34"/>
  <c r="Y881" i="34"/>
  <c r="N882" i="34"/>
  <c r="O882" i="34"/>
  <c r="P882" i="34"/>
  <c r="Q882" i="34"/>
  <c r="R882" i="34"/>
  <c r="S882" i="34"/>
  <c r="T882" i="34"/>
  <c r="U882" i="34"/>
  <c r="V882" i="34"/>
  <c r="W882" i="34"/>
  <c r="X882" i="34"/>
  <c r="Y882" i="34"/>
  <c r="N883" i="34"/>
  <c r="O883" i="34"/>
  <c r="P883" i="34"/>
  <c r="Q883" i="34"/>
  <c r="R883" i="34"/>
  <c r="S883" i="34"/>
  <c r="T883" i="34"/>
  <c r="U883" i="34"/>
  <c r="V883" i="34"/>
  <c r="W883" i="34"/>
  <c r="X883" i="34"/>
  <c r="Y883" i="34"/>
  <c r="N884" i="34"/>
  <c r="O884" i="34"/>
  <c r="P884" i="34"/>
  <c r="Q884" i="34"/>
  <c r="R884" i="34"/>
  <c r="S884" i="34"/>
  <c r="T884" i="34"/>
  <c r="U884" i="34"/>
  <c r="V884" i="34"/>
  <c r="W884" i="34"/>
  <c r="X884" i="34"/>
  <c r="Y884" i="34"/>
  <c r="N885" i="34"/>
  <c r="O885" i="34"/>
  <c r="P885" i="34"/>
  <c r="Q885" i="34"/>
  <c r="R885" i="34"/>
  <c r="S885" i="34"/>
  <c r="T885" i="34"/>
  <c r="U885" i="34"/>
  <c r="V885" i="34"/>
  <c r="W885" i="34"/>
  <c r="X885" i="34"/>
  <c r="Y885" i="34"/>
  <c r="N886" i="34"/>
  <c r="O886" i="34"/>
  <c r="P886" i="34"/>
  <c r="Q886" i="34"/>
  <c r="R886" i="34"/>
  <c r="S886" i="34"/>
  <c r="T886" i="34"/>
  <c r="U886" i="34"/>
  <c r="V886" i="34"/>
  <c r="W886" i="34"/>
  <c r="X886" i="34"/>
  <c r="Y886" i="34"/>
  <c r="N887" i="34"/>
  <c r="O887" i="34"/>
  <c r="P887" i="34"/>
  <c r="Q887" i="34"/>
  <c r="R887" i="34"/>
  <c r="S887" i="34"/>
  <c r="T887" i="34"/>
  <c r="U887" i="34"/>
  <c r="V887" i="34"/>
  <c r="W887" i="34"/>
  <c r="X887" i="34"/>
  <c r="Y887" i="34"/>
  <c r="N888" i="34"/>
  <c r="O888" i="34"/>
  <c r="P888" i="34"/>
  <c r="Q888" i="34"/>
  <c r="R888" i="34"/>
  <c r="S888" i="34"/>
  <c r="T888" i="34"/>
  <c r="U888" i="34"/>
  <c r="V888" i="34"/>
  <c r="W888" i="34"/>
  <c r="X888" i="34"/>
  <c r="Y888" i="34"/>
  <c r="N889" i="34"/>
  <c r="O889" i="34"/>
  <c r="P889" i="34"/>
  <c r="Q889" i="34"/>
  <c r="R889" i="34"/>
  <c r="S889" i="34"/>
  <c r="T889" i="34"/>
  <c r="U889" i="34"/>
  <c r="V889" i="34"/>
  <c r="W889" i="34"/>
  <c r="X889" i="34"/>
  <c r="Y889" i="34"/>
  <c r="N890" i="34"/>
  <c r="O890" i="34"/>
  <c r="P890" i="34"/>
  <c r="Q890" i="34"/>
  <c r="R890" i="34"/>
  <c r="S890" i="34"/>
  <c r="T890" i="34"/>
  <c r="U890" i="34"/>
  <c r="V890" i="34"/>
  <c r="W890" i="34"/>
  <c r="X890" i="34"/>
  <c r="Y890" i="34"/>
  <c r="N891" i="34"/>
  <c r="O891" i="34"/>
  <c r="P891" i="34"/>
  <c r="Q891" i="34"/>
  <c r="R891" i="34"/>
  <c r="S891" i="34"/>
  <c r="T891" i="34"/>
  <c r="U891" i="34"/>
  <c r="V891" i="34"/>
  <c r="W891" i="34"/>
  <c r="X891" i="34"/>
  <c r="Y891" i="34"/>
  <c r="N892" i="34"/>
  <c r="O892" i="34"/>
  <c r="P892" i="34"/>
  <c r="Q892" i="34"/>
  <c r="R892" i="34"/>
  <c r="S892" i="34"/>
  <c r="T892" i="34"/>
  <c r="U892" i="34"/>
  <c r="V892" i="34"/>
  <c r="W892" i="34"/>
  <c r="X892" i="34"/>
  <c r="Y892" i="34"/>
  <c r="N893" i="34"/>
  <c r="O893" i="34"/>
  <c r="P893" i="34"/>
  <c r="Q893" i="34"/>
  <c r="R893" i="34"/>
  <c r="S893" i="34"/>
  <c r="T893" i="34"/>
  <c r="U893" i="34"/>
  <c r="V893" i="34"/>
  <c r="W893" i="34"/>
  <c r="X893" i="34"/>
  <c r="Y893" i="34"/>
  <c r="N894" i="34"/>
  <c r="O894" i="34"/>
  <c r="P894" i="34"/>
  <c r="Q894" i="34"/>
  <c r="R894" i="34"/>
  <c r="S894" i="34"/>
  <c r="T894" i="34"/>
  <c r="U894" i="34"/>
  <c r="V894" i="34"/>
  <c r="W894" i="34"/>
  <c r="X894" i="34"/>
  <c r="Y894" i="34"/>
  <c r="N895" i="34"/>
  <c r="O895" i="34"/>
  <c r="P895" i="34"/>
  <c r="Q895" i="34"/>
  <c r="R895" i="34"/>
  <c r="S895" i="34"/>
  <c r="T895" i="34"/>
  <c r="U895" i="34"/>
  <c r="V895" i="34"/>
  <c r="W895" i="34"/>
  <c r="X895" i="34"/>
  <c r="Y895" i="34"/>
  <c r="N896" i="34"/>
  <c r="O896" i="34"/>
  <c r="P896" i="34"/>
  <c r="Q896" i="34"/>
  <c r="R896" i="34"/>
  <c r="S896" i="34"/>
  <c r="T896" i="34"/>
  <c r="U896" i="34"/>
  <c r="V896" i="34"/>
  <c r="W896" i="34"/>
  <c r="X896" i="34"/>
  <c r="Y896" i="34"/>
  <c r="N897" i="34"/>
  <c r="O897" i="34"/>
  <c r="P897" i="34"/>
  <c r="Q897" i="34"/>
  <c r="R897" i="34"/>
  <c r="S897" i="34"/>
  <c r="T897" i="34"/>
  <c r="U897" i="34"/>
  <c r="V897" i="34"/>
  <c r="W897" i="34"/>
  <c r="X897" i="34"/>
  <c r="Y897" i="34"/>
  <c r="N898" i="34"/>
  <c r="O898" i="34"/>
  <c r="P898" i="34"/>
  <c r="Q898" i="34"/>
  <c r="R898" i="34"/>
  <c r="S898" i="34"/>
  <c r="T898" i="34"/>
  <c r="U898" i="34"/>
  <c r="V898" i="34"/>
  <c r="W898" i="34"/>
  <c r="X898" i="34"/>
  <c r="Y898" i="34"/>
  <c r="N899" i="34"/>
  <c r="O899" i="34"/>
  <c r="P899" i="34"/>
  <c r="Q899" i="34"/>
  <c r="R899" i="34"/>
  <c r="S899" i="34"/>
  <c r="T899" i="34"/>
  <c r="U899" i="34"/>
  <c r="V899" i="34"/>
  <c r="W899" i="34"/>
  <c r="X899" i="34"/>
  <c r="Y899" i="34"/>
  <c r="N900" i="34"/>
  <c r="O900" i="34"/>
  <c r="P900" i="34"/>
  <c r="Q900" i="34"/>
  <c r="R900" i="34"/>
  <c r="S900" i="34"/>
  <c r="T900" i="34"/>
  <c r="U900" i="34"/>
  <c r="V900" i="34"/>
  <c r="W900" i="34"/>
  <c r="X900" i="34"/>
  <c r="Y900" i="34"/>
  <c r="N901" i="34"/>
  <c r="O901" i="34"/>
  <c r="P901" i="34"/>
  <c r="Q901" i="34"/>
  <c r="R901" i="34"/>
  <c r="S901" i="34"/>
  <c r="T901" i="34"/>
  <c r="U901" i="34"/>
  <c r="V901" i="34"/>
  <c r="W901" i="34"/>
  <c r="X901" i="34"/>
  <c r="Y901" i="34"/>
  <c r="N902" i="34"/>
  <c r="O902" i="34"/>
  <c r="P902" i="34"/>
  <c r="Q902" i="34"/>
  <c r="R902" i="34"/>
  <c r="S902" i="34"/>
  <c r="T902" i="34"/>
  <c r="U902" i="34"/>
  <c r="V902" i="34"/>
  <c r="W902" i="34"/>
  <c r="X902" i="34"/>
  <c r="Y902" i="34"/>
  <c r="N903" i="34"/>
  <c r="O903" i="34"/>
  <c r="P903" i="34"/>
  <c r="Q903" i="34"/>
  <c r="R903" i="34"/>
  <c r="S903" i="34"/>
  <c r="T903" i="34"/>
  <c r="U903" i="34"/>
  <c r="V903" i="34"/>
  <c r="W903" i="34"/>
  <c r="X903" i="34"/>
  <c r="Y903" i="34"/>
  <c r="N904" i="34"/>
  <c r="O904" i="34"/>
  <c r="P904" i="34"/>
  <c r="Q904" i="34"/>
  <c r="R904" i="34"/>
  <c r="S904" i="34"/>
  <c r="T904" i="34"/>
  <c r="U904" i="34"/>
  <c r="V904" i="34"/>
  <c r="W904" i="34"/>
  <c r="X904" i="34"/>
  <c r="Y904" i="34"/>
  <c r="N905" i="34"/>
  <c r="O905" i="34"/>
  <c r="P905" i="34"/>
  <c r="Q905" i="34"/>
  <c r="R905" i="34"/>
  <c r="S905" i="34"/>
  <c r="T905" i="34"/>
  <c r="U905" i="34"/>
  <c r="V905" i="34"/>
  <c r="W905" i="34"/>
  <c r="X905" i="34"/>
  <c r="Y905" i="34"/>
  <c r="N906" i="34"/>
  <c r="O906" i="34"/>
  <c r="P906" i="34"/>
  <c r="Q906" i="34"/>
  <c r="R906" i="34"/>
  <c r="S906" i="34"/>
  <c r="T906" i="34"/>
  <c r="U906" i="34"/>
  <c r="V906" i="34"/>
  <c r="W906" i="34"/>
  <c r="X906" i="34"/>
  <c r="Y906" i="34"/>
  <c r="N907" i="34"/>
  <c r="O907" i="34"/>
  <c r="P907" i="34"/>
  <c r="Q907" i="34"/>
  <c r="R907" i="34"/>
  <c r="S907" i="34"/>
  <c r="T907" i="34"/>
  <c r="U907" i="34"/>
  <c r="V907" i="34"/>
  <c r="W907" i="34"/>
  <c r="X907" i="34"/>
  <c r="Y907" i="34"/>
  <c r="N908" i="34"/>
  <c r="O908" i="34"/>
  <c r="P908" i="34"/>
  <c r="Q908" i="34"/>
  <c r="R908" i="34"/>
  <c r="S908" i="34"/>
  <c r="T908" i="34"/>
  <c r="U908" i="34"/>
  <c r="V908" i="34"/>
  <c r="W908" i="34"/>
  <c r="X908" i="34"/>
  <c r="Y908" i="34"/>
  <c r="N909" i="34"/>
  <c r="O909" i="34"/>
  <c r="P909" i="34"/>
  <c r="Q909" i="34"/>
  <c r="R909" i="34"/>
  <c r="S909" i="34"/>
  <c r="T909" i="34"/>
  <c r="U909" i="34"/>
  <c r="V909" i="34"/>
  <c r="W909" i="34"/>
  <c r="X909" i="34"/>
  <c r="Y909" i="34"/>
  <c r="N910" i="34"/>
  <c r="O910" i="34"/>
  <c r="P910" i="34"/>
  <c r="Q910" i="34"/>
  <c r="R910" i="34"/>
  <c r="S910" i="34"/>
  <c r="T910" i="34"/>
  <c r="U910" i="34"/>
  <c r="V910" i="34"/>
  <c r="W910" i="34"/>
  <c r="X910" i="34"/>
  <c r="Y910" i="34"/>
  <c r="N911" i="34"/>
  <c r="O911" i="34"/>
  <c r="P911" i="34"/>
  <c r="Q911" i="34"/>
  <c r="R911" i="34"/>
  <c r="S911" i="34"/>
  <c r="T911" i="34"/>
  <c r="U911" i="34"/>
  <c r="V911" i="34"/>
  <c r="W911" i="34"/>
  <c r="X911" i="34"/>
  <c r="Y911" i="34"/>
  <c r="N912" i="34"/>
  <c r="O912" i="34"/>
  <c r="P912" i="34"/>
  <c r="Q912" i="34"/>
  <c r="R912" i="34"/>
  <c r="S912" i="34"/>
  <c r="T912" i="34"/>
  <c r="U912" i="34"/>
  <c r="V912" i="34"/>
  <c r="W912" i="34"/>
  <c r="X912" i="34"/>
  <c r="Y912" i="34"/>
  <c r="N913" i="34"/>
  <c r="O913" i="34"/>
  <c r="P913" i="34"/>
  <c r="Q913" i="34"/>
  <c r="R913" i="34"/>
  <c r="S913" i="34"/>
  <c r="T913" i="34"/>
  <c r="U913" i="34"/>
  <c r="V913" i="34"/>
  <c r="W913" i="34"/>
  <c r="X913" i="34"/>
  <c r="Y913" i="34"/>
  <c r="N914" i="34"/>
  <c r="O914" i="34"/>
  <c r="P914" i="34"/>
  <c r="Q914" i="34"/>
  <c r="R914" i="34"/>
  <c r="S914" i="34"/>
  <c r="T914" i="34"/>
  <c r="U914" i="34"/>
  <c r="V914" i="34"/>
  <c r="W914" i="34"/>
  <c r="X914" i="34"/>
  <c r="Y914" i="34"/>
  <c r="N915" i="34"/>
  <c r="O915" i="34"/>
  <c r="P915" i="34"/>
  <c r="Q915" i="34"/>
  <c r="R915" i="34"/>
  <c r="S915" i="34"/>
  <c r="T915" i="34"/>
  <c r="U915" i="34"/>
  <c r="V915" i="34"/>
  <c r="W915" i="34"/>
  <c r="X915" i="34"/>
  <c r="Y915" i="34"/>
  <c r="N916" i="34"/>
  <c r="O916" i="34"/>
  <c r="P916" i="34"/>
  <c r="Q916" i="34"/>
  <c r="R916" i="34"/>
  <c r="S916" i="34"/>
  <c r="T916" i="34"/>
  <c r="U916" i="34"/>
  <c r="V916" i="34"/>
  <c r="W916" i="34"/>
  <c r="X916" i="34"/>
  <c r="Y916" i="34"/>
  <c r="N917" i="34"/>
  <c r="O917" i="34"/>
  <c r="P917" i="34"/>
  <c r="Q917" i="34"/>
  <c r="R917" i="34"/>
  <c r="S917" i="34"/>
  <c r="T917" i="34"/>
  <c r="U917" i="34"/>
  <c r="V917" i="34"/>
  <c r="W917" i="34"/>
  <c r="X917" i="34"/>
  <c r="Y917" i="34"/>
  <c r="N918" i="34"/>
  <c r="O918" i="34"/>
  <c r="P918" i="34"/>
  <c r="Q918" i="34"/>
  <c r="R918" i="34"/>
  <c r="S918" i="34"/>
  <c r="T918" i="34"/>
  <c r="U918" i="34"/>
  <c r="V918" i="34"/>
  <c r="W918" i="34"/>
  <c r="X918" i="34"/>
  <c r="Y918" i="34"/>
  <c r="N919" i="34"/>
  <c r="O919" i="34"/>
  <c r="P919" i="34"/>
  <c r="Q919" i="34"/>
  <c r="R919" i="34"/>
  <c r="S919" i="34"/>
  <c r="T919" i="34"/>
  <c r="U919" i="34"/>
  <c r="V919" i="34"/>
  <c r="W919" i="34"/>
  <c r="X919" i="34"/>
  <c r="Y919" i="34"/>
  <c r="N920" i="34"/>
  <c r="O920" i="34"/>
  <c r="P920" i="34"/>
  <c r="Q920" i="34"/>
  <c r="R920" i="34"/>
  <c r="S920" i="34"/>
  <c r="T920" i="34"/>
  <c r="U920" i="34"/>
  <c r="V920" i="34"/>
  <c r="W920" i="34"/>
  <c r="X920" i="34"/>
  <c r="Y920" i="34"/>
  <c r="N921" i="34"/>
  <c r="O921" i="34"/>
  <c r="P921" i="34"/>
  <c r="Q921" i="34"/>
  <c r="R921" i="34"/>
  <c r="S921" i="34"/>
  <c r="T921" i="34"/>
  <c r="U921" i="34"/>
  <c r="V921" i="34"/>
  <c r="W921" i="34"/>
  <c r="X921" i="34"/>
  <c r="Y921" i="34"/>
  <c r="N922" i="34"/>
  <c r="O922" i="34"/>
  <c r="P922" i="34"/>
  <c r="Q922" i="34"/>
  <c r="R922" i="34"/>
  <c r="S922" i="34"/>
  <c r="T922" i="34"/>
  <c r="U922" i="34"/>
  <c r="V922" i="34"/>
  <c r="W922" i="34"/>
  <c r="X922" i="34"/>
  <c r="Y922" i="34"/>
  <c r="N923" i="34"/>
  <c r="O923" i="34"/>
  <c r="P923" i="34"/>
  <c r="Q923" i="34"/>
  <c r="R923" i="34"/>
  <c r="S923" i="34"/>
  <c r="T923" i="34"/>
  <c r="U923" i="34"/>
  <c r="V923" i="34"/>
  <c r="W923" i="34"/>
  <c r="X923" i="34"/>
  <c r="Y923" i="34"/>
  <c r="N924" i="34"/>
  <c r="O924" i="34"/>
  <c r="P924" i="34"/>
  <c r="Q924" i="34"/>
  <c r="R924" i="34"/>
  <c r="S924" i="34"/>
  <c r="T924" i="34"/>
  <c r="U924" i="34"/>
  <c r="V924" i="34"/>
  <c r="W924" i="34"/>
  <c r="X924" i="34"/>
  <c r="Y924" i="34"/>
  <c r="N925" i="34"/>
  <c r="O925" i="34"/>
  <c r="P925" i="34"/>
  <c r="Q925" i="34"/>
  <c r="R925" i="34"/>
  <c r="S925" i="34"/>
  <c r="T925" i="34"/>
  <c r="U925" i="34"/>
  <c r="V925" i="34"/>
  <c r="W925" i="34"/>
  <c r="X925" i="34"/>
  <c r="Y925" i="34"/>
  <c r="N926" i="34"/>
  <c r="O926" i="34"/>
  <c r="P926" i="34"/>
  <c r="Q926" i="34"/>
  <c r="R926" i="34"/>
  <c r="S926" i="34"/>
  <c r="T926" i="34"/>
  <c r="U926" i="34"/>
  <c r="V926" i="34"/>
  <c r="W926" i="34"/>
  <c r="X926" i="34"/>
  <c r="Y926" i="34"/>
  <c r="N927" i="34"/>
  <c r="O927" i="34"/>
  <c r="P927" i="34"/>
  <c r="Q927" i="34"/>
  <c r="R927" i="34"/>
  <c r="S927" i="34"/>
  <c r="T927" i="34"/>
  <c r="U927" i="34"/>
  <c r="V927" i="34"/>
  <c r="W927" i="34"/>
  <c r="X927" i="34"/>
  <c r="Y927" i="34"/>
  <c r="N928" i="34"/>
  <c r="O928" i="34"/>
  <c r="P928" i="34"/>
  <c r="Q928" i="34"/>
  <c r="R928" i="34"/>
  <c r="S928" i="34"/>
  <c r="T928" i="34"/>
  <c r="U928" i="34"/>
  <c r="V928" i="34"/>
  <c r="W928" i="34"/>
  <c r="X928" i="34"/>
  <c r="Y928" i="34"/>
  <c r="N929" i="34"/>
  <c r="O929" i="34"/>
  <c r="P929" i="34"/>
  <c r="Q929" i="34"/>
  <c r="R929" i="34"/>
  <c r="S929" i="34"/>
  <c r="T929" i="34"/>
  <c r="U929" i="34"/>
  <c r="V929" i="34"/>
  <c r="W929" i="34"/>
  <c r="X929" i="34"/>
  <c r="Y929" i="34"/>
  <c r="N930" i="34"/>
  <c r="O930" i="34"/>
  <c r="P930" i="34"/>
  <c r="Q930" i="34"/>
  <c r="R930" i="34"/>
  <c r="S930" i="34"/>
  <c r="T930" i="34"/>
  <c r="U930" i="34"/>
  <c r="V930" i="34"/>
  <c r="W930" i="34"/>
  <c r="X930" i="34"/>
  <c r="Y930" i="34"/>
  <c r="N931" i="34"/>
  <c r="O931" i="34"/>
  <c r="P931" i="34"/>
  <c r="Q931" i="34"/>
  <c r="R931" i="34"/>
  <c r="S931" i="34"/>
  <c r="T931" i="34"/>
  <c r="U931" i="34"/>
  <c r="V931" i="34"/>
  <c r="W931" i="34"/>
  <c r="X931" i="34"/>
  <c r="Y931" i="34"/>
  <c r="N932" i="34"/>
  <c r="O932" i="34"/>
  <c r="P932" i="34"/>
  <c r="Q932" i="34"/>
  <c r="R932" i="34"/>
  <c r="S932" i="34"/>
  <c r="T932" i="34"/>
  <c r="U932" i="34"/>
  <c r="V932" i="34"/>
  <c r="W932" i="34"/>
  <c r="X932" i="34"/>
  <c r="Y932" i="34"/>
  <c r="N933" i="34"/>
  <c r="O933" i="34"/>
  <c r="P933" i="34"/>
  <c r="Q933" i="34"/>
  <c r="R933" i="34"/>
  <c r="S933" i="34"/>
  <c r="T933" i="34"/>
  <c r="U933" i="34"/>
  <c r="V933" i="34"/>
  <c r="W933" i="34"/>
  <c r="X933" i="34"/>
  <c r="Y933" i="34"/>
  <c r="N934" i="34"/>
  <c r="O934" i="34"/>
  <c r="P934" i="34"/>
  <c r="Q934" i="34"/>
  <c r="R934" i="34"/>
  <c r="S934" i="34"/>
  <c r="T934" i="34"/>
  <c r="U934" i="34"/>
  <c r="V934" i="34"/>
  <c r="W934" i="34"/>
  <c r="X934" i="34"/>
  <c r="Y934" i="34"/>
  <c r="N935" i="34"/>
  <c r="O935" i="34"/>
  <c r="P935" i="34"/>
  <c r="Q935" i="34"/>
  <c r="R935" i="34"/>
  <c r="S935" i="34"/>
  <c r="T935" i="34"/>
  <c r="U935" i="34"/>
  <c r="V935" i="34"/>
  <c r="W935" i="34"/>
  <c r="X935" i="34"/>
  <c r="Y935" i="34"/>
  <c r="N936" i="34"/>
  <c r="O936" i="34"/>
  <c r="P936" i="34"/>
  <c r="Q936" i="34"/>
  <c r="R936" i="34"/>
  <c r="S936" i="34"/>
  <c r="T936" i="34"/>
  <c r="U936" i="34"/>
  <c r="V936" i="34"/>
  <c r="W936" i="34"/>
  <c r="X936" i="34"/>
  <c r="Y936" i="34"/>
  <c r="N937" i="34"/>
  <c r="O937" i="34"/>
  <c r="P937" i="34"/>
  <c r="Q937" i="34"/>
  <c r="R937" i="34"/>
  <c r="S937" i="34"/>
  <c r="T937" i="34"/>
  <c r="U937" i="34"/>
  <c r="V937" i="34"/>
  <c r="W937" i="34"/>
  <c r="X937" i="34"/>
  <c r="Y937" i="34"/>
  <c r="N938" i="34"/>
  <c r="O938" i="34"/>
  <c r="P938" i="34"/>
  <c r="Q938" i="34"/>
  <c r="R938" i="34"/>
  <c r="S938" i="34"/>
  <c r="T938" i="34"/>
  <c r="U938" i="34"/>
  <c r="V938" i="34"/>
  <c r="W938" i="34"/>
  <c r="X938" i="34"/>
  <c r="Y938" i="34"/>
  <c r="N939" i="34"/>
  <c r="O939" i="34"/>
  <c r="P939" i="34"/>
  <c r="Q939" i="34"/>
  <c r="R939" i="34"/>
  <c r="S939" i="34"/>
  <c r="T939" i="34"/>
  <c r="U939" i="34"/>
  <c r="V939" i="34"/>
  <c r="W939" i="34"/>
  <c r="X939" i="34"/>
  <c r="Y939" i="34"/>
  <c r="N940" i="34"/>
  <c r="O940" i="34"/>
  <c r="P940" i="34"/>
  <c r="Q940" i="34"/>
  <c r="R940" i="34"/>
  <c r="S940" i="34"/>
  <c r="T940" i="34"/>
  <c r="U940" i="34"/>
  <c r="V940" i="34"/>
  <c r="W940" i="34"/>
  <c r="X940" i="34"/>
  <c r="Y940" i="34"/>
  <c r="N941" i="34"/>
  <c r="O941" i="34"/>
  <c r="P941" i="34"/>
  <c r="Q941" i="34"/>
  <c r="R941" i="34"/>
  <c r="S941" i="34"/>
  <c r="T941" i="34"/>
  <c r="U941" i="34"/>
  <c r="V941" i="34"/>
  <c r="W941" i="34"/>
  <c r="X941" i="34"/>
  <c r="Y941" i="34"/>
  <c r="N942" i="34"/>
  <c r="O942" i="34"/>
  <c r="P942" i="34"/>
  <c r="Q942" i="34"/>
  <c r="R942" i="34"/>
  <c r="S942" i="34"/>
  <c r="T942" i="34"/>
  <c r="U942" i="34"/>
  <c r="V942" i="34"/>
  <c r="W942" i="34"/>
  <c r="X942" i="34"/>
  <c r="Y942" i="34"/>
  <c r="N943" i="34"/>
  <c r="O943" i="34"/>
  <c r="P943" i="34"/>
  <c r="Q943" i="34"/>
  <c r="R943" i="34"/>
  <c r="S943" i="34"/>
  <c r="T943" i="34"/>
  <c r="U943" i="34"/>
  <c r="V943" i="34"/>
  <c r="W943" i="34"/>
  <c r="X943" i="34"/>
  <c r="Y943" i="34"/>
  <c r="N944" i="34"/>
  <c r="O944" i="34"/>
  <c r="P944" i="34"/>
  <c r="Q944" i="34"/>
  <c r="R944" i="34"/>
  <c r="S944" i="34"/>
  <c r="T944" i="34"/>
  <c r="U944" i="34"/>
  <c r="V944" i="34"/>
  <c r="W944" i="34"/>
  <c r="X944" i="34"/>
  <c r="Y944" i="34"/>
  <c r="N945" i="34"/>
  <c r="O945" i="34"/>
  <c r="P945" i="34"/>
  <c r="Q945" i="34"/>
  <c r="R945" i="34"/>
  <c r="S945" i="34"/>
  <c r="T945" i="34"/>
  <c r="U945" i="34"/>
  <c r="V945" i="34"/>
  <c r="W945" i="34"/>
  <c r="X945" i="34"/>
  <c r="Y945" i="34"/>
  <c r="N946" i="34"/>
  <c r="O946" i="34"/>
  <c r="P946" i="34"/>
  <c r="Q946" i="34"/>
  <c r="R946" i="34"/>
  <c r="S946" i="34"/>
  <c r="T946" i="34"/>
  <c r="U946" i="34"/>
  <c r="V946" i="34"/>
  <c r="W946" i="34"/>
  <c r="X946" i="34"/>
  <c r="Y946" i="34"/>
  <c r="N947" i="34"/>
  <c r="O947" i="34"/>
  <c r="P947" i="34"/>
  <c r="Q947" i="34"/>
  <c r="R947" i="34"/>
  <c r="S947" i="34"/>
  <c r="T947" i="34"/>
  <c r="U947" i="34"/>
  <c r="V947" i="34"/>
  <c r="W947" i="34"/>
  <c r="X947" i="34"/>
  <c r="Y947" i="34"/>
  <c r="N948" i="34"/>
  <c r="O948" i="34"/>
  <c r="P948" i="34"/>
  <c r="Q948" i="34"/>
  <c r="R948" i="34"/>
  <c r="S948" i="34"/>
  <c r="T948" i="34"/>
  <c r="U948" i="34"/>
  <c r="V948" i="34"/>
  <c r="W948" i="34"/>
  <c r="X948" i="34"/>
  <c r="Y948" i="34"/>
  <c r="N949" i="34"/>
  <c r="O949" i="34"/>
  <c r="P949" i="34"/>
  <c r="Q949" i="34"/>
  <c r="R949" i="34"/>
  <c r="S949" i="34"/>
  <c r="T949" i="34"/>
  <c r="U949" i="34"/>
  <c r="V949" i="34"/>
  <c r="W949" i="34"/>
  <c r="X949" i="34"/>
  <c r="Y949" i="34"/>
  <c r="N950" i="34"/>
  <c r="O950" i="34"/>
  <c r="P950" i="34"/>
  <c r="Q950" i="34"/>
  <c r="R950" i="34"/>
  <c r="S950" i="34"/>
  <c r="T950" i="34"/>
  <c r="U950" i="34"/>
  <c r="V950" i="34"/>
  <c r="W950" i="34"/>
  <c r="X950" i="34"/>
  <c r="Y950" i="34"/>
  <c r="N951" i="34"/>
  <c r="O951" i="34"/>
  <c r="P951" i="34"/>
  <c r="Q951" i="34"/>
  <c r="R951" i="34"/>
  <c r="S951" i="34"/>
  <c r="T951" i="34"/>
  <c r="U951" i="34"/>
  <c r="V951" i="34"/>
  <c r="W951" i="34"/>
  <c r="X951" i="34"/>
  <c r="Y951" i="34"/>
  <c r="N952" i="34"/>
  <c r="O952" i="34"/>
  <c r="P952" i="34"/>
  <c r="Q952" i="34"/>
  <c r="R952" i="34"/>
  <c r="S952" i="34"/>
  <c r="T952" i="34"/>
  <c r="U952" i="34"/>
  <c r="V952" i="34"/>
  <c r="W952" i="34"/>
  <c r="X952" i="34"/>
  <c r="Y952" i="34"/>
  <c r="N953" i="34"/>
  <c r="O953" i="34"/>
  <c r="P953" i="34"/>
  <c r="Q953" i="34"/>
  <c r="R953" i="34"/>
  <c r="S953" i="34"/>
  <c r="T953" i="34"/>
  <c r="U953" i="34"/>
  <c r="V953" i="34"/>
  <c r="W953" i="34"/>
  <c r="X953" i="34"/>
  <c r="Y953" i="34"/>
  <c r="N954" i="34"/>
  <c r="O954" i="34"/>
  <c r="P954" i="34"/>
  <c r="Q954" i="34"/>
  <c r="R954" i="34"/>
  <c r="S954" i="34"/>
  <c r="T954" i="34"/>
  <c r="U954" i="34"/>
  <c r="V954" i="34"/>
  <c r="W954" i="34"/>
  <c r="X954" i="34"/>
  <c r="Y954" i="34"/>
  <c r="N955" i="34"/>
  <c r="O955" i="34"/>
  <c r="P955" i="34"/>
  <c r="Q955" i="34"/>
  <c r="R955" i="34"/>
  <c r="S955" i="34"/>
  <c r="T955" i="34"/>
  <c r="U955" i="34"/>
  <c r="V955" i="34"/>
  <c r="W955" i="34"/>
  <c r="X955" i="34"/>
  <c r="Y955" i="34"/>
  <c r="N956" i="34"/>
  <c r="O956" i="34"/>
  <c r="P956" i="34"/>
  <c r="Q956" i="34"/>
  <c r="R956" i="34"/>
  <c r="S956" i="34"/>
  <c r="T956" i="34"/>
  <c r="U956" i="34"/>
  <c r="V956" i="34"/>
  <c r="W956" i="34"/>
  <c r="X956" i="34"/>
  <c r="Y956" i="34"/>
  <c r="N957" i="34"/>
  <c r="O957" i="34"/>
  <c r="P957" i="34"/>
  <c r="Q957" i="34"/>
  <c r="R957" i="34"/>
  <c r="S957" i="34"/>
  <c r="T957" i="34"/>
  <c r="U957" i="34"/>
  <c r="V957" i="34"/>
  <c r="W957" i="34"/>
  <c r="X957" i="34"/>
  <c r="Y957" i="34"/>
  <c r="N958" i="34"/>
  <c r="O958" i="34"/>
  <c r="P958" i="34"/>
  <c r="Q958" i="34"/>
  <c r="R958" i="34"/>
  <c r="S958" i="34"/>
  <c r="T958" i="34"/>
  <c r="U958" i="34"/>
  <c r="V958" i="34"/>
  <c r="W958" i="34"/>
  <c r="X958" i="34"/>
  <c r="Y958" i="34"/>
  <c r="N959" i="34"/>
  <c r="O959" i="34"/>
  <c r="P959" i="34"/>
  <c r="Q959" i="34"/>
  <c r="R959" i="34"/>
  <c r="S959" i="34"/>
  <c r="T959" i="34"/>
  <c r="U959" i="34"/>
  <c r="V959" i="34"/>
  <c r="W959" i="34"/>
  <c r="X959" i="34"/>
  <c r="Y959" i="34"/>
  <c r="N960" i="34"/>
  <c r="O960" i="34"/>
  <c r="P960" i="34"/>
  <c r="Q960" i="34"/>
  <c r="R960" i="34"/>
  <c r="S960" i="34"/>
  <c r="T960" i="34"/>
  <c r="U960" i="34"/>
  <c r="V960" i="34"/>
  <c r="W960" i="34"/>
  <c r="X960" i="34"/>
  <c r="Y960" i="34"/>
  <c r="N961" i="34"/>
  <c r="O961" i="34"/>
  <c r="P961" i="34"/>
  <c r="Q961" i="34"/>
  <c r="R961" i="34"/>
  <c r="S961" i="34"/>
  <c r="T961" i="34"/>
  <c r="U961" i="34"/>
  <c r="V961" i="34"/>
  <c r="W961" i="34"/>
  <c r="X961" i="34"/>
  <c r="Y961" i="34"/>
  <c r="N962" i="34"/>
  <c r="O962" i="34"/>
  <c r="P962" i="34"/>
  <c r="Q962" i="34"/>
  <c r="R962" i="34"/>
  <c r="S962" i="34"/>
  <c r="T962" i="34"/>
  <c r="U962" i="34"/>
  <c r="V962" i="34"/>
  <c r="W962" i="34"/>
  <c r="X962" i="34"/>
  <c r="Y962" i="34"/>
  <c r="N963" i="34"/>
  <c r="O963" i="34"/>
  <c r="P963" i="34"/>
  <c r="Q963" i="34"/>
  <c r="R963" i="34"/>
  <c r="S963" i="34"/>
  <c r="T963" i="34"/>
  <c r="U963" i="34"/>
  <c r="V963" i="34"/>
  <c r="W963" i="34"/>
  <c r="X963" i="34"/>
  <c r="Y963" i="34"/>
  <c r="N964" i="34"/>
  <c r="O964" i="34"/>
  <c r="P964" i="34"/>
  <c r="Q964" i="34"/>
  <c r="R964" i="34"/>
  <c r="S964" i="34"/>
  <c r="T964" i="34"/>
  <c r="U964" i="34"/>
  <c r="V964" i="34"/>
  <c r="W964" i="34"/>
  <c r="X964" i="34"/>
  <c r="Y964" i="34"/>
  <c r="N965" i="34"/>
  <c r="O965" i="34"/>
  <c r="P965" i="34"/>
  <c r="Q965" i="34"/>
  <c r="R965" i="34"/>
  <c r="S965" i="34"/>
  <c r="T965" i="34"/>
  <c r="U965" i="34"/>
  <c r="V965" i="34"/>
  <c r="W965" i="34"/>
  <c r="X965" i="34"/>
  <c r="Y965" i="34"/>
  <c r="N966" i="34"/>
  <c r="O966" i="34"/>
  <c r="P966" i="34"/>
  <c r="Q966" i="34"/>
  <c r="R966" i="34"/>
  <c r="S966" i="34"/>
  <c r="T966" i="34"/>
  <c r="U966" i="34"/>
  <c r="V966" i="34"/>
  <c r="W966" i="34"/>
  <c r="X966" i="34"/>
  <c r="Y966" i="34"/>
  <c r="N967" i="34"/>
  <c r="O967" i="34"/>
  <c r="P967" i="34"/>
  <c r="Q967" i="34"/>
  <c r="R967" i="34"/>
  <c r="S967" i="34"/>
  <c r="T967" i="34"/>
  <c r="U967" i="34"/>
  <c r="V967" i="34"/>
  <c r="W967" i="34"/>
  <c r="X967" i="34"/>
  <c r="Y967" i="34"/>
  <c r="N968" i="34"/>
  <c r="O968" i="34"/>
  <c r="P968" i="34"/>
  <c r="Q968" i="34"/>
  <c r="R968" i="34"/>
  <c r="S968" i="34"/>
  <c r="T968" i="34"/>
  <c r="U968" i="34"/>
  <c r="V968" i="34"/>
  <c r="W968" i="34"/>
  <c r="X968" i="34"/>
  <c r="Y968" i="34"/>
  <c r="N969" i="34"/>
  <c r="O969" i="34"/>
  <c r="P969" i="34"/>
  <c r="Q969" i="34"/>
  <c r="R969" i="34"/>
  <c r="S969" i="34"/>
  <c r="T969" i="34"/>
  <c r="U969" i="34"/>
  <c r="V969" i="34"/>
  <c r="W969" i="34"/>
  <c r="X969" i="34"/>
  <c r="Y969" i="34"/>
  <c r="N970" i="34"/>
  <c r="O970" i="34"/>
  <c r="P970" i="34"/>
  <c r="Q970" i="34"/>
  <c r="R970" i="34"/>
  <c r="S970" i="34"/>
  <c r="T970" i="34"/>
  <c r="U970" i="34"/>
  <c r="V970" i="34"/>
  <c r="W970" i="34"/>
  <c r="X970" i="34"/>
  <c r="Y970" i="34"/>
  <c r="N971" i="34"/>
  <c r="O971" i="34"/>
  <c r="P971" i="34"/>
  <c r="Q971" i="34"/>
  <c r="R971" i="34"/>
  <c r="S971" i="34"/>
  <c r="T971" i="34"/>
  <c r="U971" i="34"/>
  <c r="V971" i="34"/>
  <c r="W971" i="34"/>
  <c r="X971" i="34"/>
  <c r="Y971" i="34"/>
  <c r="N972" i="34"/>
  <c r="O972" i="34"/>
  <c r="P972" i="34"/>
  <c r="Q972" i="34"/>
  <c r="R972" i="34"/>
  <c r="S972" i="34"/>
  <c r="T972" i="34"/>
  <c r="U972" i="34"/>
  <c r="V972" i="34"/>
  <c r="W972" i="34"/>
  <c r="X972" i="34"/>
  <c r="Y972" i="34"/>
  <c r="N973" i="34"/>
  <c r="O973" i="34"/>
  <c r="P973" i="34"/>
  <c r="Q973" i="34"/>
  <c r="R973" i="34"/>
  <c r="S973" i="34"/>
  <c r="T973" i="34"/>
  <c r="U973" i="34"/>
  <c r="V973" i="34"/>
  <c r="W973" i="34"/>
  <c r="X973" i="34"/>
  <c r="Y973" i="34"/>
  <c r="N974" i="34"/>
  <c r="O974" i="34"/>
  <c r="P974" i="34"/>
  <c r="Q974" i="34"/>
  <c r="R974" i="34"/>
  <c r="S974" i="34"/>
  <c r="T974" i="34"/>
  <c r="U974" i="34"/>
  <c r="V974" i="34"/>
  <c r="W974" i="34"/>
  <c r="X974" i="34"/>
  <c r="Y974" i="34"/>
  <c r="N975" i="34"/>
  <c r="O975" i="34"/>
  <c r="P975" i="34"/>
  <c r="Q975" i="34"/>
  <c r="R975" i="34"/>
  <c r="S975" i="34"/>
  <c r="T975" i="34"/>
  <c r="U975" i="34"/>
  <c r="V975" i="34"/>
  <c r="W975" i="34"/>
  <c r="X975" i="34"/>
  <c r="Y975" i="34"/>
  <c r="N976" i="34"/>
  <c r="O976" i="34"/>
  <c r="P976" i="34"/>
  <c r="Q976" i="34"/>
  <c r="R976" i="34"/>
  <c r="S976" i="34"/>
  <c r="T976" i="34"/>
  <c r="U976" i="34"/>
  <c r="V976" i="34"/>
  <c r="W976" i="34"/>
  <c r="X976" i="34"/>
  <c r="Y976" i="34"/>
  <c r="N977" i="34"/>
  <c r="O977" i="34"/>
  <c r="P977" i="34"/>
  <c r="Q977" i="34"/>
  <c r="R977" i="34"/>
  <c r="S977" i="34"/>
  <c r="T977" i="34"/>
  <c r="U977" i="34"/>
  <c r="V977" i="34"/>
  <c r="W977" i="34"/>
  <c r="X977" i="34"/>
  <c r="Y977" i="34"/>
  <c r="N978" i="34"/>
  <c r="O978" i="34"/>
  <c r="P978" i="34"/>
  <c r="Q978" i="34"/>
  <c r="R978" i="34"/>
  <c r="S978" i="34"/>
  <c r="T978" i="34"/>
  <c r="U978" i="34"/>
  <c r="V978" i="34"/>
  <c r="W978" i="34"/>
  <c r="X978" i="34"/>
  <c r="Y978" i="34"/>
  <c r="N979" i="34"/>
  <c r="O979" i="34"/>
  <c r="P979" i="34"/>
  <c r="Q979" i="34"/>
  <c r="R979" i="34"/>
  <c r="S979" i="34"/>
  <c r="T979" i="34"/>
  <c r="U979" i="34"/>
  <c r="V979" i="34"/>
  <c r="W979" i="34"/>
  <c r="X979" i="34"/>
  <c r="Y979" i="34"/>
  <c r="N980" i="34"/>
  <c r="O980" i="34"/>
  <c r="P980" i="34"/>
  <c r="Q980" i="34"/>
  <c r="R980" i="34"/>
  <c r="S980" i="34"/>
  <c r="T980" i="34"/>
  <c r="U980" i="34"/>
  <c r="V980" i="34"/>
  <c r="W980" i="34"/>
  <c r="X980" i="34"/>
  <c r="Y980" i="34"/>
  <c r="N981" i="34"/>
  <c r="O981" i="34"/>
  <c r="P981" i="34"/>
  <c r="Q981" i="34"/>
  <c r="R981" i="34"/>
  <c r="S981" i="34"/>
  <c r="T981" i="34"/>
  <c r="U981" i="34"/>
  <c r="V981" i="34"/>
  <c r="W981" i="34"/>
  <c r="X981" i="34"/>
  <c r="Y981" i="34"/>
  <c r="N982" i="34"/>
  <c r="O982" i="34"/>
  <c r="P982" i="34"/>
  <c r="Q982" i="34"/>
  <c r="R982" i="34"/>
  <c r="S982" i="34"/>
  <c r="T982" i="34"/>
  <c r="U982" i="34"/>
  <c r="V982" i="34"/>
  <c r="W982" i="34"/>
  <c r="X982" i="34"/>
  <c r="Y982" i="34"/>
  <c r="N983" i="34"/>
  <c r="O983" i="34"/>
  <c r="P983" i="34"/>
  <c r="Q983" i="34"/>
  <c r="R983" i="34"/>
  <c r="S983" i="34"/>
  <c r="T983" i="34"/>
  <c r="U983" i="34"/>
  <c r="V983" i="34"/>
  <c r="W983" i="34"/>
  <c r="X983" i="34"/>
  <c r="Y983" i="34"/>
  <c r="N984" i="34"/>
  <c r="O984" i="34"/>
  <c r="P984" i="34"/>
  <c r="Q984" i="34"/>
  <c r="R984" i="34"/>
  <c r="S984" i="34"/>
  <c r="T984" i="34"/>
  <c r="U984" i="34"/>
  <c r="V984" i="34"/>
  <c r="W984" i="34"/>
  <c r="X984" i="34"/>
  <c r="Y984" i="34"/>
  <c r="N985" i="34"/>
  <c r="O985" i="34"/>
  <c r="P985" i="34"/>
  <c r="Q985" i="34"/>
  <c r="R985" i="34"/>
  <c r="S985" i="34"/>
  <c r="T985" i="34"/>
  <c r="U985" i="34"/>
  <c r="V985" i="34"/>
  <c r="W985" i="34"/>
  <c r="X985" i="34"/>
  <c r="Y985" i="34"/>
  <c r="N986" i="34"/>
  <c r="O986" i="34"/>
  <c r="P986" i="34"/>
  <c r="Q986" i="34"/>
  <c r="R986" i="34"/>
  <c r="S986" i="34"/>
  <c r="T986" i="34"/>
  <c r="U986" i="34"/>
  <c r="V986" i="34"/>
  <c r="W986" i="34"/>
  <c r="X986" i="34"/>
  <c r="Y986" i="34"/>
  <c r="N987" i="34"/>
  <c r="O987" i="34"/>
  <c r="P987" i="34"/>
  <c r="Q987" i="34"/>
  <c r="R987" i="34"/>
  <c r="S987" i="34"/>
  <c r="T987" i="34"/>
  <c r="U987" i="34"/>
  <c r="V987" i="34"/>
  <c r="W987" i="34"/>
  <c r="X987" i="34"/>
  <c r="Y987" i="34"/>
  <c r="N988" i="34"/>
  <c r="O988" i="34"/>
  <c r="P988" i="34"/>
  <c r="Q988" i="34"/>
  <c r="R988" i="34"/>
  <c r="S988" i="34"/>
  <c r="T988" i="34"/>
  <c r="U988" i="34"/>
  <c r="V988" i="34"/>
  <c r="W988" i="34"/>
  <c r="X988" i="34"/>
  <c r="Y988" i="34"/>
  <c r="N989" i="34"/>
  <c r="O989" i="34"/>
  <c r="P989" i="34"/>
  <c r="Q989" i="34"/>
  <c r="R989" i="34"/>
  <c r="S989" i="34"/>
  <c r="T989" i="34"/>
  <c r="U989" i="34"/>
  <c r="V989" i="34"/>
  <c r="W989" i="34"/>
  <c r="X989" i="34"/>
  <c r="Y989" i="34"/>
  <c r="N990" i="34"/>
  <c r="O990" i="34"/>
  <c r="P990" i="34"/>
  <c r="Q990" i="34"/>
  <c r="R990" i="34"/>
  <c r="S990" i="34"/>
  <c r="T990" i="34"/>
  <c r="U990" i="34"/>
  <c r="V990" i="34"/>
  <c r="W990" i="34"/>
  <c r="X990" i="34"/>
  <c r="Y990" i="34"/>
  <c r="N991" i="34"/>
  <c r="O991" i="34"/>
  <c r="P991" i="34"/>
  <c r="Q991" i="34"/>
  <c r="R991" i="34"/>
  <c r="S991" i="34"/>
  <c r="T991" i="34"/>
  <c r="U991" i="34"/>
  <c r="V991" i="34"/>
  <c r="W991" i="34"/>
  <c r="X991" i="34"/>
  <c r="Y991" i="34"/>
  <c r="N992" i="34"/>
  <c r="O992" i="34"/>
  <c r="P992" i="34"/>
  <c r="Q992" i="34"/>
  <c r="R992" i="34"/>
  <c r="S992" i="34"/>
  <c r="T992" i="34"/>
  <c r="U992" i="34"/>
  <c r="V992" i="34"/>
  <c r="W992" i="34"/>
  <c r="X992" i="34"/>
  <c r="Y992" i="34"/>
  <c r="N993" i="34"/>
  <c r="O993" i="34"/>
  <c r="P993" i="34"/>
  <c r="Q993" i="34"/>
  <c r="R993" i="34"/>
  <c r="S993" i="34"/>
  <c r="T993" i="34"/>
  <c r="U993" i="34"/>
  <c r="V993" i="34"/>
  <c r="W993" i="34"/>
  <c r="X993" i="34"/>
  <c r="Y993" i="34"/>
  <c r="N994" i="34"/>
  <c r="O994" i="34"/>
  <c r="P994" i="34"/>
  <c r="Q994" i="34"/>
  <c r="R994" i="34"/>
  <c r="S994" i="34"/>
  <c r="T994" i="34"/>
  <c r="U994" i="34"/>
  <c r="V994" i="34"/>
  <c r="W994" i="34"/>
  <c r="X994" i="34"/>
  <c r="Y994" i="34"/>
  <c r="N995" i="34"/>
  <c r="O995" i="34"/>
  <c r="P995" i="34"/>
  <c r="Q995" i="34"/>
  <c r="R995" i="34"/>
  <c r="S995" i="34"/>
  <c r="T995" i="34"/>
  <c r="U995" i="34"/>
  <c r="V995" i="34"/>
  <c r="W995" i="34"/>
  <c r="X995" i="34"/>
  <c r="Y995" i="34"/>
  <c r="N996" i="34"/>
  <c r="O996" i="34"/>
  <c r="P996" i="34"/>
  <c r="Q996" i="34"/>
  <c r="R996" i="34"/>
  <c r="S996" i="34"/>
  <c r="T996" i="34"/>
  <c r="U996" i="34"/>
  <c r="V996" i="34"/>
  <c r="W996" i="34"/>
  <c r="X996" i="34"/>
  <c r="Y996" i="34"/>
  <c r="N997" i="34"/>
  <c r="O997" i="34"/>
  <c r="P997" i="34"/>
  <c r="Q997" i="34"/>
  <c r="R997" i="34"/>
  <c r="S997" i="34"/>
  <c r="T997" i="34"/>
  <c r="U997" i="34"/>
  <c r="V997" i="34"/>
  <c r="W997" i="34"/>
  <c r="X997" i="34"/>
  <c r="Y997" i="34"/>
  <c r="N998" i="34"/>
  <c r="O998" i="34"/>
  <c r="P998" i="34"/>
  <c r="Q998" i="34"/>
  <c r="R998" i="34"/>
  <c r="S998" i="34"/>
  <c r="T998" i="34"/>
  <c r="U998" i="34"/>
  <c r="V998" i="34"/>
  <c r="W998" i="34"/>
  <c r="X998" i="34"/>
  <c r="Y998" i="34"/>
  <c r="N999" i="34"/>
  <c r="O999" i="34"/>
  <c r="P999" i="34"/>
  <c r="Q999" i="34"/>
  <c r="R999" i="34"/>
  <c r="S999" i="34"/>
  <c r="T999" i="34"/>
  <c r="U999" i="34"/>
  <c r="V999" i="34"/>
  <c r="W999" i="34"/>
  <c r="X999" i="34"/>
  <c r="Y999" i="34"/>
  <c r="N1000" i="34"/>
  <c r="O1000" i="34"/>
  <c r="P1000" i="34"/>
  <c r="Q1000" i="34"/>
  <c r="R1000" i="34"/>
  <c r="S1000" i="34"/>
  <c r="T1000" i="34"/>
  <c r="U1000" i="34"/>
  <c r="V1000" i="34"/>
  <c r="W1000" i="34"/>
  <c r="X1000" i="34"/>
  <c r="Y1000" i="34"/>
  <c r="N1001" i="34"/>
  <c r="O1001" i="34"/>
  <c r="P1001" i="34"/>
  <c r="Q1001" i="34"/>
  <c r="R1001" i="34"/>
  <c r="S1001" i="34"/>
  <c r="T1001" i="34"/>
  <c r="U1001" i="34"/>
  <c r="V1001" i="34"/>
  <c r="W1001" i="34"/>
  <c r="X1001" i="34"/>
  <c r="Y1001" i="34"/>
  <c r="N1002" i="34"/>
  <c r="O1002" i="34"/>
  <c r="P1002" i="34"/>
  <c r="Q1002" i="34"/>
  <c r="R1002" i="34"/>
  <c r="S1002" i="34"/>
  <c r="T1002" i="34"/>
  <c r="U1002" i="34"/>
  <c r="V1002" i="34"/>
  <c r="W1002" i="34"/>
  <c r="X1002" i="34"/>
  <c r="Y1002" i="34"/>
  <c r="N1003" i="34"/>
  <c r="O1003" i="34"/>
  <c r="P1003" i="34"/>
  <c r="Q1003" i="34"/>
  <c r="R1003" i="34"/>
  <c r="S1003" i="34"/>
  <c r="T1003" i="34"/>
  <c r="U1003" i="34"/>
  <c r="V1003" i="34"/>
  <c r="W1003" i="34"/>
  <c r="X1003" i="34"/>
  <c r="Y1003" i="34"/>
  <c r="N1004" i="34"/>
  <c r="O1004" i="34"/>
  <c r="P1004" i="34"/>
  <c r="Q1004" i="34"/>
  <c r="R1004" i="34"/>
  <c r="S1004" i="34"/>
  <c r="T1004" i="34"/>
  <c r="U1004" i="34"/>
  <c r="V1004" i="34"/>
  <c r="W1004" i="34"/>
  <c r="X1004" i="34"/>
  <c r="Y1004" i="34"/>
  <c r="N1005" i="34"/>
  <c r="O1005" i="34"/>
  <c r="P1005" i="34"/>
  <c r="Q1005" i="34"/>
  <c r="R1005" i="34"/>
  <c r="S1005" i="34"/>
  <c r="T1005" i="34"/>
  <c r="U1005" i="34"/>
  <c r="V1005" i="34"/>
  <c r="W1005" i="34"/>
  <c r="X1005" i="34"/>
  <c r="Y1005" i="34"/>
  <c r="N1006" i="34"/>
  <c r="O1006" i="34"/>
  <c r="P1006" i="34"/>
  <c r="Q1006" i="34"/>
  <c r="R1006" i="34"/>
  <c r="S1006" i="34"/>
  <c r="T1006" i="34"/>
  <c r="U1006" i="34"/>
  <c r="V1006" i="34"/>
  <c r="W1006" i="34"/>
  <c r="X1006" i="34"/>
  <c r="Y1006" i="34"/>
  <c r="N1007" i="34"/>
  <c r="O1007" i="34"/>
  <c r="P1007" i="34"/>
  <c r="Q1007" i="34"/>
  <c r="R1007" i="34"/>
  <c r="S1007" i="34"/>
  <c r="T1007" i="34"/>
  <c r="U1007" i="34"/>
  <c r="V1007" i="34"/>
  <c r="W1007" i="34"/>
  <c r="X1007" i="34"/>
  <c r="Y1007" i="34"/>
  <c r="N1008" i="34"/>
  <c r="O1008" i="34"/>
  <c r="P1008" i="34"/>
  <c r="Q1008" i="34"/>
  <c r="R1008" i="34"/>
  <c r="S1008" i="34"/>
  <c r="T1008" i="34"/>
  <c r="U1008" i="34"/>
  <c r="V1008" i="34"/>
  <c r="W1008" i="34"/>
  <c r="X1008" i="34"/>
  <c r="Y1008" i="34"/>
  <c r="N1009" i="34"/>
  <c r="O1009" i="34"/>
  <c r="P1009" i="34"/>
  <c r="Q1009" i="34"/>
  <c r="R1009" i="34"/>
  <c r="S1009" i="34"/>
  <c r="T1009" i="34"/>
  <c r="U1009" i="34"/>
  <c r="V1009" i="34"/>
  <c r="W1009" i="34"/>
  <c r="X1009" i="34"/>
  <c r="Y1009" i="34"/>
  <c r="N1010" i="34"/>
  <c r="O1010" i="34"/>
  <c r="P1010" i="34"/>
  <c r="Q1010" i="34"/>
  <c r="R1010" i="34"/>
  <c r="S1010" i="34"/>
  <c r="T1010" i="34"/>
  <c r="U1010" i="34"/>
  <c r="V1010" i="34"/>
  <c r="W1010" i="34"/>
  <c r="X1010" i="34"/>
  <c r="Y1010" i="34"/>
  <c r="N1011" i="34"/>
  <c r="O1011" i="34"/>
  <c r="P1011" i="34"/>
  <c r="Q1011" i="34"/>
  <c r="R1011" i="34"/>
  <c r="S1011" i="34"/>
  <c r="T1011" i="34"/>
  <c r="U1011" i="34"/>
  <c r="V1011" i="34"/>
  <c r="W1011" i="34"/>
  <c r="X1011" i="34"/>
  <c r="Y1011" i="34"/>
  <c r="N1012" i="34"/>
  <c r="O1012" i="34"/>
  <c r="P1012" i="34"/>
  <c r="Q1012" i="34"/>
  <c r="R1012" i="34"/>
  <c r="S1012" i="34"/>
  <c r="T1012" i="34"/>
  <c r="U1012" i="34"/>
  <c r="V1012" i="34"/>
  <c r="W1012" i="34"/>
  <c r="X1012" i="34"/>
  <c r="Y1012" i="34"/>
  <c r="N1013" i="34"/>
  <c r="O1013" i="34"/>
  <c r="P1013" i="34"/>
  <c r="Q1013" i="34"/>
  <c r="R1013" i="34"/>
  <c r="S1013" i="34"/>
  <c r="T1013" i="34"/>
  <c r="U1013" i="34"/>
  <c r="V1013" i="34"/>
  <c r="W1013" i="34"/>
  <c r="X1013" i="34"/>
  <c r="Y1013" i="34"/>
  <c r="N1014" i="34"/>
  <c r="O1014" i="34"/>
  <c r="P1014" i="34"/>
  <c r="Q1014" i="34"/>
  <c r="R1014" i="34"/>
  <c r="S1014" i="34"/>
  <c r="T1014" i="34"/>
  <c r="U1014" i="34"/>
  <c r="V1014" i="34"/>
  <c r="W1014" i="34"/>
  <c r="X1014" i="34"/>
  <c r="Y1014" i="34"/>
  <c r="N1015" i="34"/>
  <c r="O1015" i="34"/>
  <c r="P1015" i="34"/>
  <c r="Q1015" i="34"/>
  <c r="R1015" i="34"/>
  <c r="S1015" i="34"/>
  <c r="T1015" i="34"/>
  <c r="U1015" i="34"/>
  <c r="V1015" i="34"/>
  <c r="W1015" i="34"/>
  <c r="X1015" i="34"/>
  <c r="Y1015" i="34"/>
  <c r="N1016" i="34"/>
  <c r="O1016" i="34"/>
  <c r="P1016" i="34"/>
  <c r="Q1016" i="34"/>
  <c r="R1016" i="34"/>
  <c r="S1016" i="34"/>
  <c r="T1016" i="34"/>
  <c r="U1016" i="34"/>
  <c r="V1016" i="34"/>
  <c r="W1016" i="34"/>
  <c r="X1016" i="34"/>
  <c r="Y1016" i="34"/>
  <c r="N1017" i="34"/>
  <c r="O1017" i="34"/>
  <c r="P1017" i="34"/>
  <c r="Q1017" i="34"/>
  <c r="R1017" i="34"/>
  <c r="S1017" i="34"/>
  <c r="T1017" i="34"/>
  <c r="U1017" i="34"/>
  <c r="V1017" i="34"/>
  <c r="W1017" i="34"/>
  <c r="X1017" i="34"/>
  <c r="Y1017" i="34"/>
  <c r="N1018" i="34"/>
  <c r="O1018" i="34"/>
  <c r="P1018" i="34"/>
  <c r="Q1018" i="34"/>
  <c r="R1018" i="34"/>
  <c r="S1018" i="34"/>
  <c r="T1018" i="34"/>
  <c r="U1018" i="34"/>
  <c r="V1018" i="34"/>
  <c r="W1018" i="34"/>
  <c r="X1018" i="34"/>
  <c r="Y1018" i="34"/>
  <c r="N1019" i="34"/>
  <c r="O1019" i="34"/>
  <c r="P1019" i="34"/>
  <c r="Q1019" i="34"/>
  <c r="R1019" i="34"/>
  <c r="S1019" i="34"/>
  <c r="T1019" i="34"/>
  <c r="U1019" i="34"/>
  <c r="V1019" i="34"/>
  <c r="W1019" i="34"/>
  <c r="X1019" i="34"/>
  <c r="Y1019" i="34"/>
  <c r="N1020" i="34"/>
  <c r="O1020" i="34"/>
  <c r="P1020" i="34"/>
  <c r="Q1020" i="34"/>
  <c r="R1020" i="34"/>
  <c r="S1020" i="34"/>
  <c r="T1020" i="34"/>
  <c r="U1020" i="34"/>
  <c r="V1020" i="34"/>
  <c r="W1020" i="34"/>
  <c r="X1020" i="34"/>
  <c r="Y1020" i="34"/>
  <c r="N1021" i="34"/>
  <c r="O1021" i="34"/>
  <c r="P1021" i="34"/>
  <c r="Q1021" i="34"/>
  <c r="R1021" i="34"/>
  <c r="S1021" i="34"/>
  <c r="T1021" i="34"/>
  <c r="U1021" i="34"/>
  <c r="V1021" i="34"/>
  <c r="W1021" i="34"/>
  <c r="X1021" i="34"/>
  <c r="Y1021" i="34"/>
  <c r="N1022" i="34"/>
  <c r="O1022" i="34"/>
  <c r="P1022" i="34"/>
  <c r="Q1022" i="34"/>
  <c r="R1022" i="34"/>
  <c r="S1022" i="34"/>
  <c r="T1022" i="34"/>
  <c r="U1022" i="34"/>
  <c r="V1022" i="34"/>
  <c r="W1022" i="34"/>
  <c r="X1022" i="34"/>
  <c r="Y1022" i="34"/>
  <c r="N1023" i="34"/>
  <c r="O1023" i="34"/>
  <c r="P1023" i="34"/>
  <c r="Q1023" i="34"/>
  <c r="R1023" i="34"/>
  <c r="S1023" i="34"/>
  <c r="T1023" i="34"/>
  <c r="U1023" i="34"/>
  <c r="V1023" i="34"/>
  <c r="W1023" i="34"/>
  <c r="X1023" i="34"/>
  <c r="Y1023" i="34"/>
  <c r="N1024" i="34"/>
  <c r="O1024" i="34"/>
  <c r="P1024" i="34"/>
  <c r="Q1024" i="34"/>
  <c r="R1024" i="34"/>
  <c r="S1024" i="34"/>
  <c r="T1024" i="34"/>
  <c r="U1024" i="34"/>
  <c r="V1024" i="34"/>
  <c r="W1024" i="34"/>
  <c r="X1024" i="34"/>
  <c r="Y1024" i="34"/>
  <c r="N1025" i="34"/>
  <c r="O1025" i="34"/>
  <c r="P1025" i="34"/>
  <c r="Q1025" i="34"/>
  <c r="R1025" i="34"/>
  <c r="S1025" i="34"/>
  <c r="T1025" i="34"/>
  <c r="U1025" i="34"/>
  <c r="V1025" i="34"/>
  <c r="W1025" i="34"/>
  <c r="X1025" i="34"/>
  <c r="Y1025" i="34"/>
  <c r="N1026" i="34"/>
  <c r="O1026" i="34"/>
  <c r="P1026" i="34"/>
  <c r="Q1026" i="34"/>
  <c r="R1026" i="34"/>
  <c r="S1026" i="34"/>
  <c r="T1026" i="34"/>
  <c r="U1026" i="34"/>
  <c r="V1026" i="34"/>
  <c r="W1026" i="34"/>
  <c r="X1026" i="34"/>
  <c r="Y1026" i="34"/>
  <c r="N1027" i="34"/>
  <c r="O1027" i="34"/>
  <c r="P1027" i="34"/>
  <c r="Q1027" i="34"/>
  <c r="R1027" i="34"/>
  <c r="S1027" i="34"/>
  <c r="T1027" i="34"/>
  <c r="U1027" i="34"/>
  <c r="V1027" i="34"/>
  <c r="W1027" i="34"/>
  <c r="X1027" i="34"/>
  <c r="Y1027" i="34"/>
  <c r="N1028" i="34"/>
  <c r="O1028" i="34"/>
  <c r="P1028" i="34"/>
  <c r="Q1028" i="34"/>
  <c r="R1028" i="34"/>
  <c r="S1028" i="34"/>
  <c r="T1028" i="34"/>
  <c r="U1028" i="34"/>
  <c r="V1028" i="34"/>
  <c r="W1028" i="34"/>
  <c r="X1028" i="34"/>
  <c r="Y1028" i="34"/>
  <c r="N1029" i="34"/>
  <c r="O1029" i="34"/>
  <c r="P1029" i="34"/>
  <c r="Q1029" i="34"/>
  <c r="R1029" i="34"/>
  <c r="S1029" i="34"/>
  <c r="T1029" i="34"/>
  <c r="U1029" i="34"/>
  <c r="V1029" i="34"/>
  <c r="W1029" i="34"/>
  <c r="X1029" i="34"/>
  <c r="Y1029" i="34"/>
  <c r="N1030" i="34"/>
  <c r="O1030" i="34"/>
  <c r="P1030" i="34"/>
  <c r="Q1030" i="34"/>
  <c r="R1030" i="34"/>
  <c r="S1030" i="34"/>
  <c r="T1030" i="34"/>
  <c r="U1030" i="34"/>
  <c r="V1030" i="34"/>
  <c r="W1030" i="34"/>
  <c r="X1030" i="34"/>
  <c r="Y1030" i="34"/>
  <c r="N1031" i="34"/>
  <c r="O1031" i="34"/>
  <c r="P1031" i="34"/>
  <c r="Q1031" i="34"/>
  <c r="R1031" i="34"/>
  <c r="S1031" i="34"/>
  <c r="T1031" i="34"/>
  <c r="U1031" i="34"/>
  <c r="V1031" i="34"/>
  <c r="W1031" i="34"/>
  <c r="X1031" i="34"/>
  <c r="Y1031" i="34"/>
  <c r="N1032" i="34"/>
  <c r="O1032" i="34"/>
  <c r="P1032" i="34"/>
  <c r="Q1032" i="34"/>
  <c r="R1032" i="34"/>
  <c r="S1032" i="34"/>
  <c r="T1032" i="34"/>
  <c r="U1032" i="34"/>
  <c r="V1032" i="34"/>
  <c r="W1032" i="34"/>
  <c r="X1032" i="34"/>
  <c r="Y1032" i="34"/>
  <c r="N1033" i="34"/>
  <c r="O1033" i="34"/>
  <c r="P1033" i="34"/>
  <c r="Q1033" i="34"/>
  <c r="R1033" i="34"/>
  <c r="S1033" i="34"/>
  <c r="T1033" i="34"/>
  <c r="U1033" i="34"/>
  <c r="V1033" i="34"/>
  <c r="W1033" i="34"/>
  <c r="X1033" i="34"/>
  <c r="Y1033" i="34"/>
  <c r="N1034" i="34"/>
  <c r="O1034" i="34"/>
  <c r="P1034" i="34"/>
  <c r="Q1034" i="34"/>
  <c r="R1034" i="34"/>
  <c r="S1034" i="34"/>
  <c r="T1034" i="34"/>
  <c r="U1034" i="34"/>
  <c r="V1034" i="34"/>
  <c r="W1034" i="34"/>
  <c r="X1034" i="34"/>
  <c r="Y1034" i="34"/>
  <c r="N1035" i="34"/>
  <c r="O1035" i="34"/>
  <c r="P1035" i="34"/>
  <c r="Q1035" i="34"/>
  <c r="R1035" i="34"/>
  <c r="S1035" i="34"/>
  <c r="T1035" i="34"/>
  <c r="U1035" i="34"/>
  <c r="V1035" i="34"/>
  <c r="W1035" i="34"/>
  <c r="X1035" i="34"/>
  <c r="Y1035" i="34"/>
  <c r="N1036" i="34"/>
  <c r="O1036" i="34"/>
  <c r="P1036" i="34"/>
  <c r="Q1036" i="34"/>
  <c r="R1036" i="34"/>
  <c r="S1036" i="34"/>
  <c r="T1036" i="34"/>
  <c r="U1036" i="34"/>
  <c r="V1036" i="34"/>
  <c r="W1036" i="34"/>
  <c r="X1036" i="34"/>
  <c r="Y1036" i="34"/>
  <c r="N1037" i="34"/>
  <c r="O1037" i="34"/>
  <c r="P1037" i="34"/>
  <c r="Q1037" i="34"/>
  <c r="R1037" i="34"/>
  <c r="S1037" i="34"/>
  <c r="T1037" i="34"/>
  <c r="U1037" i="34"/>
  <c r="V1037" i="34"/>
  <c r="W1037" i="34"/>
  <c r="X1037" i="34"/>
  <c r="Y1037" i="34"/>
  <c r="N1038" i="34"/>
  <c r="O1038" i="34"/>
  <c r="P1038" i="34"/>
  <c r="Q1038" i="34"/>
  <c r="R1038" i="34"/>
  <c r="S1038" i="34"/>
  <c r="T1038" i="34"/>
  <c r="U1038" i="34"/>
  <c r="V1038" i="34"/>
  <c r="W1038" i="34"/>
  <c r="X1038" i="34"/>
  <c r="Y1038" i="34"/>
  <c r="N1039" i="34"/>
  <c r="O1039" i="34"/>
  <c r="P1039" i="34"/>
  <c r="Q1039" i="34"/>
  <c r="R1039" i="34"/>
  <c r="S1039" i="34"/>
  <c r="T1039" i="34"/>
  <c r="U1039" i="34"/>
  <c r="V1039" i="34"/>
  <c r="W1039" i="34"/>
  <c r="X1039" i="34"/>
  <c r="Y1039" i="34"/>
  <c r="N1040" i="34"/>
  <c r="O1040" i="34"/>
  <c r="P1040" i="34"/>
  <c r="Q1040" i="34"/>
  <c r="R1040" i="34"/>
  <c r="S1040" i="34"/>
  <c r="T1040" i="34"/>
  <c r="U1040" i="34"/>
  <c r="V1040" i="34"/>
  <c r="W1040" i="34"/>
  <c r="X1040" i="34"/>
  <c r="Y1040" i="34"/>
  <c r="N1041" i="34"/>
  <c r="O1041" i="34"/>
  <c r="P1041" i="34"/>
  <c r="Q1041" i="34"/>
  <c r="R1041" i="34"/>
  <c r="S1041" i="34"/>
  <c r="T1041" i="34"/>
  <c r="U1041" i="34"/>
  <c r="V1041" i="34"/>
  <c r="W1041" i="34"/>
  <c r="X1041" i="34"/>
  <c r="Y1041" i="34"/>
  <c r="N1042" i="34"/>
  <c r="O1042" i="34"/>
  <c r="P1042" i="34"/>
  <c r="Q1042" i="34"/>
  <c r="R1042" i="34"/>
  <c r="S1042" i="34"/>
  <c r="T1042" i="34"/>
  <c r="U1042" i="34"/>
  <c r="V1042" i="34"/>
  <c r="W1042" i="34"/>
  <c r="X1042" i="34"/>
  <c r="Y1042" i="34"/>
  <c r="N1043" i="34"/>
  <c r="O1043" i="34"/>
  <c r="P1043" i="34"/>
  <c r="Q1043" i="34"/>
  <c r="R1043" i="34"/>
  <c r="S1043" i="34"/>
  <c r="T1043" i="34"/>
  <c r="U1043" i="34"/>
  <c r="V1043" i="34"/>
  <c r="W1043" i="34"/>
  <c r="X1043" i="34"/>
  <c r="Y1043" i="34"/>
  <c r="N1044" i="34"/>
  <c r="O1044" i="34"/>
  <c r="P1044" i="34"/>
  <c r="Q1044" i="34"/>
  <c r="R1044" i="34"/>
  <c r="S1044" i="34"/>
  <c r="T1044" i="34"/>
  <c r="U1044" i="34"/>
  <c r="V1044" i="34"/>
  <c r="W1044" i="34"/>
  <c r="X1044" i="34"/>
  <c r="Y1044" i="34"/>
  <c r="N1045" i="34"/>
  <c r="O1045" i="34"/>
  <c r="P1045" i="34"/>
  <c r="Q1045" i="34"/>
  <c r="R1045" i="34"/>
  <c r="S1045" i="34"/>
  <c r="T1045" i="34"/>
  <c r="U1045" i="34"/>
  <c r="V1045" i="34"/>
  <c r="W1045" i="34"/>
  <c r="X1045" i="34"/>
  <c r="Y1045" i="34"/>
  <c r="N1046" i="34"/>
  <c r="O1046" i="34"/>
  <c r="P1046" i="34"/>
  <c r="Q1046" i="34"/>
  <c r="R1046" i="34"/>
  <c r="S1046" i="34"/>
  <c r="T1046" i="34"/>
  <c r="U1046" i="34"/>
  <c r="V1046" i="34"/>
  <c r="W1046" i="34"/>
  <c r="X1046" i="34"/>
  <c r="Y1046" i="34"/>
  <c r="N1047" i="34"/>
  <c r="O1047" i="34"/>
  <c r="P1047" i="34"/>
  <c r="Q1047" i="34"/>
  <c r="R1047" i="34"/>
  <c r="S1047" i="34"/>
  <c r="T1047" i="34"/>
  <c r="U1047" i="34"/>
  <c r="V1047" i="34"/>
  <c r="W1047" i="34"/>
  <c r="X1047" i="34"/>
  <c r="Y1047" i="34"/>
  <c r="N1048" i="34"/>
  <c r="O1048" i="34"/>
  <c r="P1048" i="34"/>
  <c r="Q1048" i="34"/>
  <c r="R1048" i="34"/>
  <c r="S1048" i="34"/>
  <c r="T1048" i="34"/>
  <c r="U1048" i="34"/>
  <c r="V1048" i="34"/>
  <c r="W1048" i="34"/>
  <c r="X1048" i="34"/>
  <c r="Y1048" i="34"/>
  <c r="N1049" i="34"/>
  <c r="O1049" i="34"/>
  <c r="P1049" i="34"/>
  <c r="Q1049" i="34"/>
  <c r="R1049" i="34"/>
  <c r="S1049" i="34"/>
  <c r="T1049" i="34"/>
  <c r="U1049" i="34"/>
  <c r="V1049" i="34"/>
  <c r="W1049" i="34"/>
  <c r="X1049" i="34"/>
  <c r="Y1049" i="34"/>
  <c r="N1050" i="34"/>
  <c r="O1050" i="34"/>
  <c r="P1050" i="34"/>
  <c r="Q1050" i="34"/>
  <c r="R1050" i="34"/>
  <c r="S1050" i="34"/>
  <c r="T1050" i="34"/>
  <c r="U1050" i="34"/>
  <c r="V1050" i="34"/>
  <c r="W1050" i="34"/>
  <c r="X1050" i="34"/>
  <c r="Y1050" i="34"/>
  <c r="N1051" i="34"/>
  <c r="O1051" i="34"/>
  <c r="P1051" i="34"/>
  <c r="Q1051" i="34"/>
  <c r="R1051" i="34"/>
  <c r="S1051" i="34"/>
  <c r="T1051" i="34"/>
  <c r="U1051" i="34"/>
  <c r="V1051" i="34"/>
  <c r="W1051" i="34"/>
  <c r="X1051" i="34"/>
  <c r="Y1051" i="34"/>
  <c r="N1052" i="34"/>
  <c r="O1052" i="34"/>
  <c r="P1052" i="34"/>
  <c r="Q1052" i="34"/>
  <c r="R1052" i="34"/>
  <c r="S1052" i="34"/>
  <c r="T1052" i="34"/>
  <c r="U1052" i="34"/>
  <c r="V1052" i="34"/>
  <c r="W1052" i="34"/>
  <c r="X1052" i="34"/>
  <c r="Y1052" i="34"/>
  <c r="N1053" i="34"/>
  <c r="O1053" i="34"/>
  <c r="P1053" i="34"/>
  <c r="Q1053" i="34"/>
  <c r="R1053" i="34"/>
  <c r="S1053" i="34"/>
  <c r="T1053" i="34"/>
  <c r="U1053" i="34"/>
  <c r="V1053" i="34"/>
  <c r="W1053" i="34"/>
  <c r="X1053" i="34"/>
  <c r="Y1053" i="34"/>
  <c r="N1054" i="34"/>
  <c r="O1054" i="34"/>
  <c r="P1054" i="34"/>
  <c r="Q1054" i="34"/>
  <c r="R1054" i="34"/>
  <c r="S1054" i="34"/>
  <c r="T1054" i="34"/>
  <c r="U1054" i="34"/>
  <c r="V1054" i="34"/>
  <c r="W1054" i="34"/>
  <c r="X1054" i="34"/>
  <c r="Y1054" i="34"/>
  <c r="N1055" i="34"/>
  <c r="O1055" i="34"/>
  <c r="P1055" i="34"/>
  <c r="Q1055" i="34"/>
  <c r="R1055" i="34"/>
  <c r="S1055" i="34"/>
  <c r="T1055" i="34"/>
  <c r="U1055" i="34"/>
  <c r="V1055" i="34"/>
  <c r="W1055" i="34"/>
  <c r="X1055" i="34"/>
  <c r="Y1055" i="34"/>
  <c r="N1056" i="34"/>
  <c r="O1056" i="34"/>
  <c r="P1056" i="34"/>
  <c r="Q1056" i="34"/>
  <c r="R1056" i="34"/>
  <c r="S1056" i="34"/>
  <c r="T1056" i="34"/>
  <c r="U1056" i="34"/>
  <c r="V1056" i="34"/>
  <c r="W1056" i="34"/>
  <c r="X1056" i="34"/>
  <c r="Y1056" i="34"/>
  <c r="N1057" i="34"/>
  <c r="O1057" i="34"/>
  <c r="P1057" i="34"/>
  <c r="Q1057" i="34"/>
  <c r="R1057" i="34"/>
  <c r="S1057" i="34"/>
  <c r="T1057" i="34"/>
  <c r="U1057" i="34"/>
  <c r="V1057" i="34"/>
  <c r="W1057" i="34"/>
  <c r="X1057" i="34"/>
  <c r="Y1057" i="34"/>
  <c r="N1058" i="34"/>
  <c r="O1058" i="34"/>
  <c r="P1058" i="34"/>
  <c r="Q1058" i="34"/>
  <c r="R1058" i="34"/>
  <c r="S1058" i="34"/>
  <c r="T1058" i="34"/>
  <c r="U1058" i="34"/>
  <c r="V1058" i="34"/>
  <c r="W1058" i="34"/>
  <c r="X1058" i="34"/>
  <c r="Y1058" i="34"/>
  <c r="N1059" i="34"/>
  <c r="O1059" i="34"/>
  <c r="P1059" i="34"/>
  <c r="Q1059" i="34"/>
  <c r="R1059" i="34"/>
  <c r="S1059" i="34"/>
  <c r="T1059" i="34"/>
  <c r="U1059" i="34"/>
  <c r="V1059" i="34"/>
  <c r="W1059" i="34"/>
  <c r="X1059" i="34"/>
  <c r="Y1059" i="34"/>
  <c r="N1060" i="34"/>
  <c r="O1060" i="34"/>
  <c r="P1060" i="34"/>
  <c r="Q1060" i="34"/>
  <c r="R1060" i="34"/>
  <c r="S1060" i="34"/>
  <c r="T1060" i="34"/>
  <c r="U1060" i="34"/>
  <c r="V1060" i="34"/>
  <c r="W1060" i="34"/>
  <c r="X1060" i="34"/>
  <c r="Y1060" i="34"/>
  <c r="N1061" i="34"/>
  <c r="O1061" i="34"/>
  <c r="P1061" i="34"/>
  <c r="Q1061" i="34"/>
  <c r="R1061" i="34"/>
  <c r="S1061" i="34"/>
  <c r="T1061" i="34"/>
  <c r="U1061" i="34"/>
  <c r="V1061" i="34"/>
  <c r="W1061" i="34"/>
  <c r="X1061" i="34"/>
  <c r="Y1061" i="34"/>
  <c r="N1062" i="34"/>
  <c r="O1062" i="34"/>
  <c r="P1062" i="34"/>
  <c r="Q1062" i="34"/>
  <c r="R1062" i="34"/>
  <c r="S1062" i="34"/>
  <c r="T1062" i="34"/>
  <c r="U1062" i="34"/>
  <c r="V1062" i="34"/>
  <c r="W1062" i="34"/>
  <c r="X1062" i="34"/>
  <c r="Y1062" i="34"/>
  <c r="N1063" i="34"/>
  <c r="O1063" i="34"/>
  <c r="P1063" i="34"/>
  <c r="Q1063" i="34"/>
  <c r="R1063" i="34"/>
  <c r="S1063" i="34"/>
  <c r="T1063" i="34"/>
  <c r="U1063" i="34"/>
  <c r="V1063" i="34"/>
  <c r="W1063" i="34"/>
  <c r="X1063" i="34"/>
  <c r="Y1063" i="34"/>
  <c r="N1064" i="34"/>
  <c r="O1064" i="34"/>
  <c r="P1064" i="34"/>
  <c r="Q1064" i="34"/>
  <c r="R1064" i="34"/>
  <c r="S1064" i="34"/>
  <c r="T1064" i="34"/>
  <c r="U1064" i="34"/>
  <c r="V1064" i="34"/>
  <c r="W1064" i="34"/>
  <c r="X1064" i="34"/>
  <c r="Y1064" i="34"/>
  <c r="N1065" i="34"/>
  <c r="O1065" i="34"/>
  <c r="P1065" i="34"/>
  <c r="Q1065" i="34"/>
  <c r="R1065" i="34"/>
  <c r="S1065" i="34"/>
  <c r="T1065" i="34"/>
  <c r="U1065" i="34"/>
  <c r="V1065" i="34"/>
  <c r="W1065" i="34"/>
  <c r="X1065" i="34"/>
  <c r="Y1065" i="34"/>
  <c r="N1066" i="34"/>
  <c r="O1066" i="34"/>
  <c r="P1066" i="34"/>
  <c r="Q1066" i="34"/>
  <c r="R1066" i="34"/>
  <c r="S1066" i="34"/>
  <c r="T1066" i="34"/>
  <c r="U1066" i="34"/>
  <c r="V1066" i="34"/>
  <c r="W1066" i="34"/>
  <c r="X1066" i="34"/>
  <c r="Y1066" i="34"/>
  <c r="N1067" i="34"/>
  <c r="O1067" i="34"/>
  <c r="P1067" i="34"/>
  <c r="Q1067" i="34"/>
  <c r="R1067" i="34"/>
  <c r="S1067" i="34"/>
  <c r="T1067" i="34"/>
  <c r="U1067" i="34"/>
  <c r="V1067" i="34"/>
  <c r="W1067" i="34"/>
  <c r="X1067" i="34"/>
  <c r="Y1067" i="34"/>
  <c r="N1068" i="34"/>
  <c r="O1068" i="34"/>
  <c r="P1068" i="34"/>
  <c r="Q1068" i="34"/>
  <c r="R1068" i="34"/>
  <c r="S1068" i="34"/>
  <c r="T1068" i="34"/>
  <c r="U1068" i="34"/>
  <c r="V1068" i="34"/>
  <c r="W1068" i="34"/>
  <c r="X1068" i="34"/>
  <c r="Y1068" i="34"/>
  <c r="N1069" i="34"/>
  <c r="O1069" i="34"/>
  <c r="P1069" i="34"/>
  <c r="Q1069" i="34"/>
  <c r="R1069" i="34"/>
  <c r="S1069" i="34"/>
  <c r="T1069" i="34"/>
  <c r="U1069" i="34"/>
  <c r="V1069" i="34"/>
  <c r="W1069" i="34"/>
  <c r="X1069" i="34"/>
  <c r="Y1069" i="34"/>
  <c r="N1070" i="34"/>
  <c r="O1070" i="34"/>
  <c r="P1070" i="34"/>
  <c r="Q1070" i="34"/>
  <c r="R1070" i="34"/>
  <c r="S1070" i="34"/>
  <c r="T1070" i="34"/>
  <c r="U1070" i="34"/>
  <c r="V1070" i="34"/>
  <c r="W1070" i="34"/>
  <c r="X1070" i="34"/>
  <c r="Y1070" i="34"/>
  <c r="N1071" i="34"/>
  <c r="O1071" i="34"/>
  <c r="P1071" i="34"/>
  <c r="Q1071" i="34"/>
  <c r="R1071" i="34"/>
  <c r="S1071" i="34"/>
  <c r="T1071" i="34"/>
  <c r="U1071" i="34"/>
  <c r="V1071" i="34"/>
  <c r="W1071" i="34"/>
  <c r="X1071" i="34"/>
  <c r="Y1071" i="34"/>
  <c r="N1072" i="34"/>
  <c r="O1072" i="34"/>
  <c r="P1072" i="34"/>
  <c r="Q1072" i="34"/>
  <c r="R1072" i="34"/>
  <c r="S1072" i="34"/>
  <c r="T1072" i="34"/>
  <c r="U1072" i="34"/>
  <c r="V1072" i="34"/>
  <c r="W1072" i="34"/>
  <c r="X1072" i="34"/>
  <c r="Y1072" i="34"/>
  <c r="N1073" i="34"/>
  <c r="O1073" i="34"/>
  <c r="P1073" i="34"/>
  <c r="Q1073" i="34"/>
  <c r="R1073" i="34"/>
  <c r="S1073" i="34"/>
  <c r="T1073" i="34"/>
  <c r="U1073" i="34"/>
  <c r="V1073" i="34"/>
  <c r="W1073" i="34"/>
  <c r="X1073" i="34"/>
  <c r="Y1073" i="34"/>
  <c r="N1074" i="34"/>
  <c r="O1074" i="34"/>
  <c r="P1074" i="34"/>
  <c r="Q1074" i="34"/>
  <c r="R1074" i="34"/>
  <c r="S1074" i="34"/>
  <c r="T1074" i="34"/>
  <c r="U1074" i="34"/>
  <c r="V1074" i="34"/>
  <c r="W1074" i="34"/>
  <c r="X1074" i="34"/>
  <c r="Y1074" i="34"/>
  <c r="N1075" i="34"/>
  <c r="O1075" i="34"/>
  <c r="P1075" i="34"/>
  <c r="Q1075" i="34"/>
  <c r="R1075" i="34"/>
  <c r="S1075" i="34"/>
  <c r="T1075" i="34"/>
  <c r="U1075" i="34"/>
  <c r="V1075" i="34"/>
  <c r="W1075" i="34"/>
  <c r="X1075" i="34"/>
  <c r="Y1075" i="34"/>
  <c r="N1076" i="34"/>
  <c r="O1076" i="34"/>
  <c r="P1076" i="34"/>
  <c r="Q1076" i="34"/>
  <c r="R1076" i="34"/>
  <c r="S1076" i="34"/>
  <c r="T1076" i="34"/>
  <c r="U1076" i="34"/>
  <c r="V1076" i="34"/>
  <c r="W1076" i="34"/>
  <c r="X1076" i="34"/>
  <c r="Y1076" i="34"/>
  <c r="N1077" i="34"/>
  <c r="O1077" i="34"/>
  <c r="P1077" i="34"/>
  <c r="Q1077" i="34"/>
  <c r="R1077" i="34"/>
  <c r="S1077" i="34"/>
  <c r="T1077" i="34"/>
  <c r="U1077" i="34"/>
  <c r="V1077" i="34"/>
  <c r="W1077" i="34"/>
  <c r="X1077" i="34"/>
  <c r="Y1077" i="34"/>
  <c r="N1078" i="34"/>
  <c r="O1078" i="34"/>
  <c r="P1078" i="34"/>
  <c r="Q1078" i="34"/>
  <c r="R1078" i="34"/>
  <c r="S1078" i="34"/>
  <c r="T1078" i="34"/>
  <c r="U1078" i="34"/>
  <c r="V1078" i="34"/>
  <c r="W1078" i="34"/>
  <c r="X1078" i="34"/>
  <c r="Y1078" i="34"/>
  <c r="N1079" i="34"/>
  <c r="O1079" i="34"/>
  <c r="P1079" i="34"/>
  <c r="Q1079" i="34"/>
  <c r="R1079" i="34"/>
  <c r="S1079" i="34"/>
  <c r="T1079" i="34"/>
  <c r="U1079" i="34"/>
  <c r="V1079" i="34"/>
  <c r="W1079" i="34"/>
  <c r="X1079" i="34"/>
  <c r="Y1079" i="34"/>
  <c r="N1080" i="34"/>
  <c r="O1080" i="34"/>
  <c r="P1080" i="34"/>
  <c r="Q1080" i="34"/>
  <c r="R1080" i="34"/>
  <c r="S1080" i="34"/>
  <c r="T1080" i="34"/>
  <c r="U1080" i="34"/>
  <c r="V1080" i="34"/>
  <c r="W1080" i="34"/>
  <c r="X1080" i="34"/>
  <c r="Y1080" i="34"/>
  <c r="N1081" i="34"/>
  <c r="O1081" i="34"/>
  <c r="P1081" i="34"/>
  <c r="Q1081" i="34"/>
  <c r="R1081" i="34"/>
  <c r="S1081" i="34"/>
  <c r="T1081" i="34"/>
  <c r="U1081" i="34"/>
  <c r="V1081" i="34"/>
  <c r="W1081" i="34"/>
  <c r="X1081" i="34"/>
  <c r="Y1081" i="34"/>
  <c r="N1082" i="34"/>
  <c r="O1082" i="34"/>
  <c r="P1082" i="34"/>
  <c r="Q1082" i="34"/>
  <c r="R1082" i="34"/>
  <c r="S1082" i="34"/>
  <c r="T1082" i="34"/>
  <c r="U1082" i="34"/>
  <c r="V1082" i="34"/>
  <c r="W1082" i="34"/>
  <c r="X1082" i="34"/>
  <c r="Y1082" i="34"/>
  <c r="N1083" i="34"/>
  <c r="O1083" i="34"/>
  <c r="P1083" i="34"/>
  <c r="Q1083" i="34"/>
  <c r="R1083" i="34"/>
  <c r="S1083" i="34"/>
  <c r="T1083" i="34"/>
  <c r="U1083" i="34"/>
  <c r="V1083" i="34"/>
  <c r="W1083" i="34"/>
  <c r="X1083" i="34"/>
  <c r="Y1083" i="34"/>
  <c r="N1084" i="34"/>
  <c r="O1084" i="34"/>
  <c r="P1084" i="34"/>
  <c r="Q1084" i="34"/>
  <c r="R1084" i="34"/>
  <c r="S1084" i="34"/>
  <c r="T1084" i="34"/>
  <c r="U1084" i="34"/>
  <c r="V1084" i="34"/>
  <c r="W1084" i="34"/>
  <c r="X1084" i="34"/>
  <c r="Y1084" i="34"/>
  <c r="N1085" i="34"/>
  <c r="O1085" i="34"/>
  <c r="P1085" i="34"/>
  <c r="Q1085" i="34"/>
  <c r="R1085" i="34"/>
  <c r="S1085" i="34"/>
  <c r="T1085" i="34"/>
  <c r="U1085" i="34"/>
  <c r="V1085" i="34"/>
  <c r="W1085" i="34"/>
  <c r="X1085" i="34"/>
  <c r="Y1085" i="34"/>
  <c r="N1086" i="34"/>
  <c r="O1086" i="34"/>
  <c r="P1086" i="34"/>
  <c r="Q1086" i="34"/>
  <c r="R1086" i="34"/>
  <c r="S1086" i="34"/>
  <c r="T1086" i="34"/>
  <c r="U1086" i="34"/>
  <c r="V1086" i="34"/>
  <c r="W1086" i="34"/>
  <c r="X1086" i="34"/>
  <c r="Y1086" i="34"/>
  <c r="N1087" i="34"/>
  <c r="O1087" i="34"/>
  <c r="P1087" i="34"/>
  <c r="Q1087" i="34"/>
  <c r="R1087" i="34"/>
  <c r="S1087" i="34"/>
  <c r="T1087" i="34"/>
  <c r="U1087" i="34"/>
  <c r="V1087" i="34"/>
  <c r="W1087" i="34"/>
  <c r="X1087" i="34"/>
  <c r="Y1087" i="34"/>
  <c r="N1088" i="34"/>
  <c r="O1088" i="34"/>
  <c r="P1088" i="34"/>
  <c r="Q1088" i="34"/>
  <c r="R1088" i="34"/>
  <c r="S1088" i="34"/>
  <c r="T1088" i="34"/>
  <c r="U1088" i="34"/>
  <c r="V1088" i="34"/>
  <c r="W1088" i="34"/>
  <c r="X1088" i="34"/>
  <c r="Y1088" i="34"/>
  <c r="N1089" i="34"/>
  <c r="O1089" i="34"/>
  <c r="P1089" i="34"/>
  <c r="Q1089" i="34"/>
  <c r="R1089" i="34"/>
  <c r="S1089" i="34"/>
  <c r="T1089" i="34"/>
  <c r="U1089" i="34"/>
  <c r="V1089" i="34"/>
  <c r="W1089" i="34"/>
  <c r="X1089" i="34"/>
  <c r="Y1089" i="34"/>
  <c r="N1090" i="34"/>
  <c r="O1090" i="34"/>
  <c r="P1090" i="34"/>
  <c r="Q1090" i="34"/>
  <c r="R1090" i="34"/>
  <c r="S1090" i="34"/>
  <c r="T1090" i="34"/>
  <c r="U1090" i="34"/>
  <c r="V1090" i="34"/>
  <c r="W1090" i="34"/>
  <c r="X1090" i="34"/>
  <c r="Y1090" i="34"/>
  <c r="N1091" i="34"/>
  <c r="O1091" i="34"/>
  <c r="P1091" i="34"/>
  <c r="Q1091" i="34"/>
  <c r="R1091" i="34"/>
  <c r="S1091" i="34"/>
  <c r="T1091" i="34"/>
  <c r="U1091" i="34"/>
  <c r="V1091" i="34"/>
  <c r="W1091" i="34"/>
  <c r="X1091" i="34"/>
  <c r="Y1091" i="34"/>
  <c r="N1092" i="34"/>
  <c r="O1092" i="34"/>
  <c r="P1092" i="34"/>
  <c r="Q1092" i="34"/>
  <c r="R1092" i="34"/>
  <c r="S1092" i="34"/>
  <c r="T1092" i="34"/>
  <c r="U1092" i="34"/>
  <c r="V1092" i="34"/>
  <c r="W1092" i="34"/>
  <c r="X1092" i="34"/>
  <c r="Y1092" i="34"/>
  <c r="N1093" i="34"/>
  <c r="O1093" i="34"/>
  <c r="P1093" i="34"/>
  <c r="Q1093" i="34"/>
  <c r="R1093" i="34"/>
  <c r="S1093" i="34"/>
  <c r="T1093" i="34"/>
  <c r="U1093" i="34"/>
  <c r="V1093" i="34"/>
  <c r="W1093" i="34"/>
  <c r="X1093" i="34"/>
  <c r="Y1093" i="34"/>
  <c r="N1094" i="34"/>
  <c r="O1094" i="34"/>
  <c r="P1094" i="34"/>
  <c r="Q1094" i="34"/>
  <c r="R1094" i="34"/>
  <c r="S1094" i="34"/>
  <c r="T1094" i="34"/>
  <c r="U1094" i="34"/>
  <c r="V1094" i="34"/>
  <c r="W1094" i="34"/>
  <c r="X1094" i="34"/>
  <c r="Y1094" i="34"/>
  <c r="N1095" i="34"/>
  <c r="O1095" i="34"/>
  <c r="P1095" i="34"/>
  <c r="Q1095" i="34"/>
  <c r="R1095" i="34"/>
  <c r="S1095" i="34"/>
  <c r="T1095" i="34"/>
  <c r="U1095" i="34"/>
  <c r="V1095" i="34"/>
  <c r="W1095" i="34"/>
  <c r="X1095" i="34"/>
  <c r="Y1095" i="34"/>
  <c r="N1096" i="34"/>
  <c r="O1096" i="34"/>
  <c r="P1096" i="34"/>
  <c r="Q1096" i="34"/>
  <c r="R1096" i="34"/>
  <c r="S1096" i="34"/>
  <c r="T1096" i="34"/>
  <c r="U1096" i="34"/>
  <c r="V1096" i="34"/>
  <c r="W1096" i="34"/>
  <c r="X1096" i="34"/>
  <c r="Y1096" i="34"/>
  <c r="N1097" i="34"/>
  <c r="O1097" i="34"/>
  <c r="P1097" i="34"/>
  <c r="Q1097" i="34"/>
  <c r="R1097" i="34"/>
  <c r="S1097" i="34"/>
  <c r="T1097" i="34"/>
  <c r="U1097" i="34"/>
  <c r="V1097" i="34"/>
  <c r="W1097" i="34"/>
  <c r="X1097" i="34"/>
  <c r="Y1097" i="34"/>
  <c r="N1098" i="34"/>
  <c r="O1098" i="34"/>
  <c r="P1098" i="34"/>
  <c r="Q1098" i="34"/>
  <c r="R1098" i="34"/>
  <c r="S1098" i="34"/>
  <c r="T1098" i="34"/>
  <c r="U1098" i="34"/>
  <c r="V1098" i="34"/>
  <c r="W1098" i="34"/>
  <c r="X1098" i="34"/>
  <c r="Y1098" i="34"/>
  <c r="N1099" i="34"/>
  <c r="O1099" i="34"/>
  <c r="P1099" i="34"/>
  <c r="Q1099" i="34"/>
  <c r="R1099" i="34"/>
  <c r="S1099" i="34"/>
  <c r="T1099" i="34"/>
  <c r="U1099" i="34"/>
  <c r="V1099" i="34"/>
  <c r="W1099" i="34"/>
  <c r="X1099" i="34"/>
  <c r="Y1099" i="34"/>
  <c r="N1100" i="34"/>
  <c r="O1100" i="34"/>
  <c r="P1100" i="34"/>
  <c r="Q1100" i="34"/>
  <c r="R1100" i="34"/>
  <c r="S1100" i="34"/>
  <c r="T1100" i="34"/>
  <c r="U1100" i="34"/>
  <c r="V1100" i="34"/>
  <c r="W1100" i="34"/>
  <c r="X1100" i="34"/>
  <c r="Y1100" i="34"/>
  <c r="N1101" i="34"/>
  <c r="O1101" i="34"/>
  <c r="P1101" i="34"/>
  <c r="Q1101" i="34"/>
  <c r="R1101" i="34"/>
  <c r="S1101" i="34"/>
  <c r="T1101" i="34"/>
  <c r="U1101" i="34"/>
  <c r="V1101" i="34"/>
  <c r="W1101" i="34"/>
  <c r="X1101" i="34"/>
  <c r="Y1101" i="34"/>
  <c r="N1102" i="34"/>
  <c r="O1102" i="34"/>
  <c r="P1102" i="34"/>
  <c r="Q1102" i="34"/>
  <c r="R1102" i="34"/>
  <c r="S1102" i="34"/>
  <c r="T1102" i="34"/>
  <c r="U1102" i="34"/>
  <c r="V1102" i="34"/>
  <c r="W1102" i="34"/>
  <c r="X1102" i="34"/>
  <c r="Y1102" i="34"/>
  <c r="N1103" i="34"/>
  <c r="O1103" i="34"/>
  <c r="P1103" i="34"/>
  <c r="Q1103" i="34"/>
  <c r="R1103" i="34"/>
  <c r="S1103" i="34"/>
  <c r="T1103" i="34"/>
  <c r="U1103" i="34"/>
  <c r="V1103" i="34"/>
  <c r="W1103" i="34"/>
  <c r="X1103" i="34"/>
  <c r="Y1103" i="34"/>
  <c r="N1104" i="34"/>
  <c r="O1104" i="34"/>
  <c r="P1104" i="34"/>
  <c r="Q1104" i="34"/>
  <c r="R1104" i="34"/>
  <c r="S1104" i="34"/>
  <c r="T1104" i="34"/>
  <c r="U1104" i="34"/>
  <c r="V1104" i="34"/>
  <c r="W1104" i="34"/>
  <c r="X1104" i="34"/>
  <c r="Y1104" i="34"/>
  <c r="N1105" i="34"/>
  <c r="O1105" i="34"/>
  <c r="P1105" i="34"/>
  <c r="Q1105" i="34"/>
  <c r="R1105" i="34"/>
  <c r="S1105" i="34"/>
  <c r="T1105" i="34"/>
  <c r="U1105" i="34"/>
  <c r="V1105" i="34"/>
  <c r="W1105" i="34"/>
  <c r="X1105" i="34"/>
  <c r="Y1105" i="34"/>
  <c r="N1106" i="34"/>
  <c r="O1106" i="34"/>
  <c r="P1106" i="34"/>
  <c r="Q1106" i="34"/>
  <c r="R1106" i="34"/>
  <c r="S1106" i="34"/>
  <c r="T1106" i="34"/>
  <c r="U1106" i="34"/>
  <c r="V1106" i="34"/>
  <c r="W1106" i="34"/>
  <c r="X1106" i="34"/>
  <c r="Y1106" i="34"/>
  <c r="N1107" i="34"/>
  <c r="O1107" i="34"/>
  <c r="P1107" i="34"/>
  <c r="Q1107" i="34"/>
  <c r="R1107" i="34"/>
  <c r="S1107" i="34"/>
  <c r="T1107" i="34"/>
  <c r="U1107" i="34"/>
  <c r="V1107" i="34"/>
  <c r="W1107" i="34"/>
  <c r="X1107" i="34"/>
  <c r="Y1107" i="34"/>
  <c r="N1108" i="34"/>
  <c r="O1108" i="34"/>
  <c r="P1108" i="34"/>
  <c r="Q1108" i="34"/>
  <c r="R1108" i="34"/>
  <c r="S1108" i="34"/>
  <c r="T1108" i="34"/>
  <c r="U1108" i="34"/>
  <c r="V1108" i="34"/>
  <c r="W1108" i="34"/>
  <c r="X1108" i="34"/>
  <c r="Y1108" i="34"/>
  <c r="N1109" i="34"/>
  <c r="O1109" i="34"/>
  <c r="P1109" i="34"/>
  <c r="Q1109" i="34"/>
  <c r="R1109" i="34"/>
  <c r="S1109" i="34"/>
  <c r="T1109" i="34"/>
  <c r="U1109" i="34"/>
  <c r="V1109" i="34"/>
  <c r="W1109" i="34"/>
  <c r="X1109" i="34"/>
  <c r="Y1109" i="34"/>
  <c r="N1110" i="34"/>
  <c r="O1110" i="34"/>
  <c r="P1110" i="34"/>
  <c r="Q1110" i="34"/>
  <c r="R1110" i="34"/>
  <c r="S1110" i="34"/>
  <c r="T1110" i="34"/>
  <c r="U1110" i="34"/>
  <c r="V1110" i="34"/>
  <c r="W1110" i="34"/>
  <c r="X1110" i="34"/>
  <c r="Y1110" i="34"/>
  <c r="N1111" i="34"/>
  <c r="O1111" i="34"/>
  <c r="P1111" i="34"/>
  <c r="Q1111" i="34"/>
  <c r="R1111" i="34"/>
  <c r="S1111" i="34"/>
  <c r="T1111" i="34"/>
  <c r="U1111" i="34"/>
  <c r="V1111" i="34"/>
  <c r="W1111" i="34"/>
  <c r="X1111" i="34"/>
  <c r="Y1111" i="34"/>
  <c r="N1112" i="34"/>
  <c r="O1112" i="34"/>
  <c r="P1112" i="34"/>
  <c r="Q1112" i="34"/>
  <c r="R1112" i="34"/>
  <c r="S1112" i="34"/>
  <c r="T1112" i="34"/>
  <c r="U1112" i="34"/>
  <c r="V1112" i="34"/>
  <c r="W1112" i="34"/>
  <c r="X1112" i="34"/>
  <c r="Y1112" i="34"/>
  <c r="N1113" i="34"/>
  <c r="O1113" i="34"/>
  <c r="P1113" i="34"/>
  <c r="Q1113" i="34"/>
  <c r="R1113" i="34"/>
  <c r="S1113" i="34"/>
  <c r="T1113" i="34"/>
  <c r="U1113" i="34"/>
  <c r="V1113" i="34"/>
  <c r="W1113" i="34"/>
  <c r="X1113" i="34"/>
  <c r="Y1113" i="34"/>
  <c r="N1114" i="34"/>
  <c r="O1114" i="34"/>
  <c r="P1114" i="34"/>
  <c r="Q1114" i="34"/>
  <c r="R1114" i="34"/>
  <c r="S1114" i="34"/>
  <c r="T1114" i="34"/>
  <c r="U1114" i="34"/>
  <c r="V1114" i="34"/>
  <c r="W1114" i="34"/>
  <c r="X1114" i="34"/>
  <c r="Y1114" i="34"/>
  <c r="N1115" i="34"/>
  <c r="O1115" i="34"/>
  <c r="P1115" i="34"/>
  <c r="Q1115" i="34"/>
  <c r="R1115" i="34"/>
  <c r="S1115" i="34"/>
  <c r="T1115" i="34"/>
  <c r="U1115" i="34"/>
  <c r="V1115" i="34"/>
  <c r="W1115" i="34"/>
  <c r="X1115" i="34"/>
  <c r="Y1115" i="34"/>
  <c r="N1116" i="34"/>
  <c r="O1116" i="34"/>
  <c r="P1116" i="34"/>
  <c r="Q1116" i="34"/>
  <c r="R1116" i="34"/>
  <c r="S1116" i="34"/>
  <c r="T1116" i="34"/>
  <c r="U1116" i="34"/>
  <c r="V1116" i="34"/>
  <c r="W1116" i="34"/>
  <c r="X1116" i="34"/>
  <c r="Y1116" i="34"/>
  <c r="N1117" i="34"/>
  <c r="O1117" i="34"/>
  <c r="P1117" i="34"/>
  <c r="Q1117" i="34"/>
  <c r="R1117" i="34"/>
  <c r="S1117" i="34"/>
  <c r="T1117" i="34"/>
  <c r="U1117" i="34"/>
  <c r="V1117" i="34"/>
  <c r="W1117" i="34"/>
  <c r="X1117" i="34"/>
  <c r="Y1117" i="34"/>
  <c r="N1118" i="34"/>
  <c r="O1118" i="34"/>
  <c r="P1118" i="34"/>
  <c r="Q1118" i="34"/>
  <c r="R1118" i="34"/>
  <c r="S1118" i="34"/>
  <c r="T1118" i="34"/>
  <c r="U1118" i="34"/>
  <c r="V1118" i="34"/>
  <c r="W1118" i="34"/>
  <c r="X1118" i="34"/>
  <c r="Y1118" i="34"/>
  <c r="N1119" i="34"/>
  <c r="O1119" i="34"/>
  <c r="P1119" i="34"/>
  <c r="Q1119" i="34"/>
  <c r="R1119" i="34"/>
  <c r="S1119" i="34"/>
  <c r="T1119" i="34"/>
  <c r="U1119" i="34"/>
  <c r="V1119" i="34"/>
  <c r="W1119" i="34"/>
  <c r="X1119" i="34"/>
  <c r="Y1119" i="34"/>
  <c r="N1120" i="34"/>
  <c r="O1120" i="34"/>
  <c r="P1120" i="34"/>
  <c r="Q1120" i="34"/>
  <c r="R1120" i="34"/>
  <c r="S1120" i="34"/>
  <c r="T1120" i="34"/>
  <c r="U1120" i="34"/>
  <c r="V1120" i="34"/>
  <c r="W1120" i="34"/>
  <c r="X1120" i="34"/>
  <c r="Y1120" i="34"/>
  <c r="N1121" i="34"/>
  <c r="O1121" i="34"/>
  <c r="P1121" i="34"/>
  <c r="Q1121" i="34"/>
  <c r="R1121" i="34"/>
  <c r="S1121" i="34"/>
  <c r="T1121" i="34"/>
  <c r="U1121" i="34"/>
  <c r="V1121" i="34"/>
  <c r="W1121" i="34"/>
  <c r="X1121" i="34"/>
  <c r="Y1121" i="34"/>
  <c r="N1122" i="34"/>
  <c r="O1122" i="34"/>
  <c r="P1122" i="34"/>
  <c r="Q1122" i="34"/>
  <c r="R1122" i="34"/>
  <c r="S1122" i="34"/>
  <c r="T1122" i="34"/>
  <c r="U1122" i="34"/>
  <c r="V1122" i="34"/>
  <c r="W1122" i="34"/>
  <c r="X1122" i="34"/>
  <c r="Y1122" i="34"/>
  <c r="N1123" i="34"/>
  <c r="O1123" i="34"/>
  <c r="P1123" i="34"/>
  <c r="Q1123" i="34"/>
  <c r="R1123" i="34"/>
  <c r="S1123" i="34"/>
  <c r="T1123" i="34"/>
  <c r="U1123" i="34"/>
  <c r="V1123" i="34"/>
  <c r="W1123" i="34"/>
  <c r="X1123" i="34"/>
  <c r="Y1123" i="34"/>
  <c r="N1124" i="34"/>
  <c r="O1124" i="34"/>
  <c r="P1124" i="34"/>
  <c r="Q1124" i="34"/>
  <c r="R1124" i="34"/>
  <c r="S1124" i="34"/>
  <c r="T1124" i="34"/>
  <c r="U1124" i="34"/>
  <c r="V1124" i="34"/>
  <c r="W1124" i="34"/>
  <c r="X1124" i="34"/>
  <c r="Y1124" i="34"/>
  <c r="N1125" i="34"/>
  <c r="O1125" i="34"/>
  <c r="P1125" i="34"/>
  <c r="Q1125" i="34"/>
  <c r="R1125" i="34"/>
  <c r="S1125" i="34"/>
  <c r="T1125" i="34"/>
  <c r="U1125" i="34"/>
  <c r="V1125" i="34"/>
  <c r="W1125" i="34"/>
  <c r="X1125" i="34"/>
  <c r="Y1125" i="34"/>
  <c r="N1126" i="34"/>
  <c r="O1126" i="34"/>
  <c r="P1126" i="34"/>
  <c r="Q1126" i="34"/>
  <c r="R1126" i="34"/>
  <c r="S1126" i="34"/>
  <c r="T1126" i="34"/>
  <c r="U1126" i="34"/>
  <c r="V1126" i="34"/>
  <c r="W1126" i="34"/>
  <c r="X1126" i="34"/>
  <c r="Y1126" i="34"/>
  <c r="N1127" i="34"/>
  <c r="O1127" i="34"/>
  <c r="P1127" i="34"/>
  <c r="Q1127" i="34"/>
  <c r="R1127" i="34"/>
  <c r="S1127" i="34"/>
  <c r="T1127" i="34"/>
  <c r="U1127" i="34"/>
  <c r="V1127" i="34"/>
  <c r="W1127" i="34"/>
  <c r="X1127" i="34"/>
  <c r="Y1127" i="34"/>
  <c r="N1128" i="34"/>
  <c r="O1128" i="34"/>
  <c r="P1128" i="34"/>
  <c r="Q1128" i="34"/>
  <c r="R1128" i="34"/>
  <c r="S1128" i="34"/>
  <c r="T1128" i="34"/>
  <c r="U1128" i="34"/>
  <c r="V1128" i="34"/>
  <c r="W1128" i="34"/>
  <c r="X1128" i="34"/>
  <c r="Y1128" i="34"/>
  <c r="N1129" i="34"/>
  <c r="O1129" i="34"/>
  <c r="P1129" i="34"/>
  <c r="Q1129" i="34"/>
  <c r="R1129" i="34"/>
  <c r="S1129" i="34"/>
  <c r="T1129" i="34"/>
  <c r="U1129" i="34"/>
  <c r="V1129" i="34"/>
  <c r="W1129" i="34"/>
  <c r="X1129" i="34"/>
  <c r="Y1129" i="34"/>
  <c r="N1130" i="34"/>
  <c r="O1130" i="34"/>
  <c r="P1130" i="34"/>
  <c r="Q1130" i="34"/>
  <c r="R1130" i="34"/>
  <c r="S1130" i="34"/>
  <c r="T1130" i="34"/>
  <c r="U1130" i="34"/>
  <c r="V1130" i="34"/>
  <c r="W1130" i="34"/>
  <c r="X1130" i="34"/>
  <c r="Y1130" i="34"/>
  <c r="N1131" i="34"/>
  <c r="O1131" i="34"/>
  <c r="P1131" i="34"/>
  <c r="Q1131" i="34"/>
  <c r="R1131" i="34"/>
  <c r="S1131" i="34"/>
  <c r="T1131" i="34"/>
  <c r="U1131" i="34"/>
  <c r="V1131" i="34"/>
  <c r="W1131" i="34"/>
  <c r="X1131" i="34"/>
  <c r="Y1131" i="34"/>
  <c r="N1132" i="34"/>
  <c r="O1132" i="34"/>
  <c r="P1132" i="34"/>
  <c r="Q1132" i="34"/>
  <c r="R1132" i="34"/>
  <c r="S1132" i="34"/>
  <c r="T1132" i="34"/>
  <c r="U1132" i="34"/>
  <c r="V1132" i="34"/>
  <c r="W1132" i="34"/>
  <c r="X1132" i="34"/>
  <c r="Y1132" i="34"/>
  <c r="N1133" i="34"/>
  <c r="O1133" i="34"/>
  <c r="P1133" i="34"/>
  <c r="Q1133" i="34"/>
  <c r="R1133" i="34"/>
  <c r="S1133" i="34"/>
  <c r="T1133" i="34"/>
  <c r="U1133" i="34"/>
  <c r="V1133" i="34"/>
  <c r="W1133" i="34"/>
  <c r="X1133" i="34"/>
  <c r="Y1133" i="34"/>
  <c r="N1134" i="34"/>
  <c r="O1134" i="34"/>
  <c r="P1134" i="34"/>
  <c r="Q1134" i="34"/>
  <c r="R1134" i="34"/>
  <c r="S1134" i="34"/>
  <c r="T1134" i="34"/>
  <c r="U1134" i="34"/>
  <c r="V1134" i="34"/>
  <c r="W1134" i="34"/>
  <c r="X1134" i="34"/>
  <c r="Y1134" i="34"/>
  <c r="N1135" i="34"/>
  <c r="O1135" i="34"/>
  <c r="P1135" i="34"/>
  <c r="Q1135" i="34"/>
  <c r="R1135" i="34"/>
  <c r="S1135" i="34"/>
  <c r="T1135" i="34"/>
  <c r="U1135" i="34"/>
  <c r="V1135" i="34"/>
  <c r="W1135" i="34"/>
  <c r="X1135" i="34"/>
  <c r="Y1135" i="34"/>
  <c r="N1136" i="34"/>
  <c r="O1136" i="34"/>
  <c r="P1136" i="34"/>
  <c r="Q1136" i="34"/>
  <c r="R1136" i="34"/>
  <c r="S1136" i="34"/>
  <c r="T1136" i="34"/>
  <c r="U1136" i="34"/>
  <c r="V1136" i="34"/>
  <c r="W1136" i="34"/>
  <c r="X1136" i="34"/>
  <c r="Y1136" i="34"/>
  <c r="N1137" i="34"/>
  <c r="O1137" i="34"/>
  <c r="P1137" i="34"/>
  <c r="Q1137" i="34"/>
  <c r="R1137" i="34"/>
  <c r="S1137" i="34"/>
  <c r="T1137" i="34"/>
  <c r="U1137" i="34"/>
  <c r="V1137" i="34"/>
  <c r="W1137" i="34"/>
  <c r="X1137" i="34"/>
  <c r="Y1137" i="34"/>
  <c r="N1138" i="34"/>
  <c r="O1138" i="34"/>
  <c r="P1138" i="34"/>
  <c r="Q1138" i="34"/>
  <c r="R1138" i="34"/>
  <c r="S1138" i="34"/>
  <c r="T1138" i="34"/>
  <c r="U1138" i="34"/>
  <c r="V1138" i="34"/>
  <c r="W1138" i="34"/>
  <c r="X1138" i="34"/>
  <c r="Y1138" i="34"/>
  <c r="N1139" i="34"/>
  <c r="O1139" i="34"/>
  <c r="P1139" i="34"/>
  <c r="Q1139" i="34"/>
  <c r="R1139" i="34"/>
  <c r="S1139" i="34"/>
  <c r="T1139" i="34"/>
  <c r="U1139" i="34"/>
  <c r="V1139" i="34"/>
  <c r="W1139" i="34"/>
  <c r="X1139" i="34"/>
  <c r="Y1139" i="34"/>
  <c r="N1140" i="34"/>
  <c r="O1140" i="34"/>
  <c r="P1140" i="34"/>
  <c r="Q1140" i="34"/>
  <c r="R1140" i="34"/>
  <c r="S1140" i="34"/>
  <c r="T1140" i="34"/>
  <c r="U1140" i="34"/>
  <c r="V1140" i="34"/>
  <c r="W1140" i="34"/>
  <c r="X1140" i="34"/>
  <c r="Y1140" i="34"/>
  <c r="N1141" i="34"/>
  <c r="O1141" i="34"/>
  <c r="P1141" i="34"/>
  <c r="Q1141" i="34"/>
  <c r="R1141" i="34"/>
  <c r="S1141" i="34"/>
  <c r="T1141" i="34"/>
  <c r="U1141" i="34"/>
  <c r="V1141" i="34"/>
  <c r="W1141" i="34"/>
  <c r="X1141" i="34"/>
  <c r="Y1141" i="34"/>
  <c r="N1142" i="34"/>
  <c r="O1142" i="34"/>
  <c r="P1142" i="34"/>
  <c r="Q1142" i="34"/>
  <c r="R1142" i="34"/>
  <c r="S1142" i="34"/>
  <c r="T1142" i="34"/>
  <c r="U1142" i="34"/>
  <c r="V1142" i="34"/>
  <c r="W1142" i="34"/>
  <c r="X1142" i="34"/>
  <c r="Y1142" i="34"/>
  <c r="N1143" i="34"/>
  <c r="O1143" i="34"/>
  <c r="P1143" i="34"/>
  <c r="Q1143" i="34"/>
  <c r="R1143" i="34"/>
  <c r="S1143" i="34"/>
  <c r="T1143" i="34"/>
  <c r="U1143" i="34"/>
  <c r="V1143" i="34"/>
  <c r="W1143" i="34"/>
  <c r="X1143" i="34"/>
  <c r="Y1143" i="34"/>
  <c r="N1144" i="34"/>
  <c r="O1144" i="34"/>
  <c r="P1144" i="34"/>
  <c r="Q1144" i="34"/>
  <c r="R1144" i="34"/>
  <c r="S1144" i="34"/>
  <c r="T1144" i="34"/>
  <c r="U1144" i="34"/>
  <c r="V1144" i="34"/>
  <c r="W1144" i="34"/>
  <c r="X1144" i="34"/>
  <c r="Y1144" i="34"/>
  <c r="N1145" i="34"/>
  <c r="O1145" i="34"/>
  <c r="P1145" i="34"/>
  <c r="Q1145" i="34"/>
  <c r="R1145" i="34"/>
  <c r="S1145" i="34"/>
  <c r="T1145" i="34"/>
  <c r="U1145" i="34"/>
  <c r="V1145" i="34"/>
  <c r="W1145" i="34"/>
  <c r="X1145" i="34"/>
  <c r="Y1145" i="34"/>
  <c r="N1146" i="34"/>
  <c r="O1146" i="34"/>
  <c r="P1146" i="34"/>
  <c r="Q1146" i="34"/>
  <c r="R1146" i="34"/>
  <c r="S1146" i="34"/>
  <c r="T1146" i="34"/>
  <c r="U1146" i="34"/>
  <c r="V1146" i="34"/>
  <c r="W1146" i="34"/>
  <c r="X1146" i="34"/>
  <c r="Y1146" i="34"/>
  <c r="N1147" i="34"/>
  <c r="O1147" i="34"/>
  <c r="P1147" i="34"/>
  <c r="Q1147" i="34"/>
  <c r="R1147" i="34"/>
  <c r="S1147" i="34"/>
  <c r="T1147" i="34"/>
  <c r="U1147" i="34"/>
  <c r="V1147" i="34"/>
  <c r="W1147" i="34"/>
  <c r="X1147" i="34"/>
  <c r="Y1147" i="34"/>
  <c r="N1148" i="34"/>
  <c r="O1148" i="34"/>
  <c r="P1148" i="34"/>
  <c r="Q1148" i="34"/>
  <c r="R1148" i="34"/>
  <c r="S1148" i="34"/>
  <c r="T1148" i="34"/>
  <c r="U1148" i="34"/>
  <c r="V1148" i="34"/>
  <c r="W1148" i="34"/>
  <c r="X1148" i="34"/>
  <c r="Y1148" i="34"/>
  <c r="N1149" i="34"/>
  <c r="O1149" i="34"/>
  <c r="P1149" i="34"/>
  <c r="Q1149" i="34"/>
  <c r="R1149" i="34"/>
  <c r="S1149" i="34"/>
  <c r="T1149" i="34"/>
  <c r="U1149" i="34"/>
  <c r="V1149" i="34"/>
  <c r="W1149" i="34"/>
  <c r="X1149" i="34"/>
  <c r="Y1149" i="34"/>
  <c r="N1150" i="34"/>
  <c r="O1150" i="34"/>
  <c r="P1150" i="34"/>
  <c r="Q1150" i="34"/>
  <c r="R1150" i="34"/>
  <c r="S1150" i="34"/>
  <c r="T1150" i="34"/>
  <c r="U1150" i="34"/>
  <c r="V1150" i="34"/>
  <c r="W1150" i="34"/>
  <c r="X1150" i="34"/>
  <c r="Y1150" i="34"/>
  <c r="N1151" i="34"/>
  <c r="O1151" i="34"/>
  <c r="P1151" i="34"/>
  <c r="Q1151" i="34"/>
  <c r="R1151" i="34"/>
  <c r="S1151" i="34"/>
  <c r="T1151" i="34"/>
  <c r="U1151" i="34"/>
  <c r="V1151" i="34"/>
  <c r="W1151" i="34"/>
  <c r="X1151" i="34"/>
  <c r="Y1151" i="34"/>
  <c r="N1152" i="34"/>
  <c r="O1152" i="34"/>
  <c r="P1152" i="34"/>
  <c r="Q1152" i="34"/>
  <c r="R1152" i="34"/>
  <c r="S1152" i="34"/>
  <c r="T1152" i="34"/>
  <c r="U1152" i="34"/>
  <c r="V1152" i="34"/>
  <c r="W1152" i="34"/>
  <c r="X1152" i="34"/>
  <c r="Y1152" i="34"/>
  <c r="N1153" i="34"/>
  <c r="O1153" i="34"/>
  <c r="P1153" i="34"/>
  <c r="Q1153" i="34"/>
  <c r="R1153" i="34"/>
  <c r="S1153" i="34"/>
  <c r="T1153" i="34"/>
  <c r="U1153" i="34"/>
  <c r="V1153" i="34"/>
  <c r="W1153" i="34"/>
  <c r="X1153" i="34"/>
  <c r="Y1153" i="34"/>
  <c r="N1154" i="34"/>
  <c r="O1154" i="34"/>
  <c r="P1154" i="34"/>
  <c r="Q1154" i="34"/>
  <c r="R1154" i="34"/>
  <c r="S1154" i="34"/>
  <c r="T1154" i="34"/>
  <c r="U1154" i="34"/>
  <c r="V1154" i="34"/>
  <c r="W1154" i="34"/>
  <c r="X1154" i="34"/>
  <c r="Y1154" i="34"/>
  <c r="N1155" i="34"/>
  <c r="O1155" i="34"/>
  <c r="P1155" i="34"/>
  <c r="Q1155" i="34"/>
  <c r="R1155" i="34"/>
  <c r="S1155" i="34"/>
  <c r="T1155" i="34"/>
  <c r="U1155" i="34"/>
  <c r="V1155" i="34"/>
  <c r="W1155" i="34"/>
  <c r="X1155" i="34"/>
  <c r="Y1155" i="34"/>
  <c r="N1156" i="34"/>
  <c r="O1156" i="34"/>
  <c r="P1156" i="34"/>
  <c r="Q1156" i="34"/>
  <c r="R1156" i="34"/>
  <c r="S1156" i="34"/>
  <c r="T1156" i="34"/>
  <c r="U1156" i="34"/>
  <c r="V1156" i="34"/>
  <c r="W1156" i="34"/>
  <c r="X1156" i="34"/>
  <c r="Y1156" i="34"/>
  <c r="N1157" i="34"/>
  <c r="O1157" i="34"/>
  <c r="P1157" i="34"/>
  <c r="Q1157" i="34"/>
  <c r="R1157" i="34"/>
  <c r="S1157" i="34"/>
  <c r="T1157" i="34"/>
  <c r="U1157" i="34"/>
  <c r="V1157" i="34"/>
  <c r="W1157" i="34"/>
  <c r="X1157" i="34"/>
  <c r="Y1157" i="34"/>
  <c r="N1158" i="34"/>
  <c r="O1158" i="34"/>
  <c r="P1158" i="34"/>
  <c r="Q1158" i="34"/>
  <c r="R1158" i="34"/>
  <c r="S1158" i="34"/>
  <c r="T1158" i="34"/>
  <c r="U1158" i="34"/>
  <c r="V1158" i="34"/>
  <c r="W1158" i="34"/>
  <c r="X1158" i="34"/>
  <c r="Y1158" i="34"/>
  <c r="N1159" i="34"/>
  <c r="O1159" i="34"/>
  <c r="P1159" i="34"/>
  <c r="Q1159" i="34"/>
  <c r="R1159" i="34"/>
  <c r="S1159" i="34"/>
  <c r="T1159" i="34"/>
  <c r="U1159" i="34"/>
  <c r="V1159" i="34"/>
  <c r="W1159" i="34"/>
  <c r="X1159" i="34"/>
  <c r="Y1159" i="34"/>
  <c r="N1160" i="34"/>
  <c r="O1160" i="34"/>
  <c r="P1160" i="34"/>
  <c r="Q1160" i="34"/>
  <c r="R1160" i="34"/>
  <c r="S1160" i="34"/>
  <c r="T1160" i="34"/>
  <c r="U1160" i="34"/>
  <c r="V1160" i="34"/>
  <c r="W1160" i="34"/>
  <c r="X1160" i="34"/>
  <c r="Y1160" i="34"/>
  <c r="N1161" i="34"/>
  <c r="O1161" i="34"/>
  <c r="P1161" i="34"/>
  <c r="Q1161" i="34"/>
  <c r="R1161" i="34"/>
  <c r="S1161" i="34"/>
  <c r="T1161" i="34"/>
  <c r="U1161" i="34"/>
  <c r="V1161" i="34"/>
  <c r="W1161" i="34"/>
  <c r="X1161" i="34"/>
  <c r="Y1161" i="34"/>
  <c r="N1162" i="34"/>
  <c r="O1162" i="34"/>
  <c r="P1162" i="34"/>
  <c r="Q1162" i="34"/>
  <c r="R1162" i="34"/>
  <c r="S1162" i="34"/>
  <c r="T1162" i="34"/>
  <c r="U1162" i="34"/>
  <c r="V1162" i="34"/>
  <c r="W1162" i="34"/>
  <c r="X1162" i="34"/>
  <c r="Y1162" i="34"/>
  <c r="N1163" i="34"/>
  <c r="O1163" i="34"/>
  <c r="P1163" i="34"/>
  <c r="Q1163" i="34"/>
  <c r="R1163" i="34"/>
  <c r="S1163" i="34"/>
  <c r="T1163" i="34"/>
  <c r="U1163" i="34"/>
  <c r="V1163" i="34"/>
  <c r="W1163" i="34"/>
  <c r="X1163" i="34"/>
  <c r="Y1163" i="34"/>
  <c r="N1164" i="34"/>
  <c r="O1164" i="34"/>
  <c r="P1164" i="34"/>
  <c r="Q1164" i="34"/>
  <c r="R1164" i="34"/>
  <c r="S1164" i="34"/>
  <c r="T1164" i="34"/>
  <c r="U1164" i="34"/>
  <c r="V1164" i="34"/>
  <c r="W1164" i="34"/>
  <c r="X1164" i="34"/>
  <c r="Y1164" i="34"/>
  <c r="N1165" i="34"/>
  <c r="O1165" i="34"/>
  <c r="P1165" i="34"/>
  <c r="Q1165" i="34"/>
  <c r="R1165" i="34"/>
  <c r="S1165" i="34"/>
  <c r="T1165" i="34"/>
  <c r="U1165" i="34"/>
  <c r="V1165" i="34"/>
  <c r="W1165" i="34"/>
  <c r="X1165" i="34"/>
  <c r="Y1165" i="34"/>
  <c r="N1166" i="34"/>
  <c r="O1166" i="34"/>
  <c r="P1166" i="34"/>
  <c r="Q1166" i="34"/>
  <c r="R1166" i="34"/>
  <c r="S1166" i="34"/>
  <c r="T1166" i="34"/>
  <c r="U1166" i="34"/>
  <c r="V1166" i="34"/>
  <c r="W1166" i="34"/>
  <c r="X1166" i="34"/>
  <c r="Y1166" i="34"/>
  <c r="N1167" i="34"/>
  <c r="O1167" i="34"/>
  <c r="P1167" i="34"/>
  <c r="Q1167" i="34"/>
  <c r="R1167" i="34"/>
  <c r="S1167" i="34"/>
  <c r="T1167" i="34"/>
  <c r="U1167" i="34"/>
  <c r="V1167" i="34"/>
  <c r="W1167" i="34"/>
  <c r="X1167" i="34"/>
  <c r="Y1167" i="34"/>
  <c r="N1168" i="34"/>
  <c r="O1168" i="34"/>
  <c r="P1168" i="34"/>
  <c r="Q1168" i="34"/>
  <c r="R1168" i="34"/>
  <c r="S1168" i="34"/>
  <c r="T1168" i="34"/>
  <c r="U1168" i="34"/>
  <c r="V1168" i="34"/>
  <c r="W1168" i="34"/>
  <c r="X1168" i="34"/>
  <c r="Y1168" i="34"/>
  <c r="N1169" i="34"/>
  <c r="O1169" i="34"/>
  <c r="P1169" i="34"/>
  <c r="Q1169" i="34"/>
  <c r="R1169" i="34"/>
  <c r="S1169" i="34"/>
  <c r="T1169" i="34"/>
  <c r="U1169" i="34"/>
  <c r="V1169" i="34"/>
  <c r="W1169" i="34"/>
  <c r="X1169" i="34"/>
  <c r="Y1169" i="34"/>
  <c r="N1170" i="34"/>
  <c r="O1170" i="34"/>
  <c r="P1170" i="34"/>
  <c r="Q1170" i="34"/>
  <c r="R1170" i="34"/>
  <c r="S1170" i="34"/>
  <c r="T1170" i="34"/>
  <c r="U1170" i="34"/>
  <c r="V1170" i="34"/>
  <c r="W1170" i="34"/>
  <c r="X1170" i="34"/>
  <c r="Y1170" i="34"/>
  <c r="N1171" i="34"/>
  <c r="O1171" i="34"/>
  <c r="P1171" i="34"/>
  <c r="Q1171" i="34"/>
  <c r="R1171" i="34"/>
  <c r="S1171" i="34"/>
  <c r="T1171" i="34"/>
  <c r="U1171" i="34"/>
  <c r="V1171" i="34"/>
  <c r="W1171" i="34"/>
  <c r="X1171" i="34"/>
  <c r="Y1171" i="34"/>
  <c r="N1172" i="34"/>
  <c r="O1172" i="34"/>
  <c r="P1172" i="34"/>
  <c r="Q1172" i="34"/>
  <c r="R1172" i="34"/>
  <c r="S1172" i="34"/>
  <c r="T1172" i="34"/>
  <c r="U1172" i="34"/>
  <c r="V1172" i="34"/>
  <c r="W1172" i="34"/>
  <c r="X1172" i="34"/>
  <c r="Y1172" i="34"/>
  <c r="N1173" i="34"/>
  <c r="O1173" i="34"/>
  <c r="P1173" i="34"/>
  <c r="Q1173" i="34"/>
  <c r="R1173" i="34"/>
  <c r="S1173" i="34"/>
  <c r="T1173" i="34"/>
  <c r="U1173" i="34"/>
  <c r="V1173" i="34"/>
  <c r="W1173" i="34"/>
  <c r="X1173" i="34"/>
  <c r="Y1173" i="34"/>
  <c r="N1174" i="34"/>
  <c r="O1174" i="34"/>
  <c r="P1174" i="34"/>
  <c r="Q1174" i="34"/>
  <c r="R1174" i="34"/>
  <c r="S1174" i="34"/>
  <c r="T1174" i="34"/>
  <c r="U1174" i="34"/>
  <c r="V1174" i="34"/>
  <c r="W1174" i="34"/>
  <c r="X1174" i="34"/>
  <c r="Y1174" i="34"/>
  <c r="N1175" i="34"/>
  <c r="O1175" i="34"/>
  <c r="P1175" i="34"/>
  <c r="Q1175" i="34"/>
  <c r="R1175" i="34"/>
  <c r="S1175" i="34"/>
  <c r="T1175" i="34"/>
  <c r="U1175" i="34"/>
  <c r="V1175" i="34"/>
  <c r="W1175" i="34"/>
  <c r="X1175" i="34"/>
  <c r="Y1175" i="34"/>
  <c r="N1176" i="34"/>
  <c r="O1176" i="34"/>
  <c r="P1176" i="34"/>
  <c r="Q1176" i="34"/>
  <c r="R1176" i="34"/>
  <c r="S1176" i="34"/>
  <c r="T1176" i="34"/>
  <c r="U1176" i="34"/>
  <c r="V1176" i="34"/>
  <c r="W1176" i="34"/>
  <c r="X1176" i="34"/>
  <c r="Y1176" i="34"/>
  <c r="N1177" i="34"/>
  <c r="O1177" i="34"/>
  <c r="P1177" i="34"/>
  <c r="Q1177" i="34"/>
  <c r="R1177" i="34"/>
  <c r="S1177" i="34"/>
  <c r="T1177" i="34"/>
  <c r="U1177" i="34"/>
  <c r="V1177" i="34"/>
  <c r="W1177" i="34"/>
  <c r="X1177" i="34"/>
  <c r="Y1177" i="34"/>
  <c r="N1178" i="34"/>
  <c r="O1178" i="34"/>
  <c r="P1178" i="34"/>
  <c r="Q1178" i="34"/>
  <c r="R1178" i="34"/>
  <c r="S1178" i="34"/>
  <c r="T1178" i="34"/>
  <c r="U1178" i="34"/>
  <c r="V1178" i="34"/>
  <c r="W1178" i="34"/>
  <c r="X1178" i="34"/>
  <c r="Y1178" i="34"/>
  <c r="N1179" i="34"/>
  <c r="O1179" i="34"/>
  <c r="P1179" i="34"/>
  <c r="Q1179" i="34"/>
  <c r="R1179" i="34"/>
  <c r="S1179" i="34"/>
  <c r="T1179" i="34"/>
  <c r="U1179" i="34"/>
  <c r="V1179" i="34"/>
  <c r="W1179" i="34"/>
  <c r="X1179" i="34"/>
  <c r="Y1179" i="34"/>
  <c r="N1180" i="34"/>
  <c r="O1180" i="34"/>
  <c r="P1180" i="34"/>
  <c r="Q1180" i="34"/>
  <c r="R1180" i="34"/>
  <c r="S1180" i="34"/>
  <c r="T1180" i="34"/>
  <c r="U1180" i="34"/>
  <c r="V1180" i="34"/>
  <c r="W1180" i="34"/>
  <c r="X1180" i="34"/>
  <c r="Y1180" i="34"/>
  <c r="N1181" i="34"/>
  <c r="O1181" i="34"/>
  <c r="P1181" i="34"/>
  <c r="Q1181" i="34"/>
  <c r="R1181" i="34"/>
  <c r="S1181" i="34"/>
  <c r="T1181" i="34"/>
  <c r="U1181" i="34"/>
  <c r="V1181" i="34"/>
  <c r="W1181" i="34"/>
  <c r="X1181" i="34"/>
  <c r="Y1181" i="34"/>
  <c r="N1182" i="34"/>
  <c r="O1182" i="34"/>
  <c r="P1182" i="34"/>
  <c r="Q1182" i="34"/>
  <c r="R1182" i="34"/>
  <c r="S1182" i="34"/>
  <c r="T1182" i="34"/>
  <c r="U1182" i="34"/>
  <c r="V1182" i="34"/>
  <c r="W1182" i="34"/>
  <c r="X1182" i="34"/>
  <c r="Y1182" i="34"/>
  <c r="N1183" i="34"/>
  <c r="O1183" i="34"/>
  <c r="P1183" i="34"/>
  <c r="Q1183" i="34"/>
  <c r="R1183" i="34"/>
  <c r="S1183" i="34"/>
  <c r="T1183" i="34"/>
  <c r="U1183" i="34"/>
  <c r="V1183" i="34"/>
  <c r="W1183" i="34"/>
  <c r="X1183" i="34"/>
  <c r="Y1183" i="34"/>
  <c r="N1184" i="34"/>
  <c r="O1184" i="34"/>
  <c r="P1184" i="34"/>
  <c r="Q1184" i="34"/>
  <c r="R1184" i="34"/>
  <c r="S1184" i="34"/>
  <c r="T1184" i="34"/>
  <c r="U1184" i="34"/>
  <c r="V1184" i="34"/>
  <c r="W1184" i="34"/>
  <c r="X1184" i="34"/>
  <c r="Y1184" i="34"/>
  <c r="N1185" i="34"/>
  <c r="O1185" i="34"/>
  <c r="P1185" i="34"/>
  <c r="Q1185" i="34"/>
  <c r="R1185" i="34"/>
  <c r="S1185" i="34"/>
  <c r="T1185" i="34"/>
  <c r="U1185" i="34"/>
  <c r="V1185" i="34"/>
  <c r="W1185" i="34"/>
  <c r="X1185" i="34"/>
  <c r="Y1185" i="34"/>
  <c r="N1186" i="34"/>
  <c r="O1186" i="34"/>
  <c r="P1186" i="34"/>
  <c r="Q1186" i="34"/>
  <c r="R1186" i="34"/>
  <c r="S1186" i="34"/>
  <c r="T1186" i="34"/>
  <c r="U1186" i="34"/>
  <c r="V1186" i="34"/>
  <c r="W1186" i="34"/>
  <c r="X1186" i="34"/>
  <c r="Y1186" i="34"/>
  <c r="N1187" i="34"/>
  <c r="O1187" i="34"/>
  <c r="P1187" i="34"/>
  <c r="Q1187" i="34"/>
  <c r="R1187" i="34"/>
  <c r="S1187" i="34"/>
  <c r="T1187" i="34"/>
  <c r="U1187" i="34"/>
  <c r="V1187" i="34"/>
  <c r="W1187" i="34"/>
  <c r="X1187" i="34"/>
  <c r="Y1187" i="34"/>
  <c r="N1188" i="34"/>
  <c r="O1188" i="34"/>
  <c r="P1188" i="34"/>
  <c r="Q1188" i="34"/>
  <c r="R1188" i="34"/>
  <c r="S1188" i="34"/>
  <c r="T1188" i="34"/>
  <c r="U1188" i="34"/>
  <c r="V1188" i="34"/>
  <c r="W1188" i="34"/>
  <c r="X1188" i="34"/>
  <c r="Y1188" i="34"/>
  <c r="N1189" i="34"/>
  <c r="O1189" i="34"/>
  <c r="P1189" i="34"/>
  <c r="Q1189" i="34"/>
  <c r="R1189" i="34"/>
  <c r="S1189" i="34"/>
  <c r="T1189" i="34"/>
  <c r="U1189" i="34"/>
  <c r="V1189" i="34"/>
  <c r="W1189" i="34"/>
  <c r="X1189" i="34"/>
  <c r="Y1189" i="34"/>
  <c r="N1190" i="34"/>
  <c r="O1190" i="34"/>
  <c r="P1190" i="34"/>
  <c r="Q1190" i="34"/>
  <c r="R1190" i="34"/>
  <c r="S1190" i="34"/>
  <c r="T1190" i="34"/>
  <c r="U1190" i="34"/>
  <c r="V1190" i="34"/>
  <c r="W1190" i="34"/>
  <c r="X1190" i="34"/>
  <c r="Y1190" i="34"/>
  <c r="N1191" i="34"/>
  <c r="O1191" i="34"/>
  <c r="P1191" i="34"/>
  <c r="Q1191" i="34"/>
  <c r="R1191" i="34"/>
  <c r="S1191" i="34"/>
  <c r="T1191" i="34"/>
  <c r="U1191" i="34"/>
  <c r="V1191" i="34"/>
  <c r="W1191" i="34"/>
  <c r="X1191" i="34"/>
  <c r="Y1191" i="34"/>
  <c r="N1192" i="34"/>
  <c r="O1192" i="34"/>
  <c r="P1192" i="34"/>
  <c r="Q1192" i="34"/>
  <c r="R1192" i="34"/>
  <c r="S1192" i="34"/>
  <c r="T1192" i="34"/>
  <c r="U1192" i="34"/>
  <c r="V1192" i="34"/>
  <c r="W1192" i="34"/>
  <c r="X1192" i="34"/>
  <c r="Y1192" i="34"/>
  <c r="N1193" i="34"/>
  <c r="O1193" i="34"/>
  <c r="P1193" i="34"/>
  <c r="Q1193" i="34"/>
  <c r="R1193" i="34"/>
  <c r="S1193" i="34"/>
  <c r="T1193" i="34"/>
  <c r="U1193" i="34"/>
  <c r="V1193" i="34"/>
  <c r="W1193" i="34"/>
  <c r="X1193" i="34"/>
  <c r="Y1193" i="34"/>
  <c r="N1194" i="34"/>
  <c r="O1194" i="34"/>
  <c r="P1194" i="34"/>
  <c r="Q1194" i="34"/>
  <c r="R1194" i="34"/>
  <c r="S1194" i="34"/>
  <c r="T1194" i="34"/>
  <c r="U1194" i="34"/>
  <c r="V1194" i="34"/>
  <c r="W1194" i="34"/>
  <c r="X1194" i="34"/>
  <c r="Y1194" i="34"/>
  <c r="N1195" i="34"/>
  <c r="O1195" i="34"/>
  <c r="P1195" i="34"/>
  <c r="Q1195" i="34"/>
  <c r="R1195" i="34"/>
  <c r="S1195" i="34"/>
  <c r="T1195" i="34"/>
  <c r="U1195" i="34"/>
  <c r="V1195" i="34"/>
  <c r="W1195" i="34"/>
  <c r="X1195" i="34"/>
  <c r="Y1195" i="34"/>
  <c r="N1196" i="34"/>
  <c r="O1196" i="34"/>
  <c r="P1196" i="34"/>
  <c r="Q1196" i="34"/>
  <c r="R1196" i="34"/>
  <c r="S1196" i="34"/>
  <c r="T1196" i="34"/>
  <c r="U1196" i="34"/>
  <c r="V1196" i="34"/>
  <c r="W1196" i="34"/>
  <c r="X1196" i="34"/>
  <c r="Y1196" i="34"/>
  <c r="N1197" i="34"/>
  <c r="O1197" i="34"/>
  <c r="P1197" i="34"/>
  <c r="Q1197" i="34"/>
  <c r="R1197" i="34"/>
  <c r="S1197" i="34"/>
  <c r="T1197" i="34"/>
  <c r="U1197" i="34"/>
  <c r="V1197" i="34"/>
  <c r="W1197" i="34"/>
  <c r="X1197" i="34"/>
  <c r="Y1197" i="34"/>
  <c r="N1198" i="34"/>
  <c r="O1198" i="34"/>
  <c r="P1198" i="34"/>
  <c r="Q1198" i="34"/>
  <c r="R1198" i="34"/>
  <c r="S1198" i="34"/>
  <c r="T1198" i="34"/>
  <c r="U1198" i="34"/>
  <c r="V1198" i="34"/>
  <c r="W1198" i="34"/>
  <c r="X1198" i="34"/>
  <c r="Y1198" i="34"/>
  <c r="N1199" i="34"/>
  <c r="O1199" i="34"/>
  <c r="P1199" i="34"/>
  <c r="Q1199" i="34"/>
  <c r="R1199" i="34"/>
  <c r="S1199" i="34"/>
  <c r="T1199" i="34"/>
  <c r="U1199" i="34"/>
  <c r="V1199" i="34"/>
  <c r="W1199" i="34"/>
  <c r="X1199" i="34"/>
  <c r="Y1199" i="34"/>
  <c r="N1200" i="34"/>
  <c r="O1200" i="34"/>
  <c r="P1200" i="34"/>
  <c r="Q1200" i="34"/>
  <c r="R1200" i="34"/>
  <c r="S1200" i="34"/>
  <c r="T1200" i="34"/>
  <c r="U1200" i="34"/>
  <c r="V1200" i="34"/>
  <c r="W1200" i="34"/>
  <c r="X1200" i="34"/>
  <c r="Y1200" i="34"/>
  <c r="N1201" i="34"/>
  <c r="O1201" i="34"/>
  <c r="P1201" i="34"/>
  <c r="Q1201" i="34"/>
  <c r="R1201" i="34"/>
  <c r="S1201" i="34"/>
  <c r="T1201" i="34"/>
  <c r="U1201" i="34"/>
  <c r="V1201" i="34"/>
  <c r="W1201" i="34"/>
  <c r="X1201" i="34"/>
  <c r="Y1201" i="34"/>
  <c r="N1202" i="34"/>
  <c r="O1202" i="34"/>
  <c r="P1202" i="34"/>
  <c r="Q1202" i="34"/>
  <c r="R1202" i="34"/>
  <c r="S1202" i="34"/>
  <c r="T1202" i="34"/>
  <c r="U1202" i="34"/>
  <c r="V1202" i="34"/>
  <c r="W1202" i="34"/>
  <c r="X1202" i="34"/>
  <c r="Y1202" i="34"/>
  <c r="N1203" i="34"/>
  <c r="O1203" i="34"/>
  <c r="P1203" i="34"/>
  <c r="Q1203" i="34"/>
  <c r="R1203" i="34"/>
  <c r="S1203" i="34"/>
  <c r="T1203" i="34"/>
  <c r="U1203" i="34"/>
  <c r="V1203" i="34"/>
  <c r="W1203" i="34"/>
  <c r="X1203" i="34"/>
  <c r="Y1203" i="34"/>
  <c r="N1204" i="34"/>
  <c r="O1204" i="34"/>
  <c r="P1204" i="34"/>
  <c r="Q1204" i="34"/>
  <c r="R1204" i="34"/>
  <c r="S1204" i="34"/>
  <c r="T1204" i="34"/>
  <c r="U1204" i="34"/>
  <c r="V1204" i="34"/>
  <c r="W1204" i="34"/>
  <c r="X1204" i="34"/>
  <c r="Y1204" i="34"/>
  <c r="N1205" i="34"/>
  <c r="O1205" i="34"/>
  <c r="P1205" i="34"/>
  <c r="Q1205" i="34"/>
  <c r="R1205" i="34"/>
  <c r="S1205" i="34"/>
  <c r="T1205" i="34"/>
  <c r="U1205" i="34"/>
  <c r="V1205" i="34"/>
  <c r="W1205" i="34"/>
  <c r="X1205" i="34"/>
  <c r="Y1205" i="34"/>
  <c r="N1206" i="34"/>
  <c r="O1206" i="34"/>
  <c r="P1206" i="34"/>
  <c r="Q1206" i="34"/>
  <c r="R1206" i="34"/>
  <c r="S1206" i="34"/>
  <c r="T1206" i="34"/>
  <c r="U1206" i="34"/>
  <c r="V1206" i="34"/>
  <c r="W1206" i="34"/>
  <c r="X1206" i="34"/>
  <c r="Y1206" i="34"/>
  <c r="N1207" i="34"/>
  <c r="O1207" i="34"/>
  <c r="P1207" i="34"/>
  <c r="Q1207" i="34"/>
  <c r="R1207" i="34"/>
  <c r="S1207" i="34"/>
  <c r="T1207" i="34"/>
  <c r="U1207" i="34"/>
  <c r="V1207" i="34"/>
  <c r="W1207" i="34"/>
  <c r="X1207" i="34"/>
  <c r="Y1207" i="34"/>
  <c r="N1208" i="34"/>
  <c r="O1208" i="34"/>
  <c r="P1208" i="34"/>
  <c r="Q1208" i="34"/>
  <c r="R1208" i="34"/>
  <c r="S1208" i="34"/>
  <c r="T1208" i="34"/>
  <c r="U1208" i="34"/>
  <c r="V1208" i="34"/>
  <c r="W1208" i="34"/>
  <c r="X1208" i="34"/>
  <c r="Y1208" i="34"/>
  <c r="N1209" i="34"/>
  <c r="O1209" i="34"/>
  <c r="P1209" i="34"/>
  <c r="Q1209" i="34"/>
  <c r="R1209" i="34"/>
  <c r="S1209" i="34"/>
  <c r="T1209" i="34"/>
  <c r="U1209" i="34"/>
  <c r="V1209" i="34"/>
  <c r="W1209" i="34"/>
  <c r="X1209" i="34"/>
  <c r="Y1209" i="34"/>
  <c r="N1210" i="34"/>
  <c r="O1210" i="34"/>
  <c r="P1210" i="34"/>
  <c r="Q1210" i="34"/>
  <c r="R1210" i="34"/>
  <c r="S1210" i="34"/>
  <c r="T1210" i="34"/>
  <c r="U1210" i="34"/>
  <c r="V1210" i="34"/>
  <c r="W1210" i="34"/>
  <c r="X1210" i="34"/>
  <c r="Y1210" i="34"/>
  <c r="N1211" i="34"/>
  <c r="O1211" i="34"/>
  <c r="P1211" i="34"/>
  <c r="Q1211" i="34"/>
  <c r="R1211" i="34"/>
  <c r="S1211" i="34"/>
  <c r="T1211" i="34"/>
  <c r="U1211" i="34"/>
  <c r="V1211" i="34"/>
  <c r="W1211" i="34"/>
  <c r="X1211" i="34"/>
  <c r="Y1211" i="34"/>
  <c r="N1212" i="34"/>
  <c r="O1212" i="34"/>
  <c r="P1212" i="34"/>
  <c r="Q1212" i="34"/>
  <c r="R1212" i="34"/>
  <c r="S1212" i="34"/>
  <c r="T1212" i="34"/>
  <c r="U1212" i="34"/>
  <c r="V1212" i="34"/>
  <c r="W1212" i="34"/>
  <c r="X1212" i="34"/>
  <c r="Y1212" i="34"/>
  <c r="N1213" i="34"/>
  <c r="O1213" i="34"/>
  <c r="P1213" i="34"/>
  <c r="Q1213" i="34"/>
  <c r="R1213" i="34"/>
  <c r="S1213" i="34"/>
  <c r="T1213" i="34"/>
  <c r="U1213" i="34"/>
  <c r="V1213" i="34"/>
  <c r="W1213" i="34"/>
  <c r="X1213" i="34"/>
  <c r="Y1213" i="34"/>
  <c r="N1214" i="34"/>
  <c r="O1214" i="34"/>
  <c r="P1214" i="34"/>
  <c r="Q1214" i="34"/>
  <c r="R1214" i="34"/>
  <c r="S1214" i="34"/>
  <c r="T1214" i="34"/>
  <c r="U1214" i="34"/>
  <c r="V1214" i="34"/>
  <c r="W1214" i="34"/>
  <c r="X1214" i="34"/>
  <c r="Y1214" i="34"/>
  <c r="N1215" i="34"/>
  <c r="O1215" i="34"/>
  <c r="P1215" i="34"/>
  <c r="Q1215" i="34"/>
  <c r="R1215" i="34"/>
  <c r="S1215" i="34"/>
  <c r="T1215" i="34"/>
  <c r="U1215" i="34"/>
  <c r="V1215" i="34"/>
  <c r="W1215" i="34"/>
  <c r="X1215" i="34"/>
  <c r="Y1215" i="34"/>
  <c r="N1216" i="34"/>
  <c r="O1216" i="34"/>
  <c r="P1216" i="34"/>
  <c r="Q1216" i="34"/>
  <c r="R1216" i="34"/>
  <c r="S1216" i="34"/>
  <c r="T1216" i="34"/>
  <c r="U1216" i="34"/>
  <c r="V1216" i="34"/>
  <c r="W1216" i="34"/>
  <c r="X1216" i="34"/>
  <c r="Y1216" i="34"/>
  <c r="N1217" i="34"/>
  <c r="O1217" i="34"/>
  <c r="P1217" i="34"/>
  <c r="Q1217" i="34"/>
  <c r="R1217" i="34"/>
  <c r="S1217" i="34"/>
  <c r="T1217" i="34"/>
  <c r="U1217" i="34"/>
  <c r="V1217" i="34"/>
  <c r="W1217" i="34"/>
  <c r="X1217" i="34"/>
  <c r="Y1217" i="34"/>
  <c r="N1218" i="34"/>
  <c r="O1218" i="34"/>
  <c r="P1218" i="34"/>
  <c r="Q1218" i="34"/>
  <c r="R1218" i="34"/>
  <c r="S1218" i="34"/>
  <c r="T1218" i="34"/>
  <c r="U1218" i="34"/>
  <c r="V1218" i="34"/>
  <c r="W1218" i="34"/>
  <c r="X1218" i="34"/>
  <c r="Y1218" i="34"/>
  <c r="N1219" i="34"/>
  <c r="O1219" i="34"/>
  <c r="P1219" i="34"/>
  <c r="Q1219" i="34"/>
  <c r="R1219" i="34"/>
  <c r="S1219" i="34"/>
  <c r="T1219" i="34"/>
  <c r="U1219" i="34"/>
  <c r="V1219" i="34"/>
  <c r="W1219" i="34"/>
  <c r="X1219" i="34"/>
  <c r="Y1219" i="34"/>
  <c r="N1220" i="34"/>
  <c r="O1220" i="34"/>
  <c r="P1220" i="34"/>
  <c r="Q1220" i="34"/>
  <c r="R1220" i="34"/>
  <c r="S1220" i="34"/>
  <c r="T1220" i="34"/>
  <c r="U1220" i="34"/>
  <c r="V1220" i="34"/>
  <c r="W1220" i="34"/>
  <c r="X1220" i="34"/>
  <c r="Y1220" i="34"/>
  <c r="N1221" i="34"/>
  <c r="O1221" i="34"/>
  <c r="P1221" i="34"/>
  <c r="Q1221" i="34"/>
  <c r="R1221" i="34"/>
  <c r="S1221" i="34"/>
  <c r="T1221" i="34"/>
  <c r="U1221" i="34"/>
  <c r="V1221" i="34"/>
  <c r="W1221" i="34"/>
  <c r="X1221" i="34"/>
  <c r="Y1221" i="34"/>
  <c r="N1222" i="34"/>
  <c r="O1222" i="34"/>
  <c r="P1222" i="34"/>
  <c r="Q1222" i="34"/>
  <c r="R1222" i="34"/>
  <c r="S1222" i="34"/>
  <c r="T1222" i="34"/>
  <c r="U1222" i="34"/>
  <c r="V1222" i="34"/>
  <c r="W1222" i="34"/>
  <c r="X1222" i="34"/>
  <c r="Y1222" i="34"/>
  <c r="N1223" i="34"/>
  <c r="O1223" i="34"/>
  <c r="P1223" i="34"/>
  <c r="Q1223" i="34"/>
  <c r="R1223" i="34"/>
  <c r="S1223" i="34"/>
  <c r="T1223" i="34"/>
  <c r="U1223" i="34"/>
  <c r="V1223" i="34"/>
  <c r="W1223" i="34"/>
  <c r="X1223" i="34"/>
  <c r="Y1223" i="34"/>
  <c r="N1224" i="34"/>
  <c r="O1224" i="34"/>
  <c r="P1224" i="34"/>
  <c r="Q1224" i="34"/>
  <c r="R1224" i="34"/>
  <c r="S1224" i="34"/>
  <c r="T1224" i="34"/>
  <c r="U1224" i="34"/>
  <c r="V1224" i="34"/>
  <c r="W1224" i="34"/>
  <c r="X1224" i="34"/>
  <c r="Y1224" i="34"/>
  <c r="N1225" i="34"/>
  <c r="O1225" i="34"/>
  <c r="P1225" i="34"/>
  <c r="Q1225" i="34"/>
  <c r="R1225" i="34"/>
  <c r="S1225" i="34"/>
  <c r="T1225" i="34"/>
  <c r="U1225" i="34"/>
  <c r="V1225" i="34"/>
  <c r="W1225" i="34"/>
  <c r="X1225" i="34"/>
  <c r="Y1225" i="34"/>
  <c r="N1226" i="34"/>
  <c r="O1226" i="34"/>
  <c r="P1226" i="34"/>
  <c r="Q1226" i="34"/>
  <c r="R1226" i="34"/>
  <c r="S1226" i="34"/>
  <c r="T1226" i="34"/>
  <c r="U1226" i="34"/>
  <c r="V1226" i="34"/>
  <c r="W1226" i="34"/>
  <c r="X1226" i="34"/>
  <c r="Y1226" i="34"/>
  <c r="N1227" i="34"/>
  <c r="O1227" i="34"/>
  <c r="P1227" i="34"/>
  <c r="Q1227" i="34"/>
  <c r="R1227" i="34"/>
  <c r="S1227" i="34"/>
  <c r="T1227" i="34"/>
  <c r="U1227" i="34"/>
  <c r="V1227" i="34"/>
  <c r="W1227" i="34"/>
  <c r="X1227" i="34"/>
  <c r="Y1227" i="34"/>
  <c r="N1228" i="34"/>
  <c r="O1228" i="34"/>
  <c r="P1228" i="34"/>
  <c r="Q1228" i="34"/>
  <c r="R1228" i="34"/>
  <c r="S1228" i="34"/>
  <c r="T1228" i="34"/>
  <c r="U1228" i="34"/>
  <c r="V1228" i="34"/>
  <c r="W1228" i="34"/>
  <c r="X1228" i="34"/>
  <c r="Y1228" i="34"/>
  <c r="N1229" i="34"/>
  <c r="O1229" i="34"/>
  <c r="P1229" i="34"/>
  <c r="Q1229" i="34"/>
  <c r="R1229" i="34"/>
  <c r="S1229" i="34"/>
  <c r="T1229" i="34"/>
  <c r="U1229" i="34"/>
  <c r="V1229" i="34"/>
  <c r="W1229" i="34"/>
  <c r="X1229" i="34"/>
  <c r="Y1229" i="34"/>
  <c r="N1230" i="34"/>
  <c r="O1230" i="34"/>
  <c r="P1230" i="34"/>
  <c r="Q1230" i="34"/>
  <c r="R1230" i="34"/>
  <c r="S1230" i="34"/>
  <c r="T1230" i="34"/>
  <c r="U1230" i="34"/>
  <c r="V1230" i="34"/>
  <c r="W1230" i="34"/>
  <c r="X1230" i="34"/>
  <c r="Y1230" i="34"/>
  <c r="N1231" i="34"/>
  <c r="O1231" i="34"/>
  <c r="P1231" i="34"/>
  <c r="Q1231" i="34"/>
  <c r="R1231" i="34"/>
  <c r="S1231" i="34"/>
  <c r="T1231" i="34"/>
  <c r="U1231" i="34"/>
  <c r="V1231" i="34"/>
  <c r="W1231" i="34"/>
  <c r="X1231" i="34"/>
  <c r="Y1231" i="34"/>
  <c r="N1232" i="34"/>
  <c r="O1232" i="34"/>
  <c r="P1232" i="34"/>
  <c r="Q1232" i="34"/>
  <c r="R1232" i="34"/>
  <c r="S1232" i="34"/>
  <c r="T1232" i="34"/>
  <c r="U1232" i="34"/>
  <c r="V1232" i="34"/>
  <c r="W1232" i="34"/>
  <c r="X1232" i="34"/>
  <c r="Y1232" i="34"/>
  <c r="N1233" i="34"/>
  <c r="O1233" i="34"/>
  <c r="P1233" i="34"/>
  <c r="Q1233" i="34"/>
  <c r="R1233" i="34"/>
  <c r="S1233" i="34"/>
  <c r="T1233" i="34"/>
  <c r="U1233" i="34"/>
  <c r="V1233" i="34"/>
  <c r="W1233" i="34"/>
  <c r="X1233" i="34"/>
  <c r="Y1233" i="34"/>
  <c r="N1234" i="34"/>
  <c r="O1234" i="34"/>
  <c r="P1234" i="34"/>
  <c r="Q1234" i="34"/>
  <c r="R1234" i="34"/>
  <c r="S1234" i="34"/>
  <c r="T1234" i="34"/>
  <c r="U1234" i="34"/>
  <c r="V1234" i="34"/>
  <c r="W1234" i="34"/>
  <c r="X1234" i="34"/>
  <c r="Y1234" i="34"/>
  <c r="N1235" i="34"/>
  <c r="O1235" i="34"/>
  <c r="P1235" i="34"/>
  <c r="Q1235" i="34"/>
  <c r="R1235" i="34"/>
  <c r="S1235" i="34"/>
  <c r="T1235" i="34"/>
  <c r="U1235" i="34"/>
  <c r="V1235" i="34"/>
  <c r="W1235" i="34"/>
  <c r="X1235" i="34"/>
  <c r="Y1235" i="34"/>
  <c r="N1236" i="34"/>
  <c r="O1236" i="34"/>
  <c r="P1236" i="34"/>
  <c r="Q1236" i="34"/>
  <c r="R1236" i="34"/>
  <c r="S1236" i="34"/>
  <c r="T1236" i="34"/>
  <c r="U1236" i="34"/>
  <c r="V1236" i="34"/>
  <c r="W1236" i="34"/>
  <c r="X1236" i="34"/>
  <c r="Y1236" i="34"/>
  <c r="N1237" i="34"/>
  <c r="O1237" i="34"/>
  <c r="P1237" i="34"/>
  <c r="Q1237" i="34"/>
  <c r="R1237" i="34"/>
  <c r="S1237" i="34"/>
  <c r="T1237" i="34"/>
  <c r="U1237" i="34"/>
  <c r="V1237" i="34"/>
  <c r="W1237" i="34"/>
  <c r="X1237" i="34"/>
  <c r="Y1237" i="34"/>
  <c r="N1238" i="34"/>
  <c r="O1238" i="34"/>
  <c r="P1238" i="34"/>
  <c r="Q1238" i="34"/>
  <c r="R1238" i="34"/>
  <c r="S1238" i="34"/>
  <c r="T1238" i="34"/>
  <c r="U1238" i="34"/>
  <c r="V1238" i="34"/>
  <c r="W1238" i="34"/>
  <c r="X1238" i="34"/>
  <c r="Y1238" i="34"/>
  <c r="N1239" i="34"/>
  <c r="O1239" i="34"/>
  <c r="P1239" i="34"/>
  <c r="Q1239" i="34"/>
  <c r="R1239" i="34"/>
  <c r="S1239" i="34"/>
  <c r="T1239" i="34"/>
  <c r="U1239" i="34"/>
  <c r="V1239" i="34"/>
  <c r="W1239" i="34"/>
  <c r="X1239" i="34"/>
  <c r="Y1239" i="34"/>
  <c r="N1240" i="34"/>
  <c r="O1240" i="34"/>
  <c r="P1240" i="34"/>
  <c r="Q1240" i="34"/>
  <c r="R1240" i="34"/>
  <c r="S1240" i="34"/>
  <c r="T1240" i="34"/>
  <c r="U1240" i="34"/>
  <c r="V1240" i="34"/>
  <c r="W1240" i="34"/>
  <c r="X1240" i="34"/>
  <c r="Y1240" i="34"/>
  <c r="N1241" i="34"/>
  <c r="O1241" i="34"/>
  <c r="P1241" i="34"/>
  <c r="Q1241" i="34"/>
  <c r="R1241" i="34"/>
  <c r="S1241" i="34"/>
  <c r="T1241" i="34"/>
  <c r="U1241" i="34"/>
  <c r="V1241" i="34"/>
  <c r="W1241" i="34"/>
  <c r="X1241" i="34"/>
  <c r="Y1241" i="34"/>
  <c r="N1242" i="34"/>
  <c r="O1242" i="34"/>
  <c r="P1242" i="34"/>
  <c r="Q1242" i="34"/>
  <c r="R1242" i="34"/>
  <c r="S1242" i="34"/>
  <c r="T1242" i="34"/>
  <c r="U1242" i="34"/>
  <c r="V1242" i="34"/>
  <c r="W1242" i="34"/>
  <c r="X1242" i="34"/>
  <c r="Y1242" i="34"/>
  <c r="N1243" i="34"/>
  <c r="O1243" i="34"/>
  <c r="P1243" i="34"/>
  <c r="Q1243" i="34"/>
  <c r="R1243" i="34"/>
  <c r="S1243" i="34"/>
  <c r="T1243" i="34"/>
  <c r="U1243" i="34"/>
  <c r="V1243" i="34"/>
  <c r="W1243" i="34"/>
  <c r="X1243" i="34"/>
  <c r="Y1243" i="34"/>
  <c r="N1244" i="34"/>
  <c r="O1244" i="34"/>
  <c r="P1244" i="34"/>
  <c r="Q1244" i="34"/>
  <c r="R1244" i="34"/>
  <c r="S1244" i="34"/>
  <c r="T1244" i="34"/>
  <c r="U1244" i="34"/>
  <c r="V1244" i="34"/>
  <c r="W1244" i="34"/>
  <c r="X1244" i="34"/>
  <c r="Y1244" i="34"/>
  <c r="N1245" i="34"/>
  <c r="O1245" i="34"/>
  <c r="P1245" i="34"/>
  <c r="Q1245" i="34"/>
  <c r="R1245" i="34"/>
  <c r="S1245" i="34"/>
  <c r="T1245" i="34"/>
  <c r="U1245" i="34"/>
  <c r="V1245" i="34"/>
  <c r="W1245" i="34"/>
  <c r="X1245" i="34"/>
  <c r="Y1245" i="34"/>
  <c r="N1246" i="34"/>
  <c r="O1246" i="34"/>
  <c r="P1246" i="34"/>
  <c r="Q1246" i="34"/>
  <c r="R1246" i="34"/>
  <c r="S1246" i="34"/>
  <c r="T1246" i="34"/>
  <c r="U1246" i="34"/>
  <c r="V1246" i="34"/>
  <c r="W1246" i="34"/>
  <c r="X1246" i="34"/>
  <c r="Y1246" i="34"/>
  <c r="N1247" i="34"/>
  <c r="O1247" i="34"/>
  <c r="P1247" i="34"/>
  <c r="Q1247" i="34"/>
  <c r="R1247" i="34"/>
  <c r="S1247" i="34"/>
  <c r="T1247" i="34"/>
  <c r="U1247" i="34"/>
  <c r="V1247" i="34"/>
  <c r="W1247" i="34"/>
  <c r="X1247" i="34"/>
  <c r="Y1247" i="34"/>
  <c r="N1248" i="34"/>
  <c r="O1248" i="34"/>
  <c r="P1248" i="34"/>
  <c r="Q1248" i="34"/>
  <c r="R1248" i="34"/>
  <c r="S1248" i="34"/>
  <c r="T1248" i="34"/>
  <c r="U1248" i="34"/>
  <c r="V1248" i="34"/>
  <c r="W1248" i="34"/>
  <c r="X1248" i="34"/>
  <c r="Y1248" i="34"/>
  <c r="N1249" i="34"/>
  <c r="O1249" i="34"/>
  <c r="P1249" i="34"/>
  <c r="Q1249" i="34"/>
  <c r="R1249" i="34"/>
  <c r="S1249" i="34"/>
  <c r="T1249" i="34"/>
  <c r="U1249" i="34"/>
  <c r="V1249" i="34"/>
  <c r="W1249" i="34"/>
  <c r="X1249" i="34"/>
  <c r="Y1249" i="34"/>
  <c r="N1250" i="34"/>
  <c r="O1250" i="34"/>
  <c r="P1250" i="34"/>
  <c r="Q1250" i="34"/>
  <c r="R1250" i="34"/>
  <c r="S1250" i="34"/>
  <c r="T1250" i="34"/>
  <c r="U1250" i="34"/>
  <c r="V1250" i="34"/>
  <c r="W1250" i="34"/>
  <c r="X1250" i="34"/>
  <c r="Y1250" i="34"/>
  <c r="N1251" i="34"/>
  <c r="O1251" i="34"/>
  <c r="P1251" i="34"/>
  <c r="Q1251" i="34"/>
  <c r="R1251" i="34"/>
  <c r="S1251" i="34"/>
  <c r="T1251" i="34"/>
  <c r="U1251" i="34"/>
  <c r="V1251" i="34"/>
  <c r="W1251" i="34"/>
  <c r="X1251" i="34"/>
  <c r="Y1251" i="34"/>
  <c r="N1252" i="34"/>
  <c r="O1252" i="34"/>
  <c r="P1252" i="34"/>
  <c r="Q1252" i="34"/>
  <c r="R1252" i="34"/>
  <c r="S1252" i="34"/>
  <c r="T1252" i="34"/>
  <c r="U1252" i="34"/>
  <c r="V1252" i="34"/>
  <c r="W1252" i="34"/>
  <c r="X1252" i="34"/>
  <c r="Y1252" i="34"/>
  <c r="N1253" i="34"/>
  <c r="O1253" i="34"/>
  <c r="P1253" i="34"/>
  <c r="Q1253" i="34"/>
  <c r="R1253" i="34"/>
  <c r="S1253" i="34"/>
  <c r="T1253" i="34"/>
  <c r="U1253" i="34"/>
  <c r="V1253" i="34"/>
  <c r="W1253" i="34"/>
  <c r="X1253" i="34"/>
  <c r="Y1253" i="34"/>
  <c r="N1254" i="34"/>
  <c r="O1254" i="34"/>
  <c r="P1254" i="34"/>
  <c r="Q1254" i="34"/>
  <c r="R1254" i="34"/>
  <c r="S1254" i="34"/>
  <c r="T1254" i="34"/>
  <c r="U1254" i="34"/>
  <c r="V1254" i="34"/>
  <c r="W1254" i="34"/>
  <c r="X1254" i="34"/>
  <c r="Y1254" i="34"/>
  <c r="N1255" i="34"/>
  <c r="O1255" i="34"/>
  <c r="P1255" i="34"/>
  <c r="Q1255" i="34"/>
  <c r="R1255" i="34"/>
  <c r="S1255" i="34"/>
  <c r="T1255" i="34"/>
  <c r="U1255" i="34"/>
  <c r="V1255" i="34"/>
  <c r="W1255" i="34"/>
  <c r="X1255" i="34"/>
  <c r="Y1255" i="34"/>
  <c r="N1256" i="34"/>
  <c r="O1256" i="34"/>
  <c r="P1256" i="34"/>
  <c r="Q1256" i="34"/>
  <c r="R1256" i="34"/>
  <c r="S1256" i="34"/>
  <c r="T1256" i="34"/>
  <c r="U1256" i="34"/>
  <c r="V1256" i="34"/>
  <c r="W1256" i="34"/>
  <c r="X1256" i="34"/>
  <c r="Y1256" i="34"/>
  <c r="N1257" i="34"/>
  <c r="O1257" i="34"/>
  <c r="P1257" i="34"/>
  <c r="Q1257" i="34"/>
  <c r="R1257" i="34"/>
  <c r="S1257" i="34"/>
  <c r="T1257" i="34"/>
  <c r="U1257" i="34"/>
  <c r="V1257" i="34"/>
  <c r="W1257" i="34"/>
  <c r="X1257" i="34"/>
  <c r="Y1257" i="34"/>
  <c r="N1258" i="34"/>
  <c r="O1258" i="34"/>
  <c r="P1258" i="34"/>
  <c r="Q1258" i="34"/>
  <c r="R1258" i="34"/>
  <c r="S1258" i="34"/>
  <c r="T1258" i="34"/>
  <c r="U1258" i="34"/>
  <c r="V1258" i="34"/>
  <c r="W1258" i="34"/>
  <c r="X1258" i="34"/>
  <c r="Y1258" i="34"/>
  <c r="N1259" i="34"/>
  <c r="O1259" i="34"/>
  <c r="P1259" i="34"/>
  <c r="Q1259" i="34"/>
  <c r="R1259" i="34"/>
  <c r="S1259" i="34"/>
  <c r="T1259" i="34"/>
  <c r="U1259" i="34"/>
  <c r="V1259" i="34"/>
  <c r="W1259" i="34"/>
  <c r="X1259" i="34"/>
  <c r="Y1259" i="34"/>
  <c r="N1260" i="34"/>
  <c r="O1260" i="34"/>
  <c r="P1260" i="34"/>
  <c r="Q1260" i="34"/>
  <c r="R1260" i="34"/>
  <c r="S1260" i="34"/>
  <c r="T1260" i="34"/>
  <c r="U1260" i="34"/>
  <c r="V1260" i="34"/>
  <c r="W1260" i="34"/>
  <c r="X1260" i="34"/>
  <c r="Y1260" i="34"/>
  <c r="N1261" i="34"/>
  <c r="O1261" i="34"/>
  <c r="P1261" i="34"/>
  <c r="Q1261" i="34"/>
  <c r="R1261" i="34"/>
  <c r="S1261" i="34"/>
  <c r="T1261" i="34"/>
  <c r="U1261" i="34"/>
  <c r="V1261" i="34"/>
  <c r="W1261" i="34"/>
  <c r="X1261" i="34"/>
  <c r="Y1261" i="34"/>
  <c r="N1262" i="34"/>
  <c r="O1262" i="34"/>
  <c r="P1262" i="34"/>
  <c r="Q1262" i="34"/>
  <c r="R1262" i="34"/>
  <c r="S1262" i="34"/>
  <c r="T1262" i="34"/>
  <c r="U1262" i="34"/>
  <c r="V1262" i="34"/>
  <c r="W1262" i="34"/>
  <c r="X1262" i="34"/>
  <c r="Y1262" i="34"/>
  <c r="N1263" i="34"/>
  <c r="O1263" i="34"/>
  <c r="P1263" i="34"/>
  <c r="Q1263" i="34"/>
  <c r="R1263" i="34"/>
  <c r="S1263" i="34"/>
  <c r="T1263" i="34"/>
  <c r="U1263" i="34"/>
  <c r="V1263" i="34"/>
  <c r="W1263" i="34"/>
  <c r="X1263" i="34"/>
  <c r="Y1263" i="34"/>
  <c r="N1264" i="34"/>
  <c r="O1264" i="34"/>
  <c r="P1264" i="34"/>
  <c r="Q1264" i="34"/>
  <c r="R1264" i="34"/>
  <c r="S1264" i="34"/>
  <c r="T1264" i="34"/>
  <c r="U1264" i="34"/>
  <c r="V1264" i="34"/>
  <c r="W1264" i="34"/>
  <c r="X1264" i="34"/>
  <c r="Y1264" i="34"/>
  <c r="N1265" i="34"/>
  <c r="O1265" i="34"/>
  <c r="P1265" i="34"/>
  <c r="Q1265" i="34"/>
  <c r="R1265" i="34"/>
  <c r="S1265" i="34"/>
  <c r="T1265" i="34"/>
  <c r="U1265" i="34"/>
  <c r="V1265" i="34"/>
  <c r="W1265" i="34"/>
  <c r="X1265" i="34"/>
  <c r="Y1265" i="34"/>
  <c r="N1266" i="34"/>
  <c r="O1266" i="34"/>
  <c r="P1266" i="34"/>
  <c r="Q1266" i="34"/>
  <c r="R1266" i="34"/>
  <c r="S1266" i="34"/>
  <c r="T1266" i="34"/>
  <c r="U1266" i="34"/>
  <c r="V1266" i="34"/>
  <c r="W1266" i="34"/>
  <c r="X1266" i="34"/>
  <c r="Y1266" i="34"/>
  <c r="N1267" i="34"/>
  <c r="O1267" i="34"/>
  <c r="P1267" i="34"/>
  <c r="Q1267" i="34"/>
  <c r="R1267" i="34"/>
  <c r="S1267" i="34"/>
  <c r="T1267" i="34"/>
  <c r="U1267" i="34"/>
  <c r="V1267" i="34"/>
  <c r="W1267" i="34"/>
  <c r="X1267" i="34"/>
  <c r="Y1267" i="34"/>
  <c r="N1268" i="34"/>
  <c r="O1268" i="34"/>
  <c r="P1268" i="34"/>
  <c r="Q1268" i="34"/>
  <c r="R1268" i="34"/>
  <c r="S1268" i="34"/>
  <c r="T1268" i="34"/>
  <c r="U1268" i="34"/>
  <c r="V1268" i="34"/>
  <c r="W1268" i="34"/>
  <c r="X1268" i="34"/>
  <c r="Y1268" i="34"/>
  <c r="N1269" i="34"/>
  <c r="O1269" i="34"/>
  <c r="P1269" i="34"/>
  <c r="Q1269" i="34"/>
  <c r="R1269" i="34"/>
  <c r="S1269" i="34"/>
  <c r="T1269" i="34"/>
  <c r="U1269" i="34"/>
  <c r="V1269" i="34"/>
  <c r="W1269" i="34"/>
  <c r="X1269" i="34"/>
  <c r="Y1269" i="34"/>
  <c r="N1270" i="34"/>
  <c r="O1270" i="34"/>
  <c r="P1270" i="34"/>
  <c r="Q1270" i="34"/>
  <c r="R1270" i="34"/>
  <c r="S1270" i="34"/>
  <c r="T1270" i="34"/>
  <c r="U1270" i="34"/>
  <c r="V1270" i="34"/>
  <c r="W1270" i="34"/>
  <c r="X1270" i="34"/>
  <c r="Y1270" i="34"/>
  <c r="N1271" i="34"/>
  <c r="O1271" i="34"/>
  <c r="P1271" i="34"/>
  <c r="Q1271" i="34"/>
  <c r="R1271" i="34"/>
  <c r="S1271" i="34"/>
  <c r="T1271" i="34"/>
  <c r="U1271" i="34"/>
  <c r="V1271" i="34"/>
  <c r="W1271" i="34"/>
  <c r="X1271" i="34"/>
  <c r="Y1271" i="34"/>
  <c r="N1272" i="34"/>
  <c r="O1272" i="34"/>
  <c r="P1272" i="34"/>
  <c r="Q1272" i="34"/>
  <c r="R1272" i="34"/>
  <c r="S1272" i="34"/>
  <c r="T1272" i="34"/>
  <c r="U1272" i="34"/>
  <c r="V1272" i="34"/>
  <c r="W1272" i="34"/>
  <c r="X1272" i="34"/>
  <c r="Y1272" i="34"/>
  <c r="N1273" i="34"/>
  <c r="O1273" i="34"/>
  <c r="P1273" i="34"/>
  <c r="Q1273" i="34"/>
  <c r="R1273" i="34"/>
  <c r="S1273" i="34"/>
  <c r="T1273" i="34"/>
  <c r="U1273" i="34"/>
  <c r="V1273" i="34"/>
  <c r="W1273" i="34"/>
  <c r="X1273" i="34"/>
  <c r="Y1273" i="34"/>
  <c r="N1274" i="34"/>
  <c r="O1274" i="34"/>
  <c r="P1274" i="34"/>
  <c r="Q1274" i="34"/>
  <c r="R1274" i="34"/>
  <c r="S1274" i="34"/>
  <c r="T1274" i="34"/>
  <c r="U1274" i="34"/>
  <c r="V1274" i="34"/>
  <c r="W1274" i="34"/>
  <c r="X1274" i="34"/>
  <c r="Y1274" i="34"/>
  <c r="N1275" i="34"/>
  <c r="O1275" i="34"/>
  <c r="P1275" i="34"/>
  <c r="Q1275" i="34"/>
  <c r="R1275" i="34"/>
  <c r="S1275" i="34"/>
  <c r="T1275" i="34"/>
  <c r="U1275" i="34"/>
  <c r="V1275" i="34"/>
  <c r="W1275" i="34"/>
  <c r="X1275" i="34"/>
  <c r="Y1275" i="34"/>
  <c r="N1276" i="34"/>
  <c r="O1276" i="34"/>
  <c r="P1276" i="34"/>
  <c r="Q1276" i="34"/>
  <c r="R1276" i="34"/>
  <c r="S1276" i="34"/>
  <c r="T1276" i="34"/>
  <c r="U1276" i="34"/>
  <c r="V1276" i="34"/>
  <c r="W1276" i="34"/>
  <c r="X1276" i="34"/>
  <c r="Y1276" i="34"/>
  <c r="N1277" i="34"/>
  <c r="O1277" i="34"/>
  <c r="P1277" i="34"/>
  <c r="Q1277" i="34"/>
  <c r="R1277" i="34"/>
  <c r="S1277" i="34"/>
  <c r="T1277" i="34"/>
  <c r="U1277" i="34"/>
  <c r="V1277" i="34"/>
  <c r="W1277" i="34"/>
  <c r="X1277" i="34"/>
  <c r="Y1277" i="34"/>
  <c r="N1278" i="34"/>
  <c r="O1278" i="34"/>
  <c r="P1278" i="34"/>
  <c r="Q1278" i="34"/>
  <c r="R1278" i="34"/>
  <c r="S1278" i="34"/>
  <c r="T1278" i="34"/>
  <c r="U1278" i="34"/>
  <c r="V1278" i="34"/>
  <c r="W1278" i="34"/>
  <c r="X1278" i="34"/>
  <c r="Y1278" i="34"/>
  <c r="N1279" i="34"/>
  <c r="O1279" i="34"/>
  <c r="P1279" i="34"/>
  <c r="Q1279" i="34"/>
  <c r="R1279" i="34"/>
  <c r="S1279" i="34"/>
  <c r="T1279" i="34"/>
  <c r="U1279" i="34"/>
  <c r="V1279" i="34"/>
  <c r="W1279" i="34"/>
  <c r="X1279" i="34"/>
  <c r="Y1279" i="34"/>
  <c r="N1280" i="34"/>
  <c r="O1280" i="34"/>
  <c r="P1280" i="34"/>
  <c r="Q1280" i="34"/>
  <c r="R1280" i="34"/>
  <c r="S1280" i="34"/>
  <c r="T1280" i="34"/>
  <c r="U1280" i="34"/>
  <c r="V1280" i="34"/>
  <c r="W1280" i="34"/>
  <c r="X1280" i="34"/>
  <c r="Y1280" i="34"/>
  <c r="N1281" i="34"/>
  <c r="O1281" i="34"/>
  <c r="P1281" i="34"/>
  <c r="Q1281" i="34"/>
  <c r="R1281" i="34"/>
  <c r="S1281" i="34"/>
  <c r="T1281" i="34"/>
  <c r="U1281" i="34"/>
  <c r="V1281" i="34"/>
  <c r="W1281" i="34"/>
  <c r="X1281" i="34"/>
  <c r="Y1281" i="34"/>
  <c r="N1282" i="34"/>
  <c r="O1282" i="34"/>
  <c r="P1282" i="34"/>
  <c r="Q1282" i="34"/>
  <c r="R1282" i="34"/>
  <c r="S1282" i="34"/>
  <c r="T1282" i="34"/>
  <c r="U1282" i="34"/>
  <c r="V1282" i="34"/>
  <c r="W1282" i="34"/>
  <c r="X1282" i="34"/>
  <c r="Y1282" i="34"/>
  <c r="N1283" i="34"/>
  <c r="O1283" i="34"/>
  <c r="P1283" i="34"/>
  <c r="Q1283" i="34"/>
  <c r="R1283" i="34"/>
  <c r="S1283" i="34"/>
  <c r="T1283" i="34"/>
  <c r="U1283" i="34"/>
  <c r="V1283" i="34"/>
  <c r="W1283" i="34"/>
  <c r="X1283" i="34"/>
  <c r="Y1283" i="34"/>
  <c r="N1284" i="34"/>
  <c r="O1284" i="34"/>
  <c r="P1284" i="34"/>
  <c r="Q1284" i="34"/>
  <c r="R1284" i="34"/>
  <c r="S1284" i="34"/>
  <c r="T1284" i="34"/>
  <c r="U1284" i="34"/>
  <c r="V1284" i="34"/>
  <c r="W1284" i="34"/>
  <c r="X1284" i="34"/>
  <c r="Y1284" i="34"/>
  <c r="N1285" i="34"/>
  <c r="O1285" i="34"/>
  <c r="P1285" i="34"/>
  <c r="Q1285" i="34"/>
  <c r="R1285" i="34"/>
  <c r="S1285" i="34"/>
  <c r="T1285" i="34"/>
  <c r="U1285" i="34"/>
  <c r="V1285" i="34"/>
  <c r="W1285" i="34"/>
  <c r="X1285" i="34"/>
  <c r="Y1285" i="34"/>
  <c r="N1286" i="34"/>
  <c r="O1286" i="34"/>
  <c r="P1286" i="34"/>
  <c r="Q1286" i="34"/>
  <c r="R1286" i="34"/>
  <c r="S1286" i="34"/>
  <c r="T1286" i="34"/>
  <c r="U1286" i="34"/>
  <c r="V1286" i="34"/>
  <c r="W1286" i="34"/>
  <c r="X1286" i="34"/>
  <c r="Y1286" i="34"/>
  <c r="N1287" i="34"/>
  <c r="O1287" i="34"/>
  <c r="P1287" i="34"/>
  <c r="Q1287" i="34"/>
  <c r="R1287" i="34"/>
  <c r="S1287" i="34"/>
  <c r="T1287" i="34"/>
  <c r="U1287" i="34"/>
  <c r="V1287" i="34"/>
  <c r="W1287" i="34"/>
  <c r="X1287" i="34"/>
  <c r="Y1287" i="34"/>
  <c r="N1288" i="34"/>
  <c r="O1288" i="34"/>
  <c r="P1288" i="34"/>
  <c r="Q1288" i="34"/>
  <c r="R1288" i="34"/>
  <c r="S1288" i="34"/>
  <c r="T1288" i="34"/>
  <c r="U1288" i="34"/>
  <c r="V1288" i="34"/>
  <c r="W1288" i="34"/>
  <c r="X1288" i="34"/>
  <c r="Y1288" i="34"/>
  <c r="N1289" i="34"/>
  <c r="O1289" i="34"/>
  <c r="P1289" i="34"/>
  <c r="Q1289" i="34"/>
  <c r="R1289" i="34"/>
  <c r="S1289" i="34"/>
  <c r="T1289" i="34"/>
  <c r="U1289" i="34"/>
  <c r="V1289" i="34"/>
  <c r="W1289" i="34"/>
  <c r="X1289" i="34"/>
  <c r="Y1289" i="34"/>
  <c r="N1290" i="34"/>
  <c r="O1290" i="34"/>
  <c r="P1290" i="34"/>
  <c r="Q1290" i="34"/>
  <c r="R1290" i="34"/>
  <c r="S1290" i="34"/>
  <c r="T1290" i="34"/>
  <c r="U1290" i="34"/>
  <c r="V1290" i="34"/>
  <c r="W1290" i="34"/>
  <c r="X1290" i="34"/>
  <c r="Y1290" i="34"/>
  <c r="N1291" i="34"/>
  <c r="O1291" i="34"/>
  <c r="P1291" i="34"/>
  <c r="Q1291" i="34"/>
  <c r="R1291" i="34"/>
  <c r="S1291" i="34"/>
  <c r="T1291" i="34"/>
  <c r="U1291" i="34"/>
  <c r="V1291" i="34"/>
  <c r="W1291" i="34"/>
  <c r="X1291" i="34"/>
  <c r="Y1291" i="34"/>
  <c r="N1292" i="34"/>
  <c r="O1292" i="34"/>
  <c r="P1292" i="34"/>
  <c r="Q1292" i="34"/>
  <c r="R1292" i="34"/>
  <c r="S1292" i="34"/>
  <c r="T1292" i="34"/>
  <c r="U1292" i="34"/>
  <c r="V1292" i="34"/>
  <c r="W1292" i="34"/>
  <c r="X1292" i="34"/>
  <c r="Y1292" i="34"/>
  <c r="N1293" i="34"/>
  <c r="O1293" i="34"/>
  <c r="P1293" i="34"/>
  <c r="Q1293" i="34"/>
  <c r="R1293" i="34"/>
  <c r="S1293" i="34"/>
  <c r="T1293" i="34"/>
  <c r="U1293" i="34"/>
  <c r="V1293" i="34"/>
  <c r="W1293" i="34"/>
  <c r="X1293" i="34"/>
  <c r="Y1293" i="34"/>
  <c r="N1294" i="34"/>
  <c r="O1294" i="34"/>
  <c r="P1294" i="34"/>
  <c r="Q1294" i="34"/>
  <c r="R1294" i="34"/>
  <c r="S1294" i="34"/>
  <c r="T1294" i="34"/>
  <c r="U1294" i="34"/>
  <c r="V1294" i="34"/>
  <c r="W1294" i="34"/>
  <c r="X1294" i="34"/>
  <c r="Y1294" i="34"/>
  <c r="N1295" i="34"/>
  <c r="O1295" i="34"/>
  <c r="P1295" i="34"/>
  <c r="Q1295" i="34"/>
  <c r="R1295" i="34"/>
  <c r="S1295" i="34"/>
  <c r="T1295" i="34"/>
  <c r="U1295" i="34"/>
  <c r="V1295" i="34"/>
  <c r="W1295" i="34"/>
  <c r="X1295" i="34"/>
  <c r="Y1295" i="34"/>
  <c r="N1296" i="34"/>
  <c r="O1296" i="34"/>
  <c r="P1296" i="34"/>
  <c r="Q1296" i="34"/>
  <c r="R1296" i="34"/>
  <c r="S1296" i="34"/>
  <c r="T1296" i="34"/>
  <c r="U1296" i="34"/>
  <c r="V1296" i="34"/>
  <c r="W1296" i="34"/>
  <c r="X1296" i="34"/>
  <c r="Y1296" i="34"/>
  <c r="N1297" i="34"/>
  <c r="O1297" i="34"/>
  <c r="P1297" i="34"/>
  <c r="Q1297" i="34"/>
  <c r="R1297" i="34"/>
  <c r="S1297" i="34"/>
  <c r="T1297" i="34"/>
  <c r="U1297" i="34"/>
  <c r="V1297" i="34"/>
  <c r="W1297" i="34"/>
  <c r="X1297" i="34"/>
  <c r="Y1297" i="34"/>
  <c r="N1298" i="34"/>
  <c r="O1298" i="34"/>
  <c r="P1298" i="34"/>
  <c r="Q1298" i="34"/>
  <c r="R1298" i="34"/>
  <c r="S1298" i="34"/>
  <c r="T1298" i="34"/>
  <c r="U1298" i="34"/>
  <c r="V1298" i="34"/>
  <c r="W1298" i="34"/>
  <c r="X1298" i="34"/>
  <c r="Y1298" i="34"/>
  <c r="N1299" i="34"/>
  <c r="O1299" i="34"/>
  <c r="P1299" i="34"/>
  <c r="Q1299" i="34"/>
  <c r="R1299" i="34"/>
  <c r="S1299" i="34"/>
  <c r="T1299" i="34"/>
  <c r="U1299" i="34"/>
  <c r="V1299" i="34"/>
  <c r="W1299" i="34"/>
  <c r="X1299" i="34"/>
  <c r="Y1299" i="34"/>
  <c r="N1300" i="34"/>
  <c r="O1300" i="34"/>
  <c r="P1300" i="34"/>
  <c r="Q1300" i="34"/>
  <c r="R1300" i="34"/>
  <c r="S1300" i="34"/>
  <c r="T1300" i="34"/>
  <c r="U1300" i="34"/>
  <c r="V1300" i="34"/>
  <c r="W1300" i="34"/>
  <c r="X1300" i="34"/>
  <c r="Y1300" i="34"/>
  <c r="N1301" i="34"/>
  <c r="O1301" i="34"/>
  <c r="P1301" i="34"/>
  <c r="Q1301" i="34"/>
  <c r="R1301" i="34"/>
  <c r="S1301" i="34"/>
  <c r="T1301" i="34"/>
  <c r="U1301" i="34"/>
  <c r="V1301" i="34"/>
  <c r="W1301" i="34"/>
  <c r="X1301" i="34"/>
  <c r="Y1301" i="34"/>
  <c r="N1302" i="34"/>
  <c r="O1302" i="34"/>
  <c r="P1302" i="34"/>
  <c r="Q1302" i="34"/>
  <c r="R1302" i="34"/>
  <c r="S1302" i="34"/>
  <c r="T1302" i="34"/>
  <c r="U1302" i="34"/>
  <c r="V1302" i="34"/>
  <c r="W1302" i="34"/>
  <c r="X1302" i="34"/>
  <c r="Y1302" i="34"/>
  <c r="N1303" i="34"/>
  <c r="O1303" i="34"/>
  <c r="P1303" i="34"/>
  <c r="Q1303" i="34"/>
  <c r="R1303" i="34"/>
  <c r="S1303" i="34"/>
  <c r="T1303" i="34"/>
  <c r="U1303" i="34"/>
  <c r="V1303" i="34"/>
  <c r="W1303" i="34"/>
  <c r="X1303" i="34"/>
  <c r="Y1303" i="34"/>
  <c r="N1304" i="34"/>
  <c r="O1304" i="34"/>
  <c r="P1304" i="34"/>
  <c r="Q1304" i="34"/>
  <c r="R1304" i="34"/>
  <c r="S1304" i="34"/>
  <c r="T1304" i="34"/>
  <c r="U1304" i="34"/>
  <c r="V1304" i="34"/>
  <c r="W1304" i="34"/>
  <c r="X1304" i="34"/>
  <c r="Y1304" i="34"/>
  <c r="N1305" i="34"/>
  <c r="O1305" i="34"/>
  <c r="P1305" i="34"/>
  <c r="Q1305" i="34"/>
  <c r="R1305" i="34"/>
  <c r="S1305" i="34"/>
  <c r="T1305" i="34"/>
  <c r="U1305" i="34"/>
  <c r="V1305" i="34"/>
  <c r="W1305" i="34"/>
  <c r="X1305" i="34"/>
  <c r="Y1305" i="34"/>
  <c r="N1306" i="34"/>
  <c r="O1306" i="34"/>
  <c r="P1306" i="34"/>
  <c r="Q1306" i="34"/>
  <c r="R1306" i="34"/>
  <c r="S1306" i="34"/>
  <c r="T1306" i="34"/>
  <c r="U1306" i="34"/>
  <c r="V1306" i="34"/>
  <c r="W1306" i="34"/>
  <c r="X1306" i="34"/>
  <c r="Y1306" i="34"/>
  <c r="N1307" i="34"/>
  <c r="O1307" i="34"/>
  <c r="P1307" i="34"/>
  <c r="Q1307" i="34"/>
  <c r="R1307" i="34"/>
  <c r="S1307" i="34"/>
  <c r="T1307" i="34"/>
  <c r="U1307" i="34"/>
  <c r="V1307" i="34"/>
  <c r="W1307" i="34"/>
  <c r="X1307" i="34"/>
  <c r="Y1307" i="34"/>
  <c r="N1308" i="34"/>
  <c r="O1308" i="34"/>
  <c r="P1308" i="34"/>
  <c r="Q1308" i="34"/>
  <c r="R1308" i="34"/>
  <c r="S1308" i="34"/>
  <c r="T1308" i="34"/>
  <c r="U1308" i="34"/>
  <c r="V1308" i="34"/>
  <c r="W1308" i="34"/>
  <c r="X1308" i="34"/>
  <c r="Y1308" i="34"/>
  <c r="N1309" i="34"/>
  <c r="O1309" i="34"/>
  <c r="P1309" i="34"/>
  <c r="Q1309" i="34"/>
  <c r="R1309" i="34"/>
  <c r="S1309" i="34"/>
  <c r="T1309" i="34"/>
  <c r="U1309" i="34"/>
  <c r="V1309" i="34"/>
  <c r="W1309" i="34"/>
  <c r="X1309" i="34"/>
  <c r="Y1309" i="34"/>
  <c r="N1310" i="34"/>
  <c r="O1310" i="34"/>
  <c r="P1310" i="34"/>
  <c r="Q1310" i="34"/>
  <c r="R1310" i="34"/>
  <c r="S1310" i="34"/>
  <c r="T1310" i="34"/>
  <c r="U1310" i="34"/>
  <c r="V1310" i="34"/>
  <c r="W1310" i="34"/>
  <c r="X1310" i="34"/>
  <c r="Y1310" i="34"/>
  <c r="N1311" i="34"/>
  <c r="O1311" i="34"/>
  <c r="P1311" i="34"/>
  <c r="Q1311" i="34"/>
  <c r="R1311" i="34"/>
  <c r="S1311" i="34"/>
  <c r="T1311" i="34"/>
  <c r="U1311" i="34"/>
  <c r="V1311" i="34"/>
  <c r="W1311" i="34"/>
  <c r="X1311" i="34"/>
  <c r="Y1311" i="34"/>
  <c r="N1312" i="34"/>
  <c r="O1312" i="34"/>
  <c r="P1312" i="34"/>
  <c r="Q1312" i="34"/>
  <c r="R1312" i="34"/>
  <c r="S1312" i="34"/>
  <c r="T1312" i="34"/>
  <c r="U1312" i="34"/>
  <c r="V1312" i="34"/>
  <c r="W1312" i="34"/>
  <c r="X1312" i="34"/>
  <c r="Y1312" i="34"/>
  <c r="N1313" i="34"/>
  <c r="O1313" i="34"/>
  <c r="P1313" i="34"/>
  <c r="Q1313" i="34"/>
  <c r="R1313" i="34"/>
  <c r="S1313" i="34"/>
  <c r="T1313" i="34"/>
  <c r="U1313" i="34"/>
  <c r="V1313" i="34"/>
  <c r="W1313" i="34"/>
  <c r="X1313" i="34"/>
  <c r="Y1313" i="34"/>
  <c r="N1314" i="34"/>
  <c r="O1314" i="34"/>
  <c r="P1314" i="34"/>
  <c r="Q1314" i="34"/>
  <c r="R1314" i="34"/>
  <c r="S1314" i="34"/>
  <c r="T1314" i="34"/>
  <c r="U1314" i="34"/>
  <c r="V1314" i="34"/>
  <c r="W1314" i="34"/>
  <c r="X1314" i="34"/>
  <c r="Y1314" i="34"/>
  <c r="N1315" i="34"/>
  <c r="O1315" i="34"/>
  <c r="P1315" i="34"/>
  <c r="Q1315" i="34"/>
  <c r="R1315" i="34"/>
  <c r="S1315" i="34"/>
  <c r="T1315" i="34"/>
  <c r="U1315" i="34"/>
  <c r="V1315" i="34"/>
  <c r="W1315" i="34"/>
  <c r="X1315" i="34"/>
  <c r="Y1315" i="34"/>
  <c r="N1316" i="34"/>
  <c r="O1316" i="34"/>
  <c r="P1316" i="34"/>
  <c r="Q1316" i="34"/>
  <c r="R1316" i="34"/>
  <c r="S1316" i="34"/>
  <c r="T1316" i="34"/>
  <c r="U1316" i="34"/>
  <c r="V1316" i="34"/>
  <c r="W1316" i="34"/>
  <c r="X1316" i="34"/>
  <c r="Y1316" i="34"/>
  <c r="N1317" i="34"/>
  <c r="O1317" i="34"/>
  <c r="P1317" i="34"/>
  <c r="Q1317" i="34"/>
  <c r="R1317" i="34"/>
  <c r="S1317" i="34"/>
  <c r="T1317" i="34"/>
  <c r="U1317" i="34"/>
  <c r="V1317" i="34"/>
  <c r="W1317" i="34"/>
  <c r="X1317" i="34"/>
  <c r="Y1317" i="34"/>
  <c r="N1318" i="34"/>
  <c r="O1318" i="34"/>
  <c r="P1318" i="34"/>
  <c r="Q1318" i="34"/>
  <c r="R1318" i="34"/>
  <c r="S1318" i="34"/>
  <c r="T1318" i="34"/>
  <c r="U1318" i="34"/>
  <c r="V1318" i="34"/>
  <c r="W1318" i="34"/>
  <c r="X1318" i="34"/>
  <c r="Y1318" i="34"/>
  <c r="N1319" i="34"/>
  <c r="O1319" i="34"/>
  <c r="P1319" i="34"/>
  <c r="Q1319" i="34"/>
  <c r="R1319" i="34"/>
  <c r="S1319" i="34"/>
  <c r="T1319" i="34"/>
  <c r="U1319" i="34"/>
  <c r="V1319" i="34"/>
  <c r="W1319" i="34"/>
  <c r="X1319" i="34"/>
  <c r="Y1319" i="34"/>
  <c r="N1320" i="34"/>
  <c r="O1320" i="34"/>
  <c r="P1320" i="34"/>
  <c r="Q1320" i="34"/>
  <c r="R1320" i="34"/>
  <c r="S1320" i="34"/>
  <c r="T1320" i="34"/>
  <c r="U1320" i="34"/>
  <c r="V1320" i="34"/>
  <c r="W1320" i="34"/>
  <c r="X1320" i="34"/>
  <c r="Y1320" i="34"/>
  <c r="N1321" i="34"/>
  <c r="O1321" i="34"/>
  <c r="P1321" i="34"/>
  <c r="Q1321" i="34"/>
  <c r="R1321" i="34"/>
  <c r="S1321" i="34"/>
  <c r="T1321" i="34"/>
  <c r="U1321" i="34"/>
  <c r="V1321" i="34"/>
  <c r="W1321" i="34"/>
  <c r="X1321" i="34"/>
  <c r="Y1321" i="34"/>
  <c r="N1322" i="34"/>
  <c r="O1322" i="34"/>
  <c r="P1322" i="34"/>
  <c r="Q1322" i="34"/>
  <c r="R1322" i="34"/>
  <c r="S1322" i="34"/>
  <c r="T1322" i="34"/>
  <c r="U1322" i="34"/>
  <c r="V1322" i="34"/>
  <c r="W1322" i="34"/>
  <c r="X1322" i="34"/>
  <c r="Y1322" i="34"/>
  <c r="N1323" i="34"/>
  <c r="O1323" i="34"/>
  <c r="P1323" i="34"/>
  <c r="Q1323" i="34"/>
  <c r="R1323" i="34"/>
  <c r="S1323" i="34"/>
  <c r="T1323" i="34"/>
  <c r="U1323" i="34"/>
  <c r="V1323" i="34"/>
  <c r="W1323" i="34"/>
  <c r="X1323" i="34"/>
  <c r="Y1323" i="34"/>
  <c r="N1324" i="34"/>
  <c r="O1324" i="34"/>
  <c r="P1324" i="34"/>
  <c r="Q1324" i="34"/>
  <c r="R1324" i="34"/>
  <c r="S1324" i="34"/>
  <c r="T1324" i="34"/>
  <c r="U1324" i="34"/>
  <c r="V1324" i="34"/>
  <c r="W1324" i="34"/>
  <c r="X1324" i="34"/>
  <c r="Y1324" i="34"/>
  <c r="N1325" i="34"/>
  <c r="O1325" i="34"/>
  <c r="P1325" i="34"/>
  <c r="Q1325" i="34"/>
  <c r="R1325" i="34"/>
  <c r="S1325" i="34"/>
  <c r="T1325" i="34"/>
  <c r="U1325" i="34"/>
  <c r="V1325" i="34"/>
  <c r="W1325" i="34"/>
  <c r="X1325" i="34"/>
  <c r="Y1325" i="34"/>
  <c r="N1326" i="34"/>
  <c r="O1326" i="34"/>
  <c r="P1326" i="34"/>
  <c r="Q1326" i="34"/>
  <c r="R1326" i="34"/>
  <c r="S1326" i="34"/>
  <c r="T1326" i="34"/>
  <c r="U1326" i="34"/>
  <c r="V1326" i="34"/>
  <c r="W1326" i="34"/>
  <c r="X1326" i="34"/>
  <c r="Y1326" i="34"/>
  <c r="N1327" i="34"/>
  <c r="O1327" i="34"/>
  <c r="P1327" i="34"/>
  <c r="Q1327" i="34"/>
  <c r="R1327" i="34"/>
  <c r="S1327" i="34"/>
  <c r="T1327" i="34"/>
  <c r="U1327" i="34"/>
  <c r="V1327" i="34"/>
  <c r="W1327" i="34"/>
  <c r="X1327" i="34"/>
  <c r="Y1327" i="34"/>
  <c r="N1328" i="34"/>
  <c r="O1328" i="34"/>
  <c r="P1328" i="34"/>
  <c r="Q1328" i="34"/>
  <c r="R1328" i="34"/>
  <c r="S1328" i="34"/>
  <c r="T1328" i="34"/>
  <c r="U1328" i="34"/>
  <c r="V1328" i="34"/>
  <c r="W1328" i="34"/>
  <c r="X1328" i="34"/>
  <c r="Y1328" i="34"/>
  <c r="N1329" i="34"/>
  <c r="O1329" i="34"/>
  <c r="P1329" i="34"/>
  <c r="Q1329" i="34"/>
  <c r="R1329" i="34"/>
  <c r="S1329" i="34"/>
  <c r="T1329" i="34"/>
  <c r="U1329" i="34"/>
  <c r="V1329" i="34"/>
  <c r="W1329" i="34"/>
  <c r="X1329" i="34"/>
  <c r="Y1329" i="34"/>
  <c r="N1330" i="34"/>
  <c r="O1330" i="34"/>
  <c r="P1330" i="34"/>
  <c r="Q1330" i="34"/>
  <c r="R1330" i="34"/>
  <c r="S1330" i="34"/>
  <c r="T1330" i="34"/>
  <c r="U1330" i="34"/>
  <c r="V1330" i="34"/>
  <c r="W1330" i="34"/>
  <c r="X1330" i="34"/>
  <c r="Y1330" i="34"/>
  <c r="N1331" i="34"/>
  <c r="O1331" i="34"/>
  <c r="P1331" i="34"/>
  <c r="Q1331" i="34"/>
  <c r="R1331" i="34"/>
  <c r="S1331" i="34"/>
  <c r="T1331" i="34"/>
  <c r="U1331" i="34"/>
  <c r="V1331" i="34"/>
  <c r="W1331" i="34"/>
  <c r="X1331" i="34"/>
  <c r="Y1331" i="34"/>
  <c r="N1332" i="34"/>
  <c r="O1332" i="34"/>
  <c r="P1332" i="34"/>
  <c r="Q1332" i="34"/>
  <c r="R1332" i="34"/>
  <c r="S1332" i="34"/>
  <c r="T1332" i="34"/>
  <c r="U1332" i="34"/>
  <c r="V1332" i="34"/>
  <c r="W1332" i="34"/>
  <c r="X1332" i="34"/>
  <c r="Y1332" i="34"/>
  <c r="N1333" i="34"/>
  <c r="O1333" i="34"/>
  <c r="P1333" i="34"/>
  <c r="Q1333" i="34"/>
  <c r="R1333" i="34"/>
  <c r="S1333" i="34"/>
  <c r="T1333" i="34"/>
  <c r="U1333" i="34"/>
  <c r="V1333" i="34"/>
  <c r="W1333" i="34"/>
  <c r="X1333" i="34"/>
  <c r="Y1333" i="34"/>
  <c r="N1334" i="34"/>
  <c r="O1334" i="34"/>
  <c r="P1334" i="34"/>
  <c r="Q1334" i="34"/>
  <c r="R1334" i="34"/>
  <c r="S1334" i="34"/>
  <c r="T1334" i="34"/>
  <c r="U1334" i="34"/>
  <c r="V1334" i="34"/>
  <c r="W1334" i="34"/>
  <c r="X1334" i="34"/>
  <c r="Y1334" i="34"/>
  <c r="N1335" i="34"/>
  <c r="O1335" i="34"/>
  <c r="P1335" i="34"/>
  <c r="Q1335" i="34"/>
  <c r="R1335" i="34"/>
  <c r="S1335" i="34"/>
  <c r="T1335" i="34"/>
  <c r="U1335" i="34"/>
  <c r="V1335" i="34"/>
  <c r="W1335" i="34"/>
  <c r="X1335" i="34"/>
  <c r="Y1335" i="34"/>
  <c r="N1336" i="34"/>
  <c r="O1336" i="34"/>
  <c r="P1336" i="34"/>
  <c r="Q1336" i="34"/>
  <c r="R1336" i="34"/>
  <c r="S1336" i="34"/>
  <c r="T1336" i="34"/>
  <c r="U1336" i="34"/>
  <c r="V1336" i="34"/>
  <c r="W1336" i="34"/>
  <c r="X1336" i="34"/>
  <c r="Y1336" i="34"/>
  <c r="N1337" i="34"/>
  <c r="O1337" i="34"/>
  <c r="P1337" i="34"/>
  <c r="Q1337" i="34"/>
  <c r="R1337" i="34"/>
  <c r="S1337" i="34"/>
  <c r="T1337" i="34"/>
  <c r="U1337" i="34"/>
  <c r="V1337" i="34"/>
  <c r="W1337" i="34"/>
  <c r="X1337" i="34"/>
  <c r="Y1337" i="34"/>
  <c r="N1338" i="34"/>
  <c r="O1338" i="34"/>
  <c r="P1338" i="34"/>
  <c r="Q1338" i="34"/>
  <c r="R1338" i="34"/>
  <c r="S1338" i="34"/>
  <c r="T1338" i="34"/>
  <c r="U1338" i="34"/>
  <c r="V1338" i="34"/>
  <c r="W1338" i="34"/>
  <c r="X1338" i="34"/>
  <c r="Y1338" i="34"/>
  <c r="N1339" i="34"/>
  <c r="O1339" i="34"/>
  <c r="P1339" i="34"/>
  <c r="Q1339" i="34"/>
  <c r="R1339" i="34"/>
  <c r="S1339" i="34"/>
  <c r="T1339" i="34"/>
  <c r="U1339" i="34"/>
  <c r="V1339" i="34"/>
  <c r="W1339" i="34"/>
  <c r="X1339" i="34"/>
  <c r="Y1339" i="34"/>
  <c r="N1340" i="34"/>
  <c r="O1340" i="34"/>
  <c r="P1340" i="34"/>
  <c r="Q1340" i="34"/>
  <c r="R1340" i="34"/>
  <c r="S1340" i="34"/>
  <c r="T1340" i="34"/>
  <c r="U1340" i="34"/>
  <c r="V1340" i="34"/>
  <c r="W1340" i="34"/>
  <c r="X1340" i="34"/>
  <c r="Y1340" i="34"/>
  <c r="N1341" i="34"/>
  <c r="O1341" i="34"/>
  <c r="P1341" i="34"/>
  <c r="Q1341" i="34"/>
  <c r="R1341" i="34"/>
  <c r="S1341" i="34"/>
  <c r="T1341" i="34"/>
  <c r="U1341" i="34"/>
  <c r="V1341" i="34"/>
  <c r="W1341" i="34"/>
  <c r="X1341" i="34"/>
  <c r="Y1341" i="34"/>
  <c r="N1342" i="34"/>
  <c r="O1342" i="34"/>
  <c r="P1342" i="34"/>
  <c r="Q1342" i="34"/>
  <c r="R1342" i="34"/>
  <c r="S1342" i="34"/>
  <c r="T1342" i="34"/>
  <c r="U1342" i="34"/>
  <c r="V1342" i="34"/>
  <c r="W1342" i="34"/>
  <c r="X1342" i="34"/>
  <c r="Y1342" i="34"/>
  <c r="N1343" i="34"/>
  <c r="O1343" i="34"/>
  <c r="P1343" i="34"/>
  <c r="Q1343" i="34"/>
  <c r="R1343" i="34"/>
  <c r="S1343" i="34"/>
  <c r="T1343" i="34"/>
  <c r="U1343" i="34"/>
  <c r="V1343" i="34"/>
  <c r="W1343" i="34"/>
  <c r="X1343" i="34"/>
  <c r="Y1343" i="34"/>
  <c r="N1344" i="34"/>
  <c r="O1344" i="34"/>
  <c r="P1344" i="34"/>
  <c r="Q1344" i="34"/>
  <c r="R1344" i="34"/>
  <c r="S1344" i="34"/>
  <c r="T1344" i="34"/>
  <c r="U1344" i="34"/>
  <c r="V1344" i="34"/>
  <c r="W1344" i="34"/>
  <c r="X1344" i="34"/>
  <c r="Y1344" i="34"/>
  <c r="N1345" i="34"/>
  <c r="O1345" i="34"/>
  <c r="P1345" i="34"/>
  <c r="Q1345" i="34"/>
  <c r="R1345" i="34"/>
  <c r="S1345" i="34"/>
  <c r="T1345" i="34"/>
  <c r="U1345" i="34"/>
  <c r="V1345" i="34"/>
  <c r="W1345" i="34"/>
  <c r="X1345" i="34"/>
  <c r="Y1345" i="34"/>
  <c r="N1346" i="34"/>
  <c r="O1346" i="34"/>
  <c r="P1346" i="34"/>
  <c r="Q1346" i="34"/>
  <c r="R1346" i="34"/>
  <c r="S1346" i="34"/>
  <c r="T1346" i="34"/>
  <c r="U1346" i="34"/>
  <c r="V1346" i="34"/>
  <c r="W1346" i="34"/>
  <c r="X1346" i="34"/>
  <c r="Y1346" i="34"/>
  <c r="N1347" i="34"/>
  <c r="O1347" i="34"/>
  <c r="P1347" i="34"/>
  <c r="Q1347" i="34"/>
  <c r="R1347" i="34"/>
  <c r="S1347" i="34"/>
  <c r="T1347" i="34"/>
  <c r="U1347" i="34"/>
  <c r="V1347" i="34"/>
  <c r="W1347" i="34"/>
  <c r="X1347" i="34"/>
  <c r="Y1347" i="34"/>
  <c r="N1348" i="34"/>
  <c r="O1348" i="34"/>
  <c r="P1348" i="34"/>
  <c r="Q1348" i="34"/>
  <c r="R1348" i="34"/>
  <c r="S1348" i="34"/>
  <c r="T1348" i="34"/>
  <c r="U1348" i="34"/>
  <c r="V1348" i="34"/>
  <c r="W1348" i="34"/>
  <c r="X1348" i="34"/>
  <c r="Y1348" i="34"/>
  <c r="N1349" i="34"/>
  <c r="O1349" i="34"/>
  <c r="P1349" i="34"/>
  <c r="Q1349" i="34"/>
  <c r="R1349" i="34"/>
  <c r="S1349" i="34"/>
  <c r="T1349" i="34"/>
  <c r="U1349" i="34"/>
  <c r="V1349" i="34"/>
  <c r="W1349" i="34"/>
  <c r="X1349" i="34"/>
  <c r="Y1349" i="34"/>
  <c r="N1350" i="34"/>
  <c r="O1350" i="34"/>
  <c r="P1350" i="34"/>
  <c r="Q1350" i="34"/>
  <c r="R1350" i="34"/>
  <c r="S1350" i="34"/>
  <c r="T1350" i="34"/>
  <c r="U1350" i="34"/>
  <c r="V1350" i="34"/>
  <c r="W1350" i="34"/>
  <c r="X1350" i="34"/>
  <c r="Y1350" i="34"/>
  <c r="N1351" i="34"/>
  <c r="O1351" i="34"/>
  <c r="P1351" i="34"/>
  <c r="Q1351" i="34"/>
  <c r="R1351" i="34"/>
  <c r="S1351" i="34"/>
  <c r="T1351" i="34"/>
  <c r="U1351" i="34"/>
  <c r="V1351" i="34"/>
  <c r="W1351" i="34"/>
  <c r="X1351" i="34"/>
  <c r="Y1351" i="34"/>
  <c r="N1352" i="34"/>
  <c r="O1352" i="34"/>
  <c r="P1352" i="34"/>
  <c r="Q1352" i="34"/>
  <c r="R1352" i="34"/>
  <c r="S1352" i="34"/>
  <c r="T1352" i="34"/>
  <c r="U1352" i="34"/>
  <c r="V1352" i="34"/>
  <c r="W1352" i="34"/>
  <c r="X1352" i="34"/>
  <c r="Y1352" i="34"/>
  <c r="N1353" i="34"/>
  <c r="O1353" i="34"/>
  <c r="P1353" i="34"/>
  <c r="Q1353" i="34"/>
  <c r="R1353" i="34"/>
  <c r="S1353" i="34"/>
  <c r="T1353" i="34"/>
  <c r="U1353" i="34"/>
  <c r="V1353" i="34"/>
  <c r="W1353" i="34"/>
  <c r="X1353" i="34"/>
  <c r="Y1353" i="34"/>
  <c r="N1354" i="34"/>
  <c r="O1354" i="34"/>
  <c r="P1354" i="34"/>
  <c r="Q1354" i="34"/>
  <c r="R1354" i="34"/>
  <c r="S1354" i="34"/>
  <c r="T1354" i="34"/>
  <c r="U1354" i="34"/>
  <c r="V1354" i="34"/>
  <c r="W1354" i="34"/>
  <c r="X1354" i="34"/>
  <c r="Y1354" i="34"/>
  <c r="N1355" i="34"/>
  <c r="O1355" i="34"/>
  <c r="P1355" i="34"/>
  <c r="Q1355" i="34"/>
  <c r="R1355" i="34"/>
  <c r="S1355" i="34"/>
  <c r="T1355" i="34"/>
  <c r="U1355" i="34"/>
  <c r="V1355" i="34"/>
  <c r="W1355" i="34"/>
  <c r="X1355" i="34"/>
  <c r="Y1355" i="34"/>
  <c r="N1356" i="34"/>
  <c r="O1356" i="34"/>
  <c r="P1356" i="34"/>
  <c r="Q1356" i="34"/>
  <c r="R1356" i="34"/>
  <c r="S1356" i="34"/>
  <c r="T1356" i="34"/>
  <c r="U1356" i="34"/>
  <c r="V1356" i="34"/>
  <c r="W1356" i="34"/>
  <c r="X1356" i="34"/>
  <c r="Y1356" i="34"/>
  <c r="N1357" i="34"/>
  <c r="O1357" i="34"/>
  <c r="P1357" i="34"/>
  <c r="Q1357" i="34"/>
  <c r="R1357" i="34"/>
  <c r="S1357" i="34"/>
  <c r="T1357" i="34"/>
  <c r="U1357" i="34"/>
  <c r="V1357" i="34"/>
  <c r="W1357" i="34"/>
  <c r="X1357" i="34"/>
  <c r="Y1357" i="34"/>
  <c r="N1358" i="34"/>
  <c r="O1358" i="34"/>
  <c r="P1358" i="34"/>
  <c r="Q1358" i="34"/>
  <c r="R1358" i="34"/>
  <c r="S1358" i="34"/>
  <c r="T1358" i="34"/>
  <c r="U1358" i="34"/>
  <c r="V1358" i="34"/>
  <c r="W1358" i="34"/>
  <c r="X1358" i="34"/>
  <c r="Y1358" i="34"/>
  <c r="N1359" i="34"/>
  <c r="O1359" i="34"/>
  <c r="P1359" i="34"/>
  <c r="Q1359" i="34"/>
  <c r="R1359" i="34"/>
  <c r="S1359" i="34"/>
  <c r="T1359" i="34"/>
  <c r="U1359" i="34"/>
  <c r="V1359" i="34"/>
  <c r="W1359" i="34"/>
  <c r="X1359" i="34"/>
  <c r="Y1359" i="34"/>
  <c r="N1360" i="34"/>
  <c r="O1360" i="34"/>
  <c r="P1360" i="34"/>
  <c r="Q1360" i="34"/>
  <c r="R1360" i="34"/>
  <c r="S1360" i="34"/>
  <c r="T1360" i="34"/>
  <c r="U1360" i="34"/>
  <c r="V1360" i="34"/>
  <c r="W1360" i="34"/>
  <c r="X1360" i="34"/>
  <c r="Y1360" i="34"/>
  <c r="N1361" i="34"/>
  <c r="O1361" i="34"/>
  <c r="P1361" i="34"/>
  <c r="Q1361" i="34"/>
  <c r="R1361" i="34"/>
  <c r="S1361" i="34"/>
  <c r="T1361" i="34"/>
  <c r="U1361" i="34"/>
  <c r="V1361" i="34"/>
  <c r="W1361" i="34"/>
  <c r="X1361" i="34"/>
  <c r="Y1361" i="34"/>
  <c r="N1362" i="34"/>
  <c r="O1362" i="34"/>
  <c r="P1362" i="34"/>
  <c r="Q1362" i="34"/>
  <c r="R1362" i="34"/>
  <c r="S1362" i="34"/>
  <c r="T1362" i="34"/>
  <c r="U1362" i="34"/>
  <c r="V1362" i="34"/>
  <c r="W1362" i="34"/>
  <c r="X1362" i="34"/>
  <c r="Y1362" i="34"/>
  <c r="N1363" i="34"/>
  <c r="O1363" i="34"/>
  <c r="P1363" i="34"/>
  <c r="Q1363" i="34"/>
  <c r="R1363" i="34"/>
  <c r="S1363" i="34"/>
  <c r="T1363" i="34"/>
  <c r="U1363" i="34"/>
  <c r="V1363" i="34"/>
  <c r="W1363" i="34"/>
  <c r="X1363" i="34"/>
  <c r="Y1363" i="34"/>
  <c r="N1364" i="34"/>
  <c r="O1364" i="34"/>
  <c r="P1364" i="34"/>
  <c r="Q1364" i="34"/>
  <c r="R1364" i="34"/>
  <c r="S1364" i="34"/>
  <c r="T1364" i="34"/>
  <c r="U1364" i="34"/>
  <c r="V1364" i="34"/>
  <c r="W1364" i="34"/>
  <c r="X1364" i="34"/>
  <c r="Y1364" i="34"/>
  <c r="N1365" i="34"/>
  <c r="O1365" i="34"/>
  <c r="P1365" i="34"/>
  <c r="Q1365" i="34"/>
  <c r="R1365" i="34"/>
  <c r="S1365" i="34"/>
  <c r="T1365" i="34"/>
  <c r="U1365" i="34"/>
  <c r="V1365" i="34"/>
  <c r="W1365" i="34"/>
  <c r="X1365" i="34"/>
  <c r="Y1365" i="34"/>
  <c r="N1366" i="34"/>
  <c r="O1366" i="34"/>
  <c r="P1366" i="34"/>
  <c r="Q1366" i="34"/>
  <c r="R1366" i="34"/>
  <c r="S1366" i="34"/>
  <c r="T1366" i="34"/>
  <c r="U1366" i="34"/>
  <c r="V1366" i="34"/>
  <c r="W1366" i="34"/>
  <c r="X1366" i="34"/>
  <c r="Y1366" i="34"/>
  <c r="N1367" i="34"/>
  <c r="O1367" i="34"/>
  <c r="P1367" i="34"/>
  <c r="Q1367" i="34"/>
  <c r="R1367" i="34"/>
  <c r="S1367" i="34"/>
  <c r="T1367" i="34"/>
  <c r="U1367" i="34"/>
  <c r="V1367" i="34"/>
  <c r="W1367" i="34"/>
  <c r="X1367" i="34"/>
  <c r="Y1367" i="34"/>
  <c r="N1368" i="34"/>
  <c r="O1368" i="34"/>
  <c r="P1368" i="34"/>
  <c r="Q1368" i="34"/>
  <c r="R1368" i="34"/>
  <c r="S1368" i="34"/>
  <c r="T1368" i="34"/>
  <c r="U1368" i="34"/>
  <c r="V1368" i="34"/>
  <c r="W1368" i="34"/>
  <c r="X1368" i="34"/>
  <c r="Y1368" i="34"/>
  <c r="N1369" i="34"/>
  <c r="O1369" i="34"/>
  <c r="P1369" i="34"/>
  <c r="Q1369" i="34"/>
  <c r="R1369" i="34"/>
  <c r="S1369" i="34"/>
  <c r="T1369" i="34"/>
  <c r="U1369" i="34"/>
  <c r="V1369" i="34"/>
  <c r="W1369" i="34"/>
  <c r="X1369" i="34"/>
  <c r="Y1369" i="34"/>
  <c r="N1370" i="34"/>
  <c r="O1370" i="34"/>
  <c r="P1370" i="34"/>
  <c r="Q1370" i="34"/>
  <c r="R1370" i="34"/>
  <c r="S1370" i="34"/>
  <c r="T1370" i="34"/>
  <c r="U1370" i="34"/>
  <c r="V1370" i="34"/>
  <c r="W1370" i="34"/>
  <c r="X1370" i="34"/>
  <c r="Y1370" i="34"/>
  <c r="N1371" i="34"/>
  <c r="O1371" i="34"/>
  <c r="P1371" i="34"/>
  <c r="Q1371" i="34"/>
  <c r="R1371" i="34"/>
  <c r="S1371" i="34"/>
  <c r="T1371" i="34"/>
  <c r="U1371" i="34"/>
  <c r="V1371" i="34"/>
  <c r="W1371" i="34"/>
  <c r="X1371" i="34"/>
  <c r="Y1371" i="34"/>
  <c r="N1372" i="34"/>
  <c r="O1372" i="34"/>
  <c r="P1372" i="34"/>
  <c r="Q1372" i="34"/>
  <c r="R1372" i="34"/>
  <c r="S1372" i="34"/>
  <c r="T1372" i="34"/>
  <c r="U1372" i="34"/>
  <c r="V1372" i="34"/>
  <c r="W1372" i="34"/>
  <c r="X1372" i="34"/>
  <c r="Y1372" i="34"/>
  <c r="N1373" i="34"/>
  <c r="O1373" i="34"/>
  <c r="P1373" i="34"/>
  <c r="Q1373" i="34"/>
  <c r="R1373" i="34"/>
  <c r="S1373" i="34"/>
  <c r="T1373" i="34"/>
  <c r="U1373" i="34"/>
  <c r="V1373" i="34"/>
  <c r="W1373" i="34"/>
  <c r="X1373" i="34"/>
  <c r="Y1373" i="34"/>
  <c r="N1374" i="34"/>
  <c r="O1374" i="34"/>
  <c r="P1374" i="34"/>
  <c r="Q1374" i="34"/>
  <c r="R1374" i="34"/>
  <c r="S1374" i="34"/>
  <c r="T1374" i="34"/>
  <c r="U1374" i="34"/>
  <c r="V1374" i="34"/>
  <c r="W1374" i="34"/>
  <c r="X1374" i="34"/>
  <c r="Y1374" i="34"/>
  <c r="N1375" i="34"/>
  <c r="O1375" i="34"/>
  <c r="P1375" i="34"/>
  <c r="Q1375" i="34"/>
  <c r="R1375" i="34"/>
  <c r="S1375" i="34"/>
  <c r="T1375" i="34"/>
  <c r="U1375" i="34"/>
  <c r="V1375" i="34"/>
  <c r="W1375" i="34"/>
  <c r="X1375" i="34"/>
  <c r="Y1375" i="34"/>
  <c r="N1376" i="34"/>
  <c r="O1376" i="34"/>
  <c r="P1376" i="34"/>
  <c r="Q1376" i="34"/>
  <c r="R1376" i="34"/>
  <c r="S1376" i="34"/>
  <c r="T1376" i="34"/>
  <c r="U1376" i="34"/>
  <c r="V1376" i="34"/>
  <c r="W1376" i="34"/>
  <c r="X1376" i="34"/>
  <c r="Y1376" i="34"/>
  <c r="N1377" i="34"/>
  <c r="O1377" i="34"/>
  <c r="P1377" i="34"/>
  <c r="Q1377" i="34"/>
  <c r="R1377" i="34"/>
  <c r="S1377" i="34"/>
  <c r="T1377" i="34"/>
  <c r="U1377" i="34"/>
  <c r="V1377" i="34"/>
  <c r="W1377" i="34"/>
  <c r="X1377" i="34"/>
  <c r="Y1377" i="34"/>
  <c r="N1378" i="34"/>
  <c r="O1378" i="34"/>
  <c r="P1378" i="34"/>
  <c r="Q1378" i="34"/>
  <c r="R1378" i="34"/>
  <c r="S1378" i="34"/>
  <c r="T1378" i="34"/>
  <c r="U1378" i="34"/>
  <c r="V1378" i="34"/>
  <c r="W1378" i="34"/>
  <c r="X1378" i="34"/>
  <c r="Y1378" i="34"/>
  <c r="N1379" i="34"/>
  <c r="O1379" i="34"/>
  <c r="P1379" i="34"/>
  <c r="Q1379" i="34"/>
  <c r="R1379" i="34"/>
  <c r="S1379" i="34"/>
  <c r="T1379" i="34"/>
  <c r="U1379" i="34"/>
  <c r="V1379" i="34"/>
  <c r="W1379" i="34"/>
  <c r="X1379" i="34"/>
  <c r="Y1379" i="34"/>
  <c r="N1380" i="34"/>
  <c r="O1380" i="34"/>
  <c r="P1380" i="34"/>
  <c r="Q1380" i="34"/>
  <c r="R1380" i="34"/>
  <c r="S1380" i="34"/>
  <c r="T1380" i="34"/>
  <c r="U1380" i="34"/>
  <c r="V1380" i="34"/>
  <c r="W1380" i="34"/>
  <c r="X1380" i="34"/>
  <c r="Y1380" i="34"/>
  <c r="N1381" i="34"/>
  <c r="O1381" i="34"/>
  <c r="P1381" i="34"/>
  <c r="Q1381" i="34"/>
  <c r="R1381" i="34"/>
  <c r="S1381" i="34"/>
  <c r="T1381" i="34"/>
  <c r="U1381" i="34"/>
  <c r="V1381" i="34"/>
  <c r="W1381" i="34"/>
  <c r="X1381" i="34"/>
  <c r="Y1381" i="34"/>
  <c r="N1382" i="34"/>
  <c r="O1382" i="34"/>
  <c r="P1382" i="34"/>
  <c r="Q1382" i="34"/>
  <c r="R1382" i="34"/>
  <c r="S1382" i="34"/>
  <c r="T1382" i="34"/>
  <c r="U1382" i="34"/>
  <c r="V1382" i="34"/>
  <c r="W1382" i="34"/>
  <c r="X1382" i="34"/>
  <c r="Y1382" i="34"/>
  <c r="N1383" i="34"/>
  <c r="O1383" i="34"/>
  <c r="P1383" i="34"/>
  <c r="Q1383" i="34"/>
  <c r="R1383" i="34"/>
  <c r="S1383" i="34"/>
  <c r="T1383" i="34"/>
  <c r="U1383" i="34"/>
  <c r="V1383" i="34"/>
  <c r="W1383" i="34"/>
  <c r="X1383" i="34"/>
  <c r="Y1383" i="34"/>
  <c r="N1384" i="34"/>
  <c r="O1384" i="34"/>
  <c r="P1384" i="34"/>
  <c r="Q1384" i="34"/>
  <c r="R1384" i="34"/>
  <c r="S1384" i="34"/>
  <c r="T1384" i="34"/>
  <c r="U1384" i="34"/>
  <c r="V1384" i="34"/>
  <c r="W1384" i="34"/>
  <c r="X1384" i="34"/>
  <c r="Y1384" i="34"/>
  <c r="N1385" i="34"/>
  <c r="O1385" i="34"/>
  <c r="P1385" i="34"/>
  <c r="Q1385" i="34"/>
  <c r="R1385" i="34"/>
  <c r="S1385" i="34"/>
  <c r="T1385" i="34"/>
  <c r="U1385" i="34"/>
  <c r="V1385" i="34"/>
  <c r="W1385" i="34"/>
  <c r="X1385" i="34"/>
  <c r="Y1385" i="34"/>
  <c r="N1386" i="34"/>
  <c r="O1386" i="34"/>
  <c r="P1386" i="34"/>
  <c r="Q1386" i="34"/>
  <c r="R1386" i="34"/>
  <c r="S1386" i="34"/>
  <c r="T1386" i="34"/>
  <c r="U1386" i="34"/>
  <c r="V1386" i="34"/>
  <c r="W1386" i="34"/>
  <c r="X1386" i="34"/>
  <c r="Y1386" i="34"/>
  <c r="N1387" i="34"/>
  <c r="O1387" i="34"/>
  <c r="P1387" i="34"/>
  <c r="Q1387" i="34"/>
  <c r="R1387" i="34"/>
  <c r="S1387" i="34"/>
  <c r="T1387" i="34"/>
  <c r="U1387" i="34"/>
  <c r="V1387" i="34"/>
  <c r="W1387" i="34"/>
  <c r="X1387" i="34"/>
  <c r="Y1387" i="34"/>
  <c r="N1388" i="34"/>
  <c r="O1388" i="34"/>
  <c r="P1388" i="34"/>
  <c r="Q1388" i="34"/>
  <c r="R1388" i="34"/>
  <c r="S1388" i="34"/>
  <c r="T1388" i="34"/>
  <c r="U1388" i="34"/>
  <c r="V1388" i="34"/>
  <c r="W1388" i="34"/>
  <c r="X1388" i="34"/>
  <c r="Y1388" i="34"/>
  <c r="N1389" i="34"/>
  <c r="O1389" i="34"/>
  <c r="P1389" i="34"/>
  <c r="Q1389" i="34"/>
  <c r="R1389" i="34"/>
  <c r="S1389" i="34"/>
  <c r="T1389" i="34"/>
  <c r="U1389" i="34"/>
  <c r="V1389" i="34"/>
  <c r="W1389" i="34"/>
  <c r="X1389" i="34"/>
  <c r="Y1389" i="34"/>
  <c r="N1390" i="34"/>
  <c r="O1390" i="34"/>
  <c r="P1390" i="34"/>
  <c r="Q1390" i="34"/>
  <c r="R1390" i="34"/>
  <c r="S1390" i="34"/>
  <c r="T1390" i="34"/>
  <c r="U1390" i="34"/>
  <c r="V1390" i="34"/>
  <c r="W1390" i="34"/>
  <c r="X1390" i="34"/>
  <c r="Y1390" i="34"/>
  <c r="N1391" i="34"/>
  <c r="O1391" i="34"/>
  <c r="P1391" i="34"/>
  <c r="Q1391" i="34"/>
  <c r="R1391" i="34"/>
  <c r="S1391" i="34"/>
  <c r="T1391" i="34"/>
  <c r="U1391" i="34"/>
  <c r="V1391" i="34"/>
  <c r="W1391" i="34"/>
  <c r="X1391" i="34"/>
  <c r="Y1391" i="34"/>
  <c r="N1392" i="34"/>
  <c r="O1392" i="34"/>
  <c r="P1392" i="34"/>
  <c r="Q1392" i="34"/>
  <c r="R1392" i="34"/>
  <c r="S1392" i="34"/>
  <c r="T1392" i="34"/>
  <c r="U1392" i="34"/>
  <c r="V1392" i="34"/>
  <c r="W1392" i="34"/>
  <c r="X1392" i="34"/>
  <c r="Y1392" i="34"/>
  <c r="N1393" i="34"/>
  <c r="O1393" i="34"/>
  <c r="P1393" i="34"/>
  <c r="Q1393" i="34"/>
  <c r="R1393" i="34"/>
  <c r="S1393" i="34"/>
  <c r="T1393" i="34"/>
  <c r="U1393" i="34"/>
  <c r="V1393" i="34"/>
  <c r="W1393" i="34"/>
  <c r="X1393" i="34"/>
  <c r="Y1393" i="34"/>
  <c r="N1394" i="34"/>
  <c r="O1394" i="34"/>
  <c r="P1394" i="34"/>
  <c r="Q1394" i="34"/>
  <c r="R1394" i="34"/>
  <c r="S1394" i="34"/>
  <c r="T1394" i="34"/>
  <c r="U1394" i="34"/>
  <c r="V1394" i="34"/>
  <c r="W1394" i="34"/>
  <c r="X1394" i="34"/>
  <c r="Y1394" i="34"/>
  <c r="N1395" i="34"/>
  <c r="O1395" i="34"/>
  <c r="P1395" i="34"/>
  <c r="Q1395" i="34"/>
  <c r="R1395" i="34"/>
  <c r="S1395" i="34"/>
  <c r="T1395" i="34"/>
  <c r="U1395" i="34"/>
  <c r="V1395" i="34"/>
  <c r="W1395" i="34"/>
  <c r="X1395" i="34"/>
  <c r="Y1395" i="34"/>
  <c r="N1396" i="34"/>
  <c r="O1396" i="34"/>
  <c r="P1396" i="34"/>
  <c r="Q1396" i="34"/>
  <c r="R1396" i="34"/>
  <c r="S1396" i="34"/>
  <c r="T1396" i="34"/>
  <c r="U1396" i="34"/>
  <c r="V1396" i="34"/>
  <c r="W1396" i="34"/>
  <c r="X1396" i="34"/>
  <c r="Y1396" i="34"/>
  <c r="X7" i="34" l="1"/>
  <c r="X10" i="34" l="1"/>
  <c r="X12" i="34"/>
  <c r="X11" i="34"/>
  <c r="X13" i="34"/>
  <c r="X14" i="34"/>
  <c r="X16" i="34"/>
  <c r="X15" i="34"/>
  <c r="B24" i="34"/>
  <c r="B23" i="34"/>
  <c r="A23" i="34" l="1"/>
  <c r="A24" i="34"/>
  <c r="K1390" i="34"/>
  <c r="C1390" i="34"/>
  <c r="B1390" i="34" s="1"/>
  <c r="K1389" i="34"/>
  <c r="C1389" i="34"/>
  <c r="B1389" i="34" s="1"/>
  <c r="K1388" i="34"/>
  <c r="C1388" i="34"/>
  <c r="B1388" i="34" s="1"/>
  <c r="K1387" i="34"/>
  <c r="C1387" i="34"/>
  <c r="B1387" i="34" s="1"/>
  <c r="K1386" i="34"/>
  <c r="C1386" i="34"/>
  <c r="B1386" i="34" s="1"/>
  <c r="K1385" i="34"/>
  <c r="C1385" i="34"/>
  <c r="B1385" i="34" s="1"/>
  <c r="K1384" i="34"/>
  <c r="C1384" i="34"/>
  <c r="B1384" i="34" s="1"/>
  <c r="K1133" i="34"/>
  <c r="C1133" i="34"/>
  <c r="B1133" i="34" s="1"/>
  <c r="K1132" i="34"/>
  <c r="C1132" i="34"/>
  <c r="B1132" i="34" s="1"/>
  <c r="K1131" i="34"/>
  <c r="C1131" i="34"/>
  <c r="B1131" i="34" s="1"/>
  <c r="K1130" i="34"/>
  <c r="C1130" i="34"/>
  <c r="B1130" i="34" s="1"/>
  <c r="K1129" i="34"/>
  <c r="C1129" i="34"/>
  <c r="B1129" i="34" s="1"/>
  <c r="K1128" i="34"/>
  <c r="C1128" i="34"/>
  <c r="B1128" i="34" s="1"/>
  <c r="K1127" i="34"/>
  <c r="C1127" i="34"/>
  <c r="B1127" i="34" s="1"/>
  <c r="H263" i="60"/>
  <c r="I263" i="60" s="1"/>
  <c r="H264" i="60"/>
  <c r="I264" i="60" s="1"/>
  <c r="H265" i="60"/>
  <c r="H266" i="60"/>
  <c r="I266" i="60" s="1"/>
  <c r="H267" i="60"/>
  <c r="I267" i="60" s="1"/>
  <c r="H268" i="60"/>
  <c r="I268" i="60" s="1"/>
  <c r="H269" i="60"/>
  <c r="A263" i="60"/>
  <c r="A264" i="60"/>
  <c r="A265" i="60"/>
  <c r="A266" i="60"/>
  <c r="A267" i="60"/>
  <c r="A268" i="60"/>
  <c r="A269" i="60"/>
  <c r="A270" i="60"/>
  <c r="A271" i="60"/>
  <c r="K821" i="34"/>
  <c r="C821" i="34"/>
  <c r="B821" i="34" s="1"/>
  <c r="K820" i="34"/>
  <c r="C820" i="34"/>
  <c r="B820" i="34" s="1"/>
  <c r="K819" i="34"/>
  <c r="C819" i="34"/>
  <c r="B819" i="34" s="1"/>
  <c r="K818" i="34"/>
  <c r="C818" i="34"/>
  <c r="B818" i="34" s="1"/>
  <c r="K817" i="34"/>
  <c r="C817" i="34"/>
  <c r="B817" i="34" s="1"/>
  <c r="K816" i="34"/>
  <c r="C816" i="34"/>
  <c r="B816" i="34" s="1"/>
  <c r="A41" i="70"/>
  <c r="C822" i="34"/>
  <c r="B822" i="34" s="1"/>
  <c r="K815" i="34"/>
  <c r="C815" i="34"/>
  <c r="B815" i="34" s="1"/>
  <c r="A819" i="34" l="1"/>
  <c r="A1384" i="34"/>
  <c r="A1385" i="34"/>
  <c r="A1386" i="34"/>
  <c r="A1387" i="34"/>
  <c r="A1388" i="34"/>
  <c r="A1389" i="34"/>
  <c r="A1390" i="34"/>
  <c r="A1129" i="34"/>
  <c r="A1127" i="34"/>
  <c r="A1128" i="34"/>
  <c r="A1130" i="34"/>
  <c r="A1131" i="34"/>
  <c r="A1132" i="34"/>
  <c r="A1133" i="34"/>
  <c r="I269" i="60"/>
  <c r="I265" i="60"/>
  <c r="A820" i="34"/>
  <c r="A821" i="34"/>
  <c r="A817" i="34"/>
  <c r="A818" i="34"/>
  <c r="A816" i="34"/>
  <c r="A815" i="34"/>
  <c r="A822" i="34"/>
  <c r="K833" i="34"/>
  <c r="K598" i="34"/>
  <c r="K490" i="34"/>
  <c r="C527" i="34"/>
  <c r="B527" i="34" s="1"/>
  <c r="K526" i="34"/>
  <c r="C526" i="34"/>
  <c r="B526" i="34" s="1"/>
  <c r="A14" i="12"/>
  <c r="C525" i="34"/>
  <c r="B525" i="34" s="1"/>
  <c r="K524" i="34"/>
  <c r="C524" i="34"/>
  <c r="B524" i="34" s="1"/>
  <c r="C447" i="34"/>
  <c r="B447" i="34" s="1"/>
  <c r="K446" i="34"/>
  <c r="C446" i="34"/>
  <c r="B446" i="34" s="1"/>
  <c r="A526" i="34" l="1"/>
  <c r="A527" i="34"/>
  <c r="A524" i="34"/>
  <c r="A525" i="34"/>
  <c r="A446" i="34"/>
  <c r="A447" i="34"/>
  <c r="R12" i="60"/>
  <c r="R155" i="60"/>
  <c r="R156" i="60"/>
  <c r="R157" i="60"/>
  <c r="C1137" i="34"/>
  <c r="C1138" i="34"/>
  <c r="B1138" i="34" s="1"/>
  <c r="C1139" i="34"/>
  <c r="B1139" i="34" s="1"/>
  <c r="C1140" i="34"/>
  <c r="B1140" i="34" s="1"/>
  <c r="C1141" i="34"/>
  <c r="B1141" i="34" s="1"/>
  <c r="C1142" i="34"/>
  <c r="B1142" i="34" s="1"/>
  <c r="C1143" i="34"/>
  <c r="B1143" i="34" s="1"/>
  <c r="C1144" i="34"/>
  <c r="B1144" i="34" s="1"/>
  <c r="C1145" i="34"/>
  <c r="B1145" i="34" s="1"/>
  <c r="C1146" i="34"/>
  <c r="B1146" i="34" s="1"/>
  <c r="C1147" i="34"/>
  <c r="B1147" i="34" s="1"/>
  <c r="C1148" i="34"/>
  <c r="B1148" i="34" s="1"/>
  <c r="C1149" i="34"/>
  <c r="C1150" i="34"/>
  <c r="B1150" i="34" s="1"/>
  <c r="C1151" i="34"/>
  <c r="B1151" i="34" s="1"/>
  <c r="C1152" i="34"/>
  <c r="B1152" i="34" s="1"/>
  <c r="C1153" i="34"/>
  <c r="C1154" i="34"/>
  <c r="B1154" i="34" s="1"/>
  <c r="C1155" i="34"/>
  <c r="B1155" i="34" s="1"/>
  <c r="C1156" i="34"/>
  <c r="B1156" i="34" s="1"/>
  <c r="C1157" i="34"/>
  <c r="B1157" i="34" s="1"/>
  <c r="C1158" i="34"/>
  <c r="B1158" i="34" s="1"/>
  <c r="C1159" i="34"/>
  <c r="B1159" i="34" s="1"/>
  <c r="C1160" i="34"/>
  <c r="B1160" i="34" s="1"/>
  <c r="C1161" i="34"/>
  <c r="B1161" i="34" s="1"/>
  <c r="C1162" i="34"/>
  <c r="B1162" i="34" s="1"/>
  <c r="C1163" i="34"/>
  <c r="B1163" i="34" s="1"/>
  <c r="C1164" i="34"/>
  <c r="B1164" i="34" s="1"/>
  <c r="C1165" i="34"/>
  <c r="C1166" i="34"/>
  <c r="B1166" i="34" s="1"/>
  <c r="C1167" i="34"/>
  <c r="B1167" i="34" s="1"/>
  <c r="C1168" i="34"/>
  <c r="B1168" i="34" s="1"/>
  <c r="C1169" i="34"/>
  <c r="C1170" i="34"/>
  <c r="B1170" i="34" s="1"/>
  <c r="C1171" i="34"/>
  <c r="B1171" i="34" s="1"/>
  <c r="C1172" i="34"/>
  <c r="B1172" i="34" s="1"/>
  <c r="C1173" i="34"/>
  <c r="B1173" i="34" s="1"/>
  <c r="C1174" i="34"/>
  <c r="B1174" i="34" s="1"/>
  <c r="C1175" i="34"/>
  <c r="B1175" i="34" s="1"/>
  <c r="C1176" i="34"/>
  <c r="B1176" i="34" s="1"/>
  <c r="C1177" i="34"/>
  <c r="B1177" i="34" s="1"/>
  <c r="C1178" i="34"/>
  <c r="B1178" i="34" s="1"/>
  <c r="C1179" i="34"/>
  <c r="B1179" i="34" s="1"/>
  <c r="C1180" i="34"/>
  <c r="B1180" i="34" s="1"/>
  <c r="C1181" i="34"/>
  <c r="C1182" i="34"/>
  <c r="B1182" i="34" s="1"/>
  <c r="C1183" i="34"/>
  <c r="B1183" i="34" s="1"/>
  <c r="C1184" i="34"/>
  <c r="B1184" i="34" s="1"/>
  <c r="C1185" i="34"/>
  <c r="C1186" i="34"/>
  <c r="B1186" i="34" s="1"/>
  <c r="C1187" i="34"/>
  <c r="B1187" i="34" s="1"/>
  <c r="C1188" i="34"/>
  <c r="B1188" i="34" s="1"/>
  <c r="C1189" i="34"/>
  <c r="B1189" i="34" s="1"/>
  <c r="C1190" i="34"/>
  <c r="B1190" i="34" s="1"/>
  <c r="C1191" i="34"/>
  <c r="B1191" i="34" s="1"/>
  <c r="C1192" i="34"/>
  <c r="B1192" i="34" s="1"/>
  <c r="C1193" i="34"/>
  <c r="B1193" i="34" s="1"/>
  <c r="C1194" i="34"/>
  <c r="B1194" i="34" s="1"/>
  <c r="C1195" i="34"/>
  <c r="B1195" i="34" s="1"/>
  <c r="C1196" i="34"/>
  <c r="B1196" i="34" s="1"/>
  <c r="C1197" i="34"/>
  <c r="C1198" i="34"/>
  <c r="B1198" i="34" s="1"/>
  <c r="C1199" i="34"/>
  <c r="B1199" i="34" s="1"/>
  <c r="C1200" i="34"/>
  <c r="B1200" i="34" s="1"/>
  <c r="C1201" i="34"/>
  <c r="C1202" i="34"/>
  <c r="B1202" i="34" s="1"/>
  <c r="C1203" i="34"/>
  <c r="B1203" i="34" s="1"/>
  <c r="C1204" i="34"/>
  <c r="B1204" i="34" s="1"/>
  <c r="C1205" i="34"/>
  <c r="B1205" i="34" s="1"/>
  <c r="C1206" i="34"/>
  <c r="B1206" i="34" s="1"/>
  <c r="C1207" i="34"/>
  <c r="B1207" i="34" s="1"/>
  <c r="C1208" i="34"/>
  <c r="B1208" i="34" s="1"/>
  <c r="C1209" i="34"/>
  <c r="B1209" i="34" s="1"/>
  <c r="C1210" i="34"/>
  <c r="B1210" i="34" s="1"/>
  <c r="C1211" i="34"/>
  <c r="B1211" i="34" s="1"/>
  <c r="C1212" i="34"/>
  <c r="B1212" i="34" s="1"/>
  <c r="C1213" i="34"/>
  <c r="C1214" i="34"/>
  <c r="B1214" i="34" s="1"/>
  <c r="C1215" i="34"/>
  <c r="B1215" i="34" s="1"/>
  <c r="C1216" i="34"/>
  <c r="B1216" i="34" s="1"/>
  <c r="C1217" i="34"/>
  <c r="C1218" i="34"/>
  <c r="B1218" i="34" s="1"/>
  <c r="C1219" i="34"/>
  <c r="B1219" i="34" s="1"/>
  <c r="C1220" i="34"/>
  <c r="B1220" i="34" s="1"/>
  <c r="C1221" i="34"/>
  <c r="B1221" i="34" s="1"/>
  <c r="C1222" i="34"/>
  <c r="B1222" i="34" s="1"/>
  <c r="C1223" i="34"/>
  <c r="B1223" i="34" s="1"/>
  <c r="C1224" i="34"/>
  <c r="B1224" i="34" s="1"/>
  <c r="C1225" i="34"/>
  <c r="B1225" i="34" s="1"/>
  <c r="C1226" i="34"/>
  <c r="B1226" i="34" s="1"/>
  <c r="C1227" i="34"/>
  <c r="B1227" i="34" s="1"/>
  <c r="C1228" i="34"/>
  <c r="B1228" i="34" s="1"/>
  <c r="C1229" i="34"/>
  <c r="C1230" i="34"/>
  <c r="B1230" i="34" s="1"/>
  <c r="C1231" i="34"/>
  <c r="B1231" i="34" s="1"/>
  <c r="C1232" i="34"/>
  <c r="B1232" i="34" s="1"/>
  <c r="C1233" i="34"/>
  <c r="C1234" i="34"/>
  <c r="B1234" i="34" s="1"/>
  <c r="C1235" i="34"/>
  <c r="B1235" i="34" s="1"/>
  <c r="C1236" i="34"/>
  <c r="B1236" i="34" s="1"/>
  <c r="C1237" i="34"/>
  <c r="B1237" i="34" s="1"/>
  <c r="C1238" i="34"/>
  <c r="B1238" i="34" s="1"/>
  <c r="C1239" i="34"/>
  <c r="B1239" i="34" s="1"/>
  <c r="C1240" i="34"/>
  <c r="B1240" i="34" s="1"/>
  <c r="C1241" i="34"/>
  <c r="B1241" i="34" s="1"/>
  <c r="C1242" i="34"/>
  <c r="B1242" i="34" s="1"/>
  <c r="C1243" i="34"/>
  <c r="B1243" i="34" s="1"/>
  <c r="C1244" i="34"/>
  <c r="B1244" i="34" s="1"/>
  <c r="C1245" i="34"/>
  <c r="C1246" i="34"/>
  <c r="B1246" i="34" s="1"/>
  <c r="C1247" i="34"/>
  <c r="B1247" i="34" s="1"/>
  <c r="C1248" i="34"/>
  <c r="B1248" i="34" s="1"/>
  <c r="C1249" i="34"/>
  <c r="C1250" i="34"/>
  <c r="B1250" i="34" s="1"/>
  <c r="C1251" i="34"/>
  <c r="B1251" i="34" s="1"/>
  <c r="C1252" i="34"/>
  <c r="B1252" i="34" s="1"/>
  <c r="C1253" i="34"/>
  <c r="B1253" i="34" s="1"/>
  <c r="C1254" i="34"/>
  <c r="B1254" i="34" s="1"/>
  <c r="C1255" i="34"/>
  <c r="B1255" i="34" s="1"/>
  <c r="C1256" i="34"/>
  <c r="B1256" i="34" s="1"/>
  <c r="C1257" i="34"/>
  <c r="B1257" i="34" s="1"/>
  <c r="C1258" i="34"/>
  <c r="B1258" i="34" s="1"/>
  <c r="C1259" i="34"/>
  <c r="B1259" i="34" s="1"/>
  <c r="C1260" i="34"/>
  <c r="B1260" i="34" s="1"/>
  <c r="C1261" i="34"/>
  <c r="C1262" i="34"/>
  <c r="B1262" i="34" s="1"/>
  <c r="C1263" i="34"/>
  <c r="B1263" i="34" s="1"/>
  <c r="C1264" i="34"/>
  <c r="B1264" i="34" s="1"/>
  <c r="C1265" i="34"/>
  <c r="C1266" i="34"/>
  <c r="B1266" i="34" s="1"/>
  <c r="C1267" i="34"/>
  <c r="B1267" i="34" s="1"/>
  <c r="C1268" i="34"/>
  <c r="B1268" i="34" s="1"/>
  <c r="C1269" i="34"/>
  <c r="B1269" i="34" s="1"/>
  <c r="C1270" i="34"/>
  <c r="B1270" i="34" s="1"/>
  <c r="C1271" i="34"/>
  <c r="B1271" i="34" s="1"/>
  <c r="C1272" i="34"/>
  <c r="B1272" i="34" s="1"/>
  <c r="C1273" i="34"/>
  <c r="B1273" i="34" s="1"/>
  <c r="C1274" i="34"/>
  <c r="B1274" i="34" s="1"/>
  <c r="C1275" i="34"/>
  <c r="B1275" i="34" s="1"/>
  <c r="C1276" i="34"/>
  <c r="B1276" i="34" s="1"/>
  <c r="C1277" i="34"/>
  <c r="C1278" i="34"/>
  <c r="B1278" i="34" s="1"/>
  <c r="C1279" i="34"/>
  <c r="B1279" i="34" s="1"/>
  <c r="C1280" i="34"/>
  <c r="B1280" i="34" s="1"/>
  <c r="C1281" i="34"/>
  <c r="C1282" i="34"/>
  <c r="B1282" i="34" s="1"/>
  <c r="C1283" i="34"/>
  <c r="B1283" i="34" s="1"/>
  <c r="C1284" i="34"/>
  <c r="B1284" i="34" s="1"/>
  <c r="C1285" i="34"/>
  <c r="B1285" i="34" s="1"/>
  <c r="C1286" i="34"/>
  <c r="B1286" i="34" s="1"/>
  <c r="C1287" i="34"/>
  <c r="B1287" i="34" s="1"/>
  <c r="C1288" i="34"/>
  <c r="B1288" i="34" s="1"/>
  <c r="C1289" i="34"/>
  <c r="B1289" i="34" s="1"/>
  <c r="C1290" i="34"/>
  <c r="B1290" i="34" s="1"/>
  <c r="C1291" i="34"/>
  <c r="B1291" i="34" s="1"/>
  <c r="C1292" i="34"/>
  <c r="B1292" i="34" s="1"/>
  <c r="C1293" i="34"/>
  <c r="C1294" i="34"/>
  <c r="B1294" i="34" s="1"/>
  <c r="C1295" i="34"/>
  <c r="B1295" i="34" s="1"/>
  <c r="C1296" i="34"/>
  <c r="B1296" i="34" s="1"/>
  <c r="C1297" i="34"/>
  <c r="C1298" i="34"/>
  <c r="B1298" i="34" s="1"/>
  <c r="C1299" i="34"/>
  <c r="B1299" i="34" s="1"/>
  <c r="C1300" i="34"/>
  <c r="B1300" i="34" s="1"/>
  <c r="C1301" i="34"/>
  <c r="B1301" i="34" s="1"/>
  <c r="C1302" i="34"/>
  <c r="B1302" i="34" s="1"/>
  <c r="C1303" i="34"/>
  <c r="B1303" i="34" s="1"/>
  <c r="C1304" i="34"/>
  <c r="B1304" i="34" s="1"/>
  <c r="C1305" i="34"/>
  <c r="B1305" i="34" s="1"/>
  <c r="C1306" i="34"/>
  <c r="B1306" i="34" s="1"/>
  <c r="C1307" i="34"/>
  <c r="B1307" i="34" s="1"/>
  <c r="C1308" i="34"/>
  <c r="B1308" i="34" s="1"/>
  <c r="C1309" i="34"/>
  <c r="C1310" i="34"/>
  <c r="B1310" i="34" s="1"/>
  <c r="C1311" i="34"/>
  <c r="B1311" i="34" s="1"/>
  <c r="C1312" i="34"/>
  <c r="B1312" i="34" s="1"/>
  <c r="C1313" i="34"/>
  <c r="C1314" i="34"/>
  <c r="B1314" i="34" s="1"/>
  <c r="C1315" i="34"/>
  <c r="B1315" i="34" s="1"/>
  <c r="C1316" i="34"/>
  <c r="B1316" i="34" s="1"/>
  <c r="C1317" i="34"/>
  <c r="B1317" i="34" s="1"/>
  <c r="C1318" i="34"/>
  <c r="B1318" i="34" s="1"/>
  <c r="C1319" i="34"/>
  <c r="B1319" i="34" s="1"/>
  <c r="C1320" i="34"/>
  <c r="B1320" i="34" s="1"/>
  <c r="C1321" i="34"/>
  <c r="B1321" i="34" s="1"/>
  <c r="C1322" i="34"/>
  <c r="B1322" i="34" s="1"/>
  <c r="C1323" i="34"/>
  <c r="B1323" i="34" s="1"/>
  <c r="C1324" i="34"/>
  <c r="B1324" i="34" s="1"/>
  <c r="C1325" i="34"/>
  <c r="C1326" i="34"/>
  <c r="B1326" i="34" s="1"/>
  <c r="C1327" i="34"/>
  <c r="B1327" i="34" s="1"/>
  <c r="C1328" i="34"/>
  <c r="B1328" i="34" s="1"/>
  <c r="C1329" i="34"/>
  <c r="B1329" i="34" s="1"/>
  <c r="C1330" i="34"/>
  <c r="B1330" i="34" s="1"/>
  <c r="C1331" i="34"/>
  <c r="B1331" i="34" s="1"/>
  <c r="C1332" i="34"/>
  <c r="B1332" i="34" s="1"/>
  <c r="C1333" i="34"/>
  <c r="B1333" i="34" s="1"/>
  <c r="C1334" i="34"/>
  <c r="B1334" i="34" s="1"/>
  <c r="C1335" i="34"/>
  <c r="B1335" i="34" s="1"/>
  <c r="C1336" i="34"/>
  <c r="C1337" i="34"/>
  <c r="B1337" i="34" s="1"/>
  <c r="C1338" i="34"/>
  <c r="B1338" i="34" s="1"/>
  <c r="C1339" i="34"/>
  <c r="B1339" i="34" s="1"/>
  <c r="C1340" i="34"/>
  <c r="B1340" i="34" s="1"/>
  <c r="C1341" i="34"/>
  <c r="C1342" i="34"/>
  <c r="B1342" i="34" s="1"/>
  <c r="C1343" i="34"/>
  <c r="B1343" i="34" s="1"/>
  <c r="C1344" i="34"/>
  <c r="B1344" i="34" s="1"/>
  <c r="C1345" i="34"/>
  <c r="B1345" i="34" s="1"/>
  <c r="C1346" i="34"/>
  <c r="B1346" i="34" s="1"/>
  <c r="C1347" i="34"/>
  <c r="B1347" i="34" s="1"/>
  <c r="C1348" i="34"/>
  <c r="B1348" i="34" s="1"/>
  <c r="C1349" i="34"/>
  <c r="C1350" i="34"/>
  <c r="B1350" i="34" s="1"/>
  <c r="C1351" i="34"/>
  <c r="B1351" i="34" s="1"/>
  <c r="C1352" i="34"/>
  <c r="B1352" i="34" s="1"/>
  <c r="C1353" i="34"/>
  <c r="B1353" i="34" s="1"/>
  <c r="C1354" i="34"/>
  <c r="B1354" i="34" s="1"/>
  <c r="C1355" i="34"/>
  <c r="B1355" i="34" s="1"/>
  <c r="C1356" i="34"/>
  <c r="B1356" i="34" s="1"/>
  <c r="C1357" i="34"/>
  <c r="C1358" i="34"/>
  <c r="B1358" i="34" s="1"/>
  <c r="C1359" i="34"/>
  <c r="B1359" i="34" s="1"/>
  <c r="C1360" i="34"/>
  <c r="B1360" i="34" s="1"/>
  <c r="C1361" i="34"/>
  <c r="B1361" i="34" s="1"/>
  <c r="C1362" i="34"/>
  <c r="B1362" i="34" s="1"/>
  <c r="C1363" i="34"/>
  <c r="B1363" i="34" s="1"/>
  <c r="C1364" i="34"/>
  <c r="B1364" i="34" s="1"/>
  <c r="C1365" i="34"/>
  <c r="C1366" i="34"/>
  <c r="B1366" i="34" s="1"/>
  <c r="C1367" i="34"/>
  <c r="B1367" i="34" s="1"/>
  <c r="C1368" i="34"/>
  <c r="B1368" i="34" s="1"/>
  <c r="C1369" i="34"/>
  <c r="B1369" i="34" s="1"/>
  <c r="C1370" i="34"/>
  <c r="B1370" i="34" s="1"/>
  <c r="C1371" i="34"/>
  <c r="B1371" i="34" s="1"/>
  <c r="C1372" i="34"/>
  <c r="B1372" i="34" s="1"/>
  <c r="C1373" i="34"/>
  <c r="C1374" i="34"/>
  <c r="B1374" i="34" s="1"/>
  <c r="C1375" i="34"/>
  <c r="B1375" i="34" s="1"/>
  <c r="C1376" i="34"/>
  <c r="B1376" i="34" s="1"/>
  <c r="C1377" i="34"/>
  <c r="B1377" i="34" s="1"/>
  <c r="C1378" i="34"/>
  <c r="B1378" i="34" s="1"/>
  <c r="C1379" i="34"/>
  <c r="B1379" i="34" s="1"/>
  <c r="C1380" i="34"/>
  <c r="B1380" i="34" s="1"/>
  <c r="C1381" i="34"/>
  <c r="C1382" i="34"/>
  <c r="B1382" i="34" s="1"/>
  <c r="C1383" i="34"/>
  <c r="B1383" i="34" s="1"/>
  <c r="C1391" i="34"/>
  <c r="B1391" i="34" s="1"/>
  <c r="C1392" i="34"/>
  <c r="B1392" i="34" s="1"/>
  <c r="C1136" i="34"/>
  <c r="B1136" i="34" s="1"/>
  <c r="K1392" i="34"/>
  <c r="K1391" i="34"/>
  <c r="K1383" i="34"/>
  <c r="K1382" i="34"/>
  <c r="K1381" i="34"/>
  <c r="K1380" i="34"/>
  <c r="K1379" i="34"/>
  <c r="K1378" i="34"/>
  <c r="K1377" i="34"/>
  <c r="K1376" i="34"/>
  <c r="K1375" i="34"/>
  <c r="K1374" i="34"/>
  <c r="K1373" i="34"/>
  <c r="K1372" i="34"/>
  <c r="K1371" i="34"/>
  <c r="K1370" i="34"/>
  <c r="K1369" i="34"/>
  <c r="K1368" i="34"/>
  <c r="K1367" i="34"/>
  <c r="K1366" i="34"/>
  <c r="K1365" i="34"/>
  <c r="K1364" i="34"/>
  <c r="K1363" i="34"/>
  <c r="K1362" i="34"/>
  <c r="K1361" i="34"/>
  <c r="K1360" i="34"/>
  <c r="K1359" i="34"/>
  <c r="K1358" i="34"/>
  <c r="K1357" i="34"/>
  <c r="K1356" i="34"/>
  <c r="K1355" i="34"/>
  <c r="K1354" i="34"/>
  <c r="K1353" i="34"/>
  <c r="K1352" i="34"/>
  <c r="K1351" i="34"/>
  <c r="K1350" i="34"/>
  <c r="K1349" i="34"/>
  <c r="K1348" i="34"/>
  <c r="K1347" i="34"/>
  <c r="K1346" i="34"/>
  <c r="K1345" i="34"/>
  <c r="K1344" i="34"/>
  <c r="K1343" i="34"/>
  <c r="K1342" i="34"/>
  <c r="K1341" i="34"/>
  <c r="K1340" i="34"/>
  <c r="K1339" i="34"/>
  <c r="K1338" i="34"/>
  <c r="K1337" i="34"/>
  <c r="K1336" i="34"/>
  <c r="K1335" i="34"/>
  <c r="K1334" i="34"/>
  <c r="K1333" i="34"/>
  <c r="K1332" i="34"/>
  <c r="K1331" i="34"/>
  <c r="K1330" i="34"/>
  <c r="K1329" i="34"/>
  <c r="K1328" i="34"/>
  <c r="K1327" i="34"/>
  <c r="K1326" i="34"/>
  <c r="K1325" i="34"/>
  <c r="K1324" i="34"/>
  <c r="K1323" i="34"/>
  <c r="K1322" i="34"/>
  <c r="K1321" i="34"/>
  <c r="K1320" i="34"/>
  <c r="K1319" i="34"/>
  <c r="K1318" i="34"/>
  <c r="K1317" i="34"/>
  <c r="K1316" i="34"/>
  <c r="K1315" i="34"/>
  <c r="K1314" i="34"/>
  <c r="K1313" i="34"/>
  <c r="K1312" i="34"/>
  <c r="K1311" i="34"/>
  <c r="K1310" i="34"/>
  <c r="K1309" i="34"/>
  <c r="K1308" i="34"/>
  <c r="K1307" i="34"/>
  <c r="K1306" i="34"/>
  <c r="K1305" i="34"/>
  <c r="K1304" i="34"/>
  <c r="K1303" i="34"/>
  <c r="K1302" i="34"/>
  <c r="K1301" i="34"/>
  <c r="K1300" i="34"/>
  <c r="K1299" i="34"/>
  <c r="K1298" i="34"/>
  <c r="K1297" i="34"/>
  <c r="K1296" i="34"/>
  <c r="K1295" i="34"/>
  <c r="K1294" i="34"/>
  <c r="K1293" i="34"/>
  <c r="K1292" i="34"/>
  <c r="K1291" i="34"/>
  <c r="K1290" i="34"/>
  <c r="K1289" i="34"/>
  <c r="K1288" i="34"/>
  <c r="K1287" i="34"/>
  <c r="K1286" i="34"/>
  <c r="K1285" i="34"/>
  <c r="K1284" i="34"/>
  <c r="K1283" i="34"/>
  <c r="K1282" i="34"/>
  <c r="K1281" i="34"/>
  <c r="K1280" i="34"/>
  <c r="K1279" i="34"/>
  <c r="K1278" i="34"/>
  <c r="K1277" i="34"/>
  <c r="K1276" i="34"/>
  <c r="K1275" i="34"/>
  <c r="K1274" i="34"/>
  <c r="K1273" i="34"/>
  <c r="K1272" i="34"/>
  <c r="K1271" i="34"/>
  <c r="K1270" i="34"/>
  <c r="K1269" i="34"/>
  <c r="K1268" i="34"/>
  <c r="K1267" i="34"/>
  <c r="K1266" i="34"/>
  <c r="K1265" i="34"/>
  <c r="K1264" i="34"/>
  <c r="K1263" i="34"/>
  <c r="K1262" i="34"/>
  <c r="K1261" i="34"/>
  <c r="K1260" i="34"/>
  <c r="K1259" i="34"/>
  <c r="K1258" i="34"/>
  <c r="K1257" i="34"/>
  <c r="K1256" i="34"/>
  <c r="K1255" i="34"/>
  <c r="K1254" i="34"/>
  <c r="K1253" i="34"/>
  <c r="K1252" i="34"/>
  <c r="K1251" i="34"/>
  <c r="K1250" i="34"/>
  <c r="K1249" i="34"/>
  <c r="K1248" i="34"/>
  <c r="K1247" i="34"/>
  <c r="K1246" i="34"/>
  <c r="K1245" i="34"/>
  <c r="K1244" i="34"/>
  <c r="K1243" i="34"/>
  <c r="K1242" i="34"/>
  <c r="K1241" i="34"/>
  <c r="K1240" i="34"/>
  <c r="K1239" i="34"/>
  <c r="K1238" i="34"/>
  <c r="K1237" i="34"/>
  <c r="K1236" i="34"/>
  <c r="K1235" i="34"/>
  <c r="K1234" i="34"/>
  <c r="K1233" i="34"/>
  <c r="K1232" i="34"/>
  <c r="K1231" i="34"/>
  <c r="K1230" i="34"/>
  <c r="K1229" i="34"/>
  <c r="K1228" i="34"/>
  <c r="K1227" i="34"/>
  <c r="K1226" i="34"/>
  <c r="K1225" i="34"/>
  <c r="K1224" i="34"/>
  <c r="K1223" i="34"/>
  <c r="K1222" i="34"/>
  <c r="K1221" i="34"/>
  <c r="K1220" i="34"/>
  <c r="K1219" i="34"/>
  <c r="K1218" i="34"/>
  <c r="K1217" i="34"/>
  <c r="K1216" i="34"/>
  <c r="K1215" i="34"/>
  <c r="K1214" i="34"/>
  <c r="K1213" i="34"/>
  <c r="K1212" i="34"/>
  <c r="K1211" i="34"/>
  <c r="K1210" i="34"/>
  <c r="K1209" i="34"/>
  <c r="K1208" i="34"/>
  <c r="K1207" i="34"/>
  <c r="K1206" i="34"/>
  <c r="K1205" i="34"/>
  <c r="K1204" i="34"/>
  <c r="K1203" i="34"/>
  <c r="K1202" i="34"/>
  <c r="K1201" i="34"/>
  <c r="K1200" i="34"/>
  <c r="K1199" i="34"/>
  <c r="K1198" i="34"/>
  <c r="K1197" i="34"/>
  <c r="K1196" i="34"/>
  <c r="K1195" i="34"/>
  <c r="K1194" i="34"/>
  <c r="K1193" i="34"/>
  <c r="K1192" i="34"/>
  <c r="K1191" i="34"/>
  <c r="K1190" i="34"/>
  <c r="K1189" i="34"/>
  <c r="K1188" i="34"/>
  <c r="K1187" i="34"/>
  <c r="K1186" i="34"/>
  <c r="K1185" i="34"/>
  <c r="K1184" i="34"/>
  <c r="K1183" i="34"/>
  <c r="K1182" i="34"/>
  <c r="K1181" i="34"/>
  <c r="K1180" i="34"/>
  <c r="K1179" i="34"/>
  <c r="K1178" i="34"/>
  <c r="K1177" i="34"/>
  <c r="K1176" i="34"/>
  <c r="K1175" i="34"/>
  <c r="K1174" i="34"/>
  <c r="K1173" i="34"/>
  <c r="K1172" i="34"/>
  <c r="K1171" i="34"/>
  <c r="K1170" i="34"/>
  <c r="K1169" i="34"/>
  <c r="K1168" i="34"/>
  <c r="K1167" i="34"/>
  <c r="K1166" i="34"/>
  <c r="K1165" i="34"/>
  <c r="K1164" i="34"/>
  <c r="K1163" i="34"/>
  <c r="K1162" i="34"/>
  <c r="K1161" i="34"/>
  <c r="K1160" i="34"/>
  <c r="K1159" i="34"/>
  <c r="K1158" i="34"/>
  <c r="K1157" i="34"/>
  <c r="K1156" i="34"/>
  <c r="K1155" i="34"/>
  <c r="K1154" i="34"/>
  <c r="K1153" i="34"/>
  <c r="K1152" i="34"/>
  <c r="K1151" i="34"/>
  <c r="K1150" i="34"/>
  <c r="K1149" i="34"/>
  <c r="K1148" i="34"/>
  <c r="K1147" i="34"/>
  <c r="K1146" i="34"/>
  <c r="K1145" i="34"/>
  <c r="K1144" i="34"/>
  <c r="K1143" i="34"/>
  <c r="K1142" i="34"/>
  <c r="K1141" i="34"/>
  <c r="K1140" i="34"/>
  <c r="K1139" i="34"/>
  <c r="K1138" i="34"/>
  <c r="K1137" i="34"/>
  <c r="K1136" i="34"/>
  <c r="B1336" i="34"/>
  <c r="B1325" i="34"/>
  <c r="B1313" i="34"/>
  <c r="B1309" i="34"/>
  <c r="B1297" i="34"/>
  <c r="B1293" i="34"/>
  <c r="B1281" i="34"/>
  <c r="B1277" i="34"/>
  <c r="B1265" i="34"/>
  <c r="B1261" i="34"/>
  <c r="B1249" i="34"/>
  <c r="B1245" i="34"/>
  <c r="B1233" i="34"/>
  <c r="B1229" i="34"/>
  <c r="B1217" i="34"/>
  <c r="B1213" i="34"/>
  <c r="B1201" i="34"/>
  <c r="B1197" i="34"/>
  <c r="B1185" i="34"/>
  <c r="B1181" i="34"/>
  <c r="B1169" i="34"/>
  <c r="B1165" i="34"/>
  <c r="B1153" i="34"/>
  <c r="B1149" i="34"/>
  <c r="B1137" i="34"/>
  <c r="B1381" i="34"/>
  <c r="B1373" i="34"/>
  <c r="B1365" i="34"/>
  <c r="B1357" i="34"/>
  <c r="B1349" i="34"/>
  <c r="B1341" i="34"/>
  <c r="K934" i="34"/>
  <c r="K935" i="34"/>
  <c r="K936" i="34"/>
  <c r="K937" i="34"/>
  <c r="K938" i="34"/>
  <c r="K939" i="34"/>
  <c r="K940" i="34"/>
  <c r="K941" i="34"/>
  <c r="K942" i="34"/>
  <c r="K943" i="34"/>
  <c r="K944" i="34"/>
  <c r="K945" i="34"/>
  <c r="K946" i="34"/>
  <c r="K947" i="34"/>
  <c r="K948" i="34"/>
  <c r="K949" i="34"/>
  <c r="K950" i="34"/>
  <c r="K951" i="34"/>
  <c r="K952" i="34"/>
  <c r="K953" i="34"/>
  <c r="K954" i="34"/>
  <c r="K955" i="34"/>
  <c r="K956" i="34"/>
  <c r="K957" i="34"/>
  <c r="K958" i="34"/>
  <c r="K959" i="34"/>
  <c r="K960" i="34"/>
  <c r="K961" i="34"/>
  <c r="K962" i="34"/>
  <c r="K963" i="34"/>
  <c r="K964" i="34"/>
  <c r="K965" i="34"/>
  <c r="K966" i="34"/>
  <c r="K967" i="34"/>
  <c r="K968" i="34"/>
  <c r="K969" i="34"/>
  <c r="K970" i="34"/>
  <c r="K971" i="34"/>
  <c r="K972" i="34"/>
  <c r="K973" i="34"/>
  <c r="K974" i="34"/>
  <c r="K975" i="34"/>
  <c r="K976" i="34"/>
  <c r="K977" i="34"/>
  <c r="K978" i="34"/>
  <c r="K979" i="34"/>
  <c r="K980" i="34"/>
  <c r="K981" i="34"/>
  <c r="K982" i="34"/>
  <c r="K983" i="34"/>
  <c r="K984" i="34"/>
  <c r="K985" i="34"/>
  <c r="K986" i="34"/>
  <c r="K987" i="34"/>
  <c r="K988" i="34"/>
  <c r="K989" i="34"/>
  <c r="K990" i="34"/>
  <c r="K991" i="34"/>
  <c r="K992" i="34"/>
  <c r="K993" i="34"/>
  <c r="K994" i="34"/>
  <c r="K995" i="34"/>
  <c r="K996" i="34"/>
  <c r="K997" i="34"/>
  <c r="K998" i="34"/>
  <c r="K999" i="34"/>
  <c r="K1000" i="34"/>
  <c r="K1001" i="34"/>
  <c r="K1002" i="34"/>
  <c r="K1003" i="34"/>
  <c r="K1004" i="34"/>
  <c r="K1005" i="34"/>
  <c r="K1006" i="34"/>
  <c r="K1007" i="34"/>
  <c r="K1008" i="34"/>
  <c r="K1009" i="34"/>
  <c r="K1010" i="34"/>
  <c r="K1011" i="34"/>
  <c r="K1012" i="34"/>
  <c r="K1013" i="34"/>
  <c r="K1014" i="34"/>
  <c r="K1015" i="34"/>
  <c r="K1016" i="34"/>
  <c r="K1017" i="34"/>
  <c r="K1018" i="34"/>
  <c r="K1019" i="34"/>
  <c r="K1020" i="34"/>
  <c r="K1021" i="34"/>
  <c r="K1022" i="34"/>
  <c r="K1023" i="34"/>
  <c r="K1024" i="34"/>
  <c r="K1025" i="34"/>
  <c r="K1026" i="34"/>
  <c r="K1027" i="34"/>
  <c r="K1028" i="34"/>
  <c r="K1029" i="34"/>
  <c r="K1030" i="34"/>
  <c r="K1031" i="34"/>
  <c r="K1032" i="34"/>
  <c r="K1033" i="34"/>
  <c r="K1034" i="34"/>
  <c r="K1035" i="34"/>
  <c r="K1036" i="34"/>
  <c r="K1037" i="34"/>
  <c r="K1038" i="34"/>
  <c r="K1039" i="34"/>
  <c r="K1040" i="34"/>
  <c r="K1041" i="34"/>
  <c r="K1042" i="34"/>
  <c r="K1043" i="34"/>
  <c r="K1044" i="34"/>
  <c r="K1045" i="34"/>
  <c r="K1046" i="34"/>
  <c r="K1047" i="34"/>
  <c r="K1048" i="34"/>
  <c r="K1049" i="34"/>
  <c r="K1050" i="34"/>
  <c r="K1051" i="34"/>
  <c r="K1052" i="34"/>
  <c r="K1053" i="34"/>
  <c r="K1054" i="34"/>
  <c r="K1055" i="34"/>
  <c r="K1056" i="34"/>
  <c r="K1057" i="34"/>
  <c r="K1058" i="34"/>
  <c r="K1059" i="34"/>
  <c r="K1060" i="34"/>
  <c r="K1061" i="34"/>
  <c r="K1062" i="34"/>
  <c r="K1063" i="34"/>
  <c r="K1064" i="34"/>
  <c r="K1065" i="34"/>
  <c r="K1066" i="34"/>
  <c r="K1067" i="34"/>
  <c r="K1068" i="34"/>
  <c r="K1069" i="34"/>
  <c r="K1070" i="34"/>
  <c r="K1071" i="34"/>
  <c r="K1072" i="34"/>
  <c r="K1073" i="34"/>
  <c r="K1074" i="34"/>
  <c r="K1075" i="34"/>
  <c r="K1076" i="34"/>
  <c r="K1077" i="34"/>
  <c r="K1078" i="34"/>
  <c r="K1079" i="34"/>
  <c r="K1080" i="34"/>
  <c r="K1081" i="34"/>
  <c r="K1082" i="34"/>
  <c r="K1083" i="34"/>
  <c r="K1084" i="34"/>
  <c r="K1085" i="34"/>
  <c r="K1086" i="34"/>
  <c r="K1087" i="34"/>
  <c r="K1088" i="34"/>
  <c r="K1089" i="34"/>
  <c r="K1090" i="34"/>
  <c r="K1091" i="34"/>
  <c r="K1092" i="34"/>
  <c r="K1093" i="34"/>
  <c r="K1094" i="34"/>
  <c r="K1095" i="34"/>
  <c r="K1096" i="34"/>
  <c r="K1097" i="34"/>
  <c r="K1098" i="34"/>
  <c r="K1099" i="34"/>
  <c r="K1100" i="34"/>
  <c r="K1101" i="34"/>
  <c r="K1102" i="34"/>
  <c r="K1103" i="34"/>
  <c r="K1104" i="34"/>
  <c r="K1105" i="34"/>
  <c r="K1106" i="34"/>
  <c r="K1107" i="34"/>
  <c r="K1108" i="34"/>
  <c r="K1109" i="34"/>
  <c r="K1110" i="34"/>
  <c r="K1111" i="34"/>
  <c r="K1112" i="34"/>
  <c r="K1113" i="34"/>
  <c r="K1114" i="34"/>
  <c r="K1115" i="34"/>
  <c r="K1116" i="34"/>
  <c r="K1117" i="34"/>
  <c r="K1118" i="34"/>
  <c r="K1119" i="34"/>
  <c r="K1120" i="34"/>
  <c r="K1121" i="34"/>
  <c r="K1122" i="34"/>
  <c r="K1123" i="34"/>
  <c r="K1124" i="34"/>
  <c r="K1125" i="34"/>
  <c r="K1126" i="34"/>
  <c r="K1134" i="34"/>
  <c r="K1135" i="34"/>
  <c r="C1024" i="34"/>
  <c r="C1025" i="34"/>
  <c r="C1026" i="34"/>
  <c r="C1027" i="34"/>
  <c r="C1028" i="34"/>
  <c r="C1029" i="34"/>
  <c r="C1030" i="34"/>
  <c r="C1031" i="34"/>
  <c r="C1032" i="34"/>
  <c r="C1033" i="34"/>
  <c r="C1034" i="34"/>
  <c r="C1035" i="34"/>
  <c r="C1036" i="34"/>
  <c r="C1037" i="34"/>
  <c r="C1038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50" i="34"/>
  <c r="C1051" i="34"/>
  <c r="C1052" i="34"/>
  <c r="C1053" i="34"/>
  <c r="C1054" i="34"/>
  <c r="C1055" i="34"/>
  <c r="C1056" i="34"/>
  <c r="C1057" i="34"/>
  <c r="C1058" i="34"/>
  <c r="C1059" i="34"/>
  <c r="C1060" i="34"/>
  <c r="C1061" i="34"/>
  <c r="C1062" i="34"/>
  <c r="C1063" i="34"/>
  <c r="C1064" i="34"/>
  <c r="C1065" i="34"/>
  <c r="C1066" i="34"/>
  <c r="C1067" i="34"/>
  <c r="C1068" i="34"/>
  <c r="C1069" i="34"/>
  <c r="C1070" i="34"/>
  <c r="C1071" i="34"/>
  <c r="C1072" i="34"/>
  <c r="C1073" i="34"/>
  <c r="C1074" i="34"/>
  <c r="C1075" i="34"/>
  <c r="C1076" i="34"/>
  <c r="C1077" i="34"/>
  <c r="C1078" i="34"/>
  <c r="C1079" i="34"/>
  <c r="C1080" i="34"/>
  <c r="C1081" i="34"/>
  <c r="C1082" i="34"/>
  <c r="C1083" i="34"/>
  <c r="C1084" i="34"/>
  <c r="C1085" i="34"/>
  <c r="C1086" i="34"/>
  <c r="C1087" i="34"/>
  <c r="C1088" i="34"/>
  <c r="C1089" i="34"/>
  <c r="C1090" i="34"/>
  <c r="C1091" i="34"/>
  <c r="C1092" i="34"/>
  <c r="C1093" i="34"/>
  <c r="C1094" i="34"/>
  <c r="C1095" i="34"/>
  <c r="C1096" i="34"/>
  <c r="C1097" i="34"/>
  <c r="C1098" i="34"/>
  <c r="C1099" i="34"/>
  <c r="C1100" i="34"/>
  <c r="C1101" i="34"/>
  <c r="C1102" i="34"/>
  <c r="C1103" i="34"/>
  <c r="C1104" i="34"/>
  <c r="C1105" i="34"/>
  <c r="C1106" i="34"/>
  <c r="C1107" i="34"/>
  <c r="C1108" i="34"/>
  <c r="C1109" i="34"/>
  <c r="C1110" i="34"/>
  <c r="C1111" i="34"/>
  <c r="C1112" i="34"/>
  <c r="C1113" i="34"/>
  <c r="C1114" i="34"/>
  <c r="C1115" i="34"/>
  <c r="C1116" i="34"/>
  <c r="C1117" i="34"/>
  <c r="C1118" i="34"/>
  <c r="C1119" i="34"/>
  <c r="C1120" i="34"/>
  <c r="C1121" i="34"/>
  <c r="C1122" i="34"/>
  <c r="C1123" i="34"/>
  <c r="C1124" i="34"/>
  <c r="C1125" i="34"/>
  <c r="C1126" i="34"/>
  <c r="C1134" i="34"/>
  <c r="C1135" i="34"/>
  <c r="C926" i="34"/>
  <c r="C927" i="34"/>
  <c r="C928" i="34"/>
  <c r="C929" i="34"/>
  <c r="C930" i="34"/>
  <c r="C931" i="34"/>
  <c r="C932" i="34"/>
  <c r="C933" i="34"/>
  <c r="C934" i="34"/>
  <c r="C935" i="34"/>
  <c r="C936" i="34"/>
  <c r="C937" i="34"/>
  <c r="C938" i="34"/>
  <c r="C939" i="34"/>
  <c r="C940" i="34"/>
  <c r="C941" i="34"/>
  <c r="C942" i="34"/>
  <c r="C943" i="34"/>
  <c r="C944" i="34"/>
  <c r="C945" i="34"/>
  <c r="C946" i="34"/>
  <c r="C947" i="34"/>
  <c r="C948" i="34"/>
  <c r="C949" i="34"/>
  <c r="C950" i="34"/>
  <c r="C951" i="34"/>
  <c r="C952" i="34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C969" i="34"/>
  <c r="C970" i="34"/>
  <c r="C971" i="34"/>
  <c r="C972" i="34"/>
  <c r="C973" i="34"/>
  <c r="C974" i="34"/>
  <c r="C975" i="34"/>
  <c r="C976" i="34"/>
  <c r="C977" i="34"/>
  <c r="C978" i="34"/>
  <c r="C979" i="34"/>
  <c r="C980" i="34"/>
  <c r="C981" i="34"/>
  <c r="C982" i="34"/>
  <c r="C983" i="34"/>
  <c r="C984" i="34"/>
  <c r="C985" i="34"/>
  <c r="C986" i="34"/>
  <c r="C987" i="34"/>
  <c r="C988" i="34"/>
  <c r="C989" i="34"/>
  <c r="C990" i="34"/>
  <c r="C991" i="34"/>
  <c r="C992" i="34"/>
  <c r="C993" i="34"/>
  <c r="C994" i="34"/>
  <c r="C995" i="34"/>
  <c r="C996" i="34"/>
  <c r="C997" i="34"/>
  <c r="C998" i="34"/>
  <c r="C999" i="34"/>
  <c r="C1000" i="34"/>
  <c r="C1001" i="34"/>
  <c r="C1002" i="34"/>
  <c r="C1003" i="34"/>
  <c r="C1004" i="34"/>
  <c r="C1005" i="34"/>
  <c r="C1006" i="34"/>
  <c r="C1007" i="34"/>
  <c r="C1008" i="34"/>
  <c r="C1009" i="34"/>
  <c r="C1010" i="34"/>
  <c r="C1011" i="34"/>
  <c r="C1012" i="34"/>
  <c r="C1013" i="34"/>
  <c r="C1014" i="34"/>
  <c r="C1015" i="34"/>
  <c r="C1016" i="34"/>
  <c r="C1017" i="34"/>
  <c r="C1018" i="34"/>
  <c r="C1019" i="34"/>
  <c r="C1020" i="34"/>
  <c r="C1021" i="34"/>
  <c r="C1022" i="34"/>
  <c r="C1023" i="34"/>
  <c r="K880" i="34"/>
  <c r="K881" i="34"/>
  <c r="K882" i="34"/>
  <c r="K883" i="34"/>
  <c r="K884" i="34"/>
  <c r="K885" i="34"/>
  <c r="K886" i="34"/>
  <c r="K887" i="34"/>
  <c r="K888" i="34"/>
  <c r="K889" i="34"/>
  <c r="K890" i="34"/>
  <c r="K891" i="34"/>
  <c r="K892" i="34"/>
  <c r="K893" i="34"/>
  <c r="K894" i="34"/>
  <c r="K895" i="34"/>
  <c r="K896" i="34"/>
  <c r="K897" i="34"/>
  <c r="K898" i="34"/>
  <c r="K899" i="34"/>
  <c r="K900" i="34"/>
  <c r="K901" i="34"/>
  <c r="K902" i="34"/>
  <c r="K903" i="34"/>
  <c r="K904" i="34"/>
  <c r="K905" i="34"/>
  <c r="K906" i="34"/>
  <c r="K907" i="34"/>
  <c r="K908" i="34"/>
  <c r="K909" i="34"/>
  <c r="K910" i="34"/>
  <c r="K911" i="34"/>
  <c r="K912" i="34"/>
  <c r="K913" i="34"/>
  <c r="K914" i="34"/>
  <c r="K915" i="34"/>
  <c r="K916" i="34"/>
  <c r="K917" i="34"/>
  <c r="K918" i="34"/>
  <c r="K919" i="34"/>
  <c r="K920" i="34"/>
  <c r="K921" i="34"/>
  <c r="K922" i="34"/>
  <c r="K923" i="34"/>
  <c r="K924" i="34"/>
  <c r="K925" i="34"/>
  <c r="K926" i="34"/>
  <c r="K927" i="34"/>
  <c r="K928" i="34"/>
  <c r="K929" i="34"/>
  <c r="K930" i="34"/>
  <c r="K931" i="34"/>
  <c r="K932" i="34"/>
  <c r="K933" i="34"/>
  <c r="K875" i="34"/>
  <c r="C875" i="34"/>
  <c r="B875" i="34" s="1"/>
  <c r="K874" i="34"/>
  <c r="C874" i="34"/>
  <c r="B874" i="34" s="1"/>
  <c r="K873" i="34"/>
  <c r="C873" i="34"/>
  <c r="B873" i="34" s="1"/>
  <c r="P138" i="60"/>
  <c r="K863" i="34"/>
  <c r="K864" i="34"/>
  <c r="K865" i="34"/>
  <c r="K866" i="34"/>
  <c r="K867" i="34"/>
  <c r="K868" i="34"/>
  <c r="K869" i="34"/>
  <c r="K870" i="34"/>
  <c r="K871" i="34"/>
  <c r="K872" i="34"/>
  <c r="K876" i="34"/>
  <c r="K877" i="34"/>
  <c r="K878" i="34"/>
  <c r="K879" i="34"/>
  <c r="C863" i="34"/>
  <c r="C864" i="34"/>
  <c r="C865" i="34"/>
  <c r="C866" i="34"/>
  <c r="C867" i="34"/>
  <c r="C868" i="34"/>
  <c r="C869" i="34"/>
  <c r="C870" i="34"/>
  <c r="C871" i="34"/>
  <c r="C872" i="34"/>
  <c r="C876" i="34"/>
  <c r="C877" i="34"/>
  <c r="C878" i="34"/>
  <c r="C879" i="34"/>
  <c r="C880" i="34"/>
  <c r="C881" i="34"/>
  <c r="C882" i="34"/>
  <c r="C883" i="34"/>
  <c r="C884" i="34"/>
  <c r="C885" i="34"/>
  <c r="C886" i="34"/>
  <c r="C887" i="34"/>
  <c r="C888" i="34"/>
  <c r="C889" i="34"/>
  <c r="C890" i="34"/>
  <c r="C891" i="34"/>
  <c r="C892" i="34"/>
  <c r="C893" i="34"/>
  <c r="C894" i="34"/>
  <c r="C895" i="34"/>
  <c r="C896" i="34"/>
  <c r="C897" i="34"/>
  <c r="C898" i="34"/>
  <c r="C899" i="34"/>
  <c r="C900" i="34"/>
  <c r="C901" i="34"/>
  <c r="C902" i="34"/>
  <c r="C903" i="34"/>
  <c r="C904" i="34"/>
  <c r="C905" i="34"/>
  <c r="C906" i="34"/>
  <c r="C907" i="34"/>
  <c r="C908" i="34"/>
  <c r="C909" i="34"/>
  <c r="C910" i="34"/>
  <c r="C911" i="34"/>
  <c r="C912" i="34"/>
  <c r="C913" i="34"/>
  <c r="C914" i="34"/>
  <c r="C915" i="34"/>
  <c r="C916" i="34"/>
  <c r="C917" i="34"/>
  <c r="C918" i="34"/>
  <c r="C919" i="34"/>
  <c r="C920" i="34"/>
  <c r="C921" i="34"/>
  <c r="C922" i="34"/>
  <c r="C923" i="34"/>
  <c r="C924" i="34"/>
  <c r="C925" i="34"/>
  <c r="R151" i="60"/>
  <c r="R152" i="60"/>
  <c r="R153" i="60"/>
  <c r="R154" i="60"/>
  <c r="R148" i="60"/>
  <c r="R149" i="60"/>
  <c r="R150" i="60"/>
  <c r="R17" i="60"/>
  <c r="R18" i="60"/>
  <c r="R19" i="60"/>
  <c r="R20" i="60"/>
  <c r="A1316" i="34" l="1"/>
  <c r="A1308" i="34"/>
  <c r="A1184" i="34"/>
  <c r="A1188" i="34"/>
  <c r="A1192" i="34"/>
  <c r="A1196" i="34"/>
  <c r="A1200" i="34"/>
  <c r="A1204" i="34"/>
  <c r="A1208" i="34"/>
  <c r="A1212" i="34"/>
  <c r="A1186" i="34"/>
  <c r="A1190" i="34"/>
  <c r="A1194" i="34"/>
  <c r="A1198" i="34"/>
  <c r="A1202" i="34"/>
  <c r="A1206" i="34"/>
  <c r="A1210" i="34"/>
  <c r="A1304" i="34"/>
  <c r="A1312" i="34"/>
  <c r="A1351" i="34"/>
  <c r="A1356" i="34"/>
  <c r="A1360" i="34"/>
  <c r="A1364" i="34"/>
  <c r="A1368" i="34"/>
  <c r="A1372" i="34"/>
  <c r="A1376" i="34"/>
  <c r="A1380" i="34"/>
  <c r="A1391" i="34"/>
  <c r="A1138" i="34"/>
  <c r="A1140" i="34"/>
  <c r="A1338" i="34"/>
  <c r="A1183" i="34"/>
  <c r="A1185" i="34"/>
  <c r="A1187" i="34"/>
  <c r="A1189" i="34"/>
  <c r="A1191" i="34"/>
  <c r="A1193" i="34"/>
  <c r="A1195" i="34"/>
  <c r="A1197" i="34"/>
  <c r="A1199" i="34"/>
  <c r="A1201" i="34"/>
  <c r="A1203" i="34"/>
  <c r="A1205" i="34"/>
  <c r="A1207" i="34"/>
  <c r="A1209" i="34"/>
  <c r="A1211" i="34"/>
  <c r="A1213" i="34"/>
  <c r="A1350" i="34"/>
  <c r="A1354" i="34"/>
  <c r="A1358" i="34"/>
  <c r="A1362" i="34"/>
  <c r="A1366" i="34"/>
  <c r="A1370" i="34"/>
  <c r="A1374" i="34"/>
  <c r="A1378" i="34"/>
  <c r="A1382" i="34"/>
  <c r="A1137" i="34"/>
  <c r="A1139" i="34"/>
  <c r="A1296" i="34"/>
  <c r="A1306" i="34"/>
  <c r="A1310" i="34"/>
  <c r="A1314" i="34"/>
  <c r="A1318" i="34"/>
  <c r="A1136" i="34"/>
  <c r="A1337" i="34"/>
  <c r="A1142" i="34"/>
  <c r="A1144" i="34"/>
  <c r="A1146" i="34"/>
  <c r="A1148" i="34"/>
  <c r="A1150" i="34"/>
  <c r="A1152" i="34"/>
  <c r="A1154" i="34"/>
  <c r="A1156" i="34"/>
  <c r="A1343" i="34"/>
  <c r="A1345" i="34"/>
  <c r="A1347" i="34"/>
  <c r="A1349" i="34"/>
  <c r="A1352" i="34"/>
  <c r="A1353" i="34"/>
  <c r="A1141" i="34"/>
  <c r="A1143" i="34"/>
  <c r="A1145" i="34"/>
  <c r="A1147" i="34"/>
  <c r="A1149" i="34"/>
  <c r="A1151" i="34"/>
  <c r="A1153" i="34"/>
  <c r="A1155" i="34"/>
  <c r="A1157" i="34"/>
  <c r="A1158" i="34"/>
  <c r="A1159" i="34"/>
  <c r="A1160" i="34"/>
  <c r="A1161" i="34"/>
  <c r="A1162" i="34"/>
  <c r="A1163" i="34"/>
  <c r="A1164" i="34"/>
  <c r="A1165" i="34"/>
  <c r="A1166" i="34"/>
  <c r="A1167" i="34"/>
  <c r="A1168" i="34"/>
  <c r="A1169" i="34"/>
  <c r="A1170" i="34"/>
  <c r="A1171" i="34"/>
  <c r="A1172" i="34"/>
  <c r="A1173" i="34"/>
  <c r="A1174" i="34"/>
  <c r="A1175" i="34"/>
  <c r="A1176" i="34"/>
  <c r="A1177" i="34"/>
  <c r="A1178" i="34"/>
  <c r="A1179" i="34"/>
  <c r="A1180" i="34"/>
  <c r="A1181" i="34"/>
  <c r="A1182" i="34"/>
  <c r="A1302" i="34"/>
  <c r="A1320" i="34"/>
  <c r="A1322" i="34"/>
  <c r="A1324" i="34"/>
  <c r="A1326" i="34"/>
  <c r="A1328" i="34"/>
  <c r="A1330" i="34"/>
  <c r="A1332" i="34"/>
  <c r="A1334" i="34"/>
  <c r="A1336" i="34"/>
  <c r="A1298" i="34"/>
  <c r="A1300" i="34"/>
  <c r="A1214" i="34"/>
  <c r="A1216" i="34"/>
  <c r="A1218" i="34"/>
  <c r="A1215" i="34"/>
  <c r="A1217" i="34"/>
  <c r="A1219" i="34"/>
  <c r="A1221" i="34"/>
  <c r="A1223" i="34"/>
  <c r="A1225" i="34"/>
  <c r="A1227" i="34"/>
  <c r="A1229" i="34"/>
  <c r="A1231" i="34"/>
  <c r="A1233" i="34"/>
  <c r="A1235" i="34"/>
  <c r="A1237" i="34"/>
  <c r="A1239" i="34"/>
  <c r="A1241" i="34"/>
  <c r="A1243" i="34"/>
  <c r="A1245" i="34"/>
  <c r="A1247" i="34"/>
  <c r="A1249" i="34"/>
  <c r="A1251" i="34"/>
  <c r="A1253" i="34"/>
  <c r="A1256" i="34"/>
  <c r="A1258" i="34"/>
  <c r="A1220" i="34"/>
  <c r="A1222" i="34"/>
  <c r="A1224" i="34"/>
  <c r="A1226" i="34"/>
  <c r="A1228" i="34"/>
  <c r="A1230" i="34"/>
  <c r="A1232" i="34"/>
  <c r="A1234" i="34"/>
  <c r="A1236" i="34"/>
  <c r="A1238" i="34"/>
  <c r="A1240" i="34"/>
  <c r="A1242" i="34"/>
  <c r="A1244" i="34"/>
  <c r="A1246" i="34"/>
  <c r="A1248" i="34"/>
  <c r="A1250" i="34"/>
  <c r="A1252" i="34"/>
  <c r="A1254" i="34"/>
  <c r="A1255" i="34"/>
  <c r="A1257" i="34"/>
  <c r="A1259" i="34"/>
  <c r="A1260" i="34"/>
  <c r="A1262" i="34"/>
  <c r="A1264" i="34"/>
  <c r="A1266" i="34"/>
  <c r="A1268" i="34"/>
  <c r="A1270" i="34"/>
  <c r="A1272" i="34"/>
  <c r="A1274" i="34"/>
  <c r="A1276" i="34"/>
  <c r="A1278" i="34"/>
  <c r="A1280" i="34"/>
  <c r="A1282" i="34"/>
  <c r="A1284" i="34"/>
  <c r="A1286" i="34"/>
  <c r="A1288" i="34"/>
  <c r="A1290" i="34"/>
  <c r="A1292" i="34"/>
  <c r="A1294" i="34"/>
  <c r="A1299" i="34"/>
  <c r="A1295" i="34"/>
  <c r="A1297" i="34"/>
  <c r="A1261" i="34"/>
  <c r="A1263" i="34"/>
  <c r="A1265" i="34"/>
  <c r="A1267" i="34"/>
  <c r="A1269" i="34"/>
  <c r="A1271" i="34"/>
  <c r="A1273" i="34"/>
  <c r="A1275" i="34"/>
  <c r="A1277" i="34"/>
  <c r="A1279" i="34"/>
  <c r="A1281" i="34"/>
  <c r="A1283" i="34"/>
  <c r="A1285" i="34"/>
  <c r="A1287" i="34"/>
  <c r="A1289" i="34"/>
  <c r="A1291" i="34"/>
  <c r="A1293" i="34"/>
  <c r="A1301" i="34"/>
  <c r="A1303" i="34"/>
  <c r="A1305" i="34"/>
  <c r="A1307" i="34"/>
  <c r="A1309" i="34"/>
  <c r="A1311" i="34"/>
  <c r="A1313" i="34"/>
  <c r="A1315" i="34"/>
  <c r="A1317" i="34"/>
  <c r="A1319" i="34"/>
  <c r="A1321" i="34"/>
  <c r="A1323" i="34"/>
  <c r="A1325" i="34"/>
  <c r="A1327" i="34"/>
  <c r="A1329" i="34"/>
  <c r="A1331" i="34"/>
  <c r="A1333" i="34"/>
  <c r="A1335" i="34"/>
  <c r="A1339" i="34"/>
  <c r="A1340" i="34"/>
  <c r="A1341" i="34"/>
  <c r="A1355" i="34"/>
  <c r="A1357" i="34"/>
  <c r="A1359" i="34"/>
  <c r="A1361" i="34"/>
  <c r="A1363" i="34"/>
  <c r="A1365" i="34"/>
  <c r="A1367" i="34"/>
  <c r="A1369" i="34"/>
  <c r="A1371" i="34"/>
  <c r="A1373" i="34"/>
  <c r="A1375" i="34"/>
  <c r="A1377" i="34"/>
  <c r="A1379" i="34"/>
  <c r="A1381" i="34"/>
  <c r="A1383" i="34"/>
  <c r="A1392" i="34"/>
  <c r="A1342" i="34"/>
  <c r="A1344" i="34"/>
  <c r="A1346" i="34"/>
  <c r="A1348" i="34"/>
  <c r="A873" i="34"/>
  <c r="A874" i="34"/>
  <c r="A875" i="34"/>
  <c r="N16" i="34" l="1"/>
  <c r="R16" i="34"/>
  <c r="S16" i="34"/>
  <c r="T16" i="34"/>
  <c r="V16" i="34"/>
  <c r="W16" i="34"/>
  <c r="C805" i="34"/>
  <c r="B805" i="34" s="1"/>
  <c r="C208" i="34"/>
  <c r="B208" i="34" s="1"/>
  <c r="C334" i="34"/>
  <c r="B334" i="34" s="1"/>
  <c r="C301" i="34"/>
  <c r="B301" i="34" s="1"/>
  <c r="C237" i="34"/>
  <c r="B237" i="34" s="1"/>
  <c r="C245" i="34"/>
  <c r="B245" i="34" s="1"/>
  <c r="K163" i="34"/>
  <c r="K458" i="34"/>
  <c r="C458" i="34"/>
  <c r="B458" i="34" s="1"/>
  <c r="C163" i="34"/>
  <c r="B163" i="34" s="1"/>
  <c r="K623" i="34"/>
  <c r="K272" i="34"/>
  <c r="K142" i="34"/>
  <c r="C344" i="34"/>
  <c r="B344" i="34" s="1"/>
  <c r="C810" i="34"/>
  <c r="B810" i="34" s="1"/>
  <c r="C788" i="34"/>
  <c r="B788" i="34" s="1"/>
  <c r="C705" i="34"/>
  <c r="B705" i="34" s="1"/>
  <c r="C635" i="34"/>
  <c r="B635" i="34" s="1"/>
  <c r="A344" i="34" l="1"/>
  <c r="A245" i="34"/>
  <c r="A635" i="34"/>
  <c r="A163" i="34"/>
  <c r="A208" i="34"/>
  <c r="A237" i="34"/>
  <c r="A301" i="34"/>
  <c r="A810" i="34"/>
  <c r="A334" i="34"/>
  <c r="A705" i="34"/>
  <c r="A805" i="34"/>
  <c r="A458" i="34"/>
  <c r="A788" i="34"/>
  <c r="C623" i="34"/>
  <c r="B623" i="34" s="1"/>
  <c r="C272" i="34"/>
  <c r="B272" i="34" s="1"/>
  <c r="C142" i="34"/>
  <c r="B142" i="34" s="1"/>
  <c r="K282" i="34"/>
  <c r="K420" i="34"/>
  <c r="C624" i="34"/>
  <c r="B624" i="34" s="1"/>
  <c r="C420" i="34"/>
  <c r="B420" i="34" s="1"/>
  <c r="C282" i="34"/>
  <c r="B282" i="34" s="1"/>
  <c r="C669" i="34"/>
  <c r="B669" i="34" s="1"/>
  <c r="C607" i="34"/>
  <c r="B607" i="34" s="1"/>
  <c r="C568" i="34"/>
  <c r="B568" i="34" s="1"/>
  <c r="C419" i="34"/>
  <c r="B419" i="34" s="1"/>
  <c r="C298" i="34"/>
  <c r="B298" i="34" s="1"/>
  <c r="C242" i="34"/>
  <c r="B242" i="34" s="1"/>
  <c r="C214" i="34"/>
  <c r="B214" i="34" s="1"/>
  <c r="C179" i="34"/>
  <c r="B179" i="34" s="1"/>
  <c r="C64" i="34"/>
  <c r="B64" i="34" s="1"/>
  <c r="A64" i="34" l="1"/>
  <c r="A623" i="34"/>
  <c r="A419" i="34"/>
  <c r="A282" i="34"/>
  <c r="A214" i="34"/>
  <c r="A568" i="34"/>
  <c r="A420" i="34"/>
  <c r="A142" i="34"/>
  <c r="A624" i="34"/>
  <c r="A242" i="34"/>
  <c r="A272" i="34"/>
  <c r="A669" i="34"/>
  <c r="A607" i="34"/>
  <c r="A298" i="34"/>
  <c r="A179" i="34"/>
  <c r="K845" i="34"/>
  <c r="K846" i="34"/>
  <c r="K847" i="34"/>
  <c r="K848" i="34"/>
  <c r="K849" i="34"/>
  <c r="K850" i="34"/>
  <c r="K851" i="34"/>
  <c r="K852" i="34"/>
  <c r="K853" i="34"/>
  <c r="K854" i="34"/>
  <c r="K855" i="34"/>
  <c r="K856" i="34"/>
  <c r="K857" i="34"/>
  <c r="K858" i="34"/>
  <c r="K859" i="34"/>
  <c r="K860" i="34"/>
  <c r="K861" i="34"/>
  <c r="K862" i="34"/>
  <c r="K844" i="34"/>
  <c r="C850" i="34"/>
  <c r="C851" i="34"/>
  <c r="C852" i="34"/>
  <c r="C853" i="34"/>
  <c r="C854" i="34"/>
  <c r="C855" i="34"/>
  <c r="C856" i="34"/>
  <c r="C857" i="34"/>
  <c r="C858" i="34"/>
  <c r="C859" i="34"/>
  <c r="C860" i="34"/>
  <c r="C861" i="34"/>
  <c r="C862" i="34"/>
  <c r="C845" i="34"/>
  <c r="C846" i="34"/>
  <c r="C847" i="34"/>
  <c r="C848" i="34"/>
  <c r="C849" i="34"/>
  <c r="H15" i="60"/>
  <c r="I15" i="60" s="1"/>
  <c r="S15" i="60"/>
  <c r="H16" i="60"/>
  <c r="I16" i="60" s="1"/>
  <c r="S16" i="60"/>
  <c r="H17" i="60"/>
  <c r="I17" i="60" s="1"/>
  <c r="S17" i="60"/>
  <c r="H18" i="60"/>
  <c r="S18" i="60"/>
  <c r="H19" i="60"/>
  <c r="I19" i="60" s="1"/>
  <c r="S19" i="60"/>
  <c r="H20" i="60"/>
  <c r="I20" i="60" s="1"/>
  <c r="S20" i="60"/>
  <c r="H21" i="60"/>
  <c r="I21" i="60" s="1"/>
  <c r="S21" i="60"/>
  <c r="S135" i="60"/>
  <c r="S136" i="60"/>
  <c r="S137" i="60"/>
  <c r="S138" i="60"/>
  <c r="S139" i="60"/>
  <c r="S140" i="60"/>
  <c r="S141" i="60"/>
  <c r="S142" i="60"/>
  <c r="S143" i="60"/>
  <c r="S144" i="60"/>
  <c r="S145" i="60"/>
  <c r="S146" i="60"/>
  <c r="S147" i="60"/>
  <c r="S148" i="60"/>
  <c r="S149" i="60"/>
  <c r="S150" i="60"/>
  <c r="S151" i="60"/>
  <c r="S152" i="60"/>
  <c r="S153" i="60"/>
  <c r="S154" i="60"/>
  <c r="S155" i="60"/>
  <c r="S156" i="60"/>
  <c r="S157" i="60"/>
  <c r="S158" i="60"/>
  <c r="S159" i="60"/>
  <c r="S160" i="60"/>
  <c r="S161" i="60"/>
  <c r="S162" i="60"/>
  <c r="S163" i="60"/>
  <c r="S164" i="60"/>
  <c r="S165" i="60"/>
  <c r="S166" i="60"/>
  <c r="S167" i="60"/>
  <c r="S168" i="60"/>
  <c r="S169" i="60"/>
  <c r="S170" i="60"/>
  <c r="S171" i="60"/>
  <c r="S172" i="60"/>
  <c r="S173" i="60"/>
  <c r="S174" i="60"/>
  <c r="S175" i="60"/>
  <c r="S176" i="60"/>
  <c r="S177" i="60"/>
  <c r="S178" i="60"/>
  <c r="S179" i="60"/>
  <c r="S180" i="60"/>
  <c r="S181" i="60"/>
  <c r="S182" i="60"/>
  <c r="S183" i="60"/>
  <c r="S184" i="60"/>
  <c r="S185" i="60"/>
  <c r="S186" i="60"/>
  <c r="S187" i="60"/>
  <c r="S188" i="60"/>
  <c r="S189" i="60"/>
  <c r="S190" i="60"/>
  <c r="S191" i="60"/>
  <c r="S192" i="60"/>
  <c r="S193" i="60"/>
  <c r="S194" i="60"/>
  <c r="S195" i="60"/>
  <c r="S196" i="60"/>
  <c r="S197" i="60"/>
  <c r="S198" i="60"/>
  <c r="S199" i="60"/>
  <c r="S200" i="60"/>
  <c r="S201" i="60"/>
  <c r="S202" i="60"/>
  <c r="S203" i="60"/>
  <c r="S204" i="60"/>
  <c r="S205" i="60"/>
  <c r="S206" i="60"/>
  <c r="S207" i="60"/>
  <c r="S208" i="60"/>
  <c r="S209" i="60"/>
  <c r="S210" i="60"/>
  <c r="S211" i="60"/>
  <c r="S212" i="60"/>
  <c r="S213" i="60"/>
  <c r="S214" i="60"/>
  <c r="S215" i="60"/>
  <c r="S216" i="60"/>
  <c r="S217" i="60"/>
  <c r="S218" i="60"/>
  <c r="S219" i="60"/>
  <c r="S220" i="60"/>
  <c r="S221" i="60"/>
  <c r="S222" i="60"/>
  <c r="S223" i="60"/>
  <c r="S224" i="60"/>
  <c r="S225" i="60"/>
  <c r="S226" i="60"/>
  <c r="S227" i="60"/>
  <c r="S228" i="60"/>
  <c r="S229" i="60"/>
  <c r="S230" i="60"/>
  <c r="S231" i="60"/>
  <c r="S232" i="60"/>
  <c r="S233" i="60"/>
  <c r="S234" i="60"/>
  <c r="S235" i="60"/>
  <c r="S236" i="60"/>
  <c r="S237" i="60"/>
  <c r="S238" i="60"/>
  <c r="S239" i="60"/>
  <c r="S240" i="60"/>
  <c r="S241" i="60"/>
  <c r="S242" i="60"/>
  <c r="S243" i="60"/>
  <c r="S244" i="60"/>
  <c r="S245" i="60"/>
  <c r="S246" i="60"/>
  <c r="S247" i="60"/>
  <c r="S248" i="60"/>
  <c r="S249" i="60"/>
  <c r="S250" i="60"/>
  <c r="S251" i="60"/>
  <c r="S252" i="60"/>
  <c r="S253" i="60"/>
  <c r="S254" i="60"/>
  <c r="S255" i="60"/>
  <c r="S256" i="60"/>
  <c r="S257" i="60"/>
  <c r="S258" i="60"/>
  <c r="S259" i="60"/>
  <c r="S260" i="60"/>
  <c r="S261" i="60"/>
  <c r="S262" i="60"/>
  <c r="S270" i="60"/>
  <c r="S271" i="60"/>
  <c r="S134" i="60"/>
  <c r="S7" i="60"/>
  <c r="S8" i="60"/>
  <c r="S9" i="60"/>
  <c r="S10" i="60"/>
  <c r="S11" i="60"/>
  <c r="S12" i="60"/>
  <c r="S13" i="60"/>
  <c r="S14" i="60"/>
  <c r="S22" i="60"/>
  <c r="S23" i="60"/>
  <c r="S24" i="60"/>
  <c r="S25" i="60"/>
  <c r="S26" i="60"/>
  <c r="S27" i="60"/>
  <c r="S28" i="60"/>
  <c r="S29" i="60"/>
  <c r="S30" i="60"/>
  <c r="S31" i="60"/>
  <c r="S32" i="60"/>
  <c r="S33" i="60"/>
  <c r="S34" i="60"/>
  <c r="S35" i="60"/>
  <c r="S36" i="60"/>
  <c r="S37" i="60"/>
  <c r="S38" i="60"/>
  <c r="S39" i="60"/>
  <c r="S40" i="60"/>
  <c r="S41" i="60"/>
  <c r="S42" i="60"/>
  <c r="S43" i="60"/>
  <c r="S44" i="60"/>
  <c r="S45" i="60"/>
  <c r="S46" i="60"/>
  <c r="S47" i="60"/>
  <c r="S48" i="60"/>
  <c r="S49" i="60"/>
  <c r="S50" i="60"/>
  <c r="S51" i="60"/>
  <c r="S52" i="60"/>
  <c r="S53" i="60"/>
  <c r="S54" i="60"/>
  <c r="S55" i="60"/>
  <c r="S56" i="60"/>
  <c r="S57" i="60"/>
  <c r="S58" i="60"/>
  <c r="S59" i="60"/>
  <c r="S60" i="60"/>
  <c r="S61" i="60"/>
  <c r="S62" i="60"/>
  <c r="S63" i="60"/>
  <c r="S64" i="60"/>
  <c r="S65" i="60"/>
  <c r="S66" i="60"/>
  <c r="S67" i="60"/>
  <c r="S68" i="60"/>
  <c r="S69" i="60"/>
  <c r="S70" i="60"/>
  <c r="S71" i="60"/>
  <c r="S72" i="60"/>
  <c r="S73" i="60"/>
  <c r="S74" i="60"/>
  <c r="S75" i="60"/>
  <c r="S76" i="60"/>
  <c r="S77" i="60"/>
  <c r="S78" i="60"/>
  <c r="S79" i="60"/>
  <c r="S80" i="60"/>
  <c r="S81" i="60"/>
  <c r="S82" i="60"/>
  <c r="S83" i="60"/>
  <c r="S84" i="60"/>
  <c r="S85" i="60"/>
  <c r="S86" i="60"/>
  <c r="S87" i="60"/>
  <c r="S88" i="60"/>
  <c r="S89" i="60"/>
  <c r="S90" i="60"/>
  <c r="S91" i="60"/>
  <c r="S92" i="60"/>
  <c r="S93" i="60"/>
  <c r="S94" i="60"/>
  <c r="S95" i="60"/>
  <c r="S96" i="60"/>
  <c r="S97" i="60"/>
  <c r="S98" i="60"/>
  <c r="S99" i="60"/>
  <c r="S100" i="60"/>
  <c r="S101" i="60"/>
  <c r="S102" i="60"/>
  <c r="S103" i="60"/>
  <c r="S104" i="60"/>
  <c r="S105" i="60"/>
  <c r="S106" i="60"/>
  <c r="S107" i="60"/>
  <c r="S108" i="60"/>
  <c r="S109" i="60"/>
  <c r="S110" i="60"/>
  <c r="S111" i="60"/>
  <c r="S112" i="60"/>
  <c r="S113" i="60"/>
  <c r="S114" i="60"/>
  <c r="S115" i="60"/>
  <c r="S116" i="60"/>
  <c r="S117" i="60"/>
  <c r="S118" i="60"/>
  <c r="S119" i="60"/>
  <c r="S120" i="60"/>
  <c r="S121" i="60"/>
  <c r="S122" i="60"/>
  <c r="S123" i="60"/>
  <c r="S124" i="60"/>
  <c r="S6" i="60"/>
  <c r="S126" i="60" l="1"/>
  <c r="S273" i="60"/>
  <c r="I18" i="60"/>
  <c r="N12" i="34"/>
  <c r="R12" i="34"/>
  <c r="S12" i="34"/>
  <c r="T12" i="34"/>
  <c r="V12" i="34"/>
  <c r="W12" i="34"/>
  <c r="N13" i="34"/>
  <c r="R13" i="34"/>
  <c r="S13" i="34"/>
  <c r="T13" i="34"/>
  <c r="V13" i="34"/>
  <c r="W13" i="34"/>
  <c r="N14" i="34"/>
  <c r="R14" i="34"/>
  <c r="S14" i="34"/>
  <c r="T14" i="34"/>
  <c r="V14" i="34"/>
  <c r="W14" i="34"/>
  <c r="N15" i="34"/>
  <c r="R15" i="34"/>
  <c r="S15" i="34"/>
  <c r="T15" i="34"/>
  <c r="V15" i="34"/>
  <c r="W15" i="34"/>
  <c r="R134" i="60"/>
  <c r="R135" i="60"/>
  <c r="R136" i="60"/>
  <c r="R137" i="60"/>
  <c r="R138" i="60"/>
  <c r="R139" i="60"/>
  <c r="R140" i="60"/>
  <c r="R141" i="60"/>
  <c r="R142" i="60"/>
  <c r="R143" i="60"/>
  <c r="R144" i="60"/>
  <c r="R147" i="60"/>
  <c r="R146" i="60" l="1"/>
  <c r="R160" i="60"/>
  <c r="R159" i="60"/>
  <c r="R161" i="60" s="1"/>
  <c r="C832" i="34"/>
  <c r="B832" i="34" s="1"/>
  <c r="C831" i="34"/>
  <c r="B831" i="34" s="1"/>
  <c r="C319" i="34"/>
  <c r="B319" i="34" s="1"/>
  <c r="C318" i="34"/>
  <c r="B318" i="34" s="1"/>
  <c r="K317" i="34"/>
  <c r="C317" i="34"/>
  <c r="B317" i="34" s="1"/>
  <c r="C343" i="34"/>
  <c r="B343" i="34" s="1"/>
  <c r="K342" i="34"/>
  <c r="C342" i="34"/>
  <c r="B342" i="34" s="1"/>
  <c r="C354" i="34"/>
  <c r="B354" i="34" s="1"/>
  <c r="C353" i="34"/>
  <c r="B353" i="34" s="1"/>
  <c r="K352" i="34"/>
  <c r="C352" i="34"/>
  <c r="B352" i="34" s="1"/>
  <c r="C365" i="34"/>
  <c r="B365" i="34" s="1"/>
  <c r="C364" i="34"/>
  <c r="B364" i="34" s="1"/>
  <c r="C390" i="34"/>
  <c r="B390" i="34" s="1"/>
  <c r="C389" i="34"/>
  <c r="B389" i="34" s="1"/>
  <c r="B400" i="34"/>
  <c r="B399" i="34"/>
  <c r="B403" i="34"/>
  <c r="B404" i="34"/>
  <c r="C626" i="34"/>
  <c r="B626" i="34" s="1"/>
  <c r="C625" i="34"/>
  <c r="B625" i="34" s="1"/>
  <c r="A404" i="34" l="1"/>
  <c r="A352" i="34"/>
  <c r="A832" i="34"/>
  <c r="A390" i="34"/>
  <c r="A626" i="34"/>
  <c r="A400" i="34"/>
  <c r="A365" i="34"/>
  <c r="A354" i="34"/>
  <c r="A317" i="34"/>
  <c r="A831" i="34"/>
  <c r="A342" i="34"/>
  <c r="A389" i="34"/>
  <c r="A403" i="34"/>
  <c r="A318" i="34"/>
  <c r="A625" i="34"/>
  <c r="A399" i="34"/>
  <c r="A364" i="34"/>
  <c r="A353" i="34"/>
  <c r="A343" i="34"/>
  <c r="A319" i="34"/>
  <c r="R167" i="60"/>
  <c r="C599" i="34"/>
  <c r="B599" i="34" s="1"/>
  <c r="C598" i="34"/>
  <c r="B598" i="34" s="1"/>
  <c r="A598" i="34" l="1"/>
  <c r="A599" i="34"/>
  <c r="C834" i="34"/>
  <c r="B834" i="34" s="1"/>
  <c r="C833" i="34"/>
  <c r="B833" i="34" s="1"/>
  <c r="A834" i="34" l="1"/>
  <c r="A833" i="34"/>
  <c r="C671" i="34"/>
  <c r="B671" i="34" s="1"/>
  <c r="C670" i="34"/>
  <c r="B670" i="34" s="1"/>
  <c r="C716" i="34"/>
  <c r="B716" i="34" s="1"/>
  <c r="C715" i="34"/>
  <c r="B715" i="34" s="1"/>
  <c r="A716" i="34" l="1"/>
  <c r="A670" i="34"/>
  <c r="A671" i="34"/>
  <c r="A715" i="34"/>
  <c r="C707" i="34"/>
  <c r="B707" i="34" s="1"/>
  <c r="C718" i="34"/>
  <c r="B718" i="34" s="1"/>
  <c r="C717" i="34"/>
  <c r="B717" i="34" s="1"/>
  <c r="C714" i="34"/>
  <c r="B714" i="34" s="1"/>
  <c r="C735" i="34"/>
  <c r="B735" i="34" s="1"/>
  <c r="C789" i="34"/>
  <c r="B789" i="34" s="1"/>
  <c r="C812" i="34"/>
  <c r="B812" i="34" s="1"/>
  <c r="C830" i="34"/>
  <c r="B830" i="34" s="1"/>
  <c r="C829" i="34"/>
  <c r="B829" i="34" s="1"/>
  <c r="C657" i="34"/>
  <c r="B657" i="34" s="1"/>
  <c r="C656" i="34"/>
  <c r="B656" i="34" s="1"/>
  <c r="C655" i="34"/>
  <c r="B655" i="34" s="1"/>
  <c r="C674" i="34"/>
  <c r="B674" i="34" s="1"/>
  <c r="C673" i="34"/>
  <c r="B673" i="34" s="1"/>
  <c r="C672" i="34"/>
  <c r="B672" i="34" s="1"/>
  <c r="C709" i="34"/>
  <c r="B709" i="34" s="1"/>
  <c r="C708" i="34"/>
  <c r="B708" i="34" s="1"/>
  <c r="C828" i="34"/>
  <c r="B828" i="34" s="1"/>
  <c r="C636" i="34"/>
  <c r="B636" i="34" s="1"/>
  <c r="C654" i="34"/>
  <c r="B654" i="34" s="1"/>
  <c r="C665" i="34"/>
  <c r="B665" i="34" s="1"/>
  <c r="C664" i="34"/>
  <c r="B664" i="34" s="1"/>
  <c r="C782" i="34"/>
  <c r="B782" i="34" s="1"/>
  <c r="C804" i="34"/>
  <c r="B804" i="34" s="1"/>
  <c r="C811" i="34"/>
  <c r="B811" i="34" s="1"/>
  <c r="C706" i="34"/>
  <c r="B706" i="34" s="1"/>
  <c r="C713" i="34"/>
  <c r="B713" i="34" s="1"/>
  <c r="C734" i="34"/>
  <c r="B734" i="34" s="1"/>
  <c r="A782" i="34" l="1"/>
  <c r="A828" i="34"/>
  <c r="A657" i="34"/>
  <c r="A718" i="34"/>
  <c r="A665" i="34"/>
  <c r="A708" i="34"/>
  <c r="A829" i="34"/>
  <c r="A735" i="34"/>
  <c r="A734" i="34"/>
  <c r="A804" i="34"/>
  <c r="A654" i="34"/>
  <c r="A709" i="34"/>
  <c r="A655" i="34"/>
  <c r="A830" i="34"/>
  <c r="A714" i="34"/>
  <c r="A713" i="34"/>
  <c r="A636" i="34"/>
  <c r="A656" i="34"/>
  <c r="A717" i="34"/>
  <c r="A706" i="34"/>
  <c r="A672" i="34"/>
  <c r="A812" i="34"/>
  <c r="A664" i="34"/>
  <c r="A673" i="34"/>
  <c r="A789" i="34"/>
  <c r="A811" i="34"/>
  <c r="A674" i="34"/>
  <c r="A707" i="34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A244" i="60"/>
  <c r="A245" i="60"/>
  <c r="A246" i="60"/>
  <c r="A247" i="60"/>
  <c r="A248" i="60"/>
  <c r="A249" i="60"/>
  <c r="A250" i="60"/>
  <c r="A251" i="60"/>
  <c r="A252" i="60"/>
  <c r="A253" i="60"/>
  <c r="A254" i="60"/>
  <c r="A255" i="60"/>
  <c r="A256" i="60"/>
  <c r="A257" i="60"/>
  <c r="A258" i="60"/>
  <c r="A259" i="60"/>
  <c r="A260" i="60"/>
  <c r="A261" i="60"/>
  <c r="A262" i="60"/>
  <c r="A272" i="60"/>
  <c r="H221" i="60"/>
  <c r="H220" i="60"/>
  <c r="H219" i="60"/>
  <c r="H218" i="60"/>
  <c r="H217" i="60"/>
  <c r="H216" i="60"/>
  <c r="H215" i="60"/>
  <c r="H214" i="60"/>
  <c r="H213" i="60"/>
  <c r="H212" i="60"/>
  <c r="H211" i="60"/>
  <c r="H210" i="60"/>
  <c r="H209" i="60"/>
  <c r="H208" i="60"/>
  <c r="I208" i="60" s="1"/>
  <c r="H207" i="60"/>
  <c r="H206" i="60"/>
  <c r="H205" i="60"/>
  <c r="H204" i="60"/>
  <c r="H203" i="60"/>
  <c r="H202" i="60"/>
  <c r="H201" i="60"/>
  <c r="H200" i="60"/>
  <c r="H199" i="60"/>
  <c r="H198" i="60"/>
  <c r="H197" i="60"/>
  <c r="H246" i="60"/>
  <c r="H245" i="60"/>
  <c r="H244" i="60"/>
  <c r="H243" i="60"/>
  <c r="H242" i="60"/>
  <c r="H241" i="60"/>
  <c r="H240" i="60"/>
  <c r="H239" i="60"/>
  <c r="H238" i="60"/>
  <c r="H237" i="60"/>
  <c r="H236" i="60"/>
  <c r="H235" i="60"/>
  <c r="H234" i="60"/>
  <c r="H233" i="60"/>
  <c r="H232" i="60"/>
  <c r="H231" i="60"/>
  <c r="H230" i="60"/>
  <c r="H229" i="60"/>
  <c r="H228" i="60"/>
  <c r="H227" i="60"/>
  <c r="H226" i="60"/>
  <c r="H225" i="60"/>
  <c r="H224" i="60"/>
  <c r="H223" i="60"/>
  <c r="H222" i="60"/>
  <c r="H134" i="60"/>
  <c r="H135" i="60"/>
  <c r="H136" i="60"/>
  <c r="H137" i="60"/>
  <c r="H138" i="60"/>
  <c r="H139" i="60"/>
  <c r="H140" i="60"/>
  <c r="H141" i="60"/>
  <c r="H142" i="60"/>
  <c r="H143" i="60"/>
  <c r="H144" i="60"/>
  <c r="H145" i="60"/>
  <c r="H146" i="60"/>
  <c r="H147" i="60"/>
  <c r="H148" i="60"/>
  <c r="H149" i="60"/>
  <c r="H150" i="60"/>
  <c r="H151" i="60"/>
  <c r="H152" i="60"/>
  <c r="H153" i="60"/>
  <c r="H154" i="60"/>
  <c r="H155" i="60"/>
  <c r="H156" i="60"/>
  <c r="H157" i="60"/>
  <c r="H158" i="60"/>
  <c r="H159" i="60"/>
  <c r="H160" i="60"/>
  <c r="H161" i="60"/>
  <c r="H162" i="60"/>
  <c r="H163" i="60"/>
  <c r="H164" i="60"/>
  <c r="H165" i="60"/>
  <c r="H166" i="60"/>
  <c r="H167" i="60"/>
  <c r="H168" i="60"/>
  <c r="H169" i="60"/>
  <c r="H170" i="60"/>
  <c r="H171" i="60"/>
  <c r="H172" i="60"/>
  <c r="H173" i="60"/>
  <c r="H174" i="60"/>
  <c r="H175" i="60"/>
  <c r="H176" i="60"/>
  <c r="H177" i="60"/>
  <c r="H178" i="60"/>
  <c r="H179" i="60"/>
  <c r="H180" i="60"/>
  <c r="H181" i="60"/>
  <c r="H182" i="60"/>
  <c r="H183" i="60"/>
  <c r="H184" i="60"/>
  <c r="H185" i="60"/>
  <c r="H186" i="60"/>
  <c r="H187" i="60"/>
  <c r="H188" i="60"/>
  <c r="H189" i="60"/>
  <c r="H190" i="60"/>
  <c r="H191" i="60"/>
  <c r="H192" i="60"/>
  <c r="H193" i="60"/>
  <c r="H194" i="60"/>
  <c r="H195" i="60"/>
  <c r="H196" i="60"/>
  <c r="H247" i="60"/>
  <c r="H248" i="60"/>
  <c r="H249" i="60"/>
  <c r="H250" i="60"/>
  <c r="H251" i="60"/>
  <c r="H252" i="60"/>
  <c r="H253" i="60"/>
  <c r="H254" i="60"/>
  <c r="H255" i="60"/>
  <c r="H256" i="60"/>
  <c r="H257" i="60"/>
  <c r="H258" i="60"/>
  <c r="H259" i="60"/>
  <c r="H260" i="60"/>
  <c r="H261" i="60"/>
  <c r="H262" i="60"/>
  <c r="H270" i="60"/>
  <c r="H271" i="60"/>
  <c r="C843" i="34"/>
  <c r="C844" i="34"/>
  <c r="I260" i="60" l="1"/>
  <c r="I186" i="60"/>
  <c r="I178" i="60"/>
  <c r="I170" i="60"/>
  <c r="I162" i="60"/>
  <c r="I154" i="60"/>
  <c r="I200" i="60"/>
  <c r="I207" i="60"/>
  <c r="I214" i="60"/>
  <c r="I217" i="60"/>
  <c r="I259" i="60"/>
  <c r="I251" i="60"/>
  <c r="I193" i="60"/>
  <c r="I189" i="60"/>
  <c r="I145" i="60"/>
  <c r="I137" i="60"/>
  <c r="I197" i="60"/>
  <c r="I204" i="60"/>
  <c r="I211" i="60"/>
  <c r="I218" i="60"/>
  <c r="I262" i="60"/>
  <c r="I258" i="60"/>
  <c r="I184" i="60"/>
  <c r="I180" i="60"/>
  <c r="I176" i="60"/>
  <c r="I172" i="60"/>
  <c r="I168" i="60"/>
  <c r="I164" i="60"/>
  <c r="I160" i="60"/>
  <c r="I156" i="60"/>
  <c r="I152" i="60"/>
  <c r="I148" i="60"/>
  <c r="I140" i="60"/>
  <c r="I136" i="60"/>
  <c r="I198" i="60"/>
  <c r="I205" i="60"/>
  <c r="I212" i="60"/>
  <c r="I219" i="60"/>
  <c r="I271" i="60"/>
  <c r="I256" i="60"/>
  <c r="I190" i="60"/>
  <c r="I182" i="60"/>
  <c r="I174" i="60"/>
  <c r="I166" i="60"/>
  <c r="I158" i="60"/>
  <c r="I203" i="60"/>
  <c r="I210" i="60"/>
  <c r="I221" i="60"/>
  <c r="I270" i="60"/>
  <c r="I255" i="60"/>
  <c r="I247" i="60"/>
  <c r="I181" i="60"/>
  <c r="I173" i="60"/>
  <c r="I165" i="60"/>
  <c r="I157" i="60"/>
  <c r="I141" i="60"/>
  <c r="I201" i="60"/>
  <c r="I215" i="60"/>
  <c r="I261" i="60"/>
  <c r="I257" i="60"/>
  <c r="I253" i="60"/>
  <c r="I249" i="60"/>
  <c r="I195" i="60"/>
  <c r="I191" i="60"/>
  <c r="I147" i="60"/>
  <c r="I143" i="60"/>
  <c r="I199" i="60"/>
  <c r="I202" i="60"/>
  <c r="I206" i="60"/>
  <c r="I209" i="60"/>
  <c r="I213" i="60"/>
  <c r="I216" i="60"/>
  <c r="I220" i="60"/>
  <c r="I248" i="60"/>
  <c r="I185" i="60"/>
  <c r="I177" i="60"/>
  <c r="I169" i="60"/>
  <c r="I163" i="60"/>
  <c r="I153" i="60"/>
  <c r="I149" i="60"/>
  <c r="I144" i="60"/>
  <c r="I194" i="60"/>
  <c r="I187" i="60"/>
  <c r="I179" i="60"/>
  <c r="I171" i="60"/>
  <c r="I161" i="60"/>
  <c r="I155" i="60"/>
  <c r="I252" i="60"/>
  <c r="I222" i="60"/>
  <c r="I223" i="60"/>
  <c r="I224" i="60"/>
  <c r="I225" i="60"/>
  <c r="I226" i="60"/>
  <c r="I227" i="60"/>
  <c r="I228" i="60"/>
  <c r="I229" i="60"/>
  <c r="I230" i="60"/>
  <c r="I231" i="60"/>
  <c r="I232" i="60"/>
  <c r="I233" i="60"/>
  <c r="I234" i="60"/>
  <c r="I235" i="60"/>
  <c r="I236" i="60"/>
  <c r="I237" i="60"/>
  <c r="I238" i="60"/>
  <c r="I239" i="60"/>
  <c r="I240" i="60"/>
  <c r="I241" i="60"/>
  <c r="I242" i="60"/>
  <c r="I243" i="60"/>
  <c r="I244" i="60"/>
  <c r="I245" i="60"/>
  <c r="I246" i="60"/>
  <c r="I254" i="60"/>
  <c r="I250" i="60"/>
  <c r="I196" i="60"/>
  <c r="I192" i="60"/>
  <c r="I188" i="60"/>
  <c r="I146" i="60"/>
  <c r="I139" i="60"/>
  <c r="I183" i="60"/>
  <c r="I175" i="60"/>
  <c r="I167" i="60"/>
  <c r="I159" i="60"/>
  <c r="I151" i="60"/>
  <c r="I142" i="60"/>
  <c r="I135" i="60"/>
  <c r="I138" i="60"/>
  <c r="I150" i="60"/>
  <c r="I134" i="60"/>
  <c r="C794" i="34"/>
  <c r="B794" i="34" s="1"/>
  <c r="K793" i="34"/>
  <c r="C793" i="34"/>
  <c r="B793" i="34" s="1"/>
  <c r="C574" i="34"/>
  <c r="B574" i="34" s="1"/>
  <c r="C573" i="34"/>
  <c r="B573" i="34" s="1"/>
  <c r="K572" i="34"/>
  <c r="C572" i="34"/>
  <c r="B572" i="34" s="1"/>
  <c r="A573" i="34" l="1"/>
  <c r="A794" i="34"/>
  <c r="A574" i="34"/>
  <c r="A572" i="34"/>
  <c r="A793" i="34"/>
  <c r="C827" i="34"/>
  <c r="B827" i="34" s="1"/>
  <c r="K826" i="34"/>
  <c r="C826" i="34"/>
  <c r="B826" i="34" s="1"/>
  <c r="K843" i="34"/>
  <c r="A826" i="34" l="1"/>
  <c r="A827" i="34"/>
  <c r="I835" i="34"/>
  <c r="C634" i="34" l="1"/>
  <c r="B634" i="34" s="1"/>
  <c r="K633" i="34"/>
  <c r="C633" i="34"/>
  <c r="B633" i="34" s="1"/>
  <c r="C704" i="34"/>
  <c r="B704" i="34" s="1"/>
  <c r="K703" i="34"/>
  <c r="C703" i="34"/>
  <c r="B703" i="34" s="1"/>
  <c r="C775" i="34"/>
  <c r="B775" i="34" s="1"/>
  <c r="C774" i="34"/>
  <c r="B774" i="34" s="1"/>
  <c r="K773" i="34"/>
  <c r="C773" i="34"/>
  <c r="B773" i="34" s="1"/>
  <c r="C809" i="34"/>
  <c r="B809" i="34" s="1"/>
  <c r="K808" i="34"/>
  <c r="C808" i="34"/>
  <c r="B808" i="34" s="1"/>
  <c r="C772" i="34"/>
  <c r="B772" i="34" s="1"/>
  <c r="C771" i="34"/>
  <c r="B771" i="34" s="1"/>
  <c r="C781" i="34"/>
  <c r="B781" i="34" s="1"/>
  <c r="C780" i="34"/>
  <c r="B780" i="34" s="1"/>
  <c r="K779" i="34"/>
  <c r="C779" i="34"/>
  <c r="B779" i="34" s="1"/>
  <c r="C787" i="34"/>
  <c r="B787" i="34" s="1"/>
  <c r="K786" i="34"/>
  <c r="C786" i="34"/>
  <c r="B786" i="34" s="1"/>
  <c r="K836" i="34"/>
  <c r="C836" i="34"/>
  <c r="B836" i="34" s="1"/>
  <c r="K835" i="34"/>
  <c r="C835" i="34"/>
  <c r="B835" i="34" s="1"/>
  <c r="C814" i="34"/>
  <c r="B814" i="34" s="1"/>
  <c r="K813" i="34"/>
  <c r="C813" i="34"/>
  <c r="B813" i="34" s="1"/>
  <c r="C837" i="34"/>
  <c r="B837" i="34" s="1"/>
  <c r="C807" i="34"/>
  <c r="B807" i="34" s="1"/>
  <c r="K806" i="34"/>
  <c r="C806" i="34"/>
  <c r="B806" i="34" s="1"/>
  <c r="K790" i="34"/>
  <c r="K783" i="34"/>
  <c r="K776" i="34"/>
  <c r="K768" i="34"/>
  <c r="A38" i="70"/>
  <c r="A39" i="70"/>
  <c r="A40" i="70"/>
  <c r="K763" i="34"/>
  <c r="K757" i="34"/>
  <c r="K754" i="34"/>
  <c r="I749" i="34"/>
  <c r="K749" i="34" s="1"/>
  <c r="I747" i="34"/>
  <c r="K747" i="34" s="1"/>
  <c r="K737" i="34"/>
  <c r="C737" i="34"/>
  <c r="B737" i="34" s="1"/>
  <c r="I739" i="34"/>
  <c r="K739" i="34" s="1"/>
  <c r="I736" i="34"/>
  <c r="K736" i="34" s="1"/>
  <c r="K744" i="34"/>
  <c r="C744" i="34"/>
  <c r="B744" i="34" s="1"/>
  <c r="K743" i="34"/>
  <c r="C743" i="34"/>
  <c r="B743" i="34" s="1"/>
  <c r="K742" i="34"/>
  <c r="C742" i="34"/>
  <c r="B742" i="34" s="1"/>
  <c r="K741" i="34"/>
  <c r="C741" i="34"/>
  <c r="B741" i="34" s="1"/>
  <c r="C740" i="34"/>
  <c r="B740" i="34" s="1"/>
  <c r="C739" i="34"/>
  <c r="B739" i="34" s="1"/>
  <c r="K738" i="34"/>
  <c r="C738" i="34"/>
  <c r="B738" i="34" s="1"/>
  <c r="C736" i="34"/>
  <c r="B736" i="34" s="1"/>
  <c r="C756" i="34"/>
  <c r="B756" i="34" s="1"/>
  <c r="C755" i="34"/>
  <c r="B755" i="34" s="1"/>
  <c r="C754" i="34"/>
  <c r="B754" i="34" s="1"/>
  <c r="C753" i="34"/>
  <c r="B753" i="34" s="1"/>
  <c r="K752" i="34"/>
  <c r="C752" i="34"/>
  <c r="B752" i="34" s="1"/>
  <c r="K751" i="34"/>
  <c r="C751" i="34"/>
  <c r="B751" i="34" s="1"/>
  <c r="C750" i="34"/>
  <c r="B750" i="34" s="1"/>
  <c r="C749" i="34"/>
  <c r="B749" i="34" s="1"/>
  <c r="C748" i="34"/>
  <c r="B748" i="34" s="1"/>
  <c r="C747" i="34"/>
  <c r="B747" i="34" s="1"/>
  <c r="C746" i="34"/>
  <c r="B746" i="34" s="1"/>
  <c r="K745" i="34"/>
  <c r="C745" i="34"/>
  <c r="B745" i="34" s="1"/>
  <c r="C768" i="34"/>
  <c r="B768" i="34" s="1"/>
  <c r="C767" i="34"/>
  <c r="B767" i="34" s="1"/>
  <c r="K766" i="34"/>
  <c r="C766" i="34"/>
  <c r="B766" i="34" s="1"/>
  <c r="C765" i="34"/>
  <c r="B765" i="34" s="1"/>
  <c r="C764" i="34"/>
  <c r="B764" i="34" s="1"/>
  <c r="C763" i="34"/>
  <c r="B763" i="34" s="1"/>
  <c r="C762" i="34"/>
  <c r="B762" i="34" s="1"/>
  <c r="K761" i="34"/>
  <c r="C761" i="34"/>
  <c r="B761" i="34" s="1"/>
  <c r="K760" i="34"/>
  <c r="C760" i="34"/>
  <c r="B760" i="34" s="1"/>
  <c r="C759" i="34"/>
  <c r="B759" i="34" s="1"/>
  <c r="C758" i="34"/>
  <c r="B758" i="34" s="1"/>
  <c r="C757" i="34"/>
  <c r="B757" i="34" s="1"/>
  <c r="K795" i="34"/>
  <c r="C795" i="34"/>
  <c r="B795" i="34" s="1"/>
  <c r="C792" i="34"/>
  <c r="B792" i="34" s="1"/>
  <c r="C791" i="34"/>
  <c r="B791" i="34" s="1"/>
  <c r="C790" i="34"/>
  <c r="B790" i="34" s="1"/>
  <c r="C785" i="34"/>
  <c r="B785" i="34" s="1"/>
  <c r="C784" i="34"/>
  <c r="B784" i="34" s="1"/>
  <c r="C783" i="34"/>
  <c r="B783" i="34" s="1"/>
  <c r="C778" i="34"/>
  <c r="B778" i="34" s="1"/>
  <c r="C777" i="34"/>
  <c r="B777" i="34" s="1"/>
  <c r="C776" i="34"/>
  <c r="B776" i="34" s="1"/>
  <c r="C770" i="34"/>
  <c r="B770" i="34" s="1"/>
  <c r="C769" i="34"/>
  <c r="B769" i="34" s="1"/>
  <c r="K731" i="34"/>
  <c r="K728" i="34"/>
  <c r="A33" i="70"/>
  <c r="A34" i="70"/>
  <c r="A35" i="70"/>
  <c r="A36" i="70"/>
  <c r="A37" i="70"/>
  <c r="I719" i="34"/>
  <c r="K719" i="34" s="1"/>
  <c r="K710" i="34"/>
  <c r="K700" i="34"/>
  <c r="K697" i="34"/>
  <c r="K681" i="34"/>
  <c r="K725" i="34"/>
  <c r="C725" i="34"/>
  <c r="B725" i="34" s="1"/>
  <c r="C724" i="34"/>
  <c r="B724" i="34" s="1"/>
  <c r="K723" i="34"/>
  <c r="C723" i="34"/>
  <c r="B723" i="34" s="1"/>
  <c r="C722" i="34"/>
  <c r="B722" i="34" s="1"/>
  <c r="K721" i="34"/>
  <c r="C721" i="34"/>
  <c r="B721" i="34" s="1"/>
  <c r="C720" i="34"/>
  <c r="B720" i="34" s="1"/>
  <c r="C719" i="34"/>
  <c r="B719" i="34" s="1"/>
  <c r="C712" i="34"/>
  <c r="B712" i="34" s="1"/>
  <c r="C711" i="34"/>
  <c r="B711" i="34" s="1"/>
  <c r="C710" i="34"/>
  <c r="B710" i="34" s="1"/>
  <c r="C702" i="34"/>
  <c r="B702" i="34" s="1"/>
  <c r="C701" i="34"/>
  <c r="B701" i="34" s="1"/>
  <c r="C700" i="34"/>
  <c r="B700" i="34" s="1"/>
  <c r="C699" i="34"/>
  <c r="B699" i="34" s="1"/>
  <c r="C698" i="34"/>
  <c r="B698" i="34" s="1"/>
  <c r="C697" i="34"/>
  <c r="B697" i="34" s="1"/>
  <c r="C683" i="34"/>
  <c r="B683" i="34" s="1"/>
  <c r="C682" i="34"/>
  <c r="B682" i="34" s="1"/>
  <c r="C681" i="34"/>
  <c r="B681" i="34" s="1"/>
  <c r="C730" i="34"/>
  <c r="B730" i="34" s="1"/>
  <c r="C729" i="34"/>
  <c r="B729" i="34" s="1"/>
  <c r="C728" i="34"/>
  <c r="B728" i="34" s="1"/>
  <c r="C727" i="34"/>
  <c r="B727" i="34" s="1"/>
  <c r="K726" i="34"/>
  <c r="C726" i="34"/>
  <c r="B726" i="34" s="1"/>
  <c r="K797" i="34"/>
  <c r="C797" i="34"/>
  <c r="B797" i="34" s="1"/>
  <c r="C796" i="34"/>
  <c r="B796" i="34" s="1"/>
  <c r="C733" i="34"/>
  <c r="B733" i="34" s="1"/>
  <c r="C732" i="34"/>
  <c r="B732" i="34" s="1"/>
  <c r="C731" i="34"/>
  <c r="B731" i="34" s="1"/>
  <c r="K802" i="34"/>
  <c r="C802" i="34"/>
  <c r="B802" i="34" s="1"/>
  <c r="K801" i="34"/>
  <c r="C801" i="34"/>
  <c r="B801" i="34" s="1"/>
  <c r="K800" i="34"/>
  <c r="C800" i="34"/>
  <c r="B800" i="34" s="1"/>
  <c r="K799" i="34"/>
  <c r="C799" i="34"/>
  <c r="B799" i="34" s="1"/>
  <c r="K798" i="34"/>
  <c r="C798" i="34"/>
  <c r="B798" i="34" s="1"/>
  <c r="K678" i="34"/>
  <c r="A733" i="34" l="1"/>
  <c r="A700" i="34"/>
  <c r="A721" i="34"/>
  <c r="A778" i="34"/>
  <c r="A796" i="34"/>
  <c r="A730" i="34"/>
  <c r="A697" i="34"/>
  <c r="A701" i="34"/>
  <c r="A712" i="34"/>
  <c r="A724" i="34"/>
  <c r="A770" i="34"/>
  <c r="A783" i="34"/>
  <c r="A791" i="34"/>
  <c r="A757" i="34"/>
  <c r="A763" i="34"/>
  <c r="A749" i="34"/>
  <c r="A752" i="34"/>
  <c r="A755" i="34"/>
  <c r="A836" i="34"/>
  <c r="A787" i="34"/>
  <c r="A781" i="34"/>
  <c r="A774" i="34"/>
  <c r="A704" i="34"/>
  <c r="A800" i="34"/>
  <c r="A729" i="34"/>
  <c r="A801" i="34"/>
  <c r="A727" i="34"/>
  <c r="A698" i="34"/>
  <c r="A702" i="34"/>
  <c r="A719" i="34"/>
  <c r="A722" i="34"/>
  <c r="A725" i="34"/>
  <c r="A776" i="34"/>
  <c r="A784" i="34"/>
  <c r="A792" i="34"/>
  <c r="A758" i="34"/>
  <c r="A761" i="34"/>
  <c r="A764" i="34"/>
  <c r="A767" i="34"/>
  <c r="A746" i="34"/>
  <c r="A750" i="34"/>
  <c r="A756" i="34"/>
  <c r="A739" i="34"/>
  <c r="A742" i="34"/>
  <c r="A744" i="34"/>
  <c r="A737" i="34"/>
  <c r="A807" i="34"/>
  <c r="A814" i="34"/>
  <c r="A779" i="34"/>
  <c r="A771" i="34"/>
  <c r="A809" i="34"/>
  <c r="A775" i="34"/>
  <c r="A633" i="34"/>
  <c r="A726" i="34"/>
  <c r="A799" i="34"/>
  <c r="A731" i="34"/>
  <c r="A797" i="34"/>
  <c r="A681" i="34"/>
  <c r="A732" i="34"/>
  <c r="A728" i="34"/>
  <c r="A682" i="34"/>
  <c r="A699" i="34"/>
  <c r="A710" i="34"/>
  <c r="A720" i="34"/>
  <c r="A723" i="34"/>
  <c r="A777" i="34"/>
  <c r="A785" i="34"/>
  <c r="A795" i="34"/>
  <c r="A759" i="34"/>
  <c r="A765" i="34"/>
  <c r="A768" i="34"/>
  <c r="A747" i="34"/>
  <c r="A751" i="34"/>
  <c r="A753" i="34"/>
  <c r="A736" i="34"/>
  <c r="A740" i="34"/>
  <c r="A837" i="34"/>
  <c r="A835" i="34"/>
  <c r="A786" i="34"/>
  <c r="A772" i="34"/>
  <c r="A773" i="34"/>
  <c r="A703" i="34"/>
  <c r="A798" i="34"/>
  <c r="A802" i="34"/>
  <c r="A683" i="34"/>
  <c r="A711" i="34"/>
  <c r="A769" i="34"/>
  <c r="A790" i="34"/>
  <c r="A760" i="34"/>
  <c r="A762" i="34"/>
  <c r="A766" i="34"/>
  <c r="A745" i="34"/>
  <c r="A748" i="34"/>
  <c r="A754" i="34"/>
  <c r="A738" i="34"/>
  <c r="A741" i="34"/>
  <c r="A743" i="34"/>
  <c r="A806" i="34"/>
  <c r="A813" i="34"/>
  <c r="A780" i="34"/>
  <c r="A808" i="34"/>
  <c r="A634" i="34"/>
  <c r="C496" i="34"/>
  <c r="B496" i="34" s="1"/>
  <c r="K495" i="34"/>
  <c r="C495" i="34"/>
  <c r="B495" i="34" s="1"/>
  <c r="A496" i="34" l="1"/>
  <c r="A495" i="34"/>
  <c r="C585" i="34"/>
  <c r="B585" i="34" s="1"/>
  <c r="C584" i="34"/>
  <c r="B584" i="34" s="1"/>
  <c r="K583" i="34"/>
  <c r="C583" i="34"/>
  <c r="B583" i="34" s="1"/>
  <c r="C582" i="34"/>
  <c r="B582" i="34" s="1"/>
  <c r="C581" i="34"/>
  <c r="B581" i="34" s="1"/>
  <c r="C560" i="34"/>
  <c r="B560" i="34" s="1"/>
  <c r="C559" i="34"/>
  <c r="B559" i="34" s="1"/>
  <c r="C551" i="34"/>
  <c r="B551" i="34" s="1"/>
  <c r="C550" i="34"/>
  <c r="B550" i="34" s="1"/>
  <c r="C543" i="34"/>
  <c r="B543" i="34" s="1"/>
  <c r="C542" i="34"/>
  <c r="B542" i="34" s="1"/>
  <c r="K541" i="34"/>
  <c r="C541" i="34"/>
  <c r="B541" i="34" s="1"/>
  <c r="C530" i="34"/>
  <c r="B530" i="34" s="1"/>
  <c r="C529" i="34"/>
  <c r="B529" i="34" s="1"/>
  <c r="K528" i="34"/>
  <c r="C528" i="34"/>
  <c r="B528" i="34" s="1"/>
  <c r="C517" i="34"/>
  <c r="B517" i="34" s="1"/>
  <c r="C516" i="34"/>
  <c r="B516" i="34" s="1"/>
  <c r="C509" i="34"/>
  <c r="B509" i="34" s="1"/>
  <c r="C508" i="34"/>
  <c r="B508" i="34" s="1"/>
  <c r="C498" i="34"/>
  <c r="B498" i="34" s="1"/>
  <c r="C497" i="34"/>
  <c r="B497" i="34" s="1"/>
  <c r="K501" i="34"/>
  <c r="C501" i="34"/>
  <c r="B501" i="34" s="1"/>
  <c r="C540" i="34"/>
  <c r="B540" i="34" s="1"/>
  <c r="C539" i="34"/>
  <c r="B539" i="34" s="1"/>
  <c r="C503" i="34"/>
  <c r="B503" i="34" s="1"/>
  <c r="C502" i="34"/>
  <c r="B502" i="34" s="1"/>
  <c r="K500" i="34"/>
  <c r="C500" i="34"/>
  <c r="B500" i="34" s="1"/>
  <c r="I690" i="34"/>
  <c r="K690" i="34" s="1"/>
  <c r="K658" i="34"/>
  <c r="K651" i="34"/>
  <c r="K648" i="34"/>
  <c r="K645" i="34"/>
  <c r="K676" i="34"/>
  <c r="C676" i="34"/>
  <c r="B676" i="34" s="1"/>
  <c r="K675" i="34"/>
  <c r="C675" i="34"/>
  <c r="B675" i="34" s="1"/>
  <c r="C660" i="34"/>
  <c r="B660" i="34" s="1"/>
  <c r="C659" i="34"/>
  <c r="B659" i="34" s="1"/>
  <c r="C658" i="34"/>
  <c r="B658" i="34" s="1"/>
  <c r="C653" i="34"/>
  <c r="B653" i="34" s="1"/>
  <c r="C652" i="34"/>
  <c r="B652" i="34" s="1"/>
  <c r="C651" i="34"/>
  <c r="B651" i="34" s="1"/>
  <c r="C650" i="34"/>
  <c r="B650" i="34" s="1"/>
  <c r="C649" i="34"/>
  <c r="B649" i="34" s="1"/>
  <c r="C648" i="34"/>
  <c r="B648" i="34" s="1"/>
  <c r="C647" i="34"/>
  <c r="B647" i="34" s="1"/>
  <c r="C646" i="34"/>
  <c r="B646" i="34" s="1"/>
  <c r="C645" i="34"/>
  <c r="B645" i="34" s="1"/>
  <c r="C696" i="34"/>
  <c r="B696" i="34" s="1"/>
  <c r="K695" i="34"/>
  <c r="C695" i="34"/>
  <c r="B695" i="34" s="1"/>
  <c r="K694" i="34"/>
  <c r="C694" i="34"/>
  <c r="B694" i="34" s="1"/>
  <c r="K693" i="34"/>
  <c r="C693" i="34"/>
  <c r="B693" i="34" s="1"/>
  <c r="K692" i="34"/>
  <c r="C692" i="34"/>
  <c r="B692" i="34" s="1"/>
  <c r="C691" i="34"/>
  <c r="B691" i="34" s="1"/>
  <c r="C690" i="34"/>
  <c r="B690" i="34" s="1"/>
  <c r="K689" i="34"/>
  <c r="C689" i="34"/>
  <c r="B689" i="34" s="1"/>
  <c r="K688" i="34"/>
  <c r="C688" i="34"/>
  <c r="B688" i="34" s="1"/>
  <c r="K687" i="34"/>
  <c r="C687" i="34"/>
  <c r="B687" i="34" s="1"/>
  <c r="C686" i="34"/>
  <c r="B686" i="34" s="1"/>
  <c r="K685" i="34"/>
  <c r="C685" i="34"/>
  <c r="B685" i="34" s="1"/>
  <c r="K684" i="34"/>
  <c r="C684" i="34"/>
  <c r="B684" i="34" s="1"/>
  <c r="C677" i="34"/>
  <c r="B677" i="34" s="1"/>
  <c r="C678" i="34"/>
  <c r="B678" i="34" s="1"/>
  <c r="C668" i="34"/>
  <c r="B668" i="34" s="1"/>
  <c r="K667" i="34"/>
  <c r="C667" i="34"/>
  <c r="B667" i="34" s="1"/>
  <c r="K666" i="34"/>
  <c r="C666" i="34"/>
  <c r="B666" i="34" s="1"/>
  <c r="C663" i="34"/>
  <c r="B663" i="34" s="1"/>
  <c r="K662" i="34"/>
  <c r="C662" i="34"/>
  <c r="B662" i="34" s="1"/>
  <c r="K661" i="34"/>
  <c r="C661" i="34"/>
  <c r="B661" i="34" s="1"/>
  <c r="K630" i="34"/>
  <c r="I620" i="34"/>
  <c r="K620" i="34" s="1"/>
  <c r="C612" i="34"/>
  <c r="B612" i="34" s="1"/>
  <c r="C613" i="34"/>
  <c r="B613" i="34" s="1"/>
  <c r="C614" i="34"/>
  <c r="B614" i="34" s="1"/>
  <c r="C615" i="34"/>
  <c r="B615" i="34" s="1"/>
  <c r="C616" i="34"/>
  <c r="B616" i="34" s="1"/>
  <c r="C617" i="34"/>
  <c r="B617" i="34" s="1"/>
  <c r="C618" i="34"/>
  <c r="B618" i="34" s="1"/>
  <c r="C619" i="34"/>
  <c r="B619" i="34" s="1"/>
  <c r="C620" i="34"/>
  <c r="B620" i="34" s="1"/>
  <c r="C621" i="34"/>
  <c r="B621" i="34" s="1"/>
  <c r="C622" i="34"/>
  <c r="B622" i="34" s="1"/>
  <c r="C627" i="34"/>
  <c r="B627" i="34" s="1"/>
  <c r="C628" i="34"/>
  <c r="B628" i="34" s="1"/>
  <c r="C629" i="34"/>
  <c r="B629" i="34" s="1"/>
  <c r="C630" i="34"/>
  <c r="B630" i="34" s="1"/>
  <c r="C631" i="34"/>
  <c r="B631" i="34" s="1"/>
  <c r="C632" i="34"/>
  <c r="B632" i="34" s="1"/>
  <c r="C637" i="34"/>
  <c r="B637" i="34" s="1"/>
  <c r="C638" i="34"/>
  <c r="B638" i="34" s="1"/>
  <c r="C639" i="34"/>
  <c r="B639" i="34" s="1"/>
  <c r="C640" i="34"/>
  <c r="B640" i="34" s="1"/>
  <c r="C641" i="34"/>
  <c r="B641" i="34" s="1"/>
  <c r="C642" i="34"/>
  <c r="B642" i="34" s="1"/>
  <c r="C643" i="34"/>
  <c r="B643" i="34" s="1"/>
  <c r="C644" i="34"/>
  <c r="B644" i="34" s="1"/>
  <c r="C679" i="34"/>
  <c r="B679" i="34" s="1"/>
  <c r="C680" i="34"/>
  <c r="C803" i="34"/>
  <c r="C611" i="34"/>
  <c r="B611" i="34" s="1"/>
  <c r="K614" i="34"/>
  <c r="K617" i="34"/>
  <c r="K621" i="34"/>
  <c r="K627" i="34"/>
  <c r="K637" i="34"/>
  <c r="K638" i="34"/>
  <c r="K640" i="34"/>
  <c r="K642" i="34"/>
  <c r="K643" i="34"/>
  <c r="K611" i="34"/>
  <c r="A679" i="34" l="1"/>
  <c r="A621" i="34"/>
  <c r="A663" i="34"/>
  <c r="A639" i="34"/>
  <c r="A631" i="34"/>
  <c r="A619" i="34"/>
  <c r="A685" i="34"/>
  <c r="A642" i="34"/>
  <c r="A638" i="34"/>
  <c r="A630" i="34"/>
  <c r="A622" i="34"/>
  <c r="A618" i="34"/>
  <c r="A614" i="34"/>
  <c r="A667" i="34"/>
  <c r="A677" i="34"/>
  <c r="A688" i="34"/>
  <c r="A690" i="34"/>
  <c r="A693" i="34"/>
  <c r="A695" i="34"/>
  <c r="A646" i="34"/>
  <c r="A650" i="34"/>
  <c r="A658" i="34"/>
  <c r="A500" i="34"/>
  <c r="A539" i="34"/>
  <c r="A497" i="34"/>
  <c r="A516" i="34"/>
  <c r="A529" i="34"/>
  <c r="A542" i="34"/>
  <c r="A559" i="34"/>
  <c r="A583" i="34"/>
  <c r="A641" i="34"/>
  <c r="A617" i="34"/>
  <c r="A684" i="34"/>
  <c r="A647" i="34"/>
  <c r="A676" i="34"/>
  <c r="A498" i="34"/>
  <c r="A517" i="34"/>
  <c r="A530" i="34"/>
  <c r="A560" i="34"/>
  <c r="A637" i="34"/>
  <c r="A661" i="34"/>
  <c r="A691" i="34"/>
  <c r="A651" i="34"/>
  <c r="A659" i="34"/>
  <c r="A540" i="34"/>
  <c r="A543" i="34"/>
  <c r="A611" i="34"/>
  <c r="A644" i="34"/>
  <c r="A640" i="34"/>
  <c r="A632" i="34"/>
  <c r="A628" i="34"/>
  <c r="A620" i="34"/>
  <c r="A616" i="34"/>
  <c r="A612" i="34"/>
  <c r="A666" i="34"/>
  <c r="A668" i="34"/>
  <c r="A687" i="34"/>
  <c r="A689" i="34"/>
  <c r="A692" i="34"/>
  <c r="A694" i="34"/>
  <c r="A696" i="34"/>
  <c r="A648" i="34"/>
  <c r="A652" i="34"/>
  <c r="A660" i="34"/>
  <c r="A502" i="34"/>
  <c r="A501" i="34"/>
  <c r="A508" i="34"/>
  <c r="A528" i="34"/>
  <c r="A541" i="34"/>
  <c r="A550" i="34"/>
  <c r="A581" i="34"/>
  <c r="A584" i="34"/>
  <c r="A629" i="34"/>
  <c r="A613" i="34"/>
  <c r="A686" i="34"/>
  <c r="A643" i="34"/>
  <c r="A627" i="34"/>
  <c r="A615" i="34"/>
  <c r="A662" i="34"/>
  <c r="A678" i="34"/>
  <c r="A645" i="34"/>
  <c r="A649" i="34"/>
  <c r="A653" i="34"/>
  <c r="A675" i="34"/>
  <c r="A503" i="34"/>
  <c r="A509" i="34"/>
  <c r="A551" i="34"/>
  <c r="A582" i="34"/>
  <c r="A585" i="34"/>
  <c r="K825" i="34"/>
  <c r="F825" i="34"/>
  <c r="C825" i="34"/>
  <c r="B825" i="34" s="1"/>
  <c r="C824" i="34"/>
  <c r="B824" i="34" s="1"/>
  <c r="C823" i="34"/>
  <c r="B823" i="34" s="1"/>
  <c r="K610" i="34"/>
  <c r="F610" i="34"/>
  <c r="C610" i="34"/>
  <c r="B610" i="34" s="1"/>
  <c r="C609" i="34"/>
  <c r="B609" i="34" s="1"/>
  <c r="C608" i="34"/>
  <c r="B608" i="34" s="1"/>
  <c r="K494" i="34"/>
  <c r="F494" i="34"/>
  <c r="C494" i="34"/>
  <c r="B494" i="34" s="1"/>
  <c r="C493" i="34"/>
  <c r="B493" i="34" s="1"/>
  <c r="C492" i="34"/>
  <c r="B492" i="34" s="1"/>
  <c r="K388" i="34"/>
  <c r="F388" i="34"/>
  <c r="C388" i="34"/>
  <c r="B388" i="34" s="1"/>
  <c r="C387" i="34"/>
  <c r="B387" i="34" s="1"/>
  <c r="C386" i="34"/>
  <c r="B386" i="34" s="1"/>
  <c r="K248" i="34"/>
  <c r="F248" i="34"/>
  <c r="C248" i="34"/>
  <c r="B248" i="34" s="1"/>
  <c r="C247" i="34"/>
  <c r="B247" i="34" s="1"/>
  <c r="C246" i="34"/>
  <c r="B246" i="34" s="1"/>
  <c r="C17" i="34"/>
  <c r="B17" i="34" s="1"/>
  <c r="C18" i="34"/>
  <c r="B18" i="34" s="1"/>
  <c r="C21" i="34"/>
  <c r="B21" i="34" s="1"/>
  <c r="K130" i="34"/>
  <c r="F130" i="34"/>
  <c r="C130" i="34"/>
  <c r="B130" i="34" s="1"/>
  <c r="C129" i="34"/>
  <c r="B129" i="34" s="1"/>
  <c r="C128" i="34"/>
  <c r="B128" i="34" s="1"/>
  <c r="C402" i="34"/>
  <c r="B402" i="34" s="1"/>
  <c r="C40" i="34"/>
  <c r="B40" i="34" s="1"/>
  <c r="A128" i="34" l="1"/>
  <c r="A823" i="34"/>
  <c r="A40" i="34"/>
  <c r="A18" i="34"/>
  <c r="A248" i="34"/>
  <c r="A387" i="34"/>
  <c r="A492" i="34"/>
  <c r="A402" i="34"/>
  <c r="A17" i="34"/>
  <c r="A388" i="34"/>
  <c r="A493" i="34"/>
  <c r="A608" i="34"/>
  <c r="A246" i="34"/>
  <c r="A609" i="34"/>
  <c r="A129" i="34"/>
  <c r="A21" i="34"/>
  <c r="A247" i="34"/>
  <c r="A386" i="34"/>
  <c r="A610" i="34"/>
  <c r="A824" i="34"/>
  <c r="A494" i="34"/>
  <c r="A130" i="34"/>
  <c r="A825" i="34"/>
  <c r="H7" i="60"/>
  <c r="I7" i="60" s="1"/>
  <c r="H8" i="60"/>
  <c r="I8" i="60" s="1"/>
  <c r="H9" i="60"/>
  <c r="I9" i="60" s="1"/>
  <c r="H10" i="60"/>
  <c r="H11" i="60"/>
  <c r="H12" i="60"/>
  <c r="I12" i="60" s="1"/>
  <c r="H13" i="60"/>
  <c r="I13" i="60" s="1"/>
  <c r="H14" i="60"/>
  <c r="H22" i="60"/>
  <c r="H23" i="60"/>
  <c r="I23" i="60" s="1"/>
  <c r="H24" i="60"/>
  <c r="I24" i="60" s="1"/>
  <c r="H25" i="60"/>
  <c r="I25" i="60" s="1"/>
  <c r="H26" i="60"/>
  <c r="H27" i="60"/>
  <c r="H28" i="60"/>
  <c r="I28" i="60" s="1"/>
  <c r="H29" i="60"/>
  <c r="I29" i="60" s="1"/>
  <c r="H30" i="60"/>
  <c r="H31" i="60"/>
  <c r="I31" i="60" s="1"/>
  <c r="H32" i="60"/>
  <c r="I32" i="60" s="1"/>
  <c r="H33" i="60"/>
  <c r="I33" i="60" s="1"/>
  <c r="H34" i="60"/>
  <c r="H35" i="60"/>
  <c r="I35" i="60" s="1"/>
  <c r="H36" i="60"/>
  <c r="I36" i="60" s="1"/>
  <c r="H37" i="60"/>
  <c r="I37" i="60" s="1"/>
  <c r="H38" i="60"/>
  <c r="H39" i="60"/>
  <c r="I39" i="60" s="1"/>
  <c r="H40" i="60"/>
  <c r="I40" i="60" s="1"/>
  <c r="H41" i="60"/>
  <c r="I41" i="60" s="1"/>
  <c r="H42" i="60"/>
  <c r="H43" i="60"/>
  <c r="H44" i="60"/>
  <c r="I44" i="60" s="1"/>
  <c r="H45" i="60"/>
  <c r="I45" i="60" s="1"/>
  <c r="H46" i="60"/>
  <c r="H47" i="60"/>
  <c r="I47" i="60" s="1"/>
  <c r="H48" i="60"/>
  <c r="I48" i="60" s="1"/>
  <c r="H49" i="60"/>
  <c r="I49" i="60" s="1"/>
  <c r="H50" i="60"/>
  <c r="H51" i="60"/>
  <c r="I51" i="60" s="1"/>
  <c r="H52" i="60"/>
  <c r="I52" i="60" s="1"/>
  <c r="H53" i="60"/>
  <c r="I53" i="60" s="1"/>
  <c r="H54" i="60"/>
  <c r="H55" i="60"/>
  <c r="I55" i="60" s="1"/>
  <c r="H56" i="60"/>
  <c r="I56" i="60" s="1"/>
  <c r="H57" i="60"/>
  <c r="I57" i="60" s="1"/>
  <c r="H58" i="60"/>
  <c r="H59" i="60"/>
  <c r="H60" i="60"/>
  <c r="I60" i="60" s="1"/>
  <c r="H61" i="60"/>
  <c r="I61" i="60" s="1"/>
  <c r="H62" i="60"/>
  <c r="H63" i="60"/>
  <c r="I63" i="60" s="1"/>
  <c r="H64" i="60"/>
  <c r="I64" i="60" s="1"/>
  <c r="H65" i="60"/>
  <c r="I65" i="60" s="1"/>
  <c r="H66" i="60"/>
  <c r="H67" i="60"/>
  <c r="I67" i="60" s="1"/>
  <c r="H68" i="60"/>
  <c r="I68" i="60" s="1"/>
  <c r="H69" i="60"/>
  <c r="I69" i="60" s="1"/>
  <c r="H70" i="60"/>
  <c r="H71" i="60"/>
  <c r="I71" i="60" s="1"/>
  <c r="H72" i="60"/>
  <c r="I72" i="60" s="1"/>
  <c r="H73" i="60"/>
  <c r="I73" i="60" s="1"/>
  <c r="H74" i="60"/>
  <c r="H75" i="60"/>
  <c r="H76" i="60"/>
  <c r="I76" i="60" s="1"/>
  <c r="H77" i="60"/>
  <c r="I77" i="60" s="1"/>
  <c r="H78" i="60"/>
  <c r="H79" i="60"/>
  <c r="I79" i="60" s="1"/>
  <c r="H80" i="60"/>
  <c r="I80" i="60" s="1"/>
  <c r="H81" i="60"/>
  <c r="I81" i="60" s="1"/>
  <c r="H82" i="60"/>
  <c r="H83" i="60"/>
  <c r="I83" i="60" s="1"/>
  <c r="H84" i="60"/>
  <c r="I84" i="60" s="1"/>
  <c r="H85" i="60"/>
  <c r="I85" i="60" s="1"/>
  <c r="H86" i="60"/>
  <c r="H87" i="60"/>
  <c r="I87" i="60" s="1"/>
  <c r="H88" i="60"/>
  <c r="I88" i="60" s="1"/>
  <c r="H89" i="60"/>
  <c r="I89" i="60" s="1"/>
  <c r="H90" i="60"/>
  <c r="H91" i="60"/>
  <c r="H92" i="60"/>
  <c r="I92" i="60" s="1"/>
  <c r="H93" i="60"/>
  <c r="I93" i="60" s="1"/>
  <c r="H94" i="60"/>
  <c r="H95" i="60"/>
  <c r="I95" i="60" s="1"/>
  <c r="H96" i="60"/>
  <c r="I96" i="60" s="1"/>
  <c r="H97" i="60"/>
  <c r="I97" i="60" s="1"/>
  <c r="H98" i="60"/>
  <c r="H99" i="60"/>
  <c r="I99" i="60" s="1"/>
  <c r="H100" i="60"/>
  <c r="I100" i="60" s="1"/>
  <c r="H101" i="60"/>
  <c r="I101" i="60" s="1"/>
  <c r="H102" i="60"/>
  <c r="H103" i="60"/>
  <c r="I103" i="60" s="1"/>
  <c r="H104" i="60"/>
  <c r="I104" i="60" s="1"/>
  <c r="H105" i="60"/>
  <c r="I105" i="60" s="1"/>
  <c r="H106" i="60"/>
  <c r="H107" i="60"/>
  <c r="H108" i="60"/>
  <c r="I108" i="60" s="1"/>
  <c r="H109" i="60"/>
  <c r="I109" i="60" s="1"/>
  <c r="H110" i="60"/>
  <c r="H111" i="60"/>
  <c r="I111" i="60" s="1"/>
  <c r="H112" i="60"/>
  <c r="I112" i="60" s="1"/>
  <c r="H113" i="60"/>
  <c r="I113" i="60" s="1"/>
  <c r="H114" i="60"/>
  <c r="I114" i="60" s="1"/>
  <c r="H115" i="60"/>
  <c r="I115" i="60" s="1"/>
  <c r="H116" i="60"/>
  <c r="I116" i="60" s="1"/>
  <c r="H117" i="60"/>
  <c r="I117" i="60" s="1"/>
  <c r="H118" i="60"/>
  <c r="I118" i="60" s="1"/>
  <c r="H119" i="60"/>
  <c r="I119" i="60" s="1"/>
  <c r="H120" i="60"/>
  <c r="I120" i="60" s="1"/>
  <c r="H121" i="60"/>
  <c r="I121" i="60" s="1"/>
  <c r="H122" i="60"/>
  <c r="I122" i="60" s="1"/>
  <c r="H123" i="60"/>
  <c r="I123" i="60" s="1"/>
  <c r="H124" i="60"/>
  <c r="I124" i="60" s="1"/>
  <c r="H6" i="60"/>
  <c r="I6" i="60" s="1"/>
  <c r="I110" i="60" l="1"/>
  <c r="I94" i="60"/>
  <c r="I62" i="60"/>
  <c r="I46" i="60"/>
  <c r="I74" i="60"/>
  <c r="I26" i="60"/>
  <c r="I102" i="60"/>
  <c r="I86" i="60"/>
  <c r="I70" i="60"/>
  <c r="I54" i="60"/>
  <c r="I38" i="60"/>
  <c r="I22" i="60"/>
  <c r="I78" i="60"/>
  <c r="I30" i="60"/>
  <c r="I14" i="60"/>
  <c r="I106" i="60"/>
  <c r="I90" i="60"/>
  <c r="I58" i="60"/>
  <c r="I42" i="60"/>
  <c r="I10" i="60"/>
  <c r="I107" i="60"/>
  <c r="I98" i="60"/>
  <c r="I91" i="60"/>
  <c r="I82" i="60"/>
  <c r="I75" i="60"/>
  <c r="I66" i="60"/>
  <c r="I59" i="60"/>
  <c r="I50" i="60"/>
  <c r="I43" i="60"/>
  <c r="I34" i="60"/>
  <c r="I27" i="60"/>
  <c r="I11" i="60"/>
  <c r="C839" i="34" l="1"/>
  <c r="C840" i="34"/>
  <c r="C841" i="34"/>
  <c r="C842" i="34"/>
  <c r="C838" i="34"/>
  <c r="K839" i="34"/>
  <c r="K840" i="34"/>
  <c r="K841" i="34"/>
  <c r="K842" i="34"/>
  <c r="K838" i="34"/>
  <c r="C580" i="34" l="1"/>
  <c r="B580" i="34" s="1"/>
  <c r="C579" i="34"/>
  <c r="B579" i="34" s="1"/>
  <c r="K578" i="34"/>
  <c r="C578" i="34"/>
  <c r="B578" i="34" s="1"/>
  <c r="C571" i="34"/>
  <c r="B571" i="34" s="1"/>
  <c r="C570" i="34"/>
  <c r="B570" i="34" s="1"/>
  <c r="K569" i="34"/>
  <c r="C569" i="34"/>
  <c r="B569" i="34" s="1"/>
  <c r="C534" i="34"/>
  <c r="B534" i="34" s="1"/>
  <c r="C533" i="34"/>
  <c r="B533" i="34" s="1"/>
  <c r="K532" i="34"/>
  <c r="C532" i="34"/>
  <c r="B532" i="34" s="1"/>
  <c r="C523" i="34"/>
  <c r="B523" i="34" s="1"/>
  <c r="C522" i="34"/>
  <c r="B522" i="34" s="1"/>
  <c r="K521" i="34"/>
  <c r="C521" i="34"/>
  <c r="B521" i="34" s="1"/>
  <c r="C427" i="34"/>
  <c r="B427" i="34" s="1"/>
  <c r="K426" i="34"/>
  <c r="C426" i="34"/>
  <c r="B426" i="34" s="1"/>
  <c r="K425" i="34"/>
  <c r="C425" i="34"/>
  <c r="B425" i="34" s="1"/>
  <c r="K421" i="34"/>
  <c r="C421" i="34"/>
  <c r="B421" i="34" s="1"/>
  <c r="C424" i="34"/>
  <c r="B424" i="34" s="1"/>
  <c r="K423" i="34"/>
  <c r="C423" i="34"/>
  <c r="B423" i="34" s="1"/>
  <c r="K422" i="34"/>
  <c r="C422" i="34"/>
  <c r="B422" i="34" s="1"/>
  <c r="K417" i="34"/>
  <c r="C417" i="34"/>
  <c r="B417" i="34" s="1"/>
  <c r="C418" i="34"/>
  <c r="B418" i="34" s="1"/>
  <c r="K416" i="34"/>
  <c r="C416" i="34"/>
  <c r="B416" i="34" s="1"/>
  <c r="C415" i="34"/>
  <c r="B415" i="34" s="1"/>
  <c r="K414" i="34"/>
  <c r="C414" i="34"/>
  <c r="B414" i="34" s="1"/>
  <c r="A523" i="34" l="1"/>
  <c r="A571" i="34"/>
  <c r="A414" i="34"/>
  <c r="A422" i="34"/>
  <c r="A424" i="34"/>
  <c r="A521" i="34"/>
  <c r="A532" i="34"/>
  <c r="A569" i="34"/>
  <c r="A578" i="34"/>
  <c r="A425" i="34"/>
  <c r="A418" i="34"/>
  <c r="A421" i="34"/>
  <c r="A426" i="34"/>
  <c r="A415" i="34"/>
  <c r="A417" i="34"/>
  <c r="A423" i="34"/>
  <c r="A522" i="34"/>
  <c r="A533" i="34"/>
  <c r="A570" i="34"/>
  <c r="A579" i="34"/>
  <c r="A416" i="34"/>
  <c r="A427" i="34"/>
  <c r="A534" i="34"/>
  <c r="A580" i="34"/>
  <c r="C20" i="54"/>
  <c r="A14" i="54"/>
  <c r="C287" i="34"/>
  <c r="B287" i="34" s="1"/>
  <c r="C188" i="34"/>
  <c r="B188" i="34" s="1"/>
  <c r="C77" i="34"/>
  <c r="B77" i="34" s="1"/>
  <c r="C80" i="34"/>
  <c r="B80" i="34" s="1"/>
  <c r="A80" i="34" l="1"/>
  <c r="A287" i="34"/>
  <c r="A77" i="34"/>
  <c r="A188" i="34"/>
  <c r="C383" i="34"/>
  <c r="B383" i="34" s="1"/>
  <c r="C292" i="34"/>
  <c r="B292" i="34" s="1"/>
  <c r="C205" i="34"/>
  <c r="B205" i="34" s="1"/>
  <c r="C231" i="34"/>
  <c r="B231" i="34" s="1"/>
  <c r="C152" i="34"/>
  <c r="B152" i="34" s="1"/>
  <c r="C84" i="34"/>
  <c r="B84" i="34" s="1"/>
  <c r="C596" i="34"/>
  <c r="B596" i="34" s="1"/>
  <c r="C587" i="34"/>
  <c r="B587" i="34" s="1"/>
  <c r="A596" i="34" l="1"/>
  <c r="A587" i="34"/>
  <c r="A231" i="34"/>
  <c r="A205" i="34"/>
  <c r="A84" i="34"/>
  <c r="A292" i="34"/>
  <c r="A152" i="34"/>
  <c r="A383" i="34"/>
  <c r="C597" i="34"/>
  <c r="B597" i="34" s="1"/>
  <c r="A597" i="34" l="1"/>
  <c r="C468" i="34"/>
  <c r="C469" i="34"/>
  <c r="C459" i="34"/>
  <c r="C451" i="34"/>
  <c r="C439" i="34"/>
  <c r="C411" i="34"/>
  <c r="C412" i="34"/>
  <c r="C413" i="34"/>
  <c r="C407" i="34"/>
  <c r="C537" i="34"/>
  <c r="C538" i="34"/>
  <c r="C504" i="34"/>
  <c r="C505" i="34"/>
  <c r="C506" i="34"/>
  <c r="C507" i="34"/>
  <c r="C467" i="34"/>
  <c r="K462" i="34" l="1"/>
  <c r="K444" i="34"/>
  <c r="K442" i="34"/>
  <c r="K440" i="34"/>
  <c r="K453" i="34"/>
  <c r="K434" i="34"/>
  <c r="K430" i="34"/>
  <c r="A11" i="12" l="1"/>
  <c r="A12" i="12"/>
  <c r="A13" i="12"/>
  <c r="A8" i="12"/>
  <c r="I476" i="34"/>
  <c r="K476" i="34" s="1"/>
  <c r="I470" i="34"/>
  <c r="K470" i="34" s="1"/>
  <c r="K448" i="34"/>
  <c r="K449" i="34"/>
  <c r="K455" i="34"/>
  <c r="K456" i="34"/>
  <c r="K471" i="34"/>
  <c r="K472" i="34"/>
  <c r="K473" i="34"/>
  <c r="K474" i="34"/>
  <c r="K477" i="34"/>
  <c r="K478" i="34"/>
  <c r="K479" i="34"/>
  <c r="K481" i="34"/>
  <c r="K482" i="34"/>
  <c r="K483" i="34"/>
  <c r="K484" i="34"/>
  <c r="K485" i="34"/>
  <c r="K486" i="34"/>
  <c r="K487" i="34"/>
  <c r="K488" i="34"/>
  <c r="K510" i="34"/>
  <c r="K511" i="34"/>
  <c r="K512" i="34"/>
  <c r="K514" i="34"/>
  <c r="K575" i="34"/>
  <c r="K561" i="34"/>
  <c r="K562" i="34"/>
  <c r="K563" i="34"/>
  <c r="K564" i="34"/>
  <c r="K565" i="34"/>
  <c r="K566" i="34"/>
  <c r="K600" i="34"/>
  <c r="K518" i="34"/>
  <c r="K519" i="34"/>
  <c r="K602" i="34"/>
  <c r="K603" i="34"/>
  <c r="K604" i="34"/>
  <c r="K605" i="34"/>
  <c r="K428" i="34"/>
  <c r="A28" i="70"/>
  <c r="A29" i="70"/>
  <c r="A30" i="70"/>
  <c r="A31" i="70"/>
  <c r="A32" i="70"/>
  <c r="A42" i="70"/>
  <c r="C27" i="34" l="1"/>
  <c r="C28" i="34"/>
  <c r="C41" i="34"/>
  <c r="C42" i="34"/>
  <c r="C43" i="34"/>
  <c r="C44" i="34"/>
  <c r="K19" i="64"/>
  <c r="J19" i="64"/>
  <c r="H19" i="64"/>
  <c r="L17" i="64"/>
  <c r="C52" i="34" l="1"/>
  <c r="B52" i="34" s="1"/>
  <c r="C55" i="34"/>
  <c r="B55" i="34" s="1"/>
  <c r="C54" i="34"/>
  <c r="B54" i="34" s="1"/>
  <c r="C53" i="34"/>
  <c r="B53" i="34" s="1"/>
  <c r="C51" i="34"/>
  <c r="B51" i="34" s="1"/>
  <c r="A53" i="34" l="1"/>
  <c r="A55" i="34"/>
  <c r="A54" i="34"/>
  <c r="A51" i="34"/>
  <c r="A52" i="34"/>
  <c r="K126" i="34"/>
  <c r="K391" i="34"/>
  <c r="C392" i="34"/>
  <c r="B392" i="34" s="1"/>
  <c r="C391" i="34"/>
  <c r="B391" i="34" s="1"/>
  <c r="K252" i="34"/>
  <c r="C253" i="34"/>
  <c r="B253" i="34" s="1"/>
  <c r="C252" i="34"/>
  <c r="B252" i="34" s="1"/>
  <c r="C127" i="34"/>
  <c r="B127" i="34" s="1"/>
  <c r="C126" i="34"/>
  <c r="B126" i="34" s="1"/>
  <c r="A253" i="34" l="1"/>
  <c r="A127" i="34"/>
  <c r="A391" i="34"/>
  <c r="A126" i="34"/>
  <c r="A252" i="34"/>
  <c r="A392" i="34"/>
  <c r="K357" i="34"/>
  <c r="C359" i="34"/>
  <c r="B359" i="34" s="1"/>
  <c r="C358" i="34"/>
  <c r="B358" i="34" s="1"/>
  <c r="A359" i="34" l="1"/>
  <c r="A358" i="34"/>
  <c r="I381" i="34"/>
  <c r="I378" i="34"/>
  <c r="I377" i="34"/>
  <c r="I375" i="34"/>
  <c r="I290" i="34"/>
  <c r="I283" i="34"/>
  <c r="I279" i="34"/>
  <c r="I278" i="34"/>
  <c r="I274" i="34"/>
  <c r="I273" i="34"/>
  <c r="I270" i="34"/>
  <c r="K225" i="34" l="1"/>
  <c r="I223" i="34"/>
  <c r="I206" i="34"/>
  <c r="I178" i="55" l="1" a="1"/>
  <c r="I178" i="55" s="1"/>
  <c r="I176" i="55" a="1"/>
  <c r="I176" i="55" s="1"/>
  <c r="I174" i="55" a="1"/>
  <c r="I174" i="55" s="1"/>
  <c r="G174" i="55" a="1"/>
  <c r="G174" i="55" s="1"/>
  <c r="G179" i="55" a="1"/>
  <c r="G179" i="55" s="1"/>
  <c r="I144" i="55" a="1"/>
  <c r="I144" i="55" s="1"/>
  <c r="G144" i="55" a="1"/>
  <c r="G144" i="55" s="1"/>
  <c r="I177" i="55" a="1"/>
  <c r="I177" i="55" s="1"/>
  <c r="I148" i="55" a="1"/>
  <c r="I148" i="55" s="1"/>
  <c r="I175" i="55" a="1"/>
  <c r="I175" i="55" s="1"/>
  <c r="G148" i="55" a="1"/>
  <c r="G148" i="55" s="1"/>
  <c r="G180" i="55" a="1"/>
  <c r="G180" i="55" s="1"/>
  <c r="I180" i="55" a="1"/>
  <c r="I180" i="55" s="1"/>
  <c r="G177" i="55" a="1"/>
  <c r="G177" i="55" s="1"/>
  <c r="G178" i="55" a="1"/>
  <c r="G178" i="55" s="1"/>
  <c r="G175" i="55" a="1"/>
  <c r="G175" i="55" s="1"/>
  <c r="G176" i="55" a="1"/>
  <c r="G176" i="55" s="1"/>
  <c r="I179" i="55" a="1"/>
  <c r="I179" i="55" s="1"/>
  <c r="G152" i="55" a="1"/>
  <c r="G152" i="55" s="1"/>
  <c r="I69" i="55" a="1"/>
  <c r="I69" i="55" s="1"/>
  <c r="I59" i="55" a="1"/>
  <c r="I59" i="55" s="1"/>
  <c r="I143" i="55" a="1"/>
  <c r="I143" i="55" s="1"/>
  <c r="I49" i="55" a="1"/>
  <c r="I49" i="55" s="1"/>
  <c r="I130" i="55" a="1"/>
  <c r="I130" i="55" s="1"/>
  <c r="I110" i="55" a="1"/>
  <c r="I110" i="55" s="1"/>
  <c r="I133" i="55" a="1"/>
  <c r="I133" i="55" s="1"/>
  <c r="I83" i="55" a="1"/>
  <c r="I83" i="55" s="1"/>
  <c r="I89" i="55" a="1"/>
  <c r="I89" i="55" s="1"/>
  <c r="G125" i="55" a="1"/>
  <c r="G125" i="55" s="1"/>
  <c r="G112" i="55" a="1"/>
  <c r="G112" i="55" s="1"/>
  <c r="I97" i="55" a="1"/>
  <c r="I97" i="55" s="1"/>
  <c r="I131" i="55" a="1"/>
  <c r="I131" i="55" s="1"/>
  <c r="I170" i="55" a="1"/>
  <c r="I170" i="55" s="1"/>
  <c r="I152" i="55" a="1"/>
  <c r="I152" i="55" s="1"/>
  <c r="G99" i="55" a="1"/>
  <c r="G99" i="55" s="1"/>
  <c r="G155" i="55" a="1"/>
  <c r="G155" i="55" s="1"/>
  <c r="G101" i="55" a="1"/>
  <c r="G101" i="55" s="1"/>
  <c r="G127" i="55" a="1"/>
  <c r="G127" i="55" s="1"/>
  <c r="G96" i="55" a="1"/>
  <c r="G96" i="55" s="1"/>
  <c r="G104" i="55" a="1"/>
  <c r="G104" i="55" s="1"/>
  <c r="I62" i="55" a="1"/>
  <c r="I62" i="55" s="1"/>
  <c r="I82" i="55" a="1"/>
  <c r="I82" i="55" s="1"/>
  <c r="G84" i="55" a="1"/>
  <c r="G84" i="55" s="1"/>
  <c r="G128" i="55" a="1"/>
  <c r="G128" i="55" s="1"/>
  <c r="I25" i="55" a="1"/>
  <c r="I25" i="55" s="1"/>
  <c r="I126" i="55" a="1"/>
  <c r="I126" i="55" s="1"/>
  <c r="I43" i="55" a="1"/>
  <c r="I43" i="55" s="1"/>
  <c r="I168" i="55" a="1"/>
  <c r="I168" i="55" s="1"/>
  <c r="I163" i="55" a="1"/>
  <c r="I163" i="55" s="1"/>
  <c r="I47" i="55" a="1"/>
  <c r="I47" i="55" s="1"/>
  <c r="I40" i="55" a="1"/>
  <c r="I40" i="55" s="1"/>
  <c r="G29" i="55" a="1"/>
  <c r="G29" i="55" s="1"/>
  <c r="I164" i="55" a="1"/>
  <c r="I164" i="55" s="1"/>
  <c r="G27" i="55" a="1"/>
  <c r="G27" i="55" s="1"/>
  <c r="I121" i="55" a="1"/>
  <c r="I121" i="55" s="1"/>
  <c r="G81" i="55" a="1"/>
  <c r="G81" i="55" s="1"/>
  <c r="I81" i="55" a="1"/>
  <c r="I81" i="55" s="1"/>
  <c r="G46" i="55" a="1"/>
  <c r="G46" i="55" s="1"/>
  <c r="G45" i="55" a="1"/>
  <c r="G45" i="55" s="1"/>
  <c r="G114" i="55" a="1"/>
  <c r="G114" i="55" s="1"/>
  <c r="G93" i="55" a="1"/>
  <c r="G93" i="55" s="1"/>
  <c r="G167" i="55" a="1"/>
  <c r="G167" i="55" s="1"/>
  <c r="G75" i="55" a="1"/>
  <c r="G75" i="55" s="1"/>
  <c r="I66" i="55" a="1"/>
  <c r="I66" i="55" s="1"/>
  <c r="I88" i="55" a="1"/>
  <c r="I88" i="55" s="1"/>
  <c r="G154" i="55" a="1"/>
  <c r="G154" i="55" s="1"/>
  <c r="G137" i="55" a="1"/>
  <c r="G137" i="55" s="1"/>
  <c r="G139" i="55" a="1"/>
  <c r="G139" i="55" s="1"/>
  <c r="I172" i="55" a="1"/>
  <c r="I172" i="55" s="1"/>
  <c r="G149" i="55" a="1"/>
  <c r="G149" i="55" s="1"/>
  <c r="G132" i="55" a="1"/>
  <c r="G132" i="55" s="1"/>
  <c r="G92" i="55" a="1"/>
  <c r="G92" i="55" s="1"/>
  <c r="I155" i="55" a="1"/>
  <c r="I155" i="55" s="1"/>
  <c r="I101" i="55" a="1"/>
  <c r="I101" i="55" s="1"/>
  <c r="I127" i="55" a="1"/>
  <c r="I127" i="55" s="1"/>
  <c r="I96" i="55" a="1"/>
  <c r="I96" i="55" s="1"/>
  <c r="I104" i="55" a="1"/>
  <c r="I104" i="55" s="1"/>
  <c r="G60" i="55" a="1"/>
  <c r="G60" i="55" s="1"/>
  <c r="G103" i="55" a="1"/>
  <c r="G103" i="55" s="1"/>
  <c r="I84" i="55" a="1"/>
  <c r="I84" i="55" s="1"/>
  <c r="I128" i="55" a="1"/>
  <c r="I128" i="55" s="1"/>
  <c r="I132" i="55" a="1"/>
  <c r="I132" i="55" s="1"/>
  <c r="G146" i="55" a="1"/>
  <c r="G146" i="55" s="1"/>
  <c r="G78" i="55" a="1"/>
  <c r="G78" i="55" s="1"/>
  <c r="G90" i="55" a="1"/>
  <c r="G90" i="55" s="1"/>
  <c r="I76" i="55" a="1"/>
  <c r="I76" i="55" s="1"/>
  <c r="G113" i="55" a="1"/>
  <c r="G113" i="55" s="1"/>
  <c r="G98" i="55" a="1"/>
  <c r="G98" i="55" s="1"/>
  <c r="G79" i="55" a="1"/>
  <c r="G79" i="55" s="1"/>
  <c r="I46" i="55" a="1"/>
  <c r="I46" i="55" s="1"/>
  <c r="I45" i="55" a="1"/>
  <c r="I45" i="55" s="1"/>
  <c r="I114" i="55" a="1"/>
  <c r="I114" i="55" s="1"/>
  <c r="I93" i="55" a="1"/>
  <c r="I93" i="55" s="1"/>
  <c r="I167" i="55" a="1"/>
  <c r="I167" i="55" s="1"/>
  <c r="I75" i="55" a="1"/>
  <c r="I75" i="55" s="1"/>
  <c r="I156" i="55" a="1"/>
  <c r="I156" i="55" s="1"/>
  <c r="I80" i="55" a="1"/>
  <c r="I80" i="55" s="1"/>
  <c r="G150" i="55" a="1"/>
  <c r="G150" i="55" s="1"/>
  <c r="G69" i="55" a="1"/>
  <c r="G69" i="55" s="1"/>
  <c r="G38" i="55" a="1"/>
  <c r="G38" i="55" s="1"/>
  <c r="G41" i="55" a="1"/>
  <c r="G41" i="55" s="1"/>
  <c r="G165" i="55" a="1"/>
  <c r="G165" i="55" s="1"/>
  <c r="I151" i="55" a="1"/>
  <c r="I151" i="55" s="1"/>
  <c r="I94" i="55" a="1"/>
  <c r="I94" i="55" s="1"/>
  <c r="I98" i="55" a="1"/>
  <c r="I98" i="55" s="1"/>
  <c r="I146" i="55" a="1"/>
  <c r="I146" i="55" s="1"/>
  <c r="I78" i="55" a="1"/>
  <c r="I78" i="55" s="1"/>
  <c r="I90" i="55" a="1"/>
  <c r="I90" i="55" s="1"/>
  <c r="G62" i="55" a="1"/>
  <c r="G62" i="55" s="1"/>
  <c r="G82" i="55" a="1"/>
  <c r="G82" i="55" s="1"/>
  <c r="K82" i="55" s="1"/>
  <c r="I113" i="55" a="1"/>
  <c r="I113" i="55" s="1"/>
  <c r="G159" i="55" a="1"/>
  <c r="G159" i="55" s="1"/>
  <c r="G145" i="55" a="1"/>
  <c r="G145" i="55" s="1"/>
  <c r="G30" i="55" a="1"/>
  <c r="G30" i="55" s="1"/>
  <c r="G73" i="55" a="1"/>
  <c r="G73" i="55" s="1"/>
  <c r="G91" i="55" a="1"/>
  <c r="G91" i="55" s="1"/>
  <c r="G153" i="55" a="1"/>
  <c r="G153" i="55" s="1"/>
  <c r="I125" i="55" a="1"/>
  <c r="I125" i="55" s="1"/>
  <c r="I112" i="55" a="1"/>
  <c r="I112" i="55" s="1"/>
  <c r="G94" i="55" a="1"/>
  <c r="G94" i="55" s="1"/>
  <c r="G116" i="55" a="1"/>
  <c r="G116" i="55" s="1"/>
  <c r="G169" i="55" a="1"/>
  <c r="G169" i="55" s="1"/>
  <c r="I41" i="55" a="1"/>
  <c r="I41" i="55" s="1"/>
  <c r="I165" i="55" a="1"/>
  <c r="I165" i="55" s="1"/>
  <c r="I118" i="55" a="1"/>
  <c r="I118" i="55" s="1"/>
  <c r="I106" i="55" a="1"/>
  <c r="I106" i="55" s="1"/>
  <c r="G95" i="55" a="1"/>
  <c r="G95" i="55" s="1"/>
  <c r="I63" i="55" a="1"/>
  <c r="I63" i="55" s="1"/>
  <c r="G66" i="55" a="1"/>
  <c r="G66" i="55" s="1"/>
  <c r="G26" i="55" a="1"/>
  <c r="G26" i="55" s="1"/>
  <c r="I99" i="55" a="1"/>
  <c r="I99" i="55" s="1"/>
  <c r="G63" i="55" a="1"/>
  <c r="G63" i="55" s="1"/>
  <c r="G166" i="55" a="1"/>
  <c r="G166" i="55" s="1"/>
  <c r="I135" i="55" a="1"/>
  <c r="I135" i="55" s="1"/>
  <c r="I159" i="55" a="1"/>
  <c r="I159" i="55" s="1"/>
  <c r="I145" i="55" a="1"/>
  <c r="I145" i="55" s="1"/>
  <c r="I30" i="55" a="1"/>
  <c r="I30" i="55" s="1"/>
  <c r="I73" i="55" a="1"/>
  <c r="I73" i="55" s="1"/>
  <c r="I91" i="55" a="1"/>
  <c r="I91" i="55" s="1"/>
  <c r="I153" i="55" a="1"/>
  <c r="I153" i="55" s="1"/>
  <c r="G76" i="55" a="1"/>
  <c r="G76" i="55" s="1"/>
  <c r="I116" i="55" a="1"/>
  <c r="I116" i="55" s="1"/>
  <c r="I169" i="55" a="1"/>
  <c r="I169" i="55" s="1"/>
  <c r="G164" i="55" a="1"/>
  <c r="G164" i="55" s="1"/>
  <c r="I26" i="55" a="1"/>
  <c r="I26" i="55" s="1"/>
  <c r="G151" i="55" a="1"/>
  <c r="G151" i="55" s="1"/>
  <c r="G143" i="55" a="1"/>
  <c r="G143" i="55" s="1"/>
  <c r="G49" i="55" a="1"/>
  <c r="G49" i="55" s="1"/>
  <c r="K49" i="55" s="1"/>
  <c r="G130" i="55" a="1"/>
  <c r="G130" i="55" s="1"/>
  <c r="G110" i="55" a="1"/>
  <c r="G110" i="55" s="1"/>
  <c r="K110" i="55" s="1"/>
  <c r="G133" i="55" a="1"/>
  <c r="G133" i="55" s="1"/>
  <c r="G83" i="55" a="1"/>
  <c r="G83" i="55" s="1"/>
  <c r="K83" i="55" s="1"/>
  <c r="G89" i="55" a="1"/>
  <c r="G89" i="55" s="1"/>
  <c r="I60" i="55" a="1"/>
  <c r="I60" i="55" s="1"/>
  <c r="I103" i="55" a="1"/>
  <c r="I103" i="55" s="1"/>
  <c r="G97" i="55" a="1"/>
  <c r="G97" i="55" s="1"/>
  <c r="K97" i="55" s="1"/>
  <c r="G131" i="55" a="1"/>
  <c r="G131" i="55" s="1"/>
  <c r="G170" i="55" a="1"/>
  <c r="G170" i="55" s="1"/>
  <c r="K170" i="55" s="1"/>
  <c r="I38" i="55" a="1"/>
  <c r="I38" i="55" s="1"/>
  <c r="I129" i="55" a="1"/>
  <c r="I129" i="55" s="1"/>
  <c r="I44" i="55" a="1"/>
  <c r="I44" i="55" s="1"/>
  <c r="I57" i="55" a="1"/>
  <c r="I57" i="55" s="1"/>
  <c r="I85" i="55" a="1"/>
  <c r="I85" i="55" s="1"/>
  <c r="I115" i="55" a="1"/>
  <c r="I115" i="55" s="1"/>
  <c r="I42" i="55" a="1"/>
  <c r="I42" i="55" s="1"/>
  <c r="G64" i="55" a="1"/>
  <c r="G64" i="55" s="1"/>
  <c r="I166" i="55" a="1"/>
  <c r="I166" i="55" s="1"/>
  <c r="G61" i="55" a="1"/>
  <c r="G61" i="55" s="1"/>
  <c r="G134" i="55" a="1"/>
  <c r="G134" i="55" s="1"/>
  <c r="I79" i="55" a="1"/>
  <c r="I79" i="55" s="1"/>
  <c r="I58" i="55" a="1"/>
  <c r="I58" i="55" s="1"/>
  <c r="G123" i="55" a="1"/>
  <c r="G123" i="55" s="1"/>
  <c r="G25" i="55" a="1"/>
  <c r="G25" i="55" s="1"/>
  <c r="K25" i="55" s="1"/>
  <c r="G126" i="55" a="1"/>
  <c r="G126" i="55" s="1"/>
  <c r="K126" i="55" s="1"/>
  <c r="G43" i="55" a="1"/>
  <c r="G43" i="55" s="1"/>
  <c r="K43" i="55" s="1"/>
  <c r="G168" i="55" a="1"/>
  <c r="G168" i="55" s="1"/>
  <c r="K168" i="55" s="1"/>
  <c r="G163" i="55" a="1"/>
  <c r="G163" i="55" s="1"/>
  <c r="K163" i="55" s="1"/>
  <c r="G88" i="55" a="1"/>
  <c r="G88" i="55" s="1"/>
  <c r="I27" i="55" a="1"/>
  <c r="I27" i="55" s="1"/>
  <c r="G121" i="55" a="1"/>
  <c r="G121" i="55" s="1"/>
  <c r="K121" i="55" s="1"/>
  <c r="I36" i="55" a="1"/>
  <c r="I36" i="55" s="1"/>
  <c r="G117" i="55" a="1"/>
  <c r="G117" i="55" s="1"/>
  <c r="G108" i="55" a="1"/>
  <c r="G108" i="55" s="1"/>
  <c r="G105" i="55" a="1"/>
  <c r="G105" i="55" s="1"/>
  <c r="G31" i="55" a="1"/>
  <c r="G31" i="55" s="1"/>
  <c r="G68" i="55" a="1"/>
  <c r="G68" i="55" s="1"/>
  <c r="G35" i="55" a="1"/>
  <c r="G35" i="55" s="1"/>
  <c r="G74" i="55" a="1"/>
  <c r="G74" i="55" s="1"/>
  <c r="G86" i="55" a="1"/>
  <c r="G86" i="55" s="1"/>
  <c r="G162" i="55" a="1"/>
  <c r="G162" i="55" s="1"/>
  <c r="I29" i="55" a="1"/>
  <c r="I29" i="55" s="1"/>
  <c r="G171" i="55" a="1"/>
  <c r="G171" i="55" s="1"/>
  <c r="I111" i="55" a="1"/>
  <c r="I111" i="55" s="1"/>
  <c r="I138" i="55" a="1"/>
  <c r="I138" i="55" s="1"/>
  <c r="I157" i="55" a="1"/>
  <c r="I157" i="55" s="1"/>
  <c r="I37" i="55" a="1"/>
  <c r="I37" i="55" s="1"/>
  <c r="I136" i="55" a="1"/>
  <c r="I136" i="55" s="1"/>
  <c r="I109" i="55" a="1"/>
  <c r="I109" i="55" s="1"/>
  <c r="I147" i="55" a="1"/>
  <c r="I147" i="55" s="1"/>
  <c r="I32" i="55" a="1"/>
  <c r="I32" i="55" s="1"/>
  <c r="I70" i="55" a="1"/>
  <c r="I70" i="55" s="1"/>
  <c r="I65" i="55" a="1"/>
  <c r="I65" i="55" s="1"/>
  <c r="I158" i="55" a="1"/>
  <c r="I158" i="55" s="1"/>
  <c r="I77" i="55" a="1"/>
  <c r="I77" i="55" s="1"/>
  <c r="I56" i="55" a="1"/>
  <c r="I56" i="55" s="1"/>
  <c r="I53" i="55" a="1"/>
  <c r="I53" i="55" s="1"/>
  <c r="I33" i="55" a="1"/>
  <c r="I33" i="55" s="1"/>
  <c r="I51" i="55" a="1"/>
  <c r="I51" i="55" s="1"/>
  <c r="I102" i="55" a="1"/>
  <c r="I102" i="55" s="1"/>
  <c r="I119" i="55" a="1"/>
  <c r="I119" i="55" s="1"/>
  <c r="I55" i="55" a="1"/>
  <c r="I55" i="55" s="1"/>
  <c r="G52" i="55" a="1"/>
  <c r="G52" i="55" s="1"/>
  <c r="G118" i="55" a="1"/>
  <c r="G118" i="55" s="1"/>
  <c r="G115" i="55" a="1"/>
  <c r="G115" i="55" s="1"/>
  <c r="G58" i="55" a="1"/>
  <c r="G58" i="55" s="1"/>
  <c r="I61" i="55" a="1"/>
  <c r="I61" i="55" s="1"/>
  <c r="G106" i="55" a="1"/>
  <c r="G106" i="55" s="1"/>
  <c r="I67" i="55" a="1"/>
  <c r="I67" i="55" s="1"/>
  <c r="I173" i="55" a="1"/>
  <c r="I173" i="55" s="1"/>
  <c r="G42" i="55" a="1"/>
  <c r="G42" i="55" s="1"/>
  <c r="G138" i="55" a="1"/>
  <c r="G138" i="55" s="1"/>
  <c r="G157" i="55" a="1"/>
  <c r="G157" i="55" s="1"/>
  <c r="G37" i="55" a="1"/>
  <c r="G37" i="55" s="1"/>
  <c r="G136" i="55" a="1"/>
  <c r="G136" i="55" s="1"/>
  <c r="G109" i="55" a="1"/>
  <c r="G109" i="55" s="1"/>
  <c r="G147" i="55" a="1"/>
  <c r="G147" i="55" s="1"/>
  <c r="G32" i="55" a="1"/>
  <c r="G32" i="55" s="1"/>
  <c r="G70" i="55" a="1"/>
  <c r="G70" i="55" s="1"/>
  <c r="G65" i="55" a="1"/>
  <c r="G65" i="55" s="1"/>
  <c r="G158" i="55" a="1"/>
  <c r="G158" i="55" s="1"/>
  <c r="G77" i="55" a="1"/>
  <c r="G77" i="55" s="1"/>
  <c r="G140" i="55" a="1"/>
  <c r="G140" i="55" s="1"/>
  <c r="G156" i="55" a="1"/>
  <c r="G156" i="55" s="1"/>
  <c r="I171" i="55" a="1"/>
  <c r="I171" i="55" s="1"/>
  <c r="G40" i="55" a="1"/>
  <c r="G40" i="55" s="1"/>
  <c r="K40" i="55" s="1"/>
  <c r="G161" i="55" a="1"/>
  <c r="G161" i="55" s="1"/>
  <c r="I122" i="55" a="1"/>
  <c r="I122" i="55" s="1"/>
  <c r="I142" i="55" a="1"/>
  <c r="I142" i="55" s="1"/>
  <c r="I48" i="55" a="1"/>
  <c r="I48" i="55" s="1"/>
  <c r="I39" i="55" a="1"/>
  <c r="I39" i="55" s="1"/>
  <c r="I160" i="55" a="1"/>
  <c r="I160" i="55" s="1"/>
  <c r="I71" i="55" a="1"/>
  <c r="I71" i="55" s="1"/>
  <c r="I52" i="55" a="1"/>
  <c r="I52" i="55" s="1"/>
  <c r="I54" i="55" a="1"/>
  <c r="I54" i="55" s="1"/>
  <c r="I137" i="55" a="1"/>
  <c r="I137" i="55" s="1"/>
  <c r="I72" i="55" a="1"/>
  <c r="I72" i="55" s="1"/>
  <c r="G53" i="55" a="1"/>
  <c r="G53" i="55" s="1"/>
  <c r="G54" i="55" a="1"/>
  <c r="G54" i="55" s="1"/>
  <c r="G129" i="55" a="1"/>
  <c r="G129" i="55" s="1"/>
  <c r="G85" i="55" a="1"/>
  <c r="G85" i="55" s="1"/>
  <c r="I134" i="55" a="1"/>
  <c r="I134" i="55" s="1"/>
  <c r="G141" i="55" a="1"/>
  <c r="G141" i="55" s="1"/>
  <c r="I161" i="55" a="1"/>
  <c r="I161" i="55" s="1"/>
  <c r="G111" i="55" a="1"/>
  <c r="G111" i="55" s="1"/>
  <c r="G142" i="55" a="1"/>
  <c r="G142" i="55" s="1"/>
  <c r="G48" i="55" a="1"/>
  <c r="G48" i="55" s="1"/>
  <c r="G39" i="55" a="1"/>
  <c r="G39" i="55" s="1"/>
  <c r="G160" i="55" a="1"/>
  <c r="G160" i="55" s="1"/>
  <c r="G33" i="55" a="1"/>
  <c r="G33" i="55" s="1"/>
  <c r="G71" i="55" a="1"/>
  <c r="G71" i="55" s="1"/>
  <c r="G51" i="55" a="1"/>
  <c r="G51" i="55" s="1"/>
  <c r="G102" i="55" a="1"/>
  <c r="G102" i="55" s="1"/>
  <c r="G47" i="55" a="1"/>
  <c r="G47" i="55" s="1"/>
  <c r="G80" i="55" a="1"/>
  <c r="G80" i="55" s="1"/>
  <c r="G172" i="55" a="1"/>
  <c r="G172" i="55" s="1"/>
  <c r="K172" i="55" s="1"/>
  <c r="I139" i="55" a="1"/>
  <c r="I139" i="55" s="1"/>
  <c r="I95" i="55" a="1"/>
  <c r="I95" i="55" s="1"/>
  <c r="I117" i="55" a="1"/>
  <c r="I117" i="55" s="1"/>
  <c r="I124" i="55" a="1"/>
  <c r="I124" i="55" s="1"/>
  <c r="I100" i="55" a="1"/>
  <c r="I100" i="55" s="1"/>
  <c r="I107" i="55" a="1"/>
  <c r="I107" i="55" s="1"/>
  <c r="I87" i="55" a="1"/>
  <c r="I87" i="55" s="1"/>
  <c r="I34" i="55" a="1"/>
  <c r="I34" i="55" s="1"/>
  <c r="I154" i="55" a="1"/>
  <c r="I154" i="55" s="1"/>
  <c r="I140" i="55" a="1"/>
  <c r="I140" i="55" s="1"/>
  <c r="G59" i="55" a="1"/>
  <c r="G59" i="55" s="1"/>
  <c r="K59" i="55" s="1"/>
  <c r="G44" i="55" a="1"/>
  <c r="G44" i="55" s="1"/>
  <c r="G57" i="55" a="1"/>
  <c r="G57" i="55" s="1"/>
  <c r="K57" i="55" s="1"/>
  <c r="I92" i="55" a="1"/>
  <c r="I92" i="55" s="1"/>
  <c r="G135" i="55" a="1"/>
  <c r="G135" i="55" s="1"/>
  <c r="I150" i="55" a="1"/>
  <c r="I150" i="55" s="1"/>
  <c r="I123" i="55" a="1"/>
  <c r="I123" i="55" s="1"/>
  <c r="G119" i="55" a="1"/>
  <c r="G119" i="55" s="1"/>
  <c r="G173" i="55" a="1"/>
  <c r="G173" i="55" s="1"/>
  <c r="G122" i="55" a="1"/>
  <c r="G122" i="55" s="1"/>
  <c r="G124" i="55" a="1"/>
  <c r="G124" i="55" s="1"/>
  <c r="G100" i="55" a="1"/>
  <c r="G100" i="55" s="1"/>
  <c r="G107" i="55" a="1"/>
  <c r="G107" i="55" s="1"/>
  <c r="G87" i="55" a="1"/>
  <c r="G87" i="55" s="1"/>
  <c r="G34" i="55" a="1"/>
  <c r="G34" i="55" s="1"/>
  <c r="G72" i="55" a="1"/>
  <c r="G72" i="55" s="1"/>
  <c r="G56" i="55" a="1"/>
  <c r="G56" i="55" s="1"/>
  <c r="G67" i="55" a="1"/>
  <c r="G67" i="55" s="1"/>
  <c r="G36" i="55" a="1"/>
  <c r="G36" i="55" s="1"/>
  <c r="I64" i="55" a="1"/>
  <c r="I64" i="55" s="1"/>
  <c r="I149" i="55" a="1"/>
  <c r="I149" i="55" s="1"/>
  <c r="I108" i="55" a="1"/>
  <c r="I108" i="55" s="1"/>
  <c r="I105" i="55" a="1"/>
  <c r="I105" i="55" s="1"/>
  <c r="I31" i="55" a="1"/>
  <c r="I31" i="55" s="1"/>
  <c r="I68" i="55" a="1"/>
  <c r="I68" i="55" s="1"/>
  <c r="I35" i="55" a="1"/>
  <c r="I35" i="55" s="1"/>
  <c r="I74" i="55" a="1"/>
  <c r="I74" i="55" s="1"/>
  <c r="I86" i="55" a="1"/>
  <c r="I86" i="55" s="1"/>
  <c r="I162" i="55" a="1"/>
  <c r="I162" i="55" s="1"/>
  <c r="I141" i="55" a="1"/>
  <c r="I141" i="55" s="1"/>
  <c r="I120" i="55" a="1"/>
  <c r="I120" i="55" s="1"/>
  <c r="G120" i="55" a="1"/>
  <c r="G120" i="55" s="1"/>
  <c r="G55" i="55" a="1"/>
  <c r="G55" i="55" s="1"/>
  <c r="K134" i="34"/>
  <c r="K135" i="34"/>
  <c r="K136" i="34"/>
  <c r="K138" i="34"/>
  <c r="K139" i="34"/>
  <c r="K140" i="34"/>
  <c r="K143" i="34"/>
  <c r="K145" i="34"/>
  <c r="K146" i="34"/>
  <c r="K150" i="34"/>
  <c r="K153" i="34"/>
  <c r="K155" i="34"/>
  <c r="K156" i="34"/>
  <c r="K157" i="34"/>
  <c r="K158" i="34"/>
  <c r="K159" i="34"/>
  <c r="K161" i="34"/>
  <c r="K164" i="34"/>
  <c r="K165" i="34"/>
  <c r="K166" i="34"/>
  <c r="K167" i="34"/>
  <c r="K168" i="34"/>
  <c r="K169" i="34"/>
  <c r="K174" i="34"/>
  <c r="K175" i="34"/>
  <c r="K177" i="34"/>
  <c r="K183" i="34"/>
  <c r="K185" i="34"/>
  <c r="K186" i="34"/>
  <c r="K203" i="34"/>
  <c r="K206" i="34"/>
  <c r="K211" i="34"/>
  <c r="K212" i="34"/>
  <c r="K223" i="34"/>
  <c r="K228" i="34"/>
  <c r="K229" i="34"/>
  <c r="K232" i="34"/>
  <c r="K234" i="34"/>
  <c r="K235" i="34"/>
  <c r="K238" i="34"/>
  <c r="K240" i="34"/>
  <c r="K243" i="34"/>
  <c r="K255" i="34"/>
  <c r="K256" i="34"/>
  <c r="K257" i="34"/>
  <c r="K259" i="34"/>
  <c r="K260" i="34"/>
  <c r="K261" i="34"/>
  <c r="K262" i="34"/>
  <c r="K268" i="34"/>
  <c r="K270" i="34"/>
  <c r="K273" i="34"/>
  <c r="K274" i="34"/>
  <c r="K275" i="34"/>
  <c r="K276" i="34"/>
  <c r="K278" i="34"/>
  <c r="K279" i="34"/>
  <c r="K280" i="34"/>
  <c r="K283" i="34"/>
  <c r="K285" i="34"/>
  <c r="K288" i="34"/>
  <c r="K290" i="34"/>
  <c r="K295" i="34"/>
  <c r="K296" i="34"/>
  <c r="K299" i="34"/>
  <c r="K302" i="34"/>
  <c r="K303" i="34"/>
  <c r="K304" i="34"/>
  <c r="K305" i="34"/>
  <c r="K306" i="34"/>
  <c r="K315" i="34"/>
  <c r="K326" i="34"/>
  <c r="K327" i="34"/>
  <c r="K328" i="34"/>
  <c r="K331" i="34"/>
  <c r="K332" i="34"/>
  <c r="K337" i="34"/>
  <c r="K338" i="34"/>
  <c r="K339" i="34"/>
  <c r="K340" i="34"/>
  <c r="K362" i="34"/>
  <c r="K371" i="34"/>
  <c r="K372" i="34"/>
  <c r="K373" i="34"/>
  <c r="K375" i="34"/>
  <c r="K377" i="34"/>
  <c r="K378" i="34"/>
  <c r="K379" i="34"/>
  <c r="K381" i="34"/>
  <c r="K384" i="34"/>
  <c r="K175" i="55" l="1"/>
  <c r="K180" i="55"/>
  <c r="K80" i="55"/>
  <c r="K42" i="55"/>
  <c r="K164" i="55"/>
  <c r="K174" i="55"/>
  <c r="K178" i="55"/>
  <c r="K102" i="55"/>
  <c r="K151" i="55"/>
  <c r="K133" i="55"/>
  <c r="K143" i="55"/>
  <c r="K176" i="55"/>
  <c r="K135" i="55"/>
  <c r="K148" i="55"/>
  <c r="K144" i="55"/>
  <c r="K177" i="55"/>
  <c r="K156" i="55"/>
  <c r="K131" i="55"/>
  <c r="K89" i="55"/>
  <c r="K130" i="55"/>
  <c r="K76" i="55"/>
  <c r="K179" i="55"/>
  <c r="K55" i="55"/>
  <c r="K37" i="55"/>
  <c r="K158" i="55"/>
  <c r="K71" i="55"/>
  <c r="K39" i="55"/>
  <c r="K48" i="55"/>
  <c r="K142" i="55"/>
  <c r="K106" i="55"/>
  <c r="K88" i="55"/>
  <c r="K47" i="55"/>
  <c r="K94" i="55"/>
  <c r="K62" i="55"/>
  <c r="K69" i="55"/>
  <c r="K85" i="55"/>
  <c r="K100" i="55"/>
  <c r="K44" i="55"/>
  <c r="K51" i="55"/>
  <c r="K63" i="55"/>
  <c r="K111" i="55"/>
  <c r="K53" i="55"/>
  <c r="K72" i="55"/>
  <c r="K129" i="55"/>
  <c r="K77" i="55"/>
  <c r="K32" i="55"/>
  <c r="K136" i="55"/>
  <c r="K118" i="55"/>
  <c r="K66" i="55"/>
  <c r="K56" i="55"/>
  <c r="K36" i="55"/>
  <c r="K160" i="55"/>
  <c r="K58" i="55"/>
  <c r="K173" i="55"/>
  <c r="K115" i="55"/>
  <c r="K119" i="55"/>
  <c r="K67" i="55"/>
  <c r="K70" i="55"/>
  <c r="K109" i="55"/>
  <c r="K138" i="55"/>
  <c r="K171" i="55"/>
  <c r="K35" i="55"/>
  <c r="K108" i="55"/>
  <c r="K117" i="55"/>
  <c r="K64" i="55"/>
  <c r="K95" i="55"/>
  <c r="K169" i="55"/>
  <c r="K73" i="55"/>
  <c r="K159" i="55"/>
  <c r="K150" i="55"/>
  <c r="K79" i="55"/>
  <c r="K78" i="55"/>
  <c r="K149" i="55"/>
  <c r="K154" i="55"/>
  <c r="K114" i="55"/>
  <c r="K46" i="55"/>
  <c r="K29" i="55"/>
  <c r="K96" i="55"/>
  <c r="K155" i="55"/>
  <c r="K125" i="55"/>
  <c r="K162" i="55"/>
  <c r="K68" i="55"/>
  <c r="K61" i="55"/>
  <c r="K116" i="55"/>
  <c r="K153" i="55"/>
  <c r="K30" i="55"/>
  <c r="K165" i="55"/>
  <c r="K113" i="55"/>
  <c r="K146" i="55"/>
  <c r="K75" i="55"/>
  <c r="K81" i="55"/>
  <c r="K128" i="55"/>
  <c r="K99" i="55"/>
  <c r="K87" i="55"/>
  <c r="K161" i="55"/>
  <c r="K52" i="55"/>
  <c r="K86" i="55"/>
  <c r="K31" i="55"/>
  <c r="K134" i="55"/>
  <c r="K26" i="55"/>
  <c r="K91" i="55"/>
  <c r="K38" i="55"/>
  <c r="K98" i="55"/>
  <c r="K90" i="55"/>
  <c r="K103" i="55"/>
  <c r="K132" i="55"/>
  <c r="K139" i="55"/>
  <c r="K167" i="55"/>
  <c r="K84" i="55"/>
  <c r="K127" i="55"/>
  <c r="K34" i="55"/>
  <c r="K124" i="55"/>
  <c r="K120" i="55"/>
  <c r="K107" i="55"/>
  <c r="K122" i="55"/>
  <c r="K33" i="55"/>
  <c r="K141" i="55"/>
  <c r="K54" i="55"/>
  <c r="K140" i="55"/>
  <c r="K65" i="55"/>
  <c r="K147" i="55"/>
  <c r="K157" i="55"/>
  <c r="K74" i="55"/>
  <c r="K105" i="55"/>
  <c r="K123" i="55"/>
  <c r="K166" i="55"/>
  <c r="K145" i="55"/>
  <c r="K41" i="55"/>
  <c r="K60" i="55"/>
  <c r="K92" i="55"/>
  <c r="K137" i="55"/>
  <c r="K93" i="55"/>
  <c r="K45" i="55"/>
  <c r="K27" i="55"/>
  <c r="K104" i="55"/>
  <c r="K101" i="55"/>
  <c r="K112" i="55"/>
  <c r="K152" i="55"/>
  <c r="K85" i="34"/>
  <c r="K87" i="34"/>
  <c r="K88" i="34"/>
  <c r="K90" i="34"/>
  <c r="K91" i="34"/>
  <c r="K92" i="34"/>
  <c r="K93" i="34"/>
  <c r="K94" i="34"/>
  <c r="K96" i="34"/>
  <c r="K97" i="34"/>
  <c r="K98" i="34"/>
  <c r="K99" i="34"/>
  <c r="K101" i="34"/>
  <c r="K107" i="34"/>
  <c r="K116" i="34"/>
  <c r="K117" i="34"/>
  <c r="K119" i="34"/>
  <c r="K120" i="34"/>
  <c r="K132" i="34"/>
  <c r="K71" i="34"/>
  <c r="K73" i="34"/>
  <c r="K75" i="34"/>
  <c r="K78" i="34"/>
  <c r="K81" i="34"/>
  <c r="K82" i="34"/>
  <c r="K61" i="34"/>
  <c r="K62" i="34"/>
  <c r="K65" i="34"/>
  <c r="K66" i="34"/>
  <c r="K67" i="34"/>
  <c r="K69" i="34"/>
  <c r="K70" i="34"/>
  <c r="K58" i="34"/>
  <c r="C104" i="34"/>
  <c r="B104" i="34" s="1"/>
  <c r="A104" i="34" l="1"/>
  <c r="C324" i="34"/>
  <c r="B324" i="34" s="1"/>
  <c r="C323" i="34"/>
  <c r="B323" i="34" s="1"/>
  <c r="C220" i="34"/>
  <c r="B220" i="34" s="1"/>
  <c r="C219" i="34"/>
  <c r="B219" i="34" s="1"/>
  <c r="E6" i="43"/>
  <c r="C251" i="34"/>
  <c r="B251" i="34" s="1"/>
  <c r="C173" i="34"/>
  <c r="B173" i="34" s="1"/>
  <c r="A324" i="34" l="1"/>
  <c r="A173" i="34"/>
  <c r="A220" i="34"/>
  <c r="A251" i="34"/>
  <c r="A323" i="34"/>
  <c r="A219" i="34"/>
  <c r="K49" i="34"/>
  <c r="K48" i="34"/>
  <c r="K47" i="34"/>
  <c r="K112" i="34"/>
  <c r="K111" i="34"/>
  <c r="K110" i="34"/>
  <c r="K249" i="34"/>
  <c r="K189" i="34" l="1"/>
  <c r="K171" i="34"/>
  <c r="C122" i="34"/>
  <c r="C123" i="34"/>
  <c r="C308" i="34"/>
  <c r="C309" i="34"/>
  <c r="C293" i="34"/>
  <c r="C294" i="34"/>
  <c r="C124" i="34"/>
  <c r="C125" i="34"/>
  <c r="C148" i="34"/>
  <c r="C149" i="34"/>
  <c r="C209" i="34"/>
  <c r="C210" i="34"/>
  <c r="C171" i="34"/>
  <c r="C172" i="34"/>
  <c r="C189" i="34"/>
  <c r="C190" i="34"/>
  <c r="C249" i="34"/>
  <c r="C250" i="34"/>
  <c r="C110" i="34"/>
  <c r="C111" i="34"/>
  <c r="C112" i="34"/>
  <c r="C113" i="34"/>
  <c r="C47" i="34"/>
  <c r="C48" i="34"/>
  <c r="C49" i="34"/>
  <c r="C50" i="34"/>
  <c r="C22" i="34"/>
  <c r="C33" i="34"/>
  <c r="C34" i="34"/>
  <c r="C35" i="34"/>
  <c r="C45" i="34"/>
  <c r="C46" i="34"/>
  <c r="C105" i="34"/>
  <c r="C106" i="34"/>
  <c r="C109" i="34"/>
  <c r="C114" i="34"/>
  <c r="C115" i="34"/>
  <c r="C131" i="34"/>
  <c r="C180" i="34"/>
  <c r="C181" i="34"/>
  <c r="C182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15" i="34"/>
  <c r="C216" i="34"/>
  <c r="C217" i="34"/>
  <c r="C218" i="34"/>
  <c r="C221" i="34"/>
  <c r="C222" i="34"/>
  <c r="C227" i="34"/>
  <c r="C254" i="34"/>
  <c r="C264" i="34"/>
  <c r="C265" i="34"/>
  <c r="C266" i="34"/>
  <c r="C267" i="34"/>
  <c r="C310" i="34"/>
  <c r="C311" i="34"/>
  <c r="C312" i="34"/>
  <c r="C313" i="34"/>
  <c r="C314" i="34"/>
  <c r="C320" i="34"/>
  <c r="C321" i="34"/>
  <c r="C322" i="34"/>
  <c r="C325" i="34"/>
  <c r="C330" i="34"/>
  <c r="C335" i="34"/>
  <c r="C336" i="34"/>
  <c r="C345" i="34"/>
  <c r="C346" i="34"/>
  <c r="C347" i="34"/>
  <c r="C348" i="34"/>
  <c r="C349" i="34"/>
  <c r="C350" i="34"/>
  <c r="C351" i="34"/>
  <c r="C355" i="34"/>
  <c r="C356" i="34"/>
  <c r="C357" i="34"/>
  <c r="C360" i="34"/>
  <c r="C361" i="34"/>
  <c r="C366" i="34"/>
  <c r="C367" i="34"/>
  <c r="C368" i="34"/>
  <c r="C369" i="34"/>
  <c r="C370" i="34"/>
  <c r="C401" i="34"/>
  <c r="C58" i="34"/>
  <c r="C59" i="34"/>
  <c r="C60" i="34"/>
  <c r="C61" i="34"/>
  <c r="C62" i="34"/>
  <c r="C63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8" i="34"/>
  <c r="C79" i="34"/>
  <c r="C81" i="34"/>
  <c r="C82" i="34"/>
  <c r="C83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7" i="34"/>
  <c r="C108" i="34"/>
  <c r="C116" i="34"/>
  <c r="C117" i="34"/>
  <c r="C118" i="34"/>
  <c r="C119" i="34"/>
  <c r="C120" i="34"/>
  <c r="C121" i="34"/>
  <c r="C132" i="34"/>
  <c r="C133" i="34"/>
  <c r="C134" i="34"/>
  <c r="C135" i="34"/>
  <c r="C136" i="34"/>
  <c r="C137" i="34"/>
  <c r="C138" i="34"/>
  <c r="C139" i="34"/>
  <c r="C140" i="34"/>
  <c r="C141" i="34"/>
  <c r="C143" i="34"/>
  <c r="C144" i="34"/>
  <c r="C145" i="34"/>
  <c r="C146" i="34"/>
  <c r="C147" i="34"/>
  <c r="C150" i="34"/>
  <c r="C151" i="34"/>
  <c r="C153" i="34"/>
  <c r="C154" i="34"/>
  <c r="C155" i="34"/>
  <c r="C156" i="34"/>
  <c r="C157" i="34"/>
  <c r="C158" i="34"/>
  <c r="C159" i="34"/>
  <c r="C160" i="34"/>
  <c r="C161" i="34"/>
  <c r="C162" i="34"/>
  <c r="C164" i="34"/>
  <c r="C165" i="34"/>
  <c r="C166" i="34"/>
  <c r="C167" i="34"/>
  <c r="C168" i="34"/>
  <c r="C169" i="34"/>
  <c r="C170" i="34"/>
  <c r="C174" i="34"/>
  <c r="C175" i="34"/>
  <c r="C176" i="34"/>
  <c r="C177" i="34"/>
  <c r="C178" i="34"/>
  <c r="C183" i="34"/>
  <c r="C184" i="34"/>
  <c r="C185" i="34"/>
  <c r="C186" i="34"/>
  <c r="C187" i="34"/>
  <c r="C203" i="34"/>
  <c r="C204" i="34"/>
  <c r="C206" i="34"/>
  <c r="C207" i="34"/>
  <c r="C211" i="34"/>
  <c r="C212" i="34"/>
  <c r="C213" i="34"/>
  <c r="C223" i="34"/>
  <c r="C224" i="34"/>
  <c r="C225" i="34"/>
  <c r="C226" i="34"/>
  <c r="C228" i="34"/>
  <c r="C229" i="34"/>
  <c r="C230" i="34"/>
  <c r="C232" i="34"/>
  <c r="C233" i="34"/>
  <c r="C234" i="34"/>
  <c r="C235" i="34"/>
  <c r="C236" i="34"/>
  <c r="C238" i="34"/>
  <c r="C239" i="34"/>
  <c r="C240" i="34"/>
  <c r="C241" i="34"/>
  <c r="C243" i="34"/>
  <c r="C244" i="34"/>
  <c r="C255" i="34"/>
  <c r="C256" i="34"/>
  <c r="C257" i="34"/>
  <c r="C258" i="34"/>
  <c r="C259" i="34"/>
  <c r="C260" i="34"/>
  <c r="C261" i="34"/>
  <c r="C262" i="34"/>
  <c r="C263" i="34"/>
  <c r="C268" i="34"/>
  <c r="C269" i="34"/>
  <c r="C270" i="34"/>
  <c r="C271" i="34"/>
  <c r="C273" i="34"/>
  <c r="C274" i="34"/>
  <c r="C275" i="34"/>
  <c r="C276" i="34"/>
  <c r="C277" i="34"/>
  <c r="C278" i="34"/>
  <c r="C279" i="34"/>
  <c r="C280" i="34"/>
  <c r="C281" i="34"/>
  <c r="C283" i="34"/>
  <c r="C284" i="34"/>
  <c r="C285" i="34"/>
  <c r="C286" i="34"/>
  <c r="C288" i="34"/>
  <c r="C289" i="34"/>
  <c r="C290" i="34"/>
  <c r="C291" i="34"/>
  <c r="C295" i="34"/>
  <c r="C296" i="34"/>
  <c r="C297" i="34"/>
  <c r="C299" i="34"/>
  <c r="C300" i="34"/>
  <c r="C302" i="34"/>
  <c r="C303" i="34"/>
  <c r="C304" i="34"/>
  <c r="C305" i="34"/>
  <c r="C306" i="34"/>
  <c r="C307" i="34"/>
  <c r="C315" i="34"/>
  <c r="C316" i="34"/>
  <c r="C326" i="34"/>
  <c r="C327" i="34"/>
  <c r="C328" i="34"/>
  <c r="C329" i="34"/>
  <c r="C331" i="34"/>
  <c r="C332" i="34"/>
  <c r="C333" i="34"/>
  <c r="C337" i="34"/>
  <c r="C338" i="34"/>
  <c r="C339" i="34"/>
  <c r="C340" i="34"/>
  <c r="C341" i="34"/>
  <c r="C362" i="34"/>
  <c r="C363" i="34"/>
  <c r="C371" i="34"/>
  <c r="C372" i="34"/>
  <c r="C373" i="34"/>
  <c r="C374" i="34"/>
  <c r="C375" i="34"/>
  <c r="C376" i="34"/>
  <c r="C377" i="34"/>
  <c r="C378" i="34"/>
  <c r="C379" i="34"/>
  <c r="C380" i="34"/>
  <c r="C381" i="34"/>
  <c r="C382" i="34"/>
  <c r="C384" i="34"/>
  <c r="C385" i="34"/>
  <c r="C428" i="34"/>
  <c r="C429" i="34"/>
  <c r="C448" i="34"/>
  <c r="C449" i="34"/>
  <c r="C450" i="34"/>
  <c r="C455" i="34"/>
  <c r="C456" i="34"/>
  <c r="C457" i="34"/>
  <c r="C470" i="34"/>
  <c r="C471" i="34"/>
  <c r="C472" i="34"/>
  <c r="C473" i="34"/>
  <c r="C474" i="34"/>
  <c r="C475" i="34"/>
  <c r="C476" i="34"/>
  <c r="C477" i="34"/>
  <c r="C478" i="34"/>
  <c r="C479" i="34"/>
  <c r="C480" i="34"/>
  <c r="C481" i="34"/>
  <c r="C482" i="34"/>
  <c r="C483" i="34"/>
  <c r="C484" i="34"/>
  <c r="C485" i="34"/>
  <c r="C486" i="34"/>
  <c r="C487" i="34"/>
  <c r="C488" i="34"/>
  <c r="C489" i="34"/>
  <c r="C510" i="34"/>
  <c r="C511" i="34"/>
  <c r="C512" i="34"/>
  <c r="C513" i="34"/>
  <c r="C514" i="34"/>
  <c r="C515" i="34"/>
  <c r="C575" i="34"/>
  <c r="C576" i="34"/>
  <c r="C561" i="34"/>
  <c r="C562" i="34"/>
  <c r="C563" i="34"/>
  <c r="C564" i="34"/>
  <c r="C565" i="34"/>
  <c r="C566" i="34"/>
  <c r="C567" i="34"/>
  <c r="C600" i="34"/>
  <c r="C601" i="34"/>
  <c r="C518" i="34"/>
  <c r="C519" i="34"/>
  <c r="C520" i="34"/>
  <c r="C602" i="34"/>
  <c r="C603" i="34"/>
  <c r="C604" i="34"/>
  <c r="C605" i="34"/>
  <c r="C606" i="34"/>
  <c r="C408" i="34"/>
  <c r="C409" i="34"/>
  <c r="C437" i="34"/>
  <c r="C438" i="34"/>
  <c r="C430" i="34"/>
  <c r="C431" i="34"/>
  <c r="C432" i="34"/>
  <c r="C434" i="34"/>
  <c r="C435" i="34"/>
  <c r="C436" i="34"/>
  <c r="C453" i="34"/>
  <c r="C454" i="34"/>
  <c r="C405" i="34"/>
  <c r="C406" i="34"/>
  <c r="C440" i="34"/>
  <c r="C441" i="34"/>
  <c r="C442" i="34"/>
  <c r="C443" i="34"/>
  <c r="C444" i="34"/>
  <c r="C445" i="34"/>
  <c r="C460" i="34"/>
  <c r="C461" i="34"/>
  <c r="C462" i="34"/>
  <c r="C463" i="34"/>
  <c r="C464" i="34"/>
  <c r="C490" i="34"/>
  <c r="C491" i="34"/>
  <c r="C595" i="34"/>
  <c r="C588" i="34"/>
  <c r="C586" i="34"/>
  <c r="C577" i="34"/>
  <c r="C554" i="34"/>
  <c r="C552" i="34"/>
  <c r="C544" i="34"/>
  <c r="C531" i="34"/>
  <c r="C499" i="34"/>
  <c r="C466" i="34"/>
  <c r="C465" i="34"/>
  <c r="C452" i="34"/>
  <c r="C433" i="34"/>
  <c r="C410" i="34"/>
  <c r="C589" i="34"/>
  <c r="C590" i="34"/>
  <c r="C591" i="34"/>
  <c r="C592" i="34"/>
  <c r="C593" i="34"/>
  <c r="C594" i="34"/>
  <c r="C555" i="34"/>
  <c r="C556" i="34"/>
  <c r="C557" i="34"/>
  <c r="C558" i="34"/>
  <c r="C553" i="34"/>
  <c r="C545" i="34"/>
  <c r="C546" i="34"/>
  <c r="C547" i="34"/>
  <c r="C548" i="34"/>
  <c r="C549" i="34"/>
  <c r="C535" i="34"/>
  <c r="C536" i="34"/>
  <c r="C26" i="34" l="1"/>
  <c r="C29" i="34"/>
  <c r="C30" i="34"/>
  <c r="C31" i="34"/>
  <c r="C32" i="34"/>
  <c r="C36" i="34"/>
  <c r="C37" i="34"/>
  <c r="C38" i="34"/>
  <c r="C39" i="34"/>
  <c r="C56" i="34"/>
  <c r="C57" i="34"/>
  <c r="C25" i="34"/>
  <c r="K38" i="34"/>
  <c r="K37" i="34"/>
  <c r="K36" i="34"/>
  <c r="K31" i="34"/>
  <c r="K30" i="34"/>
  <c r="K29" i="34"/>
  <c r="K25" i="34"/>
  <c r="B190" i="34" l="1"/>
  <c r="B189" i="34"/>
  <c r="B172" i="34"/>
  <c r="B171" i="34"/>
  <c r="B210" i="34"/>
  <c r="B209" i="34"/>
  <c r="B149" i="34"/>
  <c r="B148" i="34"/>
  <c r="B398" i="34"/>
  <c r="B397" i="34"/>
  <c r="B396" i="34"/>
  <c r="B395" i="34"/>
  <c r="B394" i="34"/>
  <c r="B393" i="34"/>
  <c r="B125" i="34"/>
  <c r="B124" i="34"/>
  <c r="B294" i="34"/>
  <c r="B293" i="34"/>
  <c r="B309" i="34"/>
  <c r="A393" i="34" l="1"/>
  <c r="A209" i="34"/>
  <c r="A124" i="34"/>
  <c r="A395" i="34"/>
  <c r="A148" i="34"/>
  <c r="A171" i="34"/>
  <c r="A309" i="34"/>
  <c r="A125" i="34"/>
  <c r="A396" i="34"/>
  <c r="A149" i="34"/>
  <c r="A172" i="34"/>
  <c r="A293" i="34"/>
  <c r="A397" i="34"/>
  <c r="A189" i="34"/>
  <c r="A294" i="34"/>
  <c r="A394" i="34"/>
  <c r="A398" i="34"/>
  <c r="A210" i="34"/>
  <c r="A190" i="34"/>
  <c r="R15" i="60" l="1"/>
  <c r="A1" i="60" l="1"/>
  <c r="A12" i="55"/>
  <c r="J273" i="60"/>
  <c r="J126" i="60"/>
  <c r="R6" i="60"/>
  <c r="R16" i="60"/>
  <c r="R8" i="60"/>
  <c r="R9" i="60"/>
  <c r="R10" i="60"/>
  <c r="R11" i="60"/>
  <c r="D27" i="15"/>
  <c r="C27" i="15"/>
  <c r="C25" i="15"/>
  <c r="D25" i="15"/>
  <c r="E182" i="55"/>
  <c r="A182" i="55"/>
  <c r="F182" i="55"/>
  <c r="F183" i="55" s="1"/>
  <c r="H273" i="60" l="1"/>
  <c r="I126" i="60"/>
  <c r="H126" i="60"/>
  <c r="R22" i="60"/>
  <c r="R24" i="60" s="1"/>
  <c r="F23" i="55"/>
  <c r="F24" i="55" s="1"/>
  <c r="I273" i="60" l="1"/>
  <c r="R170" i="60" s="1"/>
  <c r="K191" i="60" l="1"/>
  <c r="K264" i="60"/>
  <c r="K268" i="60"/>
  <c r="K267" i="60"/>
  <c r="K266" i="60"/>
  <c r="K265" i="60"/>
  <c r="K269" i="60"/>
  <c r="K263" i="60"/>
  <c r="K177" i="60"/>
  <c r="T177" i="60" s="1"/>
  <c r="K239" i="60"/>
  <c r="T239" i="60" s="1"/>
  <c r="K204" i="60"/>
  <c r="T204" i="60" s="1"/>
  <c r="K218" i="60"/>
  <c r="T218" i="60" s="1"/>
  <c r="K258" i="60"/>
  <c r="T258" i="60" s="1"/>
  <c r="K192" i="60"/>
  <c r="T192" i="60" s="1"/>
  <c r="K140" i="60"/>
  <c r="T140" i="60" s="1"/>
  <c r="K232" i="60"/>
  <c r="T232" i="60" s="1"/>
  <c r="K205" i="60"/>
  <c r="T205" i="60" s="1"/>
  <c r="K190" i="60"/>
  <c r="T190" i="60" s="1"/>
  <c r="K174" i="60"/>
  <c r="T174" i="60" s="1"/>
  <c r="K158" i="60"/>
  <c r="T158" i="60" s="1"/>
  <c r="K222" i="60"/>
  <c r="T222" i="60" s="1"/>
  <c r="K185" i="60"/>
  <c r="T185" i="60" s="1"/>
  <c r="K173" i="60"/>
  <c r="T173" i="60" s="1"/>
  <c r="K157" i="60"/>
  <c r="T157" i="60" s="1"/>
  <c r="K227" i="60"/>
  <c r="T227" i="60" s="1"/>
  <c r="K201" i="60"/>
  <c r="T201" i="60" s="1"/>
  <c r="K257" i="60"/>
  <c r="T257" i="60" s="1"/>
  <c r="K249" i="60"/>
  <c r="T249" i="60" s="1"/>
  <c r="T191" i="60"/>
  <c r="K175" i="60"/>
  <c r="T175" i="60" s="1"/>
  <c r="K159" i="60"/>
  <c r="T159" i="60" s="1"/>
  <c r="K147" i="60"/>
  <c r="T147" i="60" s="1"/>
  <c r="K135" i="60"/>
  <c r="T135" i="60" s="1"/>
  <c r="K237" i="60"/>
  <c r="T237" i="60" s="1"/>
  <c r="K199" i="60"/>
  <c r="T199" i="60" s="1"/>
  <c r="K144" i="60"/>
  <c r="T144" i="60" s="1"/>
  <c r="K224" i="60"/>
  <c r="T224" i="60" s="1"/>
  <c r="K202" i="60"/>
  <c r="T202" i="60" s="1"/>
  <c r="K166" i="60"/>
  <c r="T166" i="60" s="1"/>
  <c r="K165" i="60"/>
  <c r="T165" i="60" s="1"/>
  <c r="K243" i="60"/>
  <c r="T243" i="60" s="1"/>
  <c r="K261" i="60"/>
  <c r="T261" i="60" s="1"/>
  <c r="K195" i="60"/>
  <c r="T195" i="60" s="1"/>
  <c r="K167" i="60"/>
  <c r="T167" i="60" s="1"/>
  <c r="K143" i="60"/>
  <c r="T143" i="60" s="1"/>
  <c r="K229" i="60"/>
  <c r="T229" i="60" s="1"/>
  <c r="K220" i="60"/>
  <c r="T220" i="60" s="1"/>
  <c r="K194" i="60"/>
  <c r="T194" i="60" s="1"/>
  <c r="K162" i="60"/>
  <c r="T162" i="60" s="1"/>
  <c r="K138" i="60"/>
  <c r="T138" i="60" s="1"/>
  <c r="K242" i="60"/>
  <c r="T242" i="60" s="1"/>
  <c r="K207" i="60"/>
  <c r="T207" i="60" s="1"/>
  <c r="K217" i="60"/>
  <c r="T217" i="60" s="1"/>
  <c r="K251" i="60"/>
  <c r="T251" i="60" s="1"/>
  <c r="K153" i="60"/>
  <c r="T153" i="60" s="1"/>
  <c r="K137" i="60"/>
  <c r="T137" i="60" s="1"/>
  <c r="K231" i="60"/>
  <c r="T231" i="60" s="1"/>
  <c r="K196" i="60"/>
  <c r="T196" i="60" s="1"/>
  <c r="K176" i="60"/>
  <c r="T176" i="60" s="1"/>
  <c r="K160" i="60"/>
  <c r="T160" i="60" s="1"/>
  <c r="K244" i="60"/>
  <c r="T244" i="60" s="1"/>
  <c r="K216" i="60"/>
  <c r="T216" i="60" s="1"/>
  <c r="K210" i="60"/>
  <c r="T210" i="60" s="1"/>
  <c r="K141" i="60"/>
  <c r="T141" i="60" s="1"/>
  <c r="K163" i="60"/>
  <c r="T163" i="60" s="1"/>
  <c r="K139" i="60"/>
  <c r="T139" i="60" s="1"/>
  <c r="K213" i="60"/>
  <c r="T213" i="60" s="1"/>
  <c r="K260" i="60"/>
  <c r="T260" i="60" s="1"/>
  <c r="K186" i="60"/>
  <c r="T186" i="60" s="1"/>
  <c r="K170" i="60"/>
  <c r="T170" i="60" s="1"/>
  <c r="K154" i="60"/>
  <c r="T154" i="60" s="1"/>
  <c r="K226" i="60"/>
  <c r="T226" i="60" s="1"/>
  <c r="K200" i="60"/>
  <c r="T200" i="60" s="1"/>
  <c r="K214" i="60"/>
  <c r="T214" i="60" s="1"/>
  <c r="K259" i="60"/>
  <c r="T259" i="60" s="1"/>
  <c r="K193" i="60"/>
  <c r="T193" i="60" s="1"/>
  <c r="K169" i="60"/>
  <c r="T169" i="60" s="1"/>
  <c r="K145" i="60"/>
  <c r="T145" i="60" s="1"/>
  <c r="K254" i="60"/>
  <c r="T254" i="60" s="1"/>
  <c r="K188" i="60"/>
  <c r="T188" i="60" s="1"/>
  <c r="K180" i="60"/>
  <c r="T180" i="60" s="1"/>
  <c r="K172" i="60"/>
  <c r="T172" i="60" s="1"/>
  <c r="K164" i="60"/>
  <c r="T164" i="60" s="1"/>
  <c r="K156" i="60"/>
  <c r="T156" i="60" s="1"/>
  <c r="K148" i="60"/>
  <c r="T148" i="60" s="1"/>
  <c r="K236" i="60"/>
  <c r="T236" i="60" s="1"/>
  <c r="K198" i="60"/>
  <c r="T198" i="60" s="1"/>
  <c r="K219" i="60"/>
  <c r="T219" i="60" s="1"/>
  <c r="K256" i="60"/>
  <c r="T256" i="60" s="1"/>
  <c r="K150" i="60"/>
  <c r="T150" i="60" s="1"/>
  <c r="K230" i="60"/>
  <c r="T230" i="60" s="1"/>
  <c r="K203" i="60"/>
  <c r="T203" i="60" s="1"/>
  <c r="K221" i="60"/>
  <c r="T221" i="60" s="1"/>
  <c r="K255" i="60"/>
  <c r="T255" i="60" s="1"/>
  <c r="K149" i="60"/>
  <c r="T149" i="60" s="1"/>
  <c r="K235" i="60"/>
  <c r="T235" i="60" s="1"/>
  <c r="K208" i="60"/>
  <c r="T208" i="60" s="1"/>
  <c r="K187" i="60"/>
  <c r="T187" i="60" s="1"/>
  <c r="K171" i="60"/>
  <c r="T171" i="60" s="1"/>
  <c r="K155" i="60"/>
  <c r="T155" i="60" s="1"/>
  <c r="K225" i="60"/>
  <c r="T225" i="60" s="1"/>
  <c r="K241" i="60"/>
  <c r="T241" i="60" s="1"/>
  <c r="K209" i="60"/>
  <c r="T209" i="60" s="1"/>
  <c r="K252" i="60"/>
  <c r="T252" i="60" s="1"/>
  <c r="K146" i="60"/>
  <c r="T146" i="60" s="1"/>
  <c r="K234" i="60"/>
  <c r="T234" i="60" s="1"/>
  <c r="K161" i="60"/>
  <c r="T161" i="60" s="1"/>
  <c r="K223" i="60"/>
  <c r="T223" i="60" s="1"/>
  <c r="K197" i="60"/>
  <c r="T197" i="60" s="1"/>
  <c r="K211" i="60"/>
  <c r="T211" i="60" s="1"/>
  <c r="K262" i="60"/>
  <c r="T262" i="60" s="1"/>
  <c r="K250" i="60"/>
  <c r="T250" i="60" s="1"/>
  <c r="K136" i="60"/>
  <c r="T136" i="60" s="1"/>
  <c r="K240" i="60"/>
  <c r="T240" i="60" s="1"/>
  <c r="K212" i="60"/>
  <c r="T212" i="60" s="1"/>
  <c r="K248" i="60"/>
  <c r="T248" i="60" s="1"/>
  <c r="K182" i="60"/>
  <c r="T182" i="60" s="1"/>
  <c r="K142" i="60"/>
  <c r="T142" i="60" s="1"/>
  <c r="K238" i="60"/>
  <c r="T238" i="60" s="1"/>
  <c r="K181" i="60"/>
  <c r="T181" i="60" s="1"/>
  <c r="K253" i="60"/>
  <c r="T253" i="60" s="1"/>
  <c r="K183" i="60"/>
  <c r="T183" i="60" s="1"/>
  <c r="K151" i="60"/>
  <c r="T151" i="60" s="1"/>
  <c r="K245" i="60"/>
  <c r="T245" i="60" s="1"/>
  <c r="K178" i="60"/>
  <c r="T178" i="60" s="1"/>
  <c r="K189" i="60"/>
  <c r="T189" i="60" s="1"/>
  <c r="K184" i="60"/>
  <c r="T184" i="60" s="1"/>
  <c r="K168" i="60"/>
  <c r="T168" i="60" s="1"/>
  <c r="K152" i="60"/>
  <c r="T152" i="60" s="1"/>
  <c r="K228" i="60"/>
  <c r="T228" i="60" s="1"/>
  <c r="K271" i="60"/>
  <c r="T271" i="60" s="1"/>
  <c r="K134" i="60"/>
  <c r="T134" i="60" s="1"/>
  <c r="K246" i="60"/>
  <c r="T246" i="60" s="1"/>
  <c r="K270" i="60"/>
  <c r="T270" i="60" s="1"/>
  <c r="K247" i="60"/>
  <c r="T247" i="60" s="1"/>
  <c r="K215" i="60"/>
  <c r="T215" i="60" s="1"/>
  <c r="K179" i="60"/>
  <c r="T179" i="60" s="1"/>
  <c r="K233" i="60"/>
  <c r="T233" i="60" s="1"/>
  <c r="K206" i="60"/>
  <c r="T206" i="60" s="1"/>
  <c r="G12" i="55" a="1"/>
  <c r="G12" i="55" s="1"/>
  <c r="I12" i="55" a="1"/>
  <c r="I12" i="55" s="1"/>
  <c r="T273" i="60" l="1"/>
  <c r="R273" i="60" s="1"/>
  <c r="K12" i="55"/>
  <c r="I7" i="12" l="1"/>
  <c r="I9" i="12"/>
  <c r="I10" i="12"/>
  <c r="I15" i="12"/>
  <c r="I6" i="12"/>
  <c r="A27" i="70" l="1"/>
  <c r="A23" i="70"/>
  <c r="A26" i="70"/>
  <c r="A20" i="70"/>
  <c r="A15" i="70"/>
  <c r="A16" i="70"/>
  <c r="A7" i="70"/>
  <c r="A8" i="70"/>
  <c r="A13" i="70"/>
  <c r="A25" i="70"/>
  <c r="A11" i="70"/>
  <c r="A22" i="70"/>
  <c r="A6" i="70"/>
  <c r="A19" i="70"/>
  <c r="A21" i="70"/>
  <c r="A24" i="70"/>
  <c r="A3" i="54" l="1"/>
  <c r="A2" i="54"/>
  <c r="B2" i="55" l="1"/>
  <c r="B1" i="55"/>
  <c r="A7" i="12"/>
  <c r="A9" i="12"/>
  <c r="A10" i="12"/>
  <c r="A6" i="12"/>
  <c r="A12" i="70"/>
  <c r="A14" i="70"/>
  <c r="A9" i="70"/>
  <c r="A10" i="70"/>
  <c r="A17" i="70"/>
  <c r="A18" i="70"/>
  <c r="A2" i="12"/>
  <c r="A1" i="12"/>
  <c r="A2" i="70"/>
  <c r="A1" i="70"/>
  <c r="A129" i="60" l="1"/>
  <c r="E21" i="54" l="1"/>
  <c r="E16" i="61"/>
  <c r="C10" i="34"/>
  <c r="C11" i="34"/>
  <c r="C12" i="34"/>
  <c r="C13" i="34"/>
  <c r="C14" i="34"/>
  <c r="C15" i="34"/>
  <c r="C16" i="34"/>
  <c r="J186" i="55" l="1"/>
  <c r="F18" i="12"/>
  <c r="F45" i="70"/>
  <c r="H2" i="55"/>
  <c r="B6" i="57"/>
  <c r="L2" i="64"/>
  <c r="J3" i="54"/>
  <c r="L3" i="39"/>
  <c r="L2" i="39"/>
  <c r="B604" i="34" l="1"/>
  <c r="A604" i="34" l="1"/>
  <c r="B271" i="34"/>
  <c r="B270" i="34"/>
  <c r="B284" i="34"/>
  <c r="B283" i="34"/>
  <c r="B281" i="34"/>
  <c r="B280" i="34"/>
  <c r="B279" i="34"/>
  <c r="B278" i="34"/>
  <c r="B277" i="34"/>
  <c r="B269" i="34"/>
  <c r="B268" i="34"/>
  <c r="B263" i="34"/>
  <c r="B262" i="34"/>
  <c r="B261" i="34"/>
  <c r="B260" i="34"/>
  <c r="B259" i="34"/>
  <c r="B258" i="34"/>
  <c r="B257" i="34"/>
  <c r="B256" i="34"/>
  <c r="B255" i="34"/>
  <c r="B244" i="34"/>
  <c r="B243" i="34"/>
  <c r="B241" i="34"/>
  <c r="B240" i="34"/>
  <c r="B239" i="34"/>
  <c r="B238" i="34"/>
  <c r="B236" i="34"/>
  <c r="B235" i="34"/>
  <c r="B234" i="34"/>
  <c r="B233" i="34"/>
  <c r="B232" i="34"/>
  <c r="B230" i="34"/>
  <c r="B229" i="34"/>
  <c r="B228" i="34"/>
  <c r="B226" i="34"/>
  <c r="B225" i="34"/>
  <c r="B224" i="34"/>
  <c r="B223" i="34"/>
  <c r="B213" i="34"/>
  <c r="B212" i="34"/>
  <c r="B405" i="34"/>
  <c r="B454" i="34"/>
  <c r="B453" i="34"/>
  <c r="B1135" i="34"/>
  <c r="B1134" i="34"/>
  <c r="B1126" i="34"/>
  <c r="B1125" i="34"/>
  <c r="B1124" i="34"/>
  <c r="B1123" i="34"/>
  <c r="B1121" i="34"/>
  <c r="B1120" i="34"/>
  <c r="B1119" i="34"/>
  <c r="B1118" i="34"/>
  <c r="B1122" i="34"/>
  <c r="B1117" i="34"/>
  <c r="B1116" i="34"/>
  <c r="B1115" i="34"/>
  <c r="B1076" i="34"/>
  <c r="B1075" i="34"/>
  <c r="B1074" i="34"/>
  <c r="B1073" i="34"/>
  <c r="B1072" i="34"/>
  <c r="B1071" i="34"/>
  <c r="B1070" i="34"/>
  <c r="B1069" i="34"/>
  <c r="B1068" i="34"/>
  <c r="B1060" i="34"/>
  <c r="B1058" i="34"/>
  <c r="B1057" i="34"/>
  <c r="B1056" i="34"/>
  <c r="B1055" i="34"/>
  <c r="B1054" i="34"/>
  <c r="B1053" i="34"/>
  <c r="B1052" i="34"/>
  <c r="B1051" i="34"/>
  <c r="B1044" i="34"/>
  <c r="B1043" i="34"/>
  <c r="B1042" i="34"/>
  <c r="B1041" i="34"/>
  <c r="B1040" i="34"/>
  <c r="B1039" i="34"/>
  <c r="B1038" i="34"/>
  <c r="B1037" i="34"/>
  <c r="B1036" i="34"/>
  <c r="B1035" i="34"/>
  <c r="B1034" i="34"/>
  <c r="B1031" i="34"/>
  <c r="B1030" i="34"/>
  <c r="B1029" i="34"/>
  <c r="B1028" i="34"/>
  <c r="B1025" i="34"/>
  <c r="B1024" i="34"/>
  <c r="B1023" i="34"/>
  <c r="B1018" i="34"/>
  <c r="B437" i="34"/>
  <c r="B409" i="34"/>
  <c r="B408" i="34"/>
  <c r="B606" i="34"/>
  <c r="B605" i="34"/>
  <c r="B1098" i="34"/>
  <c r="B1097" i="34"/>
  <c r="B1096" i="34"/>
  <c r="B1095" i="34"/>
  <c r="B1094" i="34"/>
  <c r="B1093" i="34"/>
  <c r="B1092" i="34"/>
  <c r="B1091" i="34"/>
  <c r="B1090" i="34"/>
  <c r="B1089" i="34"/>
  <c r="B1088" i="34"/>
  <c r="B1087" i="34"/>
  <c r="B1086" i="34"/>
  <c r="B1085" i="34"/>
  <c r="B1084" i="34"/>
  <c r="B1083" i="34"/>
  <c r="B1082" i="34"/>
  <c r="B1081" i="34"/>
  <c r="B1080" i="34"/>
  <c r="B1079" i="34"/>
  <c r="B1078" i="34"/>
  <c r="B1077" i="34"/>
  <c r="B1065" i="34"/>
  <c r="B1064" i="34"/>
  <c r="B1063" i="34"/>
  <c r="B1062" i="34"/>
  <c r="B1061" i="34"/>
  <c r="B1111" i="34"/>
  <c r="B1110" i="34"/>
  <c r="B1109" i="34"/>
  <c r="B1108" i="34"/>
  <c r="B1107" i="34"/>
  <c r="B1106" i="34"/>
  <c r="B1105" i="34"/>
  <c r="B1102" i="34"/>
  <c r="B1101" i="34"/>
  <c r="B1100" i="34"/>
  <c r="B1099" i="34"/>
  <c r="A1062" i="34" l="1"/>
  <c r="A1064" i="34"/>
  <c r="A408" i="34"/>
  <c r="A1023" i="34"/>
  <c r="A1029" i="34"/>
  <c r="A1035" i="34"/>
  <c r="A1039" i="34"/>
  <c r="A1043" i="34"/>
  <c r="A1053" i="34"/>
  <c r="A1057" i="34"/>
  <c r="A1069" i="34"/>
  <c r="A454" i="34"/>
  <c r="A223" i="34"/>
  <c r="A228" i="34"/>
  <c r="A233" i="34"/>
  <c r="A238" i="34"/>
  <c r="A243" i="34"/>
  <c r="A257" i="34"/>
  <c r="A261" i="34"/>
  <c r="A269" i="34"/>
  <c r="A280" i="34"/>
  <c r="A270" i="34"/>
  <c r="A605" i="34"/>
  <c r="A1061" i="34"/>
  <c r="A1065" i="34"/>
  <c r="A409" i="34"/>
  <c r="A1024" i="34"/>
  <c r="A1030" i="34"/>
  <c r="A1036" i="34"/>
  <c r="A1040" i="34"/>
  <c r="A1044" i="34"/>
  <c r="A1054" i="34"/>
  <c r="A1058" i="34"/>
  <c r="A1070" i="34"/>
  <c r="A405" i="34"/>
  <c r="A224" i="34"/>
  <c r="A229" i="34"/>
  <c r="A234" i="34"/>
  <c r="A239" i="34"/>
  <c r="A244" i="34"/>
  <c r="A258" i="34"/>
  <c r="A262" i="34"/>
  <c r="A277" i="34"/>
  <c r="A281" i="34"/>
  <c r="A271" i="34"/>
  <c r="A1025" i="34"/>
  <c r="A1031" i="34"/>
  <c r="A1037" i="34"/>
  <c r="A1041" i="34"/>
  <c r="A1051" i="34"/>
  <c r="A1055" i="34"/>
  <c r="A1060" i="34"/>
  <c r="A1071" i="34"/>
  <c r="A212" i="34"/>
  <c r="A225" i="34"/>
  <c r="A230" i="34"/>
  <c r="A235" i="34"/>
  <c r="A240" i="34"/>
  <c r="A255" i="34"/>
  <c r="A259" i="34"/>
  <c r="A263" i="34"/>
  <c r="A278" i="34"/>
  <c r="A283" i="34"/>
  <c r="A437" i="34"/>
  <c r="A1063" i="34"/>
  <c r="A606" i="34"/>
  <c r="A1018" i="34"/>
  <c r="A1028" i="34"/>
  <c r="A1034" i="34"/>
  <c r="A1038" i="34"/>
  <c r="A1042" i="34"/>
  <c r="A1052" i="34"/>
  <c r="A1056" i="34"/>
  <c r="A1068" i="34"/>
  <c r="A1072" i="34"/>
  <c r="A453" i="34"/>
  <c r="A213" i="34"/>
  <c r="A226" i="34"/>
  <c r="A232" i="34"/>
  <c r="A236" i="34"/>
  <c r="A241" i="34"/>
  <c r="A256" i="34"/>
  <c r="A260" i="34"/>
  <c r="A268" i="34"/>
  <c r="A279" i="34"/>
  <c r="A284" i="34"/>
  <c r="A1093" i="34"/>
  <c r="A1117" i="34"/>
  <c r="A1125" i="34"/>
  <c r="A1111" i="34"/>
  <c r="A1085" i="34"/>
  <c r="A1097" i="34"/>
  <c r="A1075" i="34"/>
  <c r="A1120" i="34"/>
  <c r="A1102" i="34"/>
  <c r="A1108" i="34"/>
  <c r="A1078" i="34"/>
  <c r="A1082" i="34"/>
  <c r="A1086" i="34"/>
  <c r="A1090" i="34"/>
  <c r="A1094" i="34"/>
  <c r="A1098" i="34"/>
  <c r="A1076" i="34"/>
  <c r="A1122" i="34"/>
  <c r="A1121" i="34"/>
  <c r="A1126" i="34"/>
  <c r="A1107" i="34"/>
  <c r="A1081" i="34"/>
  <c r="A1099" i="34"/>
  <c r="A1109" i="34"/>
  <c r="A1083" i="34"/>
  <c r="A1091" i="34"/>
  <c r="A1118" i="34"/>
  <c r="A1134" i="34"/>
  <c r="A1101" i="34"/>
  <c r="A1077" i="34"/>
  <c r="A1089" i="34"/>
  <c r="A1105" i="34"/>
  <c r="A1079" i="34"/>
  <c r="A1087" i="34"/>
  <c r="A1095" i="34"/>
  <c r="A1073" i="34"/>
  <c r="A1115" i="34"/>
  <c r="A1123" i="34"/>
  <c r="A1100" i="34"/>
  <c r="A1106" i="34"/>
  <c r="A1110" i="34"/>
  <c r="A1080" i="34"/>
  <c r="A1084" i="34"/>
  <c r="A1088" i="34"/>
  <c r="A1092" i="34"/>
  <c r="A1096" i="34"/>
  <c r="A1074" i="34"/>
  <c r="A1116" i="34"/>
  <c r="A1119" i="34"/>
  <c r="A1124" i="34"/>
  <c r="A1135" i="34"/>
  <c r="B110" i="34" l="1"/>
  <c r="A110" i="34" l="1"/>
  <c r="B1114" i="34"/>
  <c r="B1113" i="34"/>
  <c r="B1112" i="34"/>
  <c r="B440" i="34"/>
  <c r="B406" i="34"/>
  <c r="B431" i="34"/>
  <c r="B430" i="34"/>
  <c r="B438" i="34"/>
  <c r="B378" i="34"/>
  <c r="B377" i="34"/>
  <c r="B376" i="34"/>
  <c r="B375" i="34"/>
  <c r="B374" i="34"/>
  <c r="B373" i="34"/>
  <c r="B372" i="34"/>
  <c r="B371" i="34"/>
  <c r="B363" i="34"/>
  <c r="B362" i="34"/>
  <c r="B341" i="34"/>
  <c r="B340" i="34"/>
  <c r="B339" i="34"/>
  <c r="B338" i="34"/>
  <c r="B337" i="34"/>
  <c r="B333" i="34"/>
  <c r="B332" i="34"/>
  <c r="B1396" i="34"/>
  <c r="B1395" i="34"/>
  <c r="B1394" i="34"/>
  <c r="B1393" i="34"/>
  <c r="B1006" i="34"/>
  <c r="B990" i="34"/>
  <c r="B920" i="34"/>
  <c r="B919" i="34"/>
  <c r="B916" i="34"/>
  <c r="B915" i="34"/>
  <c r="B914" i="34"/>
  <c r="B913" i="34"/>
  <c r="B912" i="34"/>
  <c r="B328" i="34"/>
  <c r="B327" i="34"/>
  <c r="B326" i="34"/>
  <c r="B316" i="34"/>
  <c r="B315" i="34"/>
  <c r="B307" i="34"/>
  <c r="B306" i="34"/>
  <c r="B305" i="34"/>
  <c r="B304" i="34"/>
  <c r="B303" i="34"/>
  <c r="B302" i="34"/>
  <c r="B300" i="34"/>
  <c r="B299" i="34"/>
  <c r="B297" i="34"/>
  <c r="B296" i="34"/>
  <c r="B295" i="34"/>
  <c r="B291" i="34"/>
  <c r="B290" i="34"/>
  <c r="B289" i="34"/>
  <c r="B288" i="34"/>
  <c r="B286" i="34"/>
  <c r="B285" i="34"/>
  <c r="B276" i="34"/>
  <c r="B275" i="34"/>
  <c r="B274" i="34"/>
  <c r="B273" i="34"/>
  <c r="A291" i="34" l="1"/>
  <c r="A315" i="34"/>
  <c r="A371" i="34"/>
  <c r="A438" i="34"/>
  <c r="A276" i="34"/>
  <c r="A289" i="34"/>
  <c r="A296" i="34"/>
  <c r="A302" i="34"/>
  <c r="A306" i="34"/>
  <c r="A326" i="34"/>
  <c r="A913" i="34"/>
  <c r="A919" i="34"/>
  <c r="A338" i="34"/>
  <c r="A362" i="34"/>
  <c r="A373" i="34"/>
  <c r="A377" i="34"/>
  <c r="A431" i="34"/>
  <c r="A286" i="34"/>
  <c r="A304" i="34"/>
  <c r="A915" i="34"/>
  <c r="A333" i="34"/>
  <c r="A440" i="34"/>
  <c r="A273" i="34"/>
  <c r="A285" i="34"/>
  <c r="A290" i="34"/>
  <c r="A297" i="34"/>
  <c r="A303" i="34"/>
  <c r="A307" i="34"/>
  <c r="A327" i="34"/>
  <c r="A914" i="34"/>
  <c r="A920" i="34"/>
  <c r="A332" i="34"/>
  <c r="A339" i="34"/>
  <c r="A363" i="34"/>
  <c r="A374" i="34"/>
  <c r="A378" i="34"/>
  <c r="A406" i="34"/>
  <c r="A328" i="34"/>
  <c r="A375" i="34"/>
  <c r="A274" i="34"/>
  <c r="A299" i="34"/>
  <c r="A990" i="34"/>
  <c r="A340" i="34"/>
  <c r="A275" i="34"/>
  <c r="A288" i="34"/>
  <c r="A295" i="34"/>
  <c r="A300" i="34"/>
  <c r="A305" i="34"/>
  <c r="A316" i="34"/>
  <c r="A912" i="34"/>
  <c r="A916" i="34"/>
  <c r="A1006" i="34"/>
  <c r="A337" i="34"/>
  <c r="A341" i="34"/>
  <c r="A372" i="34"/>
  <c r="A376" i="34"/>
  <c r="A430" i="34"/>
  <c r="A1396" i="34"/>
  <c r="A1393" i="34"/>
  <c r="A1112" i="34"/>
  <c r="A1394" i="34"/>
  <c r="A1113" i="34"/>
  <c r="A1395" i="34"/>
  <c r="A1114" i="34"/>
  <c r="B1017" i="34" l="1"/>
  <c r="B436" i="34"/>
  <c r="B603" i="34"/>
  <c r="A436" i="34" l="1"/>
  <c r="A603" i="34"/>
  <c r="A1017" i="34"/>
  <c r="E23" i="55"/>
  <c r="B480" i="34" l="1"/>
  <c r="B475" i="34"/>
  <c r="B448" i="34"/>
  <c r="A480" i="34" l="1"/>
  <c r="A448" i="34"/>
  <c r="A475" i="34"/>
  <c r="B331" i="34"/>
  <c r="B992" i="34"/>
  <c r="B979" i="34"/>
  <c r="A992" i="34" l="1"/>
  <c r="A979" i="34"/>
  <c r="A331" i="34"/>
  <c r="B411" i="34"/>
  <c r="B557" i="34"/>
  <c r="B105" i="34"/>
  <c r="B43" i="34"/>
  <c r="B360" i="34"/>
  <c r="B87" i="34"/>
  <c r="B952" i="34"/>
  <c r="A87" i="34" l="1"/>
  <c r="A557" i="34"/>
  <c r="A360" i="34"/>
  <c r="A411" i="34"/>
  <c r="A43" i="34"/>
  <c r="A952" i="34"/>
  <c r="A105" i="34"/>
  <c r="B330" i="34"/>
  <c r="B321" i="34"/>
  <c r="A321" i="34" l="1"/>
  <c r="A330" i="34"/>
  <c r="B97" i="34"/>
  <c r="B96" i="34"/>
  <c r="B95" i="34"/>
  <c r="B94" i="34"/>
  <c r="B93" i="34"/>
  <c r="B92" i="34"/>
  <c r="B85" i="34"/>
  <c r="B83" i="34"/>
  <c r="B82" i="34"/>
  <c r="B81" i="34"/>
  <c r="B75" i="34"/>
  <c r="B74" i="34"/>
  <c r="B73" i="34"/>
  <c r="B72" i="34"/>
  <c r="B71" i="34"/>
  <c r="B70" i="34"/>
  <c r="B69" i="34"/>
  <c r="B68" i="34"/>
  <c r="B67" i="34"/>
  <c r="B357" i="34"/>
  <c r="B356" i="34"/>
  <c r="B355" i="34"/>
  <c r="B351" i="34"/>
  <c r="B350" i="34"/>
  <c r="B349" i="34"/>
  <c r="B348" i="34"/>
  <c r="B347" i="34"/>
  <c r="B336" i="34"/>
  <c r="B335" i="34"/>
  <c r="B325" i="34"/>
  <c r="B322" i="34"/>
  <c r="B320" i="34"/>
  <c r="B314" i="34"/>
  <c r="B313" i="34"/>
  <c r="B978" i="34"/>
  <c r="B977" i="34"/>
  <c r="B976" i="34"/>
  <c r="B951" i="34"/>
  <c r="B950" i="34"/>
  <c r="B949" i="34"/>
  <c r="B948" i="34"/>
  <c r="B947" i="34"/>
  <c r="B946" i="34"/>
  <c r="B945" i="34"/>
  <c r="B944" i="34"/>
  <c r="B932" i="34"/>
  <c r="B931" i="34"/>
  <c r="B930" i="34"/>
  <c r="B929" i="34"/>
  <c r="B928" i="34"/>
  <c r="B925" i="34"/>
  <c r="B924" i="34"/>
  <c r="B923" i="34"/>
  <c r="B922" i="34"/>
  <c r="B917" i="34"/>
  <c r="B911" i="34"/>
  <c r="B910" i="34"/>
  <c r="B909" i="34"/>
  <c r="B908" i="34"/>
  <c r="B907" i="34"/>
  <c r="B906" i="34"/>
  <c r="B905" i="34"/>
  <c r="B904" i="34"/>
  <c r="B892" i="34"/>
  <c r="B891" i="34"/>
  <c r="B890" i="34"/>
  <c r="B889" i="34"/>
  <c r="B888" i="34"/>
  <c r="B887" i="34"/>
  <c r="B886" i="34"/>
  <c r="B885" i="34"/>
  <c r="B861" i="34"/>
  <c r="B860" i="34"/>
  <c r="B859" i="34"/>
  <c r="B858" i="34"/>
  <c r="B857" i="34"/>
  <c r="B856" i="34"/>
  <c r="B855" i="34"/>
  <c r="B854" i="34"/>
  <c r="B853" i="34"/>
  <c r="B459" i="34"/>
  <c r="B469" i="34"/>
  <c r="B468" i="34"/>
  <c r="B467" i="34"/>
  <c r="B507" i="34"/>
  <c r="B506" i="34"/>
  <c r="B505" i="34"/>
  <c r="B504" i="34"/>
  <c r="B595" i="34"/>
  <c r="B491" i="34"/>
  <c r="B490" i="34"/>
  <c r="B464" i="34"/>
  <c r="B463" i="34"/>
  <c r="B462" i="34"/>
  <c r="B461" i="34"/>
  <c r="B460" i="34"/>
  <c r="B445" i="34"/>
  <c r="B518" i="34"/>
  <c r="B601" i="34"/>
  <c r="B600" i="34"/>
  <c r="B567" i="34"/>
  <c r="B566" i="34"/>
  <c r="B565" i="34"/>
  <c r="B564" i="34"/>
  <c r="B563" i="34"/>
  <c r="B562" i="34"/>
  <c r="B1020" i="34"/>
  <c r="B1019" i="34"/>
  <c r="B1007" i="34"/>
  <c r="B989" i="34"/>
  <c r="B940" i="34"/>
  <c r="B939" i="34"/>
  <c r="B927" i="34"/>
  <c r="B926" i="34"/>
  <c r="B177" i="34"/>
  <c r="B176" i="34"/>
  <c r="B175" i="34"/>
  <c r="B174" i="34"/>
  <c r="B170" i="34"/>
  <c r="B169" i="34"/>
  <c r="B168" i="34"/>
  <c r="B167" i="34"/>
  <c r="B166" i="34"/>
  <c r="B147" i="34"/>
  <c r="B146" i="34"/>
  <c r="B145" i="34"/>
  <c r="B144" i="34"/>
  <c r="B143" i="34"/>
  <c r="B141" i="34"/>
  <c r="B140" i="34"/>
  <c r="B139" i="34"/>
  <c r="B138" i="34"/>
  <c r="B134" i="34"/>
  <c r="B133" i="34"/>
  <c r="B132" i="34"/>
  <c r="B121" i="34"/>
  <c r="B120" i="34"/>
  <c r="B119" i="34"/>
  <c r="B118" i="34"/>
  <c r="B117" i="34"/>
  <c r="B116" i="34"/>
  <c r="B100" i="34"/>
  <c r="B99" i="34"/>
  <c r="B98" i="34"/>
  <c r="B385" i="34"/>
  <c r="B384" i="34"/>
  <c r="B382" i="34"/>
  <c r="B381" i="34"/>
  <c r="B380" i="34"/>
  <c r="B379" i="34"/>
  <c r="B1067" i="34"/>
  <c r="B1066" i="34"/>
  <c r="B1059" i="34"/>
  <c r="B870" i="34"/>
  <c r="B869" i="34"/>
  <c r="B868" i="34"/>
  <c r="B842" i="34"/>
  <c r="B841" i="34"/>
  <c r="B840" i="34"/>
  <c r="B410" i="34"/>
  <c r="B433" i="34"/>
  <c r="B452" i="34"/>
  <c r="B465" i="34"/>
  <c r="B466" i="34"/>
  <c r="B499" i="34"/>
  <c r="B531" i="34"/>
  <c r="B544" i="34"/>
  <c r="B552" i="34"/>
  <c r="B554" i="34"/>
  <c r="B1103" i="34"/>
  <c r="B1050" i="34"/>
  <c r="B1049" i="34"/>
  <c r="B1048" i="34"/>
  <c r="B1047" i="34"/>
  <c r="B1046" i="34"/>
  <c r="B1045" i="34"/>
  <c r="B1033" i="34"/>
  <c r="B1032" i="34"/>
  <c r="B1027" i="34"/>
  <c r="B1026" i="34"/>
  <c r="B1022" i="34"/>
  <c r="B1021" i="34"/>
  <c r="B997" i="34"/>
  <c r="B996" i="34"/>
  <c r="B995" i="34"/>
  <c r="B994" i="34"/>
  <c r="B993" i="34"/>
  <c r="B442" i="34"/>
  <c r="B441" i="34"/>
  <c r="B435" i="34"/>
  <c r="B434" i="34"/>
  <c r="B432" i="34"/>
  <c r="B561" i="34"/>
  <c r="B576" i="34"/>
  <c r="B575" i="34"/>
  <c r="B515" i="34"/>
  <c r="B514" i="34"/>
  <c r="B513" i="34"/>
  <c r="B512" i="34"/>
  <c r="B511" i="34"/>
  <c r="B510" i="34"/>
  <c r="B489" i="34"/>
  <c r="B488" i="34"/>
  <c r="B487" i="34"/>
  <c r="B486" i="34"/>
  <c r="B485" i="34"/>
  <c r="B484" i="34"/>
  <c r="B483" i="34"/>
  <c r="B482" i="34"/>
  <c r="B481" i="34"/>
  <c r="B479" i="34"/>
  <c r="B478" i="34"/>
  <c r="B477" i="34"/>
  <c r="B476" i="34"/>
  <c r="B474" i="34"/>
  <c r="B473" i="34"/>
  <c r="B472" i="34"/>
  <c r="B471" i="34"/>
  <c r="B470" i="34"/>
  <c r="B457" i="34"/>
  <c r="B456" i="34"/>
  <c r="B455" i="34"/>
  <c r="B450" i="34"/>
  <c r="B449" i="34"/>
  <c r="B429" i="34"/>
  <c r="B428" i="34"/>
  <c r="B329" i="34"/>
  <c r="B1104" i="34"/>
  <c r="B991" i="34"/>
  <c r="B980" i="34"/>
  <c r="A471" i="34" l="1"/>
  <c r="A485" i="34"/>
  <c r="A435" i="34"/>
  <c r="A994" i="34"/>
  <c r="A449" i="34"/>
  <c r="A457" i="34"/>
  <c r="A473" i="34"/>
  <c r="A478" i="34"/>
  <c r="A483" i="34"/>
  <c r="A487" i="34"/>
  <c r="A511" i="34"/>
  <c r="A515" i="34"/>
  <c r="A432" i="34"/>
  <c r="A442" i="34"/>
  <c r="A996" i="34"/>
  <c r="A1026" i="34"/>
  <c r="A1045" i="34"/>
  <c r="A1049" i="34"/>
  <c r="A552" i="34"/>
  <c r="A466" i="34"/>
  <c r="A410" i="34"/>
  <c r="A868" i="34"/>
  <c r="A1066" i="34"/>
  <c r="A381" i="34"/>
  <c r="A100" i="34"/>
  <c r="A119" i="34"/>
  <c r="A133" i="34"/>
  <c r="A140" i="34"/>
  <c r="A145" i="34"/>
  <c r="A167" i="34"/>
  <c r="A174" i="34"/>
  <c r="A926" i="34"/>
  <c r="A989" i="34"/>
  <c r="A562" i="34"/>
  <c r="A566" i="34"/>
  <c r="A518" i="34"/>
  <c r="A462" i="34"/>
  <c r="A491" i="34"/>
  <c r="A506" i="34"/>
  <c r="A469" i="34"/>
  <c r="A855" i="34"/>
  <c r="A859" i="34"/>
  <c r="A886" i="34"/>
  <c r="A890" i="34"/>
  <c r="A905" i="34"/>
  <c r="A909" i="34"/>
  <c r="A922" i="34"/>
  <c r="A928" i="34"/>
  <c r="A932" i="34"/>
  <c r="A947" i="34"/>
  <c r="A951" i="34"/>
  <c r="A313" i="34"/>
  <c r="A325" i="34"/>
  <c r="A348" i="34"/>
  <c r="A355" i="34"/>
  <c r="A68" i="34"/>
  <c r="A72" i="34"/>
  <c r="A81" i="34"/>
  <c r="A92" i="34"/>
  <c r="A96" i="34"/>
  <c r="A428" i="34"/>
  <c r="A481" i="34"/>
  <c r="A576" i="34"/>
  <c r="A329" i="34"/>
  <c r="A450" i="34"/>
  <c r="A470" i="34"/>
  <c r="A474" i="34"/>
  <c r="A479" i="34"/>
  <c r="A484" i="34"/>
  <c r="A488" i="34"/>
  <c r="A512" i="34"/>
  <c r="A575" i="34"/>
  <c r="A434" i="34"/>
  <c r="A993" i="34"/>
  <c r="A997" i="34"/>
  <c r="A1027" i="34"/>
  <c r="A1046" i="34"/>
  <c r="A1050" i="34"/>
  <c r="A544" i="34"/>
  <c r="A465" i="34"/>
  <c r="A840" i="34"/>
  <c r="A869" i="34"/>
  <c r="A1067" i="34"/>
  <c r="A382" i="34"/>
  <c r="A116" i="34"/>
  <c r="A120" i="34"/>
  <c r="A134" i="34"/>
  <c r="A141" i="34"/>
  <c r="A146" i="34"/>
  <c r="A168" i="34"/>
  <c r="A175" i="34"/>
  <c r="A927" i="34"/>
  <c r="A1007" i="34"/>
  <c r="A563" i="34"/>
  <c r="A567" i="34"/>
  <c r="A445" i="34"/>
  <c r="A463" i="34"/>
  <c r="A595" i="34"/>
  <c r="A507" i="34"/>
  <c r="A459" i="34"/>
  <c r="A856" i="34"/>
  <c r="A860" i="34"/>
  <c r="A887" i="34"/>
  <c r="A891" i="34"/>
  <c r="A906" i="34"/>
  <c r="A910" i="34"/>
  <c r="A923" i="34"/>
  <c r="A929" i="34"/>
  <c r="A944" i="34"/>
  <c r="A948" i="34"/>
  <c r="A976" i="34"/>
  <c r="A314" i="34"/>
  <c r="A335" i="34"/>
  <c r="A349" i="34"/>
  <c r="A356" i="34"/>
  <c r="A69" i="34"/>
  <c r="A73" i="34"/>
  <c r="A82" i="34"/>
  <c r="A93" i="34"/>
  <c r="A97" i="34"/>
  <c r="A455" i="34"/>
  <c r="A489" i="34"/>
  <c r="A1032" i="34"/>
  <c r="A1047" i="34"/>
  <c r="A531" i="34"/>
  <c r="A452" i="34"/>
  <c r="A841" i="34"/>
  <c r="A870" i="34"/>
  <c r="A379" i="34"/>
  <c r="A384" i="34"/>
  <c r="A98" i="34"/>
  <c r="A117" i="34"/>
  <c r="A121" i="34"/>
  <c r="A138" i="34"/>
  <c r="A143" i="34"/>
  <c r="A147" i="34"/>
  <c r="A169" i="34"/>
  <c r="A176" i="34"/>
  <c r="A939" i="34"/>
  <c r="A1019" i="34"/>
  <c r="A564" i="34"/>
  <c r="A600" i="34"/>
  <c r="A460" i="34"/>
  <c r="A464" i="34"/>
  <c r="A504" i="34"/>
  <c r="A467" i="34"/>
  <c r="A853" i="34"/>
  <c r="A857" i="34"/>
  <c r="A861" i="34"/>
  <c r="A888" i="34"/>
  <c r="A892" i="34"/>
  <c r="A907" i="34"/>
  <c r="A911" i="34"/>
  <c r="A924" i="34"/>
  <c r="A930" i="34"/>
  <c r="A945" i="34"/>
  <c r="A949" i="34"/>
  <c r="A977" i="34"/>
  <c r="A320" i="34"/>
  <c r="A336" i="34"/>
  <c r="A350" i="34"/>
  <c r="A357" i="34"/>
  <c r="A70" i="34"/>
  <c r="A74" i="34"/>
  <c r="A83" i="34"/>
  <c r="A94" i="34"/>
  <c r="A980" i="34"/>
  <c r="A476" i="34"/>
  <c r="A513" i="34"/>
  <c r="A1021" i="34"/>
  <c r="A991" i="34"/>
  <c r="A429" i="34"/>
  <c r="A456" i="34"/>
  <c r="A472" i="34"/>
  <c r="A477" i="34"/>
  <c r="A482" i="34"/>
  <c r="A486" i="34"/>
  <c r="A510" i="34"/>
  <c r="A514" i="34"/>
  <c r="A561" i="34"/>
  <c r="A441" i="34"/>
  <c r="A995" i="34"/>
  <c r="A1022" i="34"/>
  <c r="A1033" i="34"/>
  <c r="A1048" i="34"/>
  <c r="A554" i="34"/>
  <c r="A499" i="34"/>
  <c r="A433" i="34"/>
  <c r="A842" i="34"/>
  <c r="A1059" i="34"/>
  <c r="A380" i="34"/>
  <c r="A385" i="34"/>
  <c r="A99" i="34"/>
  <c r="A118" i="34"/>
  <c r="A132" i="34"/>
  <c r="A139" i="34"/>
  <c r="A144" i="34"/>
  <c r="A166" i="34"/>
  <c r="A170" i="34"/>
  <c r="A177" i="34"/>
  <c r="A940" i="34"/>
  <c r="A1020" i="34"/>
  <c r="A565" i="34"/>
  <c r="A601" i="34"/>
  <c r="A461" i="34"/>
  <c r="A490" i="34"/>
  <c r="A505" i="34"/>
  <c r="A468" i="34"/>
  <c r="A854" i="34"/>
  <c r="A858" i="34"/>
  <c r="A885" i="34"/>
  <c r="A889" i="34"/>
  <c r="A904" i="34"/>
  <c r="A908" i="34"/>
  <c r="A917" i="34"/>
  <c r="A925" i="34"/>
  <c r="A931" i="34"/>
  <c r="A946" i="34"/>
  <c r="A950" i="34"/>
  <c r="A978" i="34"/>
  <c r="A322" i="34"/>
  <c r="A347" i="34"/>
  <c r="A351" i="34"/>
  <c r="A67" i="34"/>
  <c r="A71" i="34"/>
  <c r="A75" i="34"/>
  <c r="A85" i="34"/>
  <c r="A95" i="34"/>
  <c r="A1103" i="34"/>
  <c r="A1104" i="34"/>
  <c r="B41" i="34"/>
  <c r="B42" i="34"/>
  <c r="B216" i="34"/>
  <c r="B602" i="34"/>
  <c r="A42" i="34" l="1"/>
  <c r="A602" i="34"/>
  <c r="A41" i="34"/>
  <c r="A216" i="34"/>
  <c r="I16" i="54" l="1"/>
  <c r="B29" i="34"/>
  <c r="A29" i="34" l="1"/>
  <c r="N10" i="34"/>
  <c r="N11" i="34"/>
  <c r="A48" i="71" l="1"/>
  <c r="E48" i="71"/>
  <c r="B49" i="71"/>
  <c r="F49" i="71"/>
  <c r="C50" i="71"/>
  <c r="G50" i="71"/>
  <c r="D51" i="71"/>
  <c r="A52" i="71"/>
  <c r="E52" i="71"/>
  <c r="B53" i="71"/>
  <c r="F53" i="71"/>
  <c r="C54" i="71"/>
  <c r="G54" i="71"/>
  <c r="D55" i="71"/>
  <c r="A56" i="71"/>
  <c r="E56" i="71"/>
  <c r="B57" i="71"/>
  <c r="F57" i="71"/>
  <c r="B58" i="71"/>
  <c r="F58" i="71"/>
  <c r="B59" i="71"/>
  <c r="F59" i="71"/>
  <c r="C60" i="71"/>
  <c r="G60" i="71"/>
  <c r="B48" i="71"/>
  <c r="F48" i="71"/>
  <c r="C49" i="71"/>
  <c r="G49" i="71"/>
  <c r="D50" i="71"/>
  <c r="A51" i="71"/>
  <c r="E51" i="71"/>
  <c r="B52" i="71"/>
  <c r="F52" i="71"/>
  <c r="C53" i="71"/>
  <c r="G53" i="71"/>
  <c r="D54" i="71"/>
  <c r="A55" i="71"/>
  <c r="E55" i="71"/>
  <c r="B56" i="71"/>
  <c r="F56" i="71"/>
  <c r="C57" i="71"/>
  <c r="G57" i="71"/>
  <c r="C58" i="71"/>
  <c r="G58" i="71"/>
  <c r="C59" i="71"/>
  <c r="G59" i="71"/>
  <c r="D60" i="71"/>
  <c r="C48" i="71"/>
  <c r="G48" i="71"/>
  <c r="D49" i="71"/>
  <c r="A50" i="71"/>
  <c r="E50" i="71"/>
  <c r="B51" i="71"/>
  <c r="F51" i="71"/>
  <c r="C52" i="71"/>
  <c r="G52" i="71"/>
  <c r="D53" i="71"/>
  <c r="A54" i="71"/>
  <c r="E54" i="71"/>
  <c r="B55" i="71"/>
  <c r="F55" i="71"/>
  <c r="C56" i="71"/>
  <c r="G56" i="71"/>
  <c r="D57" i="71"/>
  <c r="D58" i="71"/>
  <c r="D59" i="71"/>
  <c r="A60" i="71"/>
  <c r="E60" i="71"/>
  <c r="D48" i="71"/>
  <c r="A49" i="71"/>
  <c r="E49" i="71"/>
  <c r="B50" i="71"/>
  <c r="F50" i="71"/>
  <c r="C51" i="71"/>
  <c r="G51" i="71"/>
  <c r="D52" i="71"/>
  <c r="A53" i="71"/>
  <c r="E53" i="71"/>
  <c r="B54" i="71"/>
  <c r="F54" i="71"/>
  <c r="C55" i="71"/>
  <c r="G55" i="71"/>
  <c r="D56" i="71"/>
  <c r="A57" i="71"/>
  <c r="E57" i="71"/>
  <c r="A58" i="71"/>
  <c r="E58" i="71"/>
  <c r="A59" i="71"/>
  <c r="E59" i="71"/>
  <c r="B60" i="71"/>
  <c r="F60" i="71"/>
  <c r="A41" i="71"/>
  <c r="E41" i="71"/>
  <c r="B42" i="71"/>
  <c r="F42" i="71"/>
  <c r="C43" i="71"/>
  <c r="G43" i="71"/>
  <c r="D44" i="71"/>
  <c r="A45" i="71"/>
  <c r="E45" i="71"/>
  <c r="B46" i="71"/>
  <c r="F46" i="71"/>
  <c r="C47" i="71"/>
  <c r="G47" i="71"/>
  <c r="B41" i="71"/>
  <c r="F41" i="71"/>
  <c r="C42" i="71"/>
  <c r="G42" i="71"/>
  <c r="D43" i="71"/>
  <c r="A44" i="71"/>
  <c r="E44" i="71"/>
  <c r="B45" i="71"/>
  <c r="F45" i="71"/>
  <c r="C46" i="71"/>
  <c r="G46" i="71"/>
  <c r="D47" i="71"/>
  <c r="C41" i="71"/>
  <c r="G41" i="71"/>
  <c r="D42" i="71"/>
  <c r="A43" i="71"/>
  <c r="E43" i="71"/>
  <c r="B44" i="71"/>
  <c r="F44" i="71"/>
  <c r="C45" i="71"/>
  <c r="G45" i="71"/>
  <c r="D46" i="71"/>
  <c r="A47" i="71"/>
  <c r="E47" i="71"/>
  <c r="D41" i="71"/>
  <c r="A42" i="71"/>
  <c r="E42" i="71"/>
  <c r="B43" i="71"/>
  <c r="F43" i="71"/>
  <c r="C44" i="71"/>
  <c r="G44" i="71"/>
  <c r="D45" i="71"/>
  <c r="A46" i="71"/>
  <c r="E46" i="71"/>
  <c r="B47" i="71"/>
  <c r="F47" i="71"/>
  <c r="A31" i="71"/>
  <c r="E31" i="71"/>
  <c r="B32" i="71"/>
  <c r="F32" i="71"/>
  <c r="C33" i="71"/>
  <c r="G33" i="71"/>
  <c r="D34" i="71"/>
  <c r="A35" i="71"/>
  <c r="E35" i="71"/>
  <c r="B36" i="71"/>
  <c r="F36" i="71"/>
  <c r="C37" i="71"/>
  <c r="G37" i="71"/>
  <c r="D38" i="71"/>
  <c r="A39" i="71"/>
  <c r="E39" i="71"/>
  <c r="B40" i="71"/>
  <c r="F40" i="71"/>
  <c r="B31" i="71"/>
  <c r="F31" i="71"/>
  <c r="C32" i="71"/>
  <c r="G32" i="71"/>
  <c r="D33" i="71"/>
  <c r="A34" i="71"/>
  <c r="E34" i="71"/>
  <c r="B35" i="71"/>
  <c r="F35" i="71"/>
  <c r="C36" i="71"/>
  <c r="G36" i="71"/>
  <c r="D37" i="71"/>
  <c r="A38" i="71"/>
  <c r="E38" i="71"/>
  <c r="B39" i="71"/>
  <c r="F39" i="71"/>
  <c r="C40" i="71"/>
  <c r="G40" i="71"/>
  <c r="C31" i="71"/>
  <c r="G31" i="71"/>
  <c r="D32" i="71"/>
  <c r="A33" i="71"/>
  <c r="E33" i="71"/>
  <c r="B34" i="71"/>
  <c r="F34" i="71"/>
  <c r="C35" i="71"/>
  <c r="G35" i="71"/>
  <c r="D36" i="71"/>
  <c r="A37" i="71"/>
  <c r="E37" i="71"/>
  <c r="B38" i="71"/>
  <c r="F38" i="71"/>
  <c r="C39" i="71"/>
  <c r="G39" i="71"/>
  <c r="D40" i="71"/>
  <c r="D31" i="71"/>
  <c r="A32" i="71"/>
  <c r="E32" i="71"/>
  <c r="B33" i="71"/>
  <c r="F33" i="71"/>
  <c r="C34" i="71"/>
  <c r="G34" i="71"/>
  <c r="D35" i="71"/>
  <c r="A36" i="71"/>
  <c r="E36" i="71"/>
  <c r="B37" i="71"/>
  <c r="F37" i="71"/>
  <c r="C38" i="71"/>
  <c r="G38" i="71"/>
  <c r="D39" i="71"/>
  <c r="A40" i="71"/>
  <c r="E40" i="71"/>
  <c r="B519" i="34"/>
  <c r="B520" i="34"/>
  <c r="I57" i="71" l="1"/>
  <c r="H57" i="71"/>
  <c r="I60" i="71"/>
  <c r="H60" i="71"/>
  <c r="I59" i="71"/>
  <c r="H59" i="71"/>
  <c r="H58" i="71"/>
  <c r="I58" i="71"/>
  <c r="A520" i="34"/>
  <c r="A519" i="34"/>
  <c r="B267" i="34"/>
  <c r="B266" i="34"/>
  <c r="A267" i="34" l="1"/>
  <c r="A266" i="34"/>
  <c r="B103" i="34"/>
  <c r="B310" i="34"/>
  <c r="A11" i="55"/>
  <c r="D5" i="61"/>
  <c r="R7" i="60"/>
  <c r="E12" i="61"/>
  <c r="I12" i="61"/>
  <c r="F12" i="61"/>
  <c r="D12" i="61"/>
  <c r="G12" i="61"/>
  <c r="H12" i="61"/>
  <c r="C12" i="61"/>
  <c r="A310" i="34" l="1"/>
  <c r="A103" i="34"/>
  <c r="R14" i="60"/>
  <c r="R23" i="60" s="1"/>
  <c r="R30" i="60" s="1"/>
  <c r="R33" i="60" s="1"/>
  <c r="K17" i="60" l="1"/>
  <c r="T17" i="60" s="1"/>
  <c r="K21" i="60"/>
  <c r="T21" i="60" s="1"/>
  <c r="K16" i="60"/>
  <c r="T16" i="60" s="1"/>
  <c r="K20" i="60"/>
  <c r="T20" i="60" s="1"/>
  <c r="K18" i="60"/>
  <c r="T18" i="60" s="1"/>
  <c r="K15" i="60"/>
  <c r="T15" i="60" s="1"/>
  <c r="K19" i="60"/>
  <c r="T19" i="60" s="1"/>
  <c r="K32" i="60"/>
  <c r="T32" i="60" s="1"/>
  <c r="K37" i="60"/>
  <c r="T37" i="60" s="1"/>
  <c r="K48" i="60"/>
  <c r="T48" i="60" s="1"/>
  <c r="K53" i="60"/>
  <c r="T53" i="60" s="1"/>
  <c r="K64" i="60"/>
  <c r="T64" i="60" s="1"/>
  <c r="K69" i="60"/>
  <c r="T69" i="60" s="1"/>
  <c r="K80" i="60"/>
  <c r="T80" i="60" s="1"/>
  <c r="K85" i="60"/>
  <c r="T85" i="60" s="1"/>
  <c r="K96" i="60"/>
  <c r="T96" i="60" s="1"/>
  <c r="K101" i="60"/>
  <c r="T101" i="60" s="1"/>
  <c r="K117" i="60"/>
  <c r="T117" i="60" s="1"/>
  <c r="K8" i="60"/>
  <c r="T8" i="60" s="1"/>
  <c r="K29" i="60"/>
  <c r="T29" i="60" s="1"/>
  <c r="K40" i="60"/>
  <c r="T40" i="60" s="1"/>
  <c r="K45" i="60"/>
  <c r="T45" i="60" s="1"/>
  <c r="K56" i="60"/>
  <c r="T56" i="60" s="1"/>
  <c r="K77" i="60"/>
  <c r="T77" i="60" s="1"/>
  <c r="K88" i="60"/>
  <c r="T88" i="60" s="1"/>
  <c r="K104" i="60"/>
  <c r="T104" i="60" s="1"/>
  <c r="K116" i="60"/>
  <c r="T116" i="60" s="1"/>
  <c r="K12" i="60"/>
  <c r="T12" i="60" s="1"/>
  <c r="K28" i="60"/>
  <c r="T28" i="60" s="1"/>
  <c r="K33" i="60"/>
  <c r="T33" i="60" s="1"/>
  <c r="K65" i="60"/>
  <c r="T65" i="60" s="1"/>
  <c r="K76" i="60"/>
  <c r="T76" i="60" s="1"/>
  <c r="K81" i="60"/>
  <c r="T81" i="60" s="1"/>
  <c r="K9" i="60"/>
  <c r="T9" i="60" s="1"/>
  <c r="K25" i="60"/>
  <c r="T25" i="60" s="1"/>
  <c r="K36" i="60"/>
  <c r="T36" i="60" s="1"/>
  <c r="K41" i="60"/>
  <c r="T41" i="60" s="1"/>
  <c r="K52" i="60"/>
  <c r="T52" i="60" s="1"/>
  <c r="K57" i="60"/>
  <c r="T57" i="60" s="1"/>
  <c r="K68" i="60"/>
  <c r="T68" i="60" s="1"/>
  <c r="K73" i="60"/>
  <c r="T73" i="60" s="1"/>
  <c r="K84" i="60"/>
  <c r="T84" i="60" s="1"/>
  <c r="K89" i="60"/>
  <c r="T89" i="60" s="1"/>
  <c r="K100" i="60"/>
  <c r="T100" i="60" s="1"/>
  <c r="K105" i="60"/>
  <c r="T105" i="60" s="1"/>
  <c r="K114" i="60"/>
  <c r="T114" i="60" s="1"/>
  <c r="K122" i="60"/>
  <c r="T122" i="60" s="1"/>
  <c r="K13" i="60"/>
  <c r="T13" i="60" s="1"/>
  <c r="K24" i="60"/>
  <c r="T24" i="60" s="1"/>
  <c r="K61" i="60"/>
  <c r="T61" i="60" s="1"/>
  <c r="K72" i="60"/>
  <c r="T72" i="60" s="1"/>
  <c r="K93" i="60"/>
  <c r="T93" i="60" s="1"/>
  <c r="K109" i="60"/>
  <c r="T109" i="60" s="1"/>
  <c r="K124" i="60"/>
  <c r="T124" i="60" s="1"/>
  <c r="K44" i="60"/>
  <c r="T44" i="60" s="1"/>
  <c r="K49" i="60"/>
  <c r="T49" i="60" s="1"/>
  <c r="K60" i="60"/>
  <c r="T60" i="60" s="1"/>
  <c r="K92" i="60"/>
  <c r="T92" i="60" s="1"/>
  <c r="K97" i="60"/>
  <c r="T97" i="60" s="1"/>
  <c r="K108" i="60"/>
  <c r="T108" i="60" s="1"/>
  <c r="K113" i="60"/>
  <c r="T113" i="60" s="1"/>
  <c r="K118" i="60"/>
  <c r="T118" i="60" s="1"/>
  <c r="K121" i="60"/>
  <c r="T121" i="60" s="1"/>
  <c r="K75" i="60"/>
  <c r="T75" i="60" s="1"/>
  <c r="K46" i="60"/>
  <c r="T46" i="60" s="1"/>
  <c r="K103" i="60"/>
  <c r="T103" i="60" s="1"/>
  <c r="K55" i="60"/>
  <c r="T55" i="60" s="1"/>
  <c r="K7" i="60"/>
  <c r="T7" i="60" s="1"/>
  <c r="K70" i="60"/>
  <c r="T70" i="60" s="1"/>
  <c r="K51" i="60"/>
  <c r="T51" i="60" s="1"/>
  <c r="K91" i="60"/>
  <c r="T91" i="60" s="1"/>
  <c r="K43" i="60"/>
  <c r="T43" i="60" s="1"/>
  <c r="K14" i="60"/>
  <c r="T14" i="60" s="1"/>
  <c r="K58" i="60"/>
  <c r="T58" i="60" s="1"/>
  <c r="K120" i="60"/>
  <c r="T120" i="60" s="1"/>
  <c r="K83" i="60"/>
  <c r="T83" i="60" s="1"/>
  <c r="K38" i="60"/>
  <c r="T38" i="60" s="1"/>
  <c r="K78" i="60"/>
  <c r="T78" i="60" s="1"/>
  <c r="K30" i="60"/>
  <c r="T30" i="60" s="1"/>
  <c r="K71" i="60"/>
  <c r="T71" i="60" s="1"/>
  <c r="K119" i="60"/>
  <c r="T119" i="60" s="1"/>
  <c r="K82" i="60"/>
  <c r="T82" i="60" s="1"/>
  <c r="K50" i="60"/>
  <c r="T50" i="60" s="1"/>
  <c r="K112" i="60"/>
  <c r="T112" i="60" s="1"/>
  <c r="K74" i="60"/>
  <c r="T74" i="60" s="1"/>
  <c r="K99" i="60"/>
  <c r="T99" i="60" s="1"/>
  <c r="K54" i="60"/>
  <c r="T54" i="60" s="1"/>
  <c r="K107" i="60"/>
  <c r="T107" i="60" s="1"/>
  <c r="K111" i="60"/>
  <c r="T111" i="60" s="1"/>
  <c r="K79" i="60"/>
  <c r="T79" i="60" s="1"/>
  <c r="K47" i="60"/>
  <c r="T47" i="60" s="1"/>
  <c r="K110" i="60"/>
  <c r="T110" i="60" s="1"/>
  <c r="K27" i="60"/>
  <c r="T27" i="60" s="1"/>
  <c r="K87" i="60"/>
  <c r="T87" i="60" s="1"/>
  <c r="K39" i="60"/>
  <c r="T39" i="60" s="1"/>
  <c r="K86" i="60"/>
  <c r="T86" i="60" s="1"/>
  <c r="K67" i="60"/>
  <c r="T67" i="60" s="1"/>
  <c r="K22" i="60"/>
  <c r="T22" i="60" s="1"/>
  <c r="K123" i="60"/>
  <c r="T123" i="60" s="1"/>
  <c r="K90" i="60"/>
  <c r="T90" i="60" s="1"/>
  <c r="K10" i="60"/>
  <c r="T10" i="60" s="1"/>
  <c r="K62" i="60"/>
  <c r="T62" i="60" s="1"/>
  <c r="K11" i="60"/>
  <c r="T11" i="60" s="1"/>
  <c r="K102" i="60"/>
  <c r="T102" i="60" s="1"/>
  <c r="K42" i="60"/>
  <c r="T42" i="60" s="1"/>
  <c r="K98" i="60"/>
  <c r="T98" i="60" s="1"/>
  <c r="K66" i="60"/>
  <c r="T66" i="60" s="1"/>
  <c r="K34" i="60"/>
  <c r="T34" i="60" s="1"/>
  <c r="K94" i="60"/>
  <c r="T94" i="60" s="1"/>
  <c r="K115" i="60"/>
  <c r="T115" i="60" s="1"/>
  <c r="K26" i="60"/>
  <c r="T26" i="60" s="1"/>
  <c r="K35" i="60"/>
  <c r="T35" i="60" s="1"/>
  <c r="K59" i="60"/>
  <c r="T59" i="60" s="1"/>
  <c r="K106" i="60"/>
  <c r="T106" i="60" s="1"/>
  <c r="K23" i="60"/>
  <c r="T23" i="60" s="1"/>
  <c r="K95" i="60"/>
  <c r="T95" i="60" s="1"/>
  <c r="K63" i="60"/>
  <c r="T63" i="60" s="1"/>
  <c r="K31" i="60"/>
  <c r="T31" i="60" s="1"/>
  <c r="K6" i="60"/>
  <c r="T6" i="60" s="1"/>
  <c r="T126" i="60" l="1"/>
  <c r="R126" i="60" s="1"/>
  <c r="C33" i="15"/>
  <c r="C34" i="15" s="1"/>
  <c r="P14" i="64" l="1"/>
  <c r="Q3" i="56"/>
  <c r="P3" i="56"/>
  <c r="R10" i="34" l="1"/>
  <c r="S10" i="34"/>
  <c r="T10" i="34"/>
  <c r="V10" i="34"/>
  <c r="W10" i="34"/>
  <c r="R11" i="34"/>
  <c r="S11" i="34"/>
  <c r="T11" i="34"/>
  <c r="V11" i="34"/>
  <c r="W11" i="34"/>
  <c r="B50" i="34" l="1"/>
  <c r="B49" i="34"/>
  <c r="A49" i="34" l="1"/>
  <c r="A50" i="34"/>
  <c r="B22" i="55"/>
  <c r="A22" i="55" s="1"/>
  <c r="A23" i="55"/>
  <c r="I16" i="55" l="1" a="1"/>
  <c r="I16" i="55" s="1"/>
  <c r="G16" i="55" a="1"/>
  <c r="G16" i="55" s="1"/>
  <c r="G28" i="55" a="1"/>
  <c r="G28" i="55" s="1"/>
  <c r="I28" i="55" a="1"/>
  <c r="I28" i="55" s="1"/>
  <c r="G50" i="55" a="1"/>
  <c r="G50" i="55" s="1"/>
  <c r="I50" i="55" a="1"/>
  <c r="I50" i="55" s="1"/>
  <c r="A3" i="15"/>
  <c r="A2" i="15"/>
  <c r="N8" i="73"/>
  <c r="M8" i="73"/>
  <c r="A2" i="73"/>
  <c r="A1" i="73"/>
  <c r="K16" i="55" l="1"/>
  <c r="K28" i="55"/>
  <c r="K50" i="55"/>
  <c r="A3" i="68"/>
  <c r="A2" i="68"/>
  <c r="A2" i="64"/>
  <c r="A1" i="64"/>
  <c r="A2" i="61"/>
  <c r="A1" i="61"/>
  <c r="A2" i="58"/>
  <c r="A1" i="58"/>
  <c r="B3" i="57"/>
  <c r="B2" i="57"/>
  <c r="A3" i="56"/>
  <c r="A2" i="56"/>
  <c r="A2" i="14" l="1"/>
  <c r="A1" i="14"/>
  <c r="A2" i="71"/>
  <c r="A1" i="71"/>
  <c r="A5" i="43"/>
  <c r="A2" i="43"/>
  <c r="A1" i="43"/>
  <c r="A2" i="42"/>
  <c r="A1" i="42"/>
  <c r="B2" i="39"/>
  <c r="B1" i="39"/>
  <c r="A3" i="47"/>
  <c r="A2" i="47"/>
  <c r="B553" i="34" l="1"/>
  <c r="B558" i="34"/>
  <c r="B586" i="34"/>
  <c r="B556" i="34"/>
  <c r="B555" i="34"/>
  <c r="B594" i="34"/>
  <c r="B593" i="34"/>
  <c r="B592" i="34"/>
  <c r="B591" i="34"/>
  <c r="B847" i="34"/>
  <c r="B846" i="34"/>
  <c r="B803" i="34"/>
  <c r="B443" i="34"/>
  <c r="B884" i="34"/>
  <c r="B883" i="34"/>
  <c r="B160" i="34"/>
  <c r="B159" i="34"/>
  <c r="B158" i="34"/>
  <c r="B155" i="34"/>
  <c r="B107" i="34"/>
  <c r="B91" i="34"/>
  <c r="B108" i="34"/>
  <c r="B151" i="34"/>
  <c r="B153" i="34"/>
  <c r="B154" i="34"/>
  <c r="B156" i="34"/>
  <c r="B157" i="34"/>
  <c r="B161" i="34"/>
  <c r="B162" i="34"/>
  <c r="B164" i="34"/>
  <c r="B165" i="34"/>
  <c r="B184" i="34"/>
  <c r="B185" i="34"/>
  <c r="B577" i="34"/>
  <c r="B545" i="34"/>
  <c r="B546" i="34"/>
  <c r="B547" i="34"/>
  <c r="B548" i="34"/>
  <c r="B549" i="34"/>
  <c r="B536" i="34"/>
  <c r="B537" i="34"/>
  <c r="B538" i="34"/>
  <c r="B451" i="34"/>
  <c r="B439" i="34"/>
  <c r="B412" i="34"/>
  <c r="B413" i="34"/>
  <c r="B407" i="34"/>
  <c r="B680" i="34"/>
  <c r="B838" i="34"/>
  <c r="B839" i="34"/>
  <c r="B843" i="34"/>
  <c r="B844" i="34"/>
  <c r="B845" i="34"/>
  <c r="B862" i="34"/>
  <c r="B863" i="34"/>
  <c r="B878" i="34"/>
  <c r="B879" i="34"/>
  <c r="B865" i="34"/>
  <c r="B881" i="34"/>
  <c r="B882" i="34"/>
  <c r="B897" i="34"/>
  <c r="B898" i="34"/>
  <c r="B899" i="34"/>
  <c r="B900" i="34"/>
  <c r="B901" i="34"/>
  <c r="B902" i="34"/>
  <c r="B903" i="34"/>
  <c r="B953" i="34"/>
  <c r="B954" i="34"/>
  <c r="B955" i="34"/>
  <c r="B956" i="34"/>
  <c r="B848" i="34"/>
  <c r="B849" i="34"/>
  <c r="B850" i="34"/>
  <c r="B851" i="34"/>
  <c r="B852" i="34"/>
  <c r="B871" i="34"/>
  <c r="B872" i="34"/>
  <c r="B876" i="34"/>
  <c r="B877" i="34"/>
  <c r="B934" i="34"/>
  <c r="B935" i="34"/>
  <c r="B936" i="34"/>
  <c r="B937" i="34"/>
  <c r="B938" i="34"/>
  <c r="B941" i="34"/>
  <c r="B942" i="34"/>
  <c r="B943" i="34"/>
  <c r="B964" i="34"/>
  <c r="B965" i="34"/>
  <c r="B966" i="34"/>
  <c r="B967" i="34"/>
  <c r="B968" i="34"/>
  <c r="B969" i="34"/>
  <c r="B970" i="34"/>
  <c r="B973" i="34"/>
  <c r="B974" i="34"/>
  <c r="B975" i="34"/>
  <c r="B981" i="34"/>
  <c r="B982" i="34"/>
  <c r="B983" i="34"/>
  <c r="B984" i="34"/>
  <c r="B985" i="34"/>
  <c r="B971" i="34"/>
  <c r="B972" i="34"/>
  <c r="B986" i="34"/>
  <c r="B987" i="34"/>
  <c r="B988" i="34"/>
  <c r="B998" i="34"/>
  <c r="B999" i="34"/>
  <c r="B1000" i="34"/>
  <c r="B1001" i="34"/>
  <c r="B1002" i="34"/>
  <c r="B1003" i="34"/>
  <c r="B1004" i="34"/>
  <c r="B1005" i="34"/>
  <c r="B1008" i="34"/>
  <c r="B1009" i="34"/>
  <c r="B1010" i="34"/>
  <c r="B1011" i="34"/>
  <c r="B1012" i="34"/>
  <c r="B1013" i="34"/>
  <c r="B957" i="34"/>
  <c r="B958" i="34"/>
  <c r="B959" i="34"/>
  <c r="B960" i="34"/>
  <c r="B961" i="34"/>
  <c r="B962" i="34"/>
  <c r="B1014" i="34"/>
  <c r="B1015" i="34"/>
  <c r="B1016" i="34"/>
  <c r="H13" i="71"/>
  <c r="O11" i="42"/>
  <c r="N11" i="42"/>
  <c r="A961" i="34" l="1"/>
  <c r="A1000" i="34"/>
  <c r="A970" i="34"/>
  <c r="A1014" i="34"/>
  <c r="A959" i="34"/>
  <c r="A1012" i="34"/>
  <c r="A1008" i="34"/>
  <c r="A1002" i="34"/>
  <c r="A998" i="34"/>
  <c r="A972" i="34"/>
  <c r="A983" i="34"/>
  <c r="A974" i="34"/>
  <c r="A968" i="34"/>
  <c r="A964" i="34"/>
  <c r="A938" i="34"/>
  <c r="A934" i="34"/>
  <c r="A871" i="34"/>
  <c r="A849" i="34"/>
  <c r="A954" i="34"/>
  <c r="A901" i="34"/>
  <c r="A897" i="34"/>
  <c r="A879" i="34"/>
  <c r="A845" i="34"/>
  <c r="A838" i="34"/>
  <c r="A412" i="34"/>
  <c r="A537" i="34"/>
  <c r="A547" i="34"/>
  <c r="A165" i="34"/>
  <c r="A157" i="34"/>
  <c r="A151" i="34"/>
  <c r="A155" i="34"/>
  <c r="A883" i="34"/>
  <c r="A846" i="34"/>
  <c r="A592" i="34"/>
  <c r="A556" i="34"/>
  <c r="A962" i="34"/>
  <c r="A958" i="34"/>
  <c r="A1011" i="34"/>
  <c r="A1005" i="34"/>
  <c r="A1001" i="34"/>
  <c r="A988" i="34"/>
  <c r="A971" i="34"/>
  <c r="A982" i="34"/>
  <c r="A973" i="34"/>
  <c r="A967" i="34"/>
  <c r="A943" i="34"/>
  <c r="A937" i="34"/>
  <c r="A877" i="34"/>
  <c r="A852" i="34"/>
  <c r="A848" i="34"/>
  <c r="A953" i="34"/>
  <c r="A900" i="34"/>
  <c r="A882" i="34"/>
  <c r="A878" i="34"/>
  <c r="A844" i="34"/>
  <c r="A680" i="34"/>
  <c r="A439" i="34"/>
  <c r="A536" i="34"/>
  <c r="A546" i="34"/>
  <c r="A164" i="34"/>
  <c r="A156" i="34"/>
  <c r="A108" i="34"/>
  <c r="A158" i="34"/>
  <c r="A884" i="34"/>
  <c r="A847" i="34"/>
  <c r="A593" i="34"/>
  <c r="A586" i="34"/>
  <c r="A1016" i="34"/>
  <c r="A1004" i="34"/>
  <c r="A985" i="34"/>
  <c r="A981" i="34"/>
  <c r="A942" i="34"/>
  <c r="A936" i="34"/>
  <c r="A876" i="34"/>
  <c r="A851" i="34"/>
  <c r="A956" i="34"/>
  <c r="A903" i="34"/>
  <c r="A899" i="34"/>
  <c r="A881" i="34"/>
  <c r="A863" i="34"/>
  <c r="A843" i="34"/>
  <c r="A407" i="34"/>
  <c r="A451" i="34"/>
  <c r="A549" i="34"/>
  <c r="A545" i="34"/>
  <c r="A185" i="34"/>
  <c r="A162" i="34"/>
  <c r="A154" i="34"/>
  <c r="A91" i="34"/>
  <c r="A159" i="34"/>
  <c r="A443" i="34"/>
  <c r="A594" i="34"/>
  <c r="A558" i="34"/>
  <c r="A957" i="34"/>
  <c r="A1010" i="34"/>
  <c r="A987" i="34"/>
  <c r="A966" i="34"/>
  <c r="A1015" i="34"/>
  <c r="A960" i="34"/>
  <c r="A1013" i="34"/>
  <c r="A1009" i="34"/>
  <c r="A1003" i="34"/>
  <c r="A999" i="34"/>
  <c r="A986" i="34"/>
  <c r="A984" i="34"/>
  <c r="A975" i="34"/>
  <c r="A969" i="34"/>
  <c r="A965" i="34"/>
  <c r="A941" i="34"/>
  <c r="A935" i="34"/>
  <c r="A872" i="34"/>
  <c r="A850" i="34"/>
  <c r="A955" i="34"/>
  <c r="A902" i="34"/>
  <c r="A898" i="34"/>
  <c r="A865" i="34"/>
  <c r="A862" i="34"/>
  <c r="A839" i="34"/>
  <c r="A413" i="34"/>
  <c r="A538" i="34"/>
  <c r="A548" i="34"/>
  <c r="A577" i="34"/>
  <c r="A184" i="34"/>
  <c r="A161" i="34"/>
  <c r="A153" i="34"/>
  <c r="A107" i="34"/>
  <c r="A160" i="34"/>
  <c r="A803" i="34"/>
  <c r="A591" i="34"/>
  <c r="A555" i="34"/>
  <c r="A553" i="34"/>
  <c r="A37" i="14"/>
  <c r="E37" i="14"/>
  <c r="B38" i="14"/>
  <c r="F38" i="14"/>
  <c r="C39" i="14"/>
  <c r="G39" i="14"/>
  <c r="D40" i="14"/>
  <c r="A41" i="14"/>
  <c r="E41" i="14"/>
  <c r="B42" i="14"/>
  <c r="F42" i="14"/>
  <c r="C43" i="14"/>
  <c r="G43" i="14"/>
  <c r="D44" i="14"/>
  <c r="A45" i="14"/>
  <c r="E45" i="14"/>
  <c r="B46" i="14"/>
  <c r="F46" i="14"/>
  <c r="C47" i="14"/>
  <c r="G47" i="14"/>
  <c r="D48" i="14"/>
  <c r="A49" i="14"/>
  <c r="E49" i="14"/>
  <c r="A40" i="14"/>
  <c r="F41" i="14"/>
  <c r="D43" i="14"/>
  <c r="E44" i="14"/>
  <c r="F45" i="14"/>
  <c r="D47" i="14"/>
  <c r="E48" i="14"/>
  <c r="F49" i="14"/>
  <c r="A43" i="14"/>
  <c r="C45" i="14"/>
  <c r="D46" i="14"/>
  <c r="B48" i="14"/>
  <c r="B37" i="14"/>
  <c r="F37" i="14"/>
  <c r="C38" i="14"/>
  <c r="G38" i="14"/>
  <c r="D39" i="14"/>
  <c r="E40" i="14"/>
  <c r="C42" i="14"/>
  <c r="A44" i="14"/>
  <c r="C46" i="14"/>
  <c r="A48" i="14"/>
  <c r="B44" i="14"/>
  <c r="E47" i="14"/>
  <c r="G49" i="14"/>
  <c r="C37" i="14"/>
  <c r="G37" i="14"/>
  <c r="D38" i="14"/>
  <c r="A39" i="14"/>
  <c r="E39" i="14"/>
  <c r="B40" i="14"/>
  <c r="F40" i="14"/>
  <c r="C41" i="14"/>
  <c r="G41" i="14"/>
  <c r="D42" i="14"/>
  <c r="E43" i="14"/>
  <c r="G45" i="14"/>
  <c r="F48" i="14"/>
  <c r="D37" i="14"/>
  <c r="A38" i="14"/>
  <c r="E38" i="14"/>
  <c r="B39" i="14"/>
  <c r="F39" i="14"/>
  <c r="C40" i="14"/>
  <c r="G40" i="14"/>
  <c r="D41" i="14"/>
  <c r="A42" i="14"/>
  <c r="E42" i="14"/>
  <c r="B43" i="14"/>
  <c r="F43" i="14"/>
  <c r="C44" i="14"/>
  <c r="G44" i="14"/>
  <c r="D45" i="14"/>
  <c r="A46" i="14"/>
  <c r="E46" i="14"/>
  <c r="B47" i="14"/>
  <c r="F47" i="14"/>
  <c r="C48" i="14"/>
  <c r="G48" i="14"/>
  <c r="D49" i="14"/>
  <c r="B41" i="14"/>
  <c r="G42" i="14"/>
  <c r="B45" i="14"/>
  <c r="G46" i="14"/>
  <c r="B49" i="14"/>
  <c r="F44" i="14"/>
  <c r="A47" i="14"/>
  <c r="C49" i="14"/>
  <c r="A22" i="14"/>
  <c r="E22" i="14"/>
  <c r="B23" i="14"/>
  <c r="F23" i="14"/>
  <c r="C24" i="14"/>
  <c r="G24" i="14"/>
  <c r="D25" i="14"/>
  <c r="A26" i="14"/>
  <c r="E26" i="14"/>
  <c r="B27" i="14"/>
  <c r="F27" i="14"/>
  <c r="C28" i="14"/>
  <c r="G28" i="14"/>
  <c r="D29" i="14"/>
  <c r="A30" i="14"/>
  <c r="E30" i="14"/>
  <c r="B31" i="14"/>
  <c r="F31" i="14"/>
  <c r="C32" i="14"/>
  <c r="G32" i="14"/>
  <c r="D33" i="14"/>
  <c r="A34" i="14"/>
  <c r="E34" i="14"/>
  <c r="B35" i="14"/>
  <c r="F35" i="14"/>
  <c r="C36" i="14"/>
  <c r="G36" i="14"/>
  <c r="C27" i="14"/>
  <c r="A29" i="14"/>
  <c r="F30" i="14"/>
  <c r="G31" i="14"/>
  <c r="A33" i="14"/>
  <c r="F34" i="14"/>
  <c r="D36" i="14"/>
  <c r="C30" i="14"/>
  <c r="D31" i="14"/>
  <c r="B33" i="14"/>
  <c r="G34" i="14"/>
  <c r="E36" i="14"/>
  <c r="B22" i="14"/>
  <c r="F22" i="14"/>
  <c r="C23" i="14"/>
  <c r="G23" i="14"/>
  <c r="D24" i="14"/>
  <c r="A25" i="14"/>
  <c r="E25" i="14"/>
  <c r="B26" i="14"/>
  <c r="F26" i="14"/>
  <c r="D28" i="14"/>
  <c r="B30" i="14"/>
  <c r="D32" i="14"/>
  <c r="B34" i="14"/>
  <c r="C35" i="14"/>
  <c r="F29" i="14"/>
  <c r="E32" i="14"/>
  <c r="C34" i="14"/>
  <c r="C22" i="14"/>
  <c r="G22" i="14"/>
  <c r="D23" i="14"/>
  <c r="A24" i="14"/>
  <c r="E24" i="14"/>
  <c r="B25" i="14"/>
  <c r="F25" i="14"/>
  <c r="C26" i="14"/>
  <c r="G26" i="14"/>
  <c r="D27" i="14"/>
  <c r="A28" i="14"/>
  <c r="B29" i="14"/>
  <c r="A32" i="14"/>
  <c r="D35" i="14"/>
  <c r="D22" i="14"/>
  <c r="A23" i="14"/>
  <c r="E23" i="14"/>
  <c r="B24" i="14"/>
  <c r="F24" i="14"/>
  <c r="C25" i="14"/>
  <c r="G25" i="14"/>
  <c r="D26" i="14"/>
  <c r="A27" i="14"/>
  <c r="E27" i="14"/>
  <c r="B28" i="14"/>
  <c r="F28" i="14"/>
  <c r="C29" i="14"/>
  <c r="G29" i="14"/>
  <c r="D30" i="14"/>
  <c r="A31" i="14"/>
  <c r="E31" i="14"/>
  <c r="B32" i="14"/>
  <c r="F32" i="14"/>
  <c r="C33" i="14"/>
  <c r="G33" i="14"/>
  <c r="D34" i="14"/>
  <c r="A35" i="14"/>
  <c r="E35" i="14"/>
  <c r="B36" i="14"/>
  <c r="F36" i="14"/>
  <c r="G27" i="14"/>
  <c r="E29" i="14"/>
  <c r="C31" i="14"/>
  <c r="E33" i="14"/>
  <c r="G35" i="14"/>
  <c r="E28" i="14"/>
  <c r="G30" i="14"/>
  <c r="F33" i="14"/>
  <c r="A36" i="14"/>
  <c r="K15" i="34"/>
  <c r="B15" i="71"/>
  <c r="G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F30" i="71"/>
  <c r="F28" i="71"/>
  <c r="F26" i="71"/>
  <c r="F24" i="71"/>
  <c r="F22" i="71"/>
  <c r="F20" i="71"/>
  <c r="F18" i="71"/>
  <c r="F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F14" i="71"/>
  <c r="G29" i="71"/>
  <c r="G27" i="71"/>
  <c r="G25" i="71"/>
  <c r="G23" i="71"/>
  <c r="G21" i="71"/>
  <c r="G19" i="71"/>
  <c r="G17" i="71"/>
  <c r="G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G14" i="71"/>
  <c r="F29" i="71"/>
  <c r="F27" i="71"/>
  <c r="F25" i="71"/>
  <c r="F23" i="71"/>
  <c r="F21" i="71"/>
  <c r="F19" i="71"/>
  <c r="F17" i="71"/>
  <c r="F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G30" i="71"/>
  <c r="G28" i="71"/>
  <c r="G26" i="71"/>
  <c r="G24" i="71"/>
  <c r="G22" i="71"/>
  <c r="G20" i="71"/>
  <c r="G18" i="71"/>
  <c r="I13" i="71"/>
  <c r="D43" i="70"/>
  <c r="D44" i="70" s="1"/>
  <c r="C43" i="70"/>
  <c r="G62" i="71" l="1"/>
  <c r="F62" i="71"/>
  <c r="B59" i="34"/>
  <c r="B60" i="34"/>
  <c r="B61" i="34"/>
  <c r="B62" i="34"/>
  <c r="B63" i="34"/>
  <c r="B65" i="34"/>
  <c r="B361" i="34"/>
  <c r="B366" i="34"/>
  <c r="B88" i="34"/>
  <c r="B89" i="34"/>
  <c r="B90" i="34"/>
  <c r="A65" i="34" l="1"/>
  <c r="A366" i="34"/>
  <c r="A62" i="34"/>
  <c r="A89" i="34"/>
  <c r="A90" i="34"/>
  <c r="A361" i="34"/>
  <c r="A61" i="34"/>
  <c r="A60" i="34"/>
  <c r="A88" i="34"/>
  <c r="A63" i="34"/>
  <c r="A59" i="34"/>
  <c r="B227" i="34"/>
  <c r="B254" i="34"/>
  <c r="B264" i="34"/>
  <c r="B265" i="34"/>
  <c r="B369" i="34"/>
  <c r="B370" i="34"/>
  <c r="B401" i="34"/>
  <c r="B58" i="34"/>
  <c r="B199" i="34"/>
  <c r="B200" i="34"/>
  <c r="B201" i="34"/>
  <c r="B202" i="34"/>
  <c r="B215" i="34"/>
  <c r="B217" i="34"/>
  <c r="B218" i="34"/>
  <c r="B221" i="34"/>
  <c r="B222" i="34"/>
  <c r="B198" i="34"/>
  <c r="B249" i="34"/>
  <c r="B197" i="34"/>
  <c r="B312" i="34"/>
  <c r="B311" i="34"/>
  <c r="B207" i="34"/>
  <c r="B206" i="34"/>
  <c r="B204" i="34"/>
  <c r="B203" i="34"/>
  <c r="B183" i="34"/>
  <c r="B137" i="34"/>
  <c r="B102" i="34"/>
  <c r="B101" i="34"/>
  <c r="B79" i="34"/>
  <c r="B308" i="34"/>
  <c r="B19" i="34"/>
  <c r="B20" i="34"/>
  <c r="B30" i="34"/>
  <c r="B31" i="34"/>
  <c r="B32" i="34"/>
  <c r="B36" i="34"/>
  <c r="B37" i="34"/>
  <c r="B38" i="34"/>
  <c r="B39" i="34"/>
  <c r="B135" i="34"/>
  <c r="B136" i="34"/>
  <c r="B191" i="34"/>
  <c r="B192" i="34"/>
  <c r="B66" i="34"/>
  <c r="B76" i="34"/>
  <c r="B78" i="34"/>
  <c r="B180" i="34"/>
  <c r="B106" i="34"/>
  <c r="B109" i="34"/>
  <c r="B44" i="34"/>
  <c r="B45" i="34"/>
  <c r="B22" i="34"/>
  <c r="B33" i="34"/>
  <c r="B34" i="34"/>
  <c r="B35" i="34"/>
  <c r="B111" i="34"/>
  <c r="B112" i="34"/>
  <c r="B113" i="34"/>
  <c r="B47" i="34"/>
  <c r="B48" i="34"/>
  <c r="B56" i="34"/>
  <c r="B57" i="34"/>
  <c r="B27" i="34"/>
  <c r="B28" i="34"/>
  <c r="B122" i="34"/>
  <c r="B123" i="34"/>
  <c r="B25" i="34"/>
  <c r="B26" i="34"/>
  <c r="B181" i="34"/>
  <c r="B182" i="34"/>
  <c r="B194" i="34"/>
  <c r="B195" i="34"/>
  <c r="B114" i="34"/>
  <c r="B115" i="34"/>
  <c r="B131" i="34"/>
  <c r="A27" i="34" l="1"/>
  <c r="A180" i="34"/>
  <c r="A19" i="34"/>
  <c r="A312" i="34"/>
  <c r="A199" i="34"/>
  <c r="A227" i="34"/>
  <c r="A115" i="34"/>
  <c r="A182" i="34"/>
  <c r="A123" i="34"/>
  <c r="A57" i="34"/>
  <c r="A113" i="34"/>
  <c r="A34" i="34"/>
  <c r="A44" i="34"/>
  <c r="A78" i="34"/>
  <c r="A191" i="34"/>
  <c r="A38" i="34"/>
  <c r="A31" i="34"/>
  <c r="A308" i="34"/>
  <c r="A137" i="34"/>
  <c r="A206" i="34"/>
  <c r="A197" i="34"/>
  <c r="A221" i="34"/>
  <c r="A202" i="34"/>
  <c r="A58" i="34"/>
  <c r="A265" i="34"/>
  <c r="A25" i="34"/>
  <c r="A35" i="34"/>
  <c r="A39" i="34"/>
  <c r="A102" i="34"/>
  <c r="A222" i="34"/>
  <c r="A369" i="34"/>
  <c r="A114" i="34"/>
  <c r="A181" i="34"/>
  <c r="A122" i="34"/>
  <c r="A56" i="34"/>
  <c r="A112" i="34"/>
  <c r="A33" i="34"/>
  <c r="A109" i="34"/>
  <c r="A76" i="34"/>
  <c r="A136" i="34"/>
  <c r="A37" i="34"/>
  <c r="A30" i="34"/>
  <c r="A79" i="34"/>
  <c r="A183" i="34"/>
  <c r="A207" i="34"/>
  <c r="A249" i="34"/>
  <c r="A218" i="34"/>
  <c r="A201" i="34"/>
  <c r="A401" i="34"/>
  <c r="A264" i="34"/>
  <c r="A131" i="34"/>
  <c r="A47" i="34"/>
  <c r="A192" i="34"/>
  <c r="A32" i="34"/>
  <c r="A215" i="34"/>
  <c r="A195" i="34"/>
  <c r="A26" i="34"/>
  <c r="A28" i="34"/>
  <c r="A48" i="34"/>
  <c r="A111" i="34"/>
  <c r="A22" i="34"/>
  <c r="A106" i="34"/>
  <c r="A66" i="34"/>
  <c r="A135" i="34"/>
  <c r="A36" i="34"/>
  <c r="A20" i="34"/>
  <c r="A101" i="34"/>
  <c r="A203" i="34"/>
  <c r="A311" i="34"/>
  <c r="A198" i="34"/>
  <c r="A217" i="34"/>
  <c r="A200" i="34"/>
  <c r="A370" i="34"/>
  <c r="A254" i="34"/>
  <c r="A194" i="34"/>
  <c r="A45" i="34"/>
  <c r="A204" i="34"/>
  <c r="B933" i="34"/>
  <c r="B896" i="34"/>
  <c r="B895" i="34"/>
  <c r="B894" i="34"/>
  <c r="B867" i="34"/>
  <c r="B866" i="34"/>
  <c r="B590" i="34"/>
  <c r="B589" i="34"/>
  <c r="B211" i="34"/>
  <c r="B187" i="34"/>
  <c r="B186" i="34"/>
  <c r="B368" i="34"/>
  <c r="B367" i="34"/>
  <c r="B345" i="34"/>
  <c r="B346" i="34"/>
  <c r="B46" i="34"/>
  <c r="A866" i="34" l="1"/>
  <c r="A367" i="34"/>
  <c r="A46" i="34"/>
  <c r="A368" i="34"/>
  <c r="A589" i="34"/>
  <c r="A894" i="34"/>
  <c r="A346" i="34"/>
  <c r="A186" i="34"/>
  <c r="A895" i="34"/>
  <c r="A896" i="34"/>
  <c r="A590" i="34"/>
  <c r="A345" i="34"/>
  <c r="A187" i="34"/>
  <c r="A211" i="34"/>
  <c r="A867" i="34"/>
  <c r="A933" i="34"/>
  <c r="A14" i="71"/>
  <c r="E67" i="71" s="1"/>
  <c r="A19" i="71"/>
  <c r="A20" i="71"/>
  <c r="A17" i="71"/>
  <c r="B86" i="34"/>
  <c r="A18" i="71"/>
  <c r="B921" i="34"/>
  <c r="A16" i="71"/>
  <c r="A15" i="71"/>
  <c r="A921" i="34" l="1"/>
  <c r="A86" i="34"/>
  <c r="A66" i="71"/>
  <c r="G2" i="71"/>
  <c r="O8" i="43" l="1"/>
  <c r="N8" i="43"/>
  <c r="D13" i="15" l="1"/>
  <c r="C13" i="15"/>
  <c r="B193" i="34"/>
  <c r="B150" i="34"/>
  <c r="B178" i="34"/>
  <c r="B444" i="34"/>
  <c r="B588" i="34"/>
  <c r="B535" i="34"/>
  <c r="B864" i="34"/>
  <c r="B880" i="34"/>
  <c r="B893" i="34"/>
  <c r="B918" i="34"/>
  <c r="B963" i="34"/>
  <c r="B250" i="34"/>
  <c r="A918" i="34" l="1"/>
  <c r="A535" i="34"/>
  <c r="A150" i="34"/>
  <c r="A893" i="34"/>
  <c r="A588" i="34"/>
  <c r="A193" i="34"/>
  <c r="A250" i="34"/>
  <c r="A880" i="34"/>
  <c r="A444" i="34"/>
  <c r="A963" i="34"/>
  <c r="A864" i="34"/>
  <c r="A178" i="34"/>
  <c r="B196" i="34"/>
  <c r="C43" i="15"/>
  <c r="D43" i="15"/>
  <c r="C36" i="15"/>
  <c r="D36" i="15"/>
  <c r="D33" i="15"/>
  <c r="D34" i="15" s="1"/>
  <c r="C18" i="15"/>
  <c r="D18" i="15"/>
  <c r="D16" i="15"/>
  <c r="C16" i="15"/>
  <c r="D11" i="15"/>
  <c r="C11" i="15"/>
  <c r="A196" i="34" l="1"/>
  <c r="A28" i="68"/>
  <c r="P13" i="64"/>
  <c r="P15" i="64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A7" i="68" l="1"/>
  <c r="B20" i="68"/>
  <c r="A20" i="68" s="1"/>
  <c r="E20" i="68"/>
  <c r="A41" i="68"/>
  <c r="A42" i="68"/>
  <c r="F20" i="68"/>
  <c r="C20" i="68"/>
  <c r="A12" i="68"/>
  <c r="A8" i="68"/>
  <c r="A13" i="68"/>
  <c r="D20" i="68"/>
  <c r="E13" i="68"/>
  <c r="E11" i="68"/>
  <c r="E29" i="68" l="1"/>
  <c r="G20" i="68" s="1"/>
  <c r="A10" i="68"/>
  <c r="L14" i="64"/>
  <c r="L15" i="64"/>
  <c r="L16" i="64"/>
  <c r="L19" i="64" l="1"/>
  <c r="H20" i="68"/>
  <c r="F21" i="68" s="1"/>
  <c r="F22" i="68" l="1"/>
  <c r="G21" i="68"/>
  <c r="H21" i="68" s="1"/>
  <c r="F23" i="68" l="1"/>
  <c r="G22" i="68"/>
  <c r="H22" i="68" s="1"/>
  <c r="I6" i="43"/>
  <c r="F24" i="68" l="1"/>
  <c r="G23" i="68"/>
  <c r="H23" i="68" s="1"/>
  <c r="I11" i="55" a="1"/>
  <c r="I11" i="55" s="1"/>
  <c r="G19" i="55" a="1"/>
  <c r="G19" i="55" s="1"/>
  <c r="I17" i="55" a="1"/>
  <c r="I17" i="55" s="1"/>
  <c r="G11" i="55" a="1"/>
  <c r="G11" i="55" s="1"/>
  <c r="G18" i="55" a="1"/>
  <c r="G18" i="55" s="1"/>
  <c r="G17" i="55" a="1"/>
  <c r="G17" i="55" s="1"/>
  <c r="I19" i="55" a="1"/>
  <c r="I19" i="55" s="1"/>
  <c r="I18" i="55" a="1"/>
  <c r="I18" i="55" s="1"/>
  <c r="A15" i="12"/>
  <c r="F25" i="68" l="1"/>
  <c r="G24" i="68"/>
  <c r="H24" i="68" s="1"/>
  <c r="F18" i="43"/>
  <c r="F22" i="43"/>
  <c r="F19" i="43"/>
  <c r="F20" i="43"/>
  <c r="F23" i="43"/>
  <c r="F24" i="43"/>
  <c r="F25" i="43"/>
  <c r="F26" i="43"/>
  <c r="F21" i="43"/>
  <c r="F27" i="43"/>
  <c r="F28" i="43"/>
  <c r="F29" i="43"/>
  <c r="F30" i="43"/>
  <c r="C91" i="43"/>
  <c r="F92" i="43"/>
  <c r="C92" i="43"/>
  <c r="A93" i="43"/>
  <c r="D92" i="43"/>
  <c r="D91" i="43"/>
  <c r="B91" i="43"/>
  <c r="G91" i="43"/>
  <c r="E93" i="43"/>
  <c r="F93" i="43"/>
  <c r="G93" i="43"/>
  <c r="G92" i="43"/>
  <c r="C93" i="43"/>
  <c r="E92" i="43"/>
  <c r="A92" i="43"/>
  <c r="B92" i="43"/>
  <c r="E91" i="43"/>
  <c r="F91" i="43"/>
  <c r="D93" i="43"/>
  <c r="B93" i="43"/>
  <c r="A91" i="43"/>
  <c r="D24" i="43"/>
  <c r="F13" i="43"/>
  <c r="C50" i="43"/>
  <c r="B19" i="43"/>
  <c r="A58" i="43"/>
  <c r="B18" i="43"/>
  <c r="A57" i="43"/>
  <c r="E48" i="43"/>
  <c r="D17" i="43"/>
  <c r="C56" i="43"/>
  <c r="A21" i="43"/>
  <c r="E57" i="43"/>
  <c r="B49" i="43"/>
  <c r="F15" i="43"/>
  <c r="C52" i="43"/>
  <c r="A17" i="43"/>
  <c r="E53" i="43"/>
  <c r="G42" i="43"/>
  <c r="A31" i="43"/>
  <c r="A46" i="43"/>
  <c r="C77" i="43"/>
  <c r="D73" i="43"/>
  <c r="A73" i="43"/>
  <c r="E72" i="43"/>
  <c r="G64" i="43"/>
  <c r="D64" i="43"/>
  <c r="A64" i="43"/>
  <c r="F60" i="43"/>
  <c r="B60" i="43"/>
  <c r="B59" i="43"/>
  <c r="G37" i="43"/>
  <c r="B36" i="43"/>
  <c r="F90" i="43"/>
  <c r="D87" i="43"/>
  <c r="G35" i="43"/>
  <c r="B25" i="43"/>
  <c r="C13" i="43"/>
  <c r="G32" i="43"/>
  <c r="B64" i="43"/>
  <c r="G31" i="43"/>
  <c r="B21" i="43"/>
  <c r="A60" i="43"/>
  <c r="B31" i="43"/>
  <c r="D62" i="43"/>
  <c r="D32" i="43"/>
  <c r="A24" i="43"/>
  <c r="E60" i="43"/>
  <c r="B27" i="43"/>
  <c r="C53" i="43"/>
  <c r="D28" i="43"/>
  <c r="F17" i="43"/>
  <c r="C54" i="43"/>
  <c r="G20" i="43"/>
  <c r="D57" i="43"/>
  <c r="C85" i="43"/>
  <c r="G84" i="43"/>
  <c r="D84" i="43"/>
  <c r="C86" i="43"/>
  <c r="C76" i="43"/>
  <c r="G75" i="43"/>
  <c r="D75" i="43"/>
  <c r="C72" i="43"/>
  <c r="G71" i="43"/>
  <c r="D71" i="43"/>
  <c r="A66" i="43"/>
  <c r="E65" i="43"/>
  <c r="B65" i="43"/>
  <c r="G19" i="43"/>
  <c r="D56" i="43"/>
  <c r="F45" i="43"/>
  <c r="E14" i="43"/>
  <c r="D53" i="43"/>
  <c r="E13" i="43"/>
  <c r="D52" i="43"/>
  <c r="A44" i="43"/>
  <c r="D34" i="43"/>
  <c r="F51" i="43"/>
  <c r="B14" i="43"/>
  <c r="A53" i="43"/>
  <c r="E44" i="43"/>
  <c r="F32" i="43"/>
  <c r="F47" i="43"/>
  <c r="A79" i="43"/>
  <c r="A49" i="43"/>
  <c r="C38" i="43"/>
  <c r="D26" i="43"/>
  <c r="D41" i="43"/>
  <c r="F72" i="43"/>
  <c r="G68" i="43"/>
  <c r="D68" i="43"/>
  <c r="A68" i="43"/>
  <c r="F59" i="43"/>
  <c r="A59" i="43"/>
  <c r="C57" i="43"/>
  <c r="F44" i="43"/>
  <c r="A43" i="43"/>
  <c r="C41" i="43"/>
  <c r="A87" i="43"/>
  <c r="E86" i="43"/>
  <c r="B86" i="43"/>
  <c r="F85" i="43"/>
  <c r="D40" i="43"/>
  <c r="G17" i="43"/>
  <c r="D37" i="43"/>
  <c r="F68" i="43"/>
  <c r="D36" i="43"/>
  <c r="A28" i="43"/>
  <c r="B16" i="43"/>
  <c r="F35" i="43"/>
  <c r="A67" i="43"/>
  <c r="A37" i="43"/>
  <c r="E28" i="43"/>
  <c r="F16" i="43"/>
  <c r="F31" i="43"/>
  <c r="A63" i="43"/>
  <c r="A33" i="43"/>
  <c r="C22" i="43"/>
  <c r="G58" i="43"/>
  <c r="D25" i="43"/>
  <c r="D46" i="43"/>
  <c r="G89" i="43"/>
  <c r="D89" i="43"/>
  <c r="A89" i="43"/>
  <c r="B89" i="43"/>
  <c r="G80" i="43"/>
  <c r="D80" i="43"/>
  <c r="A80" i="43"/>
  <c r="G76" i="43"/>
  <c r="D76" i="43"/>
  <c r="A76" i="43"/>
  <c r="E70" i="43"/>
  <c r="B70" i="43"/>
  <c r="F69" i="43"/>
  <c r="B81" i="43"/>
  <c r="E33" i="43"/>
  <c r="G22" i="43"/>
  <c r="D59" i="43"/>
  <c r="E30" i="43"/>
  <c r="G61" i="43"/>
  <c r="E29" i="43"/>
  <c r="G18" i="43"/>
  <c r="F57" i="43"/>
  <c r="G28" i="43"/>
  <c r="E59" i="43"/>
  <c r="B30" i="43"/>
  <c r="D19" i="43"/>
  <c r="C58" i="43"/>
  <c r="G24" i="43"/>
  <c r="B44" i="43"/>
  <c r="B26" i="43"/>
  <c r="D15" i="43"/>
  <c r="A52" i="43"/>
  <c r="E18" i="43"/>
  <c r="B55" i="43"/>
  <c r="C81" i="43"/>
  <c r="E82" i="43"/>
  <c r="B82" i="43"/>
  <c r="F81" i="43"/>
  <c r="A74" i="43"/>
  <c r="E73" i="43"/>
  <c r="B73" i="43"/>
  <c r="A70" i="43"/>
  <c r="E69" i="43"/>
  <c r="B69" i="43"/>
  <c r="F63" i="43"/>
  <c r="C63" i="43"/>
  <c r="G62" i="43"/>
  <c r="E88" i="43"/>
  <c r="A45" i="43"/>
  <c r="C34" i="43"/>
  <c r="D22" i="43"/>
  <c r="A42" i="43"/>
  <c r="C73" i="43"/>
  <c r="A41" i="43"/>
  <c r="E32" i="43"/>
  <c r="A23" i="43"/>
  <c r="C40" i="43"/>
  <c r="E71" i="43"/>
  <c r="E41" i="43"/>
  <c r="B33" i="43"/>
  <c r="C21" i="43"/>
  <c r="C36" i="43"/>
  <c r="E67" i="43"/>
  <c r="E37" i="43"/>
  <c r="G26" i="43"/>
  <c r="A15" i="43"/>
  <c r="A30" i="43"/>
  <c r="C61" i="43"/>
  <c r="C49" i="43"/>
  <c r="E47" i="43"/>
  <c r="G45" i="43"/>
  <c r="G85" i="43"/>
  <c r="D85" i="43"/>
  <c r="A85" i="43"/>
  <c r="E84" i="43"/>
  <c r="D81" i="43"/>
  <c r="A81" i="43"/>
  <c r="E80" i="43"/>
  <c r="B75" i="43"/>
  <c r="F74" i="43"/>
  <c r="C74" i="43"/>
  <c r="A29" i="43"/>
  <c r="C18" i="43"/>
  <c r="G54" i="43"/>
  <c r="A26" i="43"/>
  <c r="F48" i="43"/>
  <c r="A25" i="43"/>
  <c r="C14" i="43"/>
  <c r="B53" i="43"/>
  <c r="C24" i="43"/>
  <c r="G41" i="43"/>
  <c r="E25" i="43"/>
  <c r="G14" i="43"/>
  <c r="F53" i="43"/>
  <c r="C20" i="43"/>
  <c r="G56" i="43"/>
  <c r="E21" i="43"/>
  <c r="B58" i="43"/>
  <c r="D47" i="43"/>
  <c r="A14" i="43"/>
  <c r="E50" i="43"/>
  <c r="G81" i="43"/>
  <c r="A78" i="43"/>
  <c r="E77" i="43"/>
  <c r="B77" i="43"/>
  <c r="D69" i="43"/>
  <c r="A69" i="43"/>
  <c r="E68" i="43"/>
  <c r="D65" i="43"/>
  <c r="A65" i="43"/>
  <c r="E64" i="43"/>
  <c r="B56" i="43"/>
  <c r="D54" i="43"/>
  <c r="F52" i="43"/>
  <c r="A13" i="43"/>
  <c r="E49" i="43"/>
  <c r="G38" i="43"/>
  <c r="C29" i="43"/>
  <c r="E46" i="43"/>
  <c r="G77" i="43"/>
  <c r="E45" i="43"/>
  <c r="B37" i="43"/>
  <c r="E27" i="43"/>
  <c r="G44" i="43"/>
  <c r="B76" i="43"/>
  <c r="B46" i="43"/>
  <c r="F37" i="43"/>
  <c r="G25" i="43"/>
  <c r="G40" i="43"/>
  <c r="B72" i="43"/>
  <c r="B42" i="43"/>
  <c r="D31" i="43"/>
  <c r="E19" i="43"/>
  <c r="E34" i="43"/>
  <c r="G65" i="43"/>
  <c r="A62" i="43"/>
  <c r="E61" i="43"/>
  <c r="A61" i="43"/>
  <c r="D90" i="43"/>
  <c r="A90" i="43"/>
  <c r="E89" i="43"/>
  <c r="D86" i="43"/>
  <c r="A86" i="43"/>
  <c r="E85" i="43"/>
  <c r="B85" i="43"/>
  <c r="F79" i="43"/>
  <c r="C79" i="43"/>
  <c r="G78" i="43"/>
  <c r="F42" i="43"/>
  <c r="A32" i="43"/>
  <c r="B20" i="43"/>
  <c r="F39" i="43"/>
  <c r="A71" i="43"/>
  <c r="F38" i="43"/>
  <c r="C30" i="43"/>
  <c r="D18" i="43"/>
  <c r="A38" i="43"/>
  <c r="C69" i="43"/>
  <c r="C39" i="43"/>
  <c r="G30" i="43"/>
  <c r="A19" i="43"/>
  <c r="A34" i="43"/>
  <c r="C65" i="43"/>
  <c r="C35" i="43"/>
  <c r="E24" i="43"/>
  <c r="B61" i="43"/>
  <c r="E55" i="43"/>
  <c r="B40" i="43"/>
  <c r="D38" i="43"/>
  <c r="F36" i="43"/>
  <c r="A83" i="43"/>
  <c r="B83" i="43"/>
  <c r="F82" i="43"/>
  <c r="C82" i="43"/>
  <c r="B79" i="43"/>
  <c r="F78" i="43"/>
  <c r="C78" i="43"/>
  <c r="G72" i="43"/>
  <c r="D72" i="43"/>
  <c r="A72" i="43"/>
  <c r="E17" i="43"/>
  <c r="B54" i="43"/>
  <c r="D43" i="43"/>
  <c r="G33" i="43"/>
  <c r="B51" i="43"/>
  <c r="D82" i="43"/>
  <c r="B50" i="43"/>
  <c r="F41" i="43"/>
  <c r="B32" i="43"/>
  <c r="D49" i="43"/>
  <c r="F80" i="43"/>
  <c r="F50" i="43"/>
  <c r="C42" i="43"/>
  <c r="D30" i="43"/>
  <c r="D45" i="43"/>
  <c r="F76" i="43"/>
  <c r="F46" i="43"/>
  <c r="A36" i="43"/>
  <c r="B24" i="43"/>
  <c r="B39" i="43"/>
  <c r="D70" i="43"/>
  <c r="E66" i="43"/>
  <c r="B66" i="43"/>
  <c r="F65" i="43"/>
  <c r="E51" i="43"/>
  <c r="G49" i="43"/>
  <c r="B48" i="43"/>
  <c r="E35" i="43"/>
  <c r="E90" i="43"/>
  <c r="B90" i="43"/>
  <c r="F84" i="43"/>
  <c r="C84" i="43"/>
  <c r="G83" i="43"/>
  <c r="D83" i="43"/>
  <c r="B38" i="43"/>
  <c r="D27" i="43"/>
  <c r="E15" i="43"/>
  <c r="B35" i="43"/>
  <c r="D66" i="43"/>
  <c r="B34" i="43"/>
  <c r="D23" i="43"/>
  <c r="G13" i="43"/>
  <c r="D33" i="43"/>
  <c r="F64" i="43"/>
  <c r="F34" i="43"/>
  <c r="C26" i="43"/>
  <c r="D14" i="43"/>
  <c r="D29" i="43"/>
  <c r="D60" i="43"/>
  <c r="A20" i="43"/>
  <c r="E56" i="43"/>
  <c r="B23" i="43"/>
  <c r="C37" i="43"/>
  <c r="E87" i="43"/>
  <c r="B87" i="43"/>
  <c r="F86" i="43"/>
  <c r="G90" i="43"/>
  <c r="E78" i="43"/>
  <c r="B78" i="43"/>
  <c r="F77" i="43"/>
  <c r="E74" i="43"/>
  <c r="B74" i="43"/>
  <c r="F73" i="43"/>
  <c r="C68" i="43"/>
  <c r="G67" i="43"/>
  <c r="D67" i="43"/>
  <c r="B22" i="43"/>
  <c r="F58" i="43"/>
  <c r="A48" i="43"/>
  <c r="G16" i="43"/>
  <c r="F55" i="43"/>
  <c r="G15" i="43"/>
  <c r="F54" i="43"/>
  <c r="C46" i="43"/>
  <c r="B15" i="43"/>
  <c r="A54" i="43"/>
  <c r="D16" i="43"/>
  <c r="C55" i="43"/>
  <c r="G46" i="43"/>
  <c r="D13" i="43"/>
  <c r="A50" i="43"/>
  <c r="F14" i="43"/>
  <c r="C51" i="43"/>
  <c r="E40" i="43"/>
  <c r="F43" i="43"/>
  <c r="A75" i="43"/>
  <c r="B71" i="43"/>
  <c r="F70" i="43"/>
  <c r="C70" i="43"/>
  <c r="E62" i="43"/>
  <c r="B62" i="43"/>
  <c r="F61" i="43"/>
  <c r="G53" i="43"/>
  <c r="B52" i="43"/>
  <c r="D50" i="43"/>
  <c r="C89" i="43"/>
  <c r="G88" i="43"/>
  <c r="D88" i="43"/>
  <c r="A88" i="43"/>
  <c r="C15" i="43"/>
  <c r="G51" i="43"/>
  <c r="B41" i="43"/>
  <c r="E31" i="43"/>
  <c r="G48" i="43"/>
  <c r="B80" i="43"/>
  <c r="G47" i="43"/>
  <c r="D39" i="43"/>
  <c r="G29" i="43"/>
  <c r="B47" i="43"/>
  <c r="D78" i="43"/>
  <c r="D48" i="43"/>
  <c r="A40" i="43"/>
  <c r="B28" i="43"/>
  <c r="B43" i="43"/>
  <c r="D74" i="43"/>
  <c r="D44" i="43"/>
  <c r="F33" i="43"/>
  <c r="G21" i="43"/>
  <c r="G36" i="43"/>
  <c r="B68" i="43"/>
  <c r="C64" i="43"/>
  <c r="G63" i="43"/>
  <c r="D63" i="43"/>
  <c r="D42" i="43"/>
  <c r="F40" i="43"/>
  <c r="A39" i="43"/>
  <c r="F88" i="43"/>
  <c r="C88" i="43"/>
  <c r="G87" i="43"/>
  <c r="F89" i="43"/>
  <c r="A82" i="43"/>
  <c r="E81" i="43"/>
  <c r="C90" i="43"/>
  <c r="A16" i="43"/>
  <c r="E52" i="43"/>
  <c r="D21" i="43"/>
  <c r="E39" i="43"/>
  <c r="D20" i="43"/>
  <c r="C59" i="43"/>
  <c r="G50" i="43"/>
  <c r="A22" i="43"/>
  <c r="E58" i="43"/>
  <c r="C23" i="43"/>
  <c r="G59" i="43"/>
  <c r="D51" i="43"/>
  <c r="A18" i="43"/>
  <c r="E54" i="43"/>
  <c r="C19" i="43"/>
  <c r="G55" i="43"/>
  <c r="B45" i="43"/>
  <c r="C33" i="43"/>
  <c r="C48" i="43"/>
  <c r="E79" i="43"/>
  <c r="F75" i="43"/>
  <c r="C75" i="43"/>
  <c r="G74" i="43"/>
  <c r="B67" i="43"/>
  <c r="F66" i="43"/>
  <c r="C66" i="43"/>
  <c r="B63" i="43"/>
  <c r="F62" i="43"/>
  <c r="C62" i="43"/>
  <c r="A47" i="43"/>
  <c r="C45" i="43"/>
  <c r="E43" i="43"/>
  <c r="A84" i="43"/>
  <c r="C47" i="43"/>
  <c r="E36" i="43"/>
  <c r="A27" i="43"/>
  <c r="C44" i="43"/>
  <c r="E75" i="43"/>
  <c r="C43" i="43"/>
  <c r="G34" i="43"/>
  <c r="C25" i="43"/>
  <c r="E42" i="43"/>
  <c r="G73" i="43"/>
  <c r="G43" i="43"/>
  <c r="D35" i="43"/>
  <c r="E23" i="43"/>
  <c r="E38" i="43"/>
  <c r="G69" i="43"/>
  <c r="G39" i="43"/>
  <c r="B29" i="43"/>
  <c r="C17" i="43"/>
  <c r="C32" i="43"/>
  <c r="E63" i="43"/>
  <c r="D58" i="43"/>
  <c r="F56" i="43"/>
  <c r="A55" i="43"/>
  <c r="B88" i="43"/>
  <c r="F87" i="43"/>
  <c r="C87" i="43"/>
  <c r="E83" i="43"/>
  <c r="F83" i="43"/>
  <c r="C83" i="43"/>
  <c r="G82" i="43"/>
  <c r="D77" i="43"/>
  <c r="A77" i="43"/>
  <c r="E76" i="43"/>
  <c r="C31" i="43"/>
  <c r="E20" i="43"/>
  <c r="B57" i="43"/>
  <c r="C28" i="43"/>
  <c r="G57" i="43"/>
  <c r="C27" i="43"/>
  <c r="E16" i="43"/>
  <c r="D55" i="43"/>
  <c r="E26" i="43"/>
  <c r="A51" i="43"/>
  <c r="G27" i="43"/>
  <c r="B17" i="43"/>
  <c r="A56" i="43"/>
  <c r="E22" i="43"/>
  <c r="A35" i="43"/>
  <c r="G23" i="43"/>
  <c r="B13" i="43"/>
  <c r="F49" i="43"/>
  <c r="C16" i="43"/>
  <c r="G52" i="43"/>
  <c r="B84" i="43"/>
  <c r="C80" i="43"/>
  <c r="G79" i="43"/>
  <c r="D79" i="43"/>
  <c r="F71" i="43"/>
  <c r="C71" i="43"/>
  <c r="G70" i="43"/>
  <c r="F67" i="43"/>
  <c r="C67" i="43"/>
  <c r="G66" i="43"/>
  <c r="D61" i="43"/>
  <c r="G60" i="43"/>
  <c r="C60" i="43"/>
  <c r="G86" i="43"/>
  <c r="H11" i="43"/>
  <c r="K11" i="55"/>
  <c r="K17" i="55"/>
  <c r="K18" i="55"/>
  <c r="K19" i="55"/>
  <c r="A12" i="43"/>
  <c r="G99" i="43" s="1"/>
  <c r="G20" i="55" a="1"/>
  <c r="G20" i="55" s="1"/>
  <c r="A14" i="55"/>
  <c r="B13" i="55"/>
  <c r="A13" i="55" s="1"/>
  <c r="E14" i="55"/>
  <c r="A6" i="60"/>
  <c r="A7" i="60" s="1"/>
  <c r="A8" i="60" s="1"/>
  <c r="A9" i="60" s="1"/>
  <c r="A10" i="60" s="1"/>
  <c r="A11" i="60" s="1"/>
  <c r="A12" i="60" s="1"/>
  <c r="A13" i="60" s="1"/>
  <c r="A14" i="60" s="1"/>
  <c r="G25" i="68" l="1"/>
  <c r="H25" i="68" s="1"/>
  <c r="F26" i="68" s="1"/>
  <c r="A15" i="60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F2" i="43"/>
  <c r="A98" i="43"/>
  <c r="K14" i="34"/>
  <c r="K10" i="34"/>
  <c r="G26" i="68" l="1"/>
  <c r="H26" i="68" s="1"/>
  <c r="B10" i="34"/>
  <c r="B11" i="34"/>
  <c r="O11" i="34" s="1"/>
  <c r="B12" i="34"/>
  <c r="B13" i="34"/>
  <c r="B16" i="34"/>
  <c r="B14" i="34"/>
  <c r="B15" i="34"/>
  <c r="A15" i="34" s="1"/>
  <c r="F27" i="68" l="1"/>
  <c r="G27" i="68" s="1"/>
  <c r="A16" i="34"/>
  <c r="O16" i="34"/>
  <c r="P16" i="34"/>
  <c r="Y16" i="34"/>
  <c r="Q16" i="34"/>
  <c r="A14" i="34"/>
  <c r="Y14" i="34"/>
  <c r="P14" i="34"/>
  <c r="Q14" i="34"/>
  <c r="O14" i="34"/>
  <c r="Y13" i="34"/>
  <c r="A13" i="34"/>
  <c r="P13" i="34"/>
  <c r="O13" i="34"/>
  <c r="Q13" i="34"/>
  <c r="Y15" i="34"/>
  <c r="Q15" i="34"/>
  <c r="P15" i="34"/>
  <c r="O15" i="34"/>
  <c r="A12" i="34"/>
  <c r="Y12" i="34"/>
  <c r="P12" i="34"/>
  <c r="O12" i="34"/>
  <c r="Q12" i="34"/>
  <c r="O10" i="34"/>
  <c r="A11" i="34"/>
  <c r="P11" i="34"/>
  <c r="Q11" i="34"/>
  <c r="Y11" i="34"/>
  <c r="Y10" i="34"/>
  <c r="P10" i="34"/>
  <c r="Q10" i="34"/>
  <c r="G7" i="57"/>
  <c r="D16" i="12"/>
  <c r="C16" i="12"/>
  <c r="G29" i="68" l="1"/>
  <c r="H27" i="68"/>
  <c r="A79" i="42"/>
  <c r="C117" i="42"/>
  <c r="D117" i="42"/>
  <c r="D115" i="42"/>
  <c r="D113" i="42"/>
  <c r="D111" i="42"/>
  <c r="D109" i="42"/>
  <c r="D107" i="42"/>
  <c r="D105" i="42"/>
  <c r="D103" i="42"/>
  <c r="D101" i="42"/>
  <c r="D99" i="42"/>
  <c r="D97" i="42"/>
  <c r="D95" i="42"/>
  <c r="D93" i="42"/>
  <c r="D91" i="42"/>
  <c r="D89" i="42"/>
  <c r="G116" i="42"/>
  <c r="G114" i="42"/>
  <c r="G112" i="42"/>
  <c r="G110" i="42"/>
  <c r="G108" i="42"/>
  <c r="G106" i="42"/>
  <c r="G104" i="42"/>
  <c r="G102" i="42"/>
  <c r="G100" i="42"/>
  <c r="G98" i="42"/>
  <c r="G96" i="42"/>
  <c r="G94" i="42"/>
  <c r="G92" i="42"/>
  <c r="G90" i="42"/>
  <c r="G88" i="42"/>
  <c r="F117" i="42"/>
  <c r="F115" i="42"/>
  <c r="F113" i="42"/>
  <c r="F111" i="42"/>
  <c r="F109" i="42"/>
  <c r="F107" i="42"/>
  <c r="F105" i="42"/>
  <c r="F103" i="42"/>
  <c r="F101" i="42"/>
  <c r="F99" i="42"/>
  <c r="F97" i="42"/>
  <c r="F95" i="42"/>
  <c r="F93" i="42"/>
  <c r="F91" i="42"/>
  <c r="F89" i="42"/>
  <c r="E117" i="42"/>
  <c r="E115" i="42"/>
  <c r="E113" i="42"/>
  <c r="E111" i="42"/>
  <c r="E109" i="42"/>
  <c r="E107" i="42"/>
  <c r="E105" i="42"/>
  <c r="E103" i="42"/>
  <c r="E101" i="42"/>
  <c r="E99" i="42"/>
  <c r="E97" i="42"/>
  <c r="E95" i="42"/>
  <c r="E93" i="42"/>
  <c r="E91" i="42"/>
  <c r="E89" i="42"/>
  <c r="H116" i="42"/>
  <c r="H114" i="42"/>
  <c r="H112" i="42"/>
  <c r="H110" i="42"/>
  <c r="H108" i="42"/>
  <c r="H106" i="42"/>
  <c r="H104" i="42"/>
  <c r="H102" i="42"/>
  <c r="H100" i="42"/>
  <c r="H98" i="42"/>
  <c r="H96" i="42"/>
  <c r="H94" i="42"/>
  <c r="H92" i="42"/>
  <c r="H90" i="42"/>
  <c r="H88" i="42"/>
  <c r="C116" i="42"/>
  <c r="C114" i="42"/>
  <c r="C112" i="42"/>
  <c r="C110" i="42"/>
  <c r="C108" i="42"/>
  <c r="C106" i="42"/>
  <c r="C104" i="42"/>
  <c r="C102" i="42"/>
  <c r="C100" i="42"/>
  <c r="C98" i="42"/>
  <c r="C96" i="42"/>
  <c r="C94" i="42"/>
  <c r="C92" i="42"/>
  <c r="C90" i="42"/>
  <c r="C88" i="42"/>
  <c r="B117" i="42"/>
  <c r="B115" i="42"/>
  <c r="B113" i="42"/>
  <c r="B111" i="42"/>
  <c r="B109" i="42"/>
  <c r="B107" i="42"/>
  <c r="B105" i="42"/>
  <c r="B103" i="42"/>
  <c r="B101" i="42"/>
  <c r="B99" i="42"/>
  <c r="B97" i="42"/>
  <c r="B95" i="42"/>
  <c r="B93" i="42"/>
  <c r="B91" i="42"/>
  <c r="B89" i="42"/>
  <c r="A117" i="42"/>
  <c r="A115" i="42"/>
  <c r="A113" i="42"/>
  <c r="A111" i="42"/>
  <c r="A109" i="42"/>
  <c r="A107" i="42"/>
  <c r="A105" i="42"/>
  <c r="A103" i="42"/>
  <c r="A101" i="42"/>
  <c r="A99" i="42"/>
  <c r="A97" i="42"/>
  <c r="A95" i="42"/>
  <c r="A93" i="42"/>
  <c r="A91" i="42"/>
  <c r="A89" i="42"/>
  <c r="D116" i="42"/>
  <c r="D114" i="42"/>
  <c r="D112" i="42"/>
  <c r="D110" i="42"/>
  <c r="D108" i="42"/>
  <c r="D106" i="42"/>
  <c r="D104" i="42"/>
  <c r="D102" i="42"/>
  <c r="D100" i="42"/>
  <c r="D98" i="42"/>
  <c r="D96" i="42"/>
  <c r="D94" i="42"/>
  <c r="D92" i="42"/>
  <c r="D90" i="42"/>
  <c r="D88" i="42"/>
  <c r="G115" i="42"/>
  <c r="G113" i="42"/>
  <c r="G111" i="42"/>
  <c r="G109" i="42"/>
  <c r="G107" i="42"/>
  <c r="G105" i="42"/>
  <c r="G103" i="42"/>
  <c r="G101" i="42"/>
  <c r="G99" i="42"/>
  <c r="G97" i="42"/>
  <c r="G95" i="42"/>
  <c r="G93" i="42"/>
  <c r="G91" i="42"/>
  <c r="G89" i="42"/>
  <c r="F116" i="42"/>
  <c r="F114" i="42"/>
  <c r="F112" i="42"/>
  <c r="F110" i="42"/>
  <c r="F108" i="42"/>
  <c r="F106" i="42"/>
  <c r="F104" i="42"/>
  <c r="F102" i="42"/>
  <c r="F100" i="42"/>
  <c r="F98" i="42"/>
  <c r="F96" i="42"/>
  <c r="F94" i="42"/>
  <c r="F92" i="42"/>
  <c r="F90" i="42"/>
  <c r="F88" i="42"/>
  <c r="E116" i="42"/>
  <c r="E114" i="42"/>
  <c r="E112" i="42"/>
  <c r="E110" i="42"/>
  <c r="E108" i="42"/>
  <c r="E106" i="42"/>
  <c r="E104" i="42"/>
  <c r="E102" i="42"/>
  <c r="E100" i="42"/>
  <c r="E98" i="42"/>
  <c r="E96" i="42"/>
  <c r="E94" i="42"/>
  <c r="E92" i="42"/>
  <c r="E90" i="42"/>
  <c r="E88" i="42"/>
  <c r="H117" i="42"/>
  <c r="H115" i="42"/>
  <c r="H113" i="42"/>
  <c r="H111" i="42"/>
  <c r="H109" i="42"/>
  <c r="H107" i="42"/>
  <c r="H105" i="42"/>
  <c r="H103" i="42"/>
  <c r="H101" i="42"/>
  <c r="H99" i="42"/>
  <c r="H97" i="42"/>
  <c r="H95" i="42"/>
  <c r="H93" i="42"/>
  <c r="H91" i="42"/>
  <c r="H89" i="42"/>
  <c r="G117" i="42"/>
  <c r="C115" i="42"/>
  <c r="C113" i="42"/>
  <c r="C111" i="42"/>
  <c r="C109" i="42"/>
  <c r="C107" i="42"/>
  <c r="C105" i="42"/>
  <c r="C103" i="42"/>
  <c r="C101" i="42"/>
  <c r="C99" i="42"/>
  <c r="C97" i="42"/>
  <c r="C95" i="42"/>
  <c r="C93" i="42"/>
  <c r="C91" i="42"/>
  <c r="C89" i="42"/>
  <c r="B116" i="42"/>
  <c r="B114" i="42"/>
  <c r="B112" i="42"/>
  <c r="B110" i="42"/>
  <c r="B108" i="42"/>
  <c r="B106" i="42"/>
  <c r="B104" i="42"/>
  <c r="B102" i="42"/>
  <c r="B100" i="42"/>
  <c r="B98" i="42"/>
  <c r="B96" i="42"/>
  <c r="B94" i="42"/>
  <c r="B92" i="42"/>
  <c r="B90" i="42"/>
  <c r="B88" i="42"/>
  <c r="A116" i="42"/>
  <c r="A114" i="42"/>
  <c r="A112" i="42"/>
  <c r="A110" i="42"/>
  <c r="A108" i="42"/>
  <c r="A106" i="42"/>
  <c r="A104" i="42"/>
  <c r="A102" i="42"/>
  <c r="A100" i="42"/>
  <c r="A98" i="42"/>
  <c r="A96" i="42"/>
  <c r="A94" i="42"/>
  <c r="A92" i="42"/>
  <c r="A90" i="42"/>
  <c r="A88" i="42"/>
  <c r="H87" i="42"/>
  <c r="F87" i="42"/>
  <c r="D87" i="42"/>
  <c r="B87" i="42"/>
  <c r="G87" i="42"/>
  <c r="E87" i="42"/>
  <c r="H86" i="42"/>
  <c r="C87" i="42"/>
  <c r="A87" i="42"/>
  <c r="H82" i="42"/>
  <c r="G84" i="42"/>
  <c r="F86" i="42"/>
  <c r="F80" i="42"/>
  <c r="E82" i="42"/>
  <c r="D86" i="42"/>
  <c r="D84" i="42"/>
  <c r="D82" i="42"/>
  <c r="D80" i="42"/>
  <c r="C86" i="42"/>
  <c r="C84" i="42"/>
  <c r="C82" i="42"/>
  <c r="C80" i="42"/>
  <c r="B86" i="42"/>
  <c r="B84" i="42"/>
  <c r="B82" i="42"/>
  <c r="B80" i="42"/>
  <c r="A86" i="42"/>
  <c r="A84" i="42"/>
  <c r="A82" i="42"/>
  <c r="A80" i="42"/>
  <c r="H84" i="42"/>
  <c r="G86" i="42"/>
  <c r="G80" i="42"/>
  <c r="F82" i="42"/>
  <c r="E84" i="42"/>
  <c r="H85" i="42"/>
  <c r="H83" i="42"/>
  <c r="H81" i="42"/>
  <c r="H79" i="42"/>
  <c r="G85" i="42"/>
  <c r="G83" i="42"/>
  <c r="G81" i="42"/>
  <c r="G79" i="42"/>
  <c r="F85" i="42"/>
  <c r="F83" i="42"/>
  <c r="F81" i="42"/>
  <c r="F79" i="42"/>
  <c r="E85" i="42"/>
  <c r="E83" i="42"/>
  <c r="E81" i="42"/>
  <c r="E79" i="42"/>
  <c r="H80" i="42"/>
  <c r="G82" i="42"/>
  <c r="F84" i="42"/>
  <c r="E86" i="42"/>
  <c r="E80" i="42"/>
  <c r="D85" i="42"/>
  <c r="D83" i="42"/>
  <c r="D81" i="42"/>
  <c r="D79" i="42"/>
  <c r="C85" i="42"/>
  <c r="C83" i="42"/>
  <c r="C81" i="42"/>
  <c r="C79" i="42"/>
  <c r="B85" i="42"/>
  <c r="B83" i="42"/>
  <c r="B81" i="42"/>
  <c r="B79" i="42"/>
  <c r="A85" i="42"/>
  <c r="A83" i="42"/>
  <c r="A81" i="42"/>
  <c r="A57" i="42"/>
  <c r="G78" i="42"/>
  <c r="G76" i="42"/>
  <c r="G74" i="42"/>
  <c r="H72" i="42"/>
  <c r="H70" i="42"/>
  <c r="H68" i="42"/>
  <c r="H66" i="42"/>
  <c r="H64" i="42"/>
  <c r="H62" i="42"/>
  <c r="H60" i="42"/>
  <c r="H58" i="42"/>
  <c r="F78" i="42"/>
  <c r="F76" i="42"/>
  <c r="F74" i="42"/>
  <c r="G72" i="42"/>
  <c r="G70" i="42"/>
  <c r="G68" i="42"/>
  <c r="G66" i="42"/>
  <c r="G64" i="42"/>
  <c r="G62" i="42"/>
  <c r="G60" i="42"/>
  <c r="G58" i="42"/>
  <c r="E78" i="42"/>
  <c r="E76" i="42"/>
  <c r="E74" i="42"/>
  <c r="F72" i="42"/>
  <c r="F70" i="42"/>
  <c r="F68" i="42"/>
  <c r="F66" i="42"/>
  <c r="F64" i="42"/>
  <c r="F62" i="42"/>
  <c r="F60" i="42"/>
  <c r="F58" i="42"/>
  <c r="H78" i="42"/>
  <c r="H76" i="42"/>
  <c r="H74" i="42"/>
  <c r="E72" i="42"/>
  <c r="E70" i="42"/>
  <c r="E68" i="42"/>
  <c r="E66" i="42"/>
  <c r="E64" i="42"/>
  <c r="E62" i="42"/>
  <c r="E60" i="42"/>
  <c r="E58" i="42"/>
  <c r="C78" i="42"/>
  <c r="C76" i="42"/>
  <c r="C74" i="42"/>
  <c r="D72" i="42"/>
  <c r="D70" i="42"/>
  <c r="D68" i="42"/>
  <c r="D66" i="42"/>
  <c r="D64" i="42"/>
  <c r="D62" i="42"/>
  <c r="D60" i="42"/>
  <c r="D58" i="42"/>
  <c r="B78" i="42"/>
  <c r="B76" i="42"/>
  <c r="B74" i="42"/>
  <c r="C72" i="42"/>
  <c r="C70" i="42"/>
  <c r="C68" i="42"/>
  <c r="C66" i="42"/>
  <c r="C64" i="42"/>
  <c r="C62" i="42"/>
  <c r="C60" i="42"/>
  <c r="C58" i="42"/>
  <c r="A78" i="42"/>
  <c r="A76" i="42"/>
  <c r="A74" i="42"/>
  <c r="B72" i="42"/>
  <c r="B70" i="42"/>
  <c r="B68" i="42"/>
  <c r="B66" i="42"/>
  <c r="B64" i="42"/>
  <c r="B62" i="42"/>
  <c r="B60" i="42"/>
  <c r="B58" i="42"/>
  <c r="D78" i="42"/>
  <c r="D76" i="42"/>
  <c r="D74" i="42"/>
  <c r="A72" i="42"/>
  <c r="A70" i="42"/>
  <c r="A68" i="42"/>
  <c r="A66" i="42"/>
  <c r="A64" i="42"/>
  <c r="A62" i="42"/>
  <c r="A60" i="42"/>
  <c r="A58" i="42"/>
  <c r="G77" i="42"/>
  <c r="G75" i="42"/>
  <c r="G73" i="42"/>
  <c r="H71" i="42"/>
  <c r="H69" i="42"/>
  <c r="H67" i="42"/>
  <c r="H65" i="42"/>
  <c r="H63" i="42"/>
  <c r="H61" i="42"/>
  <c r="H59" i="42"/>
  <c r="H57" i="42"/>
  <c r="F77" i="42"/>
  <c r="F75" i="42"/>
  <c r="F73" i="42"/>
  <c r="G71" i="42"/>
  <c r="G69" i="42"/>
  <c r="G67" i="42"/>
  <c r="G65" i="42"/>
  <c r="G63" i="42"/>
  <c r="G61" i="42"/>
  <c r="G59" i="42"/>
  <c r="G57" i="42"/>
  <c r="E77" i="42"/>
  <c r="E75" i="42"/>
  <c r="E73" i="42"/>
  <c r="F71" i="42"/>
  <c r="F69" i="42"/>
  <c r="F67" i="42"/>
  <c r="F65" i="42"/>
  <c r="F63" i="42"/>
  <c r="F61" i="42"/>
  <c r="F59" i="42"/>
  <c r="F57" i="42"/>
  <c r="H77" i="42"/>
  <c r="H75" i="42"/>
  <c r="H73" i="42"/>
  <c r="E71" i="42"/>
  <c r="E69" i="42"/>
  <c r="E67" i="42"/>
  <c r="E65" i="42"/>
  <c r="E63" i="42"/>
  <c r="E61" i="42"/>
  <c r="E59" i="42"/>
  <c r="E57" i="42"/>
  <c r="C77" i="42"/>
  <c r="C75" i="42"/>
  <c r="C73" i="42"/>
  <c r="D71" i="42"/>
  <c r="D69" i="42"/>
  <c r="D67" i="42"/>
  <c r="D65" i="42"/>
  <c r="D63" i="42"/>
  <c r="D61" i="42"/>
  <c r="D59" i="42"/>
  <c r="D57" i="42"/>
  <c r="B77" i="42"/>
  <c r="B75" i="42"/>
  <c r="B73" i="42"/>
  <c r="C71" i="42"/>
  <c r="C69" i="42"/>
  <c r="C67" i="42"/>
  <c r="C65" i="42"/>
  <c r="C63" i="42"/>
  <c r="C61" i="42"/>
  <c r="C59" i="42"/>
  <c r="C57" i="42"/>
  <c r="A77" i="42"/>
  <c r="A75" i="42"/>
  <c r="A73" i="42"/>
  <c r="B71" i="42"/>
  <c r="B69" i="42"/>
  <c r="B67" i="42"/>
  <c r="B65" i="42"/>
  <c r="B63" i="42"/>
  <c r="B61" i="42"/>
  <c r="B59" i="42"/>
  <c r="B57" i="42"/>
  <c r="D77" i="42"/>
  <c r="D75" i="42"/>
  <c r="D73" i="42"/>
  <c r="A71" i="42"/>
  <c r="A69" i="42"/>
  <c r="A67" i="42"/>
  <c r="A65" i="42"/>
  <c r="A63" i="42"/>
  <c r="A61" i="42"/>
  <c r="A59" i="42"/>
  <c r="D17" i="1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F2" i="73" l="1"/>
  <c r="A54" i="73"/>
  <c r="D6" i="73"/>
  <c r="U8" i="43"/>
  <c r="C21" i="15" l="1"/>
  <c r="D21" i="15"/>
  <c r="C38" i="15"/>
  <c r="C55" i="15" s="1"/>
  <c r="D38" i="15"/>
  <c r="D40" i="15" l="1"/>
  <c r="D55" i="15" s="1"/>
  <c r="B11" i="61" l="1"/>
  <c r="A31" i="58"/>
  <c r="I13" i="58"/>
  <c r="C8" i="58"/>
  <c r="A31" i="57"/>
  <c r="L13" i="57"/>
  <c r="K13" i="57"/>
  <c r="I7" i="57"/>
  <c r="D7" i="56"/>
  <c r="C7" i="56"/>
  <c r="D5" i="56"/>
  <c r="I20" i="55" a="1"/>
  <c r="I20" i="55" s="1"/>
  <c r="I21" i="55" a="1"/>
  <c r="I21" i="55" s="1"/>
  <c r="G21" i="55" a="1"/>
  <c r="G21" i="55" s="1"/>
  <c r="G23" i="55" s="1"/>
  <c r="F14" i="55"/>
  <c r="F15" i="55" s="1"/>
  <c r="I10" i="55" a="1"/>
  <c r="I10" i="55" s="1"/>
  <c r="G10" i="55" a="1"/>
  <c r="G10" i="55" s="1"/>
  <c r="I9" i="55" a="1"/>
  <c r="I9" i="55" s="1"/>
  <c r="G9" i="55" a="1"/>
  <c r="G9" i="55" s="1"/>
  <c r="L13" i="54"/>
  <c r="I13" i="14"/>
  <c r="H13" i="14"/>
  <c r="M17" i="39"/>
  <c r="H17" i="39"/>
  <c r="C11" i="39"/>
  <c r="M7" i="39"/>
  <c r="L7" i="39"/>
  <c r="L6" i="39"/>
  <c r="H4" i="39"/>
  <c r="L1" i="39"/>
  <c r="I14" i="47"/>
  <c r="H14" i="47"/>
  <c r="E8" i="47"/>
  <c r="U16" i="34" l="1"/>
  <c r="U12" i="34"/>
  <c r="U14" i="34"/>
  <c r="U13" i="34"/>
  <c r="U15" i="34"/>
  <c r="A12" i="56"/>
  <c r="A11" i="56"/>
  <c r="G182" i="55"/>
  <c r="I182" i="55"/>
  <c r="I23" i="55"/>
  <c r="U11" i="34"/>
  <c r="U10" i="34"/>
  <c r="A10" i="56"/>
  <c r="H33" i="56"/>
  <c r="F33" i="56"/>
  <c r="F32" i="56"/>
  <c r="B25" i="57"/>
  <c r="F25" i="57"/>
  <c r="C26" i="57"/>
  <c r="G26" i="57"/>
  <c r="D27" i="57"/>
  <c r="I27" i="57"/>
  <c r="E28" i="57"/>
  <c r="B29" i="57"/>
  <c r="F29" i="57"/>
  <c r="C30" i="57"/>
  <c r="G30" i="57"/>
  <c r="C25" i="57"/>
  <c r="G25" i="57"/>
  <c r="D26" i="57"/>
  <c r="I26" i="57"/>
  <c r="E27" i="57"/>
  <c r="B28" i="57"/>
  <c r="F28" i="57"/>
  <c r="C29" i="57"/>
  <c r="G29" i="57"/>
  <c r="D30" i="57"/>
  <c r="I30" i="57"/>
  <c r="D25" i="57"/>
  <c r="I25" i="57"/>
  <c r="E26" i="57"/>
  <c r="B27" i="57"/>
  <c r="F27" i="57"/>
  <c r="C28" i="57"/>
  <c r="G28" i="57"/>
  <c r="D29" i="57"/>
  <c r="I29" i="57"/>
  <c r="E30" i="57"/>
  <c r="E25" i="57"/>
  <c r="B26" i="57"/>
  <c r="F26" i="57"/>
  <c r="C27" i="57"/>
  <c r="G27" i="57"/>
  <c r="D28" i="57"/>
  <c r="I28" i="57"/>
  <c r="E29" i="57"/>
  <c r="B30" i="57"/>
  <c r="F30" i="57"/>
  <c r="H30" i="57" s="1"/>
  <c r="L14" i="54"/>
  <c r="L16" i="54"/>
  <c r="L17" i="54" s="1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E25" i="58"/>
  <c r="E26" i="58"/>
  <c r="E14" i="58"/>
  <c r="E27" i="58"/>
  <c r="E28" i="58"/>
  <c r="I28" i="58" s="1"/>
  <c r="E29" i="58"/>
  <c r="I29" i="58" s="1"/>
  <c r="E30" i="58"/>
  <c r="I30" i="58" s="1"/>
  <c r="E18" i="58"/>
  <c r="A10" i="34"/>
  <c r="B21" i="14"/>
  <c r="D21" i="14"/>
  <c r="F21" i="14"/>
  <c r="A21" i="14"/>
  <c r="C21" i="14"/>
  <c r="E21" i="14"/>
  <c r="G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2" i="34"/>
  <c r="K11" i="34"/>
  <c r="K13" i="34"/>
  <c r="A9" i="55"/>
  <c r="A10" i="55"/>
  <c r="E17" i="57"/>
  <c r="E21" i="57"/>
  <c r="E18" i="57"/>
  <c r="E22" i="57"/>
  <c r="E19" i="57"/>
  <c r="E23" i="57"/>
  <c r="E14" i="57"/>
  <c r="E20" i="57"/>
  <c r="E24" i="57"/>
  <c r="E15" i="57"/>
  <c r="E16" i="57"/>
  <c r="K20" i="55"/>
  <c r="G20" i="14"/>
  <c r="C20" i="14"/>
  <c r="E19" i="14"/>
  <c r="G18" i="14"/>
  <c r="C18" i="14"/>
  <c r="E17" i="14"/>
  <c r="G16" i="14"/>
  <c r="C16" i="14"/>
  <c r="E15" i="14"/>
  <c r="G14" i="14"/>
  <c r="C14" i="14"/>
  <c r="B20" i="14"/>
  <c r="C19" i="14"/>
  <c r="D18" i="14"/>
  <c r="D17" i="14"/>
  <c r="E16" i="14"/>
  <c r="F15" i="14"/>
  <c r="F14" i="14"/>
  <c r="D14" i="14"/>
  <c r="D15" i="14"/>
  <c r="F16" i="14"/>
  <c r="G17" i="14"/>
  <c r="B19" i="14"/>
  <c r="D20" i="14"/>
  <c r="E14" i="14"/>
  <c r="G15" i="14"/>
  <c r="B17" i="14"/>
  <c r="B18" i="14"/>
  <c r="D19" i="14"/>
  <c r="E20" i="14"/>
  <c r="B15" i="14"/>
  <c r="B16" i="14"/>
  <c r="C17" i="14"/>
  <c r="E18" i="14"/>
  <c r="F19" i="14"/>
  <c r="F20" i="14"/>
  <c r="B14" i="14"/>
  <c r="C15" i="14"/>
  <c r="D16" i="14"/>
  <c r="F17" i="14"/>
  <c r="F18" i="14"/>
  <c r="G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4" i="55"/>
  <c r="K10" i="55"/>
  <c r="G14" i="55"/>
  <c r="K9" i="55"/>
  <c r="K21" i="55"/>
  <c r="I13" i="61"/>
  <c r="I14" i="61" s="1"/>
  <c r="C13" i="61"/>
  <c r="C14" i="61" s="1"/>
  <c r="H26" i="57" l="1"/>
  <c r="J3" i="57"/>
  <c r="J35" i="57"/>
  <c r="K1400" i="34"/>
  <c r="F41" i="70" s="1" a="1"/>
  <c r="F41" i="70" s="1"/>
  <c r="I36" i="58"/>
  <c r="F3" i="68"/>
  <c r="A30" i="47"/>
  <c r="K182" i="55"/>
  <c r="K23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G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35" i="58"/>
  <c r="F2" i="58"/>
  <c r="B34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A30" i="56"/>
  <c r="B17" i="56"/>
  <c r="D17" i="56" s="1"/>
  <c r="M8" i="39"/>
  <c r="J29" i="57"/>
  <c r="J28" i="57"/>
  <c r="J25" i="57"/>
  <c r="J26" i="57"/>
  <c r="J30" i="57"/>
  <c r="H28" i="57"/>
  <c r="H27" i="57"/>
  <c r="J27" i="57"/>
  <c r="H25" i="57"/>
  <c r="H29" i="57"/>
  <c r="B24" i="56"/>
  <c r="F24" i="56"/>
  <c r="M9" i="39"/>
  <c r="G51" i="14"/>
  <c r="F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I14" i="71"/>
  <c r="H14" i="71"/>
  <c r="H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A24" i="58" s="1"/>
  <c r="A25" i="58" s="1"/>
  <c r="A26" i="58" s="1"/>
  <c r="A27" i="58" s="1"/>
  <c r="F24" i="58"/>
  <c r="I14" i="14"/>
  <c r="G32" i="58"/>
  <c r="A29" i="58"/>
  <c r="A18" i="47"/>
  <c r="C16" i="47"/>
  <c r="A15" i="47"/>
  <c r="E6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I24" i="58" s="1"/>
  <c r="I25" i="58" s="1"/>
  <c r="I26" i="58" s="1"/>
  <c r="I27" i="58" s="1"/>
  <c r="F20" i="58"/>
  <c r="F28" i="58"/>
  <c r="F14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G32" i="57"/>
  <c r="J24" i="57"/>
  <c r="I32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H17" i="57"/>
  <c r="J23" i="57"/>
  <c r="H24" i="57"/>
  <c r="J20" i="57"/>
  <c r="J16" i="57"/>
  <c r="J21" i="57"/>
  <c r="K14" i="55"/>
  <c r="J17" i="57"/>
  <c r="H23" i="57"/>
  <c r="H16" i="57"/>
  <c r="H18" i="57"/>
  <c r="B13" i="61"/>
  <c r="H144" i="55" l="1" a="1"/>
  <c r="H144" i="55" s="1"/>
  <c r="H148" i="55" a="1"/>
  <c r="H148" i="55" s="1"/>
  <c r="J144" i="55" a="1"/>
  <c r="J144" i="55" s="1"/>
  <c r="J148" i="55" a="1"/>
  <c r="J148" i="55" s="1"/>
  <c r="J179" i="55" a="1"/>
  <c r="J179" i="55" s="1"/>
  <c r="J174" i="55" a="1"/>
  <c r="J174" i="55" s="1"/>
  <c r="J175" i="55" a="1"/>
  <c r="J175" i="55" s="1"/>
  <c r="J180" i="55" a="1"/>
  <c r="J180" i="55" s="1"/>
  <c r="H175" i="55" a="1"/>
  <c r="H175" i="55" s="1"/>
  <c r="H177" i="55" a="1"/>
  <c r="H177" i="55" s="1"/>
  <c r="H178" i="55" a="1"/>
  <c r="H178" i="55" s="1"/>
  <c r="H176" i="55" a="1"/>
  <c r="H176" i="55" s="1"/>
  <c r="H180" i="55" a="1"/>
  <c r="H180" i="55" s="1"/>
  <c r="H179" i="55" a="1"/>
  <c r="H179" i="55" s="1"/>
  <c r="L179" i="55" s="1"/>
  <c r="H174" i="55" a="1"/>
  <c r="H174" i="55" s="1"/>
  <c r="J176" i="55" a="1"/>
  <c r="J176" i="55" s="1"/>
  <c r="J177" i="55" a="1"/>
  <c r="J177" i="55" s="1"/>
  <c r="J178" i="55" a="1"/>
  <c r="J178" i="55" s="1"/>
  <c r="E14" i="12" a="1"/>
  <c r="E14" i="12" s="1"/>
  <c r="F14" i="12" a="1"/>
  <c r="F14" i="12" s="1"/>
  <c r="E41" i="70" a="1"/>
  <c r="E41" i="70" s="1"/>
  <c r="G41" i="70" s="1"/>
  <c r="L144" i="55"/>
  <c r="J51" i="55" a="1"/>
  <c r="J51" i="55" s="1"/>
  <c r="J72" i="55" a="1"/>
  <c r="J72" i="55" s="1"/>
  <c r="H56" i="55" a="1"/>
  <c r="H56" i="55" s="1"/>
  <c r="H65" i="55" a="1"/>
  <c r="H65" i="55" s="1"/>
  <c r="H147" i="55" a="1"/>
  <c r="H147" i="55" s="1"/>
  <c r="H157" i="55" a="1"/>
  <c r="H157" i="55" s="1"/>
  <c r="J172" i="55" a="1"/>
  <c r="J172" i="55" s="1"/>
  <c r="J75" i="55" a="1"/>
  <c r="J75" i="55" s="1"/>
  <c r="H79" i="55" a="1"/>
  <c r="H79" i="55" s="1"/>
  <c r="H97" i="55" a="1"/>
  <c r="H97" i="55" s="1"/>
  <c r="H75" i="55" a="1"/>
  <c r="H75" i="55" s="1"/>
  <c r="J81" i="55" a="1"/>
  <c r="J81" i="55" s="1"/>
  <c r="H113" i="55" a="1"/>
  <c r="H113" i="55" s="1"/>
  <c r="H66" i="55" a="1"/>
  <c r="H66" i="55" s="1"/>
  <c r="J103" i="55" a="1"/>
  <c r="J103" i="55" s="1"/>
  <c r="H133" i="55" a="1"/>
  <c r="H133" i="55" s="1"/>
  <c r="H49" i="55" a="1"/>
  <c r="H49" i="55" s="1"/>
  <c r="H151" i="55" a="1"/>
  <c r="H151" i="55" s="1"/>
  <c r="J128" i="55" a="1"/>
  <c r="J128" i="55" s="1"/>
  <c r="J152" i="55" a="1"/>
  <c r="J152" i="55" s="1"/>
  <c r="J33" i="55" a="1"/>
  <c r="J33" i="55" s="1"/>
  <c r="H120" i="55" a="1"/>
  <c r="H120" i="55" s="1"/>
  <c r="H86" i="55" a="1"/>
  <c r="H86" i="55" s="1"/>
  <c r="H31" i="55" a="1"/>
  <c r="H31" i="55" s="1"/>
  <c r="H64" i="55" a="1"/>
  <c r="H64" i="55" s="1"/>
  <c r="J163" i="55" a="1"/>
  <c r="J163" i="55" s="1"/>
  <c r="J25" i="55" a="1"/>
  <c r="J25" i="55" s="1"/>
  <c r="J61" i="55" a="1"/>
  <c r="J61" i="55" s="1"/>
  <c r="H163" i="55" a="1"/>
  <c r="H163" i="55" s="1"/>
  <c r="H25" i="55" a="1"/>
  <c r="H25" i="55" s="1"/>
  <c r="H173" i="55" a="1"/>
  <c r="H173" i="55" s="1"/>
  <c r="H63" i="55" a="1"/>
  <c r="H63" i="55" s="1"/>
  <c r="J112" i="55" a="1"/>
  <c r="J112" i="55" s="1"/>
  <c r="H145" i="55" a="1"/>
  <c r="H145" i="55" s="1"/>
  <c r="J131" i="55" a="1"/>
  <c r="J131" i="55" s="1"/>
  <c r="J89" i="55" a="1"/>
  <c r="J89" i="55" s="1"/>
  <c r="J56" i="55" a="1"/>
  <c r="J56" i="55" s="1"/>
  <c r="J77" i="55" a="1"/>
  <c r="J77" i="55" s="1"/>
  <c r="J65" i="55" a="1"/>
  <c r="J65" i="55" s="1"/>
  <c r="H54" i="55" a="1"/>
  <c r="H54" i="55" s="1"/>
  <c r="H34" i="55" a="1"/>
  <c r="H34" i="55" s="1"/>
  <c r="H87" i="55" a="1"/>
  <c r="H87" i="55" s="1"/>
  <c r="H124" i="55" a="1"/>
  <c r="H124" i="55" s="1"/>
  <c r="J156" i="55" a="1"/>
  <c r="J156" i="55" s="1"/>
  <c r="J85" i="55" a="1"/>
  <c r="J85" i="55" s="1"/>
  <c r="J38" i="55" a="1"/>
  <c r="J38" i="55" s="1"/>
  <c r="J88" i="55" a="1"/>
  <c r="J88" i="55" s="1"/>
  <c r="H85" i="55" a="1"/>
  <c r="H85" i="55" s="1"/>
  <c r="J161" i="55" a="1"/>
  <c r="J161" i="55" s="1"/>
  <c r="H27" i="55" a="1"/>
  <c r="H27" i="55" s="1"/>
  <c r="J151" i="55" a="1"/>
  <c r="J151" i="55" s="1"/>
  <c r="H78" i="55" a="1"/>
  <c r="H78" i="55" s="1"/>
  <c r="J132" i="55" a="1"/>
  <c r="J132" i="55" s="1"/>
  <c r="J91" i="55" a="1"/>
  <c r="J91" i="55" s="1"/>
  <c r="J71" i="55" a="1"/>
  <c r="J71" i="55" s="1"/>
  <c r="J122" i="55" a="1"/>
  <c r="J122" i="55" s="1"/>
  <c r="J54" i="55" a="1"/>
  <c r="J54" i="55" s="1"/>
  <c r="J32" i="55" a="1"/>
  <c r="J32" i="55" s="1"/>
  <c r="J138" i="55" a="1"/>
  <c r="J138" i="55" s="1"/>
  <c r="J55" i="55" a="1"/>
  <c r="J55" i="55" s="1"/>
  <c r="J74" i="55" a="1"/>
  <c r="J74" i="55" s="1"/>
  <c r="J105" i="55" a="1"/>
  <c r="J105" i="55" s="1"/>
  <c r="H102" i="55" a="1"/>
  <c r="H102" i="55" s="1"/>
  <c r="H71" i="55" a="1"/>
  <c r="H71" i="55" s="1"/>
  <c r="H142" i="55" a="1"/>
  <c r="H142" i="55" s="1"/>
  <c r="H139" i="55" a="1"/>
  <c r="H139" i="55" s="1"/>
  <c r="J165" i="55" a="1"/>
  <c r="J165" i="55" s="1"/>
  <c r="H121" i="55" a="1"/>
  <c r="H121" i="55" s="1"/>
  <c r="H165" i="55" a="1"/>
  <c r="H165" i="55" s="1"/>
  <c r="H171" i="55" a="1"/>
  <c r="H171" i="55" s="1"/>
  <c r="H134" i="55" a="1"/>
  <c r="H134" i="55" s="1"/>
  <c r="J59" i="55" a="1"/>
  <c r="J59" i="55" s="1"/>
  <c r="J62" i="55" a="1"/>
  <c r="J62" i="55" s="1"/>
  <c r="H96" i="55" a="1"/>
  <c r="H96" i="55" s="1"/>
  <c r="H155" i="55" a="1"/>
  <c r="H155" i="55" s="1"/>
  <c r="J113" i="55" a="1"/>
  <c r="J113" i="55" s="1"/>
  <c r="J146" i="55" a="1"/>
  <c r="J146" i="55" s="1"/>
  <c r="J34" i="55" a="1"/>
  <c r="J34" i="55" s="1"/>
  <c r="J87" i="55" a="1"/>
  <c r="J87" i="55" s="1"/>
  <c r="J124" i="55" a="1"/>
  <c r="J124" i="55" s="1"/>
  <c r="H53" i="55" a="1"/>
  <c r="H53" i="55" s="1"/>
  <c r="H70" i="55" a="1"/>
  <c r="H70" i="55" s="1"/>
  <c r="H109" i="55" a="1"/>
  <c r="H109" i="55" s="1"/>
  <c r="H138" i="55" a="1"/>
  <c r="H138" i="55" s="1"/>
  <c r="J80" i="55" a="1"/>
  <c r="J80" i="55" s="1"/>
  <c r="J167" i="55" a="1"/>
  <c r="J167" i="55" s="1"/>
  <c r="J123" i="55" a="1"/>
  <c r="J123" i="55" s="1"/>
  <c r="H135" i="55" a="1"/>
  <c r="H135" i="55" s="1"/>
  <c r="H167" i="55" a="1"/>
  <c r="H167" i="55" s="1"/>
  <c r="J95" i="55" a="1"/>
  <c r="J95" i="55" s="1"/>
  <c r="H88" i="55" a="1"/>
  <c r="H88" i="55" s="1"/>
  <c r="J60" i="55" a="1"/>
  <c r="J60" i="55" s="1"/>
  <c r="H110" i="55" a="1"/>
  <c r="H110" i="55" s="1"/>
  <c r="H143" i="55" a="1"/>
  <c r="H143" i="55" s="1"/>
  <c r="J26" i="55" a="1"/>
  <c r="J26" i="55" s="1"/>
  <c r="J84" i="55" a="1"/>
  <c r="J84" i="55" s="1"/>
  <c r="J127" i="55" a="1"/>
  <c r="J127" i="55" s="1"/>
  <c r="J137" i="55" a="1"/>
  <c r="J137" i="55" s="1"/>
  <c r="J39" i="55" a="1"/>
  <c r="J39" i="55" s="1"/>
  <c r="H141" i="55" a="1"/>
  <c r="H141" i="55" s="1"/>
  <c r="H74" i="55" a="1"/>
  <c r="H74" i="55" s="1"/>
  <c r="H105" i="55" a="1"/>
  <c r="H105" i="55" s="1"/>
  <c r="J168" i="55" a="1"/>
  <c r="J168" i="55" s="1"/>
  <c r="J121" i="55" a="1"/>
  <c r="J121" i="55" s="1"/>
  <c r="J134" i="55" a="1"/>
  <c r="J134" i="55" s="1"/>
  <c r="J98" i="55" a="1"/>
  <c r="J98" i="55" s="1"/>
  <c r="H168" i="55" a="1"/>
  <c r="H168" i="55" s="1"/>
  <c r="J36" i="55" a="1"/>
  <c r="J36" i="55" s="1"/>
  <c r="J69" i="55" a="1"/>
  <c r="J69" i="55" s="1"/>
  <c r="J99" i="55" a="1"/>
  <c r="J99" i="55" s="1"/>
  <c r="J125" i="55" a="1"/>
  <c r="J125" i="55" s="1"/>
  <c r="H73" i="55" a="1"/>
  <c r="H73" i="55" s="1"/>
  <c r="H159" i="55" a="1"/>
  <c r="H159" i="55" s="1"/>
  <c r="J97" i="55" a="1"/>
  <c r="J97" i="55" s="1"/>
  <c r="J83" i="55" a="1"/>
  <c r="J83" i="55" s="1"/>
  <c r="J130" i="55" a="1"/>
  <c r="J130" i="55" s="1"/>
  <c r="J120" i="55" a="1"/>
  <c r="J120" i="55" s="1"/>
  <c r="J64" i="55" a="1"/>
  <c r="J64" i="55" s="1"/>
  <c r="H107" i="55" a="1"/>
  <c r="H107" i="55" s="1"/>
  <c r="H117" i="55" a="1"/>
  <c r="H117" i="55" s="1"/>
  <c r="J57" i="55" a="1"/>
  <c r="J57" i="55" s="1"/>
  <c r="J44" i="55" a="1"/>
  <c r="J44" i="55" s="1"/>
  <c r="H116" i="55" a="1"/>
  <c r="H116" i="55" s="1"/>
  <c r="H57" i="55" a="1"/>
  <c r="H57" i="55" s="1"/>
  <c r="H44" i="55" a="1"/>
  <c r="H44" i="55" s="1"/>
  <c r="J135" i="55" a="1"/>
  <c r="J135" i="55" s="1"/>
  <c r="H146" i="55" a="1"/>
  <c r="H146" i="55" s="1"/>
  <c r="L146" i="55" s="1"/>
  <c r="J92" i="55" a="1"/>
  <c r="J92" i="55" s="1"/>
  <c r="H164" i="55" a="1"/>
  <c r="H164" i="55" s="1"/>
  <c r="H76" i="55" a="1"/>
  <c r="H76" i="55" s="1"/>
  <c r="J145" i="55" a="1"/>
  <c r="J145" i="55" s="1"/>
  <c r="J154" i="55" a="1"/>
  <c r="J154" i="55" s="1"/>
  <c r="J160" i="55" a="1"/>
  <c r="J160" i="55" s="1"/>
  <c r="H40" i="55" a="1"/>
  <c r="H40" i="55" s="1"/>
  <c r="J52" i="55" a="1"/>
  <c r="J52" i="55" s="1"/>
  <c r="H29" i="55" a="1"/>
  <c r="H29" i="55" s="1"/>
  <c r="J147" i="55" a="1"/>
  <c r="J147" i="55" s="1"/>
  <c r="J111" i="55" a="1"/>
  <c r="J111" i="55" s="1"/>
  <c r="J35" i="55" a="1"/>
  <c r="J35" i="55" s="1"/>
  <c r="J108" i="55" a="1"/>
  <c r="J108" i="55" s="1"/>
  <c r="H95" i="55" a="1"/>
  <c r="H95" i="55" s="1"/>
  <c r="L95" i="55" s="1"/>
  <c r="H55" i="55" a="1"/>
  <c r="H55" i="55" s="1"/>
  <c r="L55" i="55" s="1"/>
  <c r="H33" i="55" a="1"/>
  <c r="H33" i="55" s="1"/>
  <c r="L33" i="55" s="1"/>
  <c r="J118" i="55" a="1"/>
  <c r="J118" i="55" s="1"/>
  <c r="H118" i="55" a="1"/>
  <c r="H118" i="55" s="1"/>
  <c r="H38" i="55" a="1"/>
  <c r="H38" i="55" s="1"/>
  <c r="L38" i="55" s="1"/>
  <c r="H82" i="55" a="1"/>
  <c r="H82" i="55" s="1"/>
  <c r="J90" i="55" a="1"/>
  <c r="J90" i="55" s="1"/>
  <c r="J107" i="55" a="1"/>
  <c r="J107" i="55" s="1"/>
  <c r="J117" i="55" a="1"/>
  <c r="J117" i="55" s="1"/>
  <c r="H36" i="55" a="1"/>
  <c r="H36" i="55" s="1"/>
  <c r="L36" i="55" s="1"/>
  <c r="H77" i="55" a="1"/>
  <c r="H77" i="55" s="1"/>
  <c r="L77" i="55" s="1"/>
  <c r="H32" i="55" a="1"/>
  <c r="H32" i="55" s="1"/>
  <c r="L32" i="55" s="1"/>
  <c r="H136" i="55" a="1"/>
  <c r="H136" i="55" s="1"/>
  <c r="J93" i="55" a="1"/>
  <c r="J93" i="55" s="1"/>
  <c r="J45" i="55" a="1"/>
  <c r="J45" i="55" s="1"/>
  <c r="J27" i="55" a="1"/>
  <c r="J27" i="55" s="1"/>
  <c r="H93" i="55" a="1"/>
  <c r="H93" i="55" s="1"/>
  <c r="H45" i="55" a="1"/>
  <c r="H45" i="55" s="1"/>
  <c r="H89" i="55" a="1"/>
  <c r="H89" i="55" s="1"/>
  <c r="L89" i="55" s="1"/>
  <c r="J166" i="55" a="1"/>
  <c r="J166" i="55" s="1"/>
  <c r="H58" i="55" a="1"/>
  <c r="H58" i="55" s="1"/>
  <c r="H103" i="55" a="1"/>
  <c r="H103" i="55" s="1"/>
  <c r="L103" i="55" s="1"/>
  <c r="J104" i="55" a="1"/>
  <c r="J104" i="55" s="1"/>
  <c r="J101" i="55" a="1"/>
  <c r="J101" i="55" s="1"/>
  <c r="H35" i="55" a="1"/>
  <c r="H35" i="55" s="1"/>
  <c r="H108" i="55" a="1"/>
  <c r="H108" i="55" s="1"/>
  <c r="J43" i="55" a="1"/>
  <c r="J43" i="55" s="1"/>
  <c r="H98" i="55" a="1"/>
  <c r="H98" i="55" s="1"/>
  <c r="H169" i="55" a="1"/>
  <c r="H169" i="55" s="1"/>
  <c r="H43" i="55" a="1"/>
  <c r="H43" i="55" s="1"/>
  <c r="H59" i="55" a="1"/>
  <c r="H59" i="55" s="1"/>
  <c r="L59" i="55" s="1"/>
  <c r="J164" i="55" a="1"/>
  <c r="J164" i="55" s="1"/>
  <c r="H26" i="55" a="1"/>
  <c r="H26" i="55" s="1"/>
  <c r="L26" i="55" s="1"/>
  <c r="H153" i="55" a="1"/>
  <c r="H153" i="55" s="1"/>
  <c r="H30" i="55" a="1"/>
  <c r="H30" i="55" s="1"/>
  <c r="H112" i="55" a="1"/>
  <c r="H112" i="55" s="1"/>
  <c r="L112" i="55" s="1"/>
  <c r="J133" i="55" a="1"/>
  <c r="J133" i="55" s="1"/>
  <c r="J49" i="55" a="1"/>
  <c r="J49" i="55" s="1"/>
  <c r="H52" i="55" a="1"/>
  <c r="H52" i="55" s="1"/>
  <c r="J102" i="55" a="1"/>
  <c r="J102" i="55" s="1"/>
  <c r="J109" i="55" a="1"/>
  <c r="J109" i="55" s="1"/>
  <c r="J29" i="55" a="1"/>
  <c r="J29" i="55" s="1"/>
  <c r="H100" i="55" a="1"/>
  <c r="H100" i="55" s="1"/>
  <c r="J42" i="55" a="1"/>
  <c r="J42" i="55" s="1"/>
  <c r="J129" i="55" a="1"/>
  <c r="J129" i="55" s="1"/>
  <c r="H170" i="55" a="1"/>
  <c r="H170" i="55" s="1"/>
  <c r="H42" i="55" a="1"/>
  <c r="H42" i="55" s="1"/>
  <c r="H129" i="55" a="1"/>
  <c r="H129" i="55" s="1"/>
  <c r="J58" i="55" a="1"/>
  <c r="J58" i="55" s="1"/>
  <c r="H81" i="55" a="1"/>
  <c r="H81" i="55" s="1"/>
  <c r="L81" i="55" s="1"/>
  <c r="H90" i="55" a="1"/>
  <c r="H90" i="55" s="1"/>
  <c r="L90" i="55" s="1"/>
  <c r="J169" i="55" a="1"/>
  <c r="J169" i="55" s="1"/>
  <c r="J73" i="55" a="1"/>
  <c r="J73" i="55" s="1"/>
  <c r="J159" i="55" a="1"/>
  <c r="J159" i="55" s="1"/>
  <c r="J173" i="55" a="1"/>
  <c r="J173" i="55" s="1"/>
  <c r="H156" i="55" a="1"/>
  <c r="H156" i="55" s="1"/>
  <c r="L156" i="55" s="1"/>
  <c r="J158" i="55" a="1"/>
  <c r="J158" i="55" s="1"/>
  <c r="J136" i="55" a="1"/>
  <c r="J136" i="55" s="1"/>
  <c r="J53" i="55" a="1"/>
  <c r="J53" i="55" s="1"/>
  <c r="J162" i="55" a="1"/>
  <c r="J162" i="55" s="1"/>
  <c r="J68" i="55" a="1"/>
  <c r="J68" i="55" s="1"/>
  <c r="J149" i="55" a="1"/>
  <c r="J149" i="55" s="1"/>
  <c r="H80" i="55" a="1"/>
  <c r="H80" i="55" s="1"/>
  <c r="L80" i="55" s="1"/>
  <c r="H137" i="55" a="1"/>
  <c r="H137" i="55" s="1"/>
  <c r="L137" i="55" s="1"/>
  <c r="H51" i="55" a="1"/>
  <c r="H51" i="55" s="1"/>
  <c r="L51" i="55" s="1"/>
  <c r="H39" i="55" a="1"/>
  <c r="H39" i="55" s="1"/>
  <c r="L39" i="55" s="1"/>
  <c r="H122" i="55" a="1"/>
  <c r="H122" i="55" s="1"/>
  <c r="L122" i="55" s="1"/>
  <c r="J41" i="55" a="1"/>
  <c r="J41" i="55" s="1"/>
  <c r="H41" i="55" a="1"/>
  <c r="H41" i="55" s="1"/>
  <c r="H69" i="55" a="1"/>
  <c r="H69" i="55" s="1"/>
  <c r="L69" i="55" s="1"/>
  <c r="H128" i="55" a="1"/>
  <c r="H128" i="55" s="1"/>
  <c r="L128" i="55" s="1"/>
  <c r="H132" i="55" a="1"/>
  <c r="H132" i="55" s="1"/>
  <c r="L132" i="55" s="1"/>
  <c r="H127" i="55" a="1"/>
  <c r="H127" i="55" s="1"/>
  <c r="L127" i="55" s="1"/>
  <c r="J63" i="55" a="1"/>
  <c r="J63" i="55" s="1"/>
  <c r="L63" i="55" s="1"/>
  <c r="H62" i="55" a="1"/>
  <c r="H62" i="55" s="1"/>
  <c r="L62" i="55" s="1"/>
  <c r="J140" i="55" a="1"/>
  <c r="J140" i="55" s="1"/>
  <c r="J100" i="55" a="1"/>
  <c r="J100" i="55" s="1"/>
  <c r="J40" i="55" a="1"/>
  <c r="J40" i="55" s="1"/>
  <c r="H140" i="55" a="1"/>
  <c r="H140" i="55" s="1"/>
  <c r="H158" i="55" a="1"/>
  <c r="H158" i="55" s="1"/>
  <c r="H37" i="55" a="1"/>
  <c r="H37" i="55" s="1"/>
  <c r="H111" i="55" a="1"/>
  <c r="H111" i="55" s="1"/>
  <c r="J114" i="55" a="1"/>
  <c r="J114" i="55" s="1"/>
  <c r="J46" i="55" a="1"/>
  <c r="J46" i="55" s="1"/>
  <c r="H114" i="55" a="1"/>
  <c r="H114" i="55" s="1"/>
  <c r="H46" i="55" a="1"/>
  <c r="H46" i="55" s="1"/>
  <c r="J139" i="55" a="1"/>
  <c r="J139" i="55" s="1"/>
  <c r="H84" i="55" a="1"/>
  <c r="H84" i="55" s="1"/>
  <c r="L84" i="55" s="1"/>
  <c r="H152" i="55" a="1"/>
  <c r="H152" i="55" s="1"/>
  <c r="L152" i="55" s="1"/>
  <c r="H83" i="55" a="1"/>
  <c r="H83" i="55" s="1"/>
  <c r="L83" i="55" s="1"/>
  <c r="H130" i="55" a="1"/>
  <c r="H130" i="55" s="1"/>
  <c r="L130" i="55" s="1"/>
  <c r="H94" i="55" a="1"/>
  <c r="H94" i="55" s="1"/>
  <c r="H60" i="55" a="1"/>
  <c r="H60" i="55" s="1"/>
  <c r="L60" i="55" s="1"/>
  <c r="J96" i="55" a="1"/>
  <c r="J96" i="55" s="1"/>
  <c r="J155" i="55" a="1"/>
  <c r="J155" i="55" s="1"/>
  <c r="J171" i="55" a="1"/>
  <c r="J171" i="55" s="1"/>
  <c r="H162" i="55" a="1"/>
  <c r="H162" i="55" s="1"/>
  <c r="H68" i="55" a="1"/>
  <c r="H68" i="55" s="1"/>
  <c r="H149" i="55" a="1"/>
  <c r="H149" i="55" s="1"/>
  <c r="J47" i="55" a="1"/>
  <c r="J47" i="55" s="1"/>
  <c r="J126" i="55" a="1"/>
  <c r="J126" i="55" s="1"/>
  <c r="H47" i="55" a="1"/>
  <c r="H47" i="55" s="1"/>
  <c r="H126" i="55" a="1"/>
  <c r="H126" i="55" s="1"/>
  <c r="J67" i="55" a="1"/>
  <c r="J67" i="55" s="1"/>
  <c r="H150" i="55" a="1"/>
  <c r="H150" i="55" s="1"/>
  <c r="H166" i="55" a="1"/>
  <c r="H166" i="55" s="1"/>
  <c r="H91" i="55" a="1"/>
  <c r="H91" i="55" s="1"/>
  <c r="L91" i="55" s="1"/>
  <c r="J170" i="55" a="1"/>
  <c r="J170" i="55" s="1"/>
  <c r="H125" i="55" a="1"/>
  <c r="H125" i="55" s="1"/>
  <c r="L125" i="55" s="1"/>
  <c r="J110" i="55" a="1"/>
  <c r="J110" i="55" s="1"/>
  <c r="J143" i="55" a="1"/>
  <c r="J143" i="55" s="1"/>
  <c r="J119" i="55" a="1"/>
  <c r="J119" i="55" s="1"/>
  <c r="J142" i="55" a="1"/>
  <c r="J142" i="55" s="1"/>
  <c r="J37" i="55" a="1"/>
  <c r="J37" i="55" s="1"/>
  <c r="H154" i="55" a="1"/>
  <c r="H154" i="55" s="1"/>
  <c r="L154" i="55" s="1"/>
  <c r="H72" i="55" a="1"/>
  <c r="H72" i="55" s="1"/>
  <c r="L72" i="55" s="1"/>
  <c r="J115" i="55" a="1"/>
  <c r="J115" i="55" s="1"/>
  <c r="J66" i="55" a="1"/>
  <c r="J66" i="55" s="1"/>
  <c r="H115" i="55" a="1"/>
  <c r="H115" i="55" s="1"/>
  <c r="H172" i="55" a="1"/>
  <c r="H172" i="55" s="1"/>
  <c r="L172" i="55" s="1"/>
  <c r="H123" i="55" a="1"/>
  <c r="H123" i="55" s="1"/>
  <c r="L123" i="55" s="1"/>
  <c r="J94" i="55" a="1"/>
  <c r="J94" i="55" s="1"/>
  <c r="J76" i="55" a="1"/>
  <c r="J76" i="55" s="1"/>
  <c r="J116" i="55" a="1"/>
  <c r="J116" i="55" s="1"/>
  <c r="J153" i="55" a="1"/>
  <c r="J153" i="55" s="1"/>
  <c r="J30" i="55" a="1"/>
  <c r="J30" i="55" s="1"/>
  <c r="J48" i="55" a="1"/>
  <c r="J48" i="55" s="1"/>
  <c r="J70" i="55" a="1"/>
  <c r="J70" i="55" s="1"/>
  <c r="J157" i="55" a="1"/>
  <c r="J157" i="55" s="1"/>
  <c r="H67" i="55" a="1"/>
  <c r="H67" i="55" s="1"/>
  <c r="J141" i="55" a="1"/>
  <c r="J141" i="55" s="1"/>
  <c r="J86" i="55" a="1"/>
  <c r="J86" i="55" s="1"/>
  <c r="J31" i="55" a="1"/>
  <c r="J31" i="55" s="1"/>
  <c r="H161" i="55" a="1"/>
  <c r="H161" i="55" s="1"/>
  <c r="L161" i="55" s="1"/>
  <c r="H119" i="55" a="1"/>
  <c r="H119" i="55" s="1"/>
  <c r="H160" i="55" a="1"/>
  <c r="H160" i="55" s="1"/>
  <c r="L160" i="55" s="1"/>
  <c r="H48" i="55" a="1"/>
  <c r="H48" i="55" s="1"/>
  <c r="J106" i="55" a="1"/>
  <c r="J106" i="55" s="1"/>
  <c r="H131" i="55" a="1"/>
  <c r="H131" i="55" s="1"/>
  <c r="L131" i="55" s="1"/>
  <c r="J150" i="55" a="1"/>
  <c r="J150" i="55" s="1"/>
  <c r="H106" i="55" a="1"/>
  <c r="H106" i="55" s="1"/>
  <c r="J79" i="55" a="1"/>
  <c r="J79" i="55" s="1"/>
  <c r="H61" i="55" a="1"/>
  <c r="H61" i="55" s="1"/>
  <c r="L61" i="55" s="1"/>
  <c r="H92" i="55" a="1"/>
  <c r="H92" i="55" s="1"/>
  <c r="J82" i="55" a="1"/>
  <c r="J82" i="55" s="1"/>
  <c r="H104" i="55" a="1"/>
  <c r="H104" i="55" s="1"/>
  <c r="L104" i="55" s="1"/>
  <c r="H101" i="55" a="1"/>
  <c r="H101" i="55" s="1"/>
  <c r="L101" i="55" s="1"/>
  <c r="H99" i="55" a="1"/>
  <c r="H99" i="55" s="1"/>
  <c r="L99" i="55" s="1"/>
  <c r="J78" i="55" a="1"/>
  <c r="J78" i="55" s="1"/>
  <c r="G3" i="47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H15" i="71"/>
  <c r="I15" i="71"/>
  <c r="A17" i="56"/>
  <c r="A18" i="56" s="1"/>
  <c r="A19" i="56" s="1"/>
  <c r="A20" i="56" s="1"/>
  <c r="A21" i="56" s="1"/>
  <c r="A22" i="56" s="1"/>
  <c r="A23" i="56" s="1"/>
  <c r="A24" i="56" s="1"/>
  <c r="A25" i="56" s="1"/>
  <c r="H63" i="71"/>
  <c r="I63" i="71"/>
  <c r="H52" i="14"/>
  <c r="F12" i="43"/>
  <c r="H5" i="39"/>
  <c r="M16" i="39" s="1"/>
  <c r="G12" i="43"/>
  <c r="I15" i="14"/>
  <c r="B14" i="61"/>
  <c r="H15" i="14"/>
  <c r="I13" i="42"/>
  <c r="I52" i="14"/>
  <c r="I32" i="58"/>
  <c r="G62" i="47"/>
  <c r="B21" i="42"/>
  <c r="C12" i="43"/>
  <c r="B12" i="43"/>
  <c r="E12" i="43"/>
  <c r="D12" i="43"/>
  <c r="A16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54" i="42"/>
  <c r="A52" i="42"/>
  <c r="E1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4" i="42"/>
  <c r="F50" i="42"/>
  <c r="F55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A55" i="42"/>
  <c r="G54" i="42"/>
  <c r="B52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55" i="42"/>
  <c r="C51" i="42"/>
  <c r="C56" i="42"/>
  <c r="F53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32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174" i="55" l="1"/>
  <c r="L108" i="55"/>
  <c r="L180" i="55"/>
  <c r="L148" i="55"/>
  <c r="L175" i="55"/>
  <c r="H14" i="12"/>
  <c r="L176" i="55"/>
  <c r="L178" i="55"/>
  <c r="L177" i="55"/>
  <c r="G14" i="12"/>
  <c r="H41" i="70"/>
  <c r="L52" i="55"/>
  <c r="L67" i="55"/>
  <c r="L119" i="55"/>
  <c r="L25" i="55"/>
  <c r="L158" i="55"/>
  <c r="L48" i="55"/>
  <c r="L149" i="55"/>
  <c r="L71" i="55"/>
  <c r="L68" i="55"/>
  <c r="L121" i="55"/>
  <c r="L105" i="55"/>
  <c r="L41" i="55"/>
  <c r="L35" i="55"/>
  <c r="L88" i="55"/>
  <c r="L111" i="55"/>
  <c r="L85" i="55"/>
  <c r="L165" i="55"/>
  <c r="L47" i="55"/>
  <c r="L46" i="55"/>
  <c r="L42" i="55"/>
  <c r="L93" i="55"/>
  <c r="L58" i="55"/>
  <c r="L169" i="55"/>
  <c r="L168" i="55"/>
  <c r="L74" i="55"/>
  <c r="L138" i="55"/>
  <c r="L45" i="55"/>
  <c r="L118" i="55"/>
  <c r="L167" i="55"/>
  <c r="L98" i="55"/>
  <c r="L75" i="55"/>
  <c r="L163" i="55"/>
  <c r="L140" i="55"/>
  <c r="L106" i="55"/>
  <c r="L126" i="55"/>
  <c r="L129" i="55"/>
  <c r="L170" i="55"/>
  <c r="L30" i="55"/>
  <c r="L40" i="55"/>
  <c r="L57" i="55"/>
  <c r="L107" i="55"/>
  <c r="L143" i="55"/>
  <c r="L53" i="55"/>
  <c r="L171" i="55"/>
  <c r="L145" i="55"/>
  <c r="L113" i="55"/>
  <c r="L65" i="55"/>
  <c r="L150" i="55"/>
  <c r="L100" i="55"/>
  <c r="L153" i="55"/>
  <c r="L166" i="55"/>
  <c r="L76" i="55"/>
  <c r="L116" i="55"/>
  <c r="L141" i="55"/>
  <c r="L110" i="55"/>
  <c r="L109" i="55"/>
  <c r="L139" i="55"/>
  <c r="L102" i="55"/>
  <c r="L124" i="55"/>
  <c r="L54" i="55"/>
  <c r="L31" i="55"/>
  <c r="L151" i="55"/>
  <c r="L97" i="55"/>
  <c r="L56" i="55"/>
  <c r="L94" i="55"/>
  <c r="L136" i="55"/>
  <c r="L82" i="55"/>
  <c r="L29" i="55"/>
  <c r="L164" i="55"/>
  <c r="L159" i="55"/>
  <c r="L135" i="55"/>
  <c r="L70" i="55"/>
  <c r="L155" i="55"/>
  <c r="L142" i="55"/>
  <c r="L78" i="55"/>
  <c r="L27" i="55"/>
  <c r="L87" i="55"/>
  <c r="L173" i="55"/>
  <c r="L86" i="55"/>
  <c r="L49" i="55"/>
  <c r="L66" i="55"/>
  <c r="L79" i="55"/>
  <c r="L157" i="55"/>
  <c r="L115" i="55"/>
  <c r="L162" i="55"/>
  <c r="L114" i="55"/>
  <c r="L37" i="55"/>
  <c r="L43" i="55"/>
  <c r="L92" i="55"/>
  <c r="L44" i="55"/>
  <c r="L117" i="55"/>
  <c r="L73" i="55"/>
  <c r="L96" i="55"/>
  <c r="L134" i="55"/>
  <c r="L34" i="55"/>
  <c r="L64" i="55"/>
  <c r="L120" i="55"/>
  <c r="L133" i="55"/>
  <c r="L147" i="55"/>
  <c r="A6" i="42"/>
  <c r="A123" i="42"/>
  <c r="I124" i="42"/>
  <c r="H27" i="56"/>
  <c r="H16" i="71"/>
  <c r="I16" i="71"/>
  <c r="I16" i="14"/>
  <c r="G95" i="43"/>
  <c r="H16" i="14"/>
  <c r="G119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I116" i="42" s="1"/>
  <c r="I117" i="42" s="1"/>
  <c r="E134" i="42"/>
  <c r="H119" i="42"/>
  <c r="A29" i="56"/>
  <c r="I17" i="71" l="1"/>
  <c r="H17" i="71"/>
  <c r="H17" i="14"/>
  <c r="I17" i="14"/>
  <c r="I120" i="42"/>
  <c r="H18" i="71" l="1"/>
  <c r="I18" i="71"/>
  <c r="I18" i="14"/>
  <c r="H18" i="14"/>
  <c r="I19" i="71" l="1"/>
  <c r="H19" i="71"/>
  <c r="H19" i="14"/>
  <c r="I19" i="14"/>
  <c r="H20" i="71" l="1"/>
  <c r="I20" i="71"/>
  <c r="I20" i="14"/>
  <c r="H20" i="14"/>
  <c r="I21" i="71" l="1"/>
  <c r="H21" i="71"/>
  <c r="H21" i="14"/>
  <c r="I21" i="14"/>
  <c r="I22" i="14" l="1"/>
  <c r="H22" i="14"/>
  <c r="I22" i="71"/>
  <c r="H22" i="71"/>
  <c r="H23" i="71" l="1"/>
  <c r="H23" i="14"/>
  <c r="I23" i="14"/>
  <c r="I23" i="71"/>
  <c r="F15" i="47"/>
  <c r="I24" i="71" l="1"/>
  <c r="H24" i="71"/>
  <c r="I24" i="14"/>
  <c r="H24" i="14"/>
  <c r="F62" i="47"/>
  <c r="I63" i="47" s="1"/>
  <c r="H15" i="47"/>
  <c r="I15" i="47"/>
  <c r="I25" i="71" l="1"/>
  <c r="H25" i="71"/>
  <c r="H25" i="14"/>
  <c r="I25" i="14"/>
  <c r="H63" i="47"/>
  <c r="I16" i="47"/>
  <c r="H16" i="47"/>
  <c r="H26" i="71" l="1"/>
  <c r="I26" i="71"/>
  <c r="I26" i="14"/>
  <c r="H26" i="14"/>
  <c r="H17" i="47"/>
  <c r="I17" i="47"/>
  <c r="I27" i="71" l="1"/>
  <c r="H27" i="71"/>
  <c r="H27" i="14"/>
  <c r="I27" i="14"/>
  <c r="I18" i="47"/>
  <c r="H18" i="47"/>
  <c r="H28" i="71" l="1"/>
  <c r="I28" i="71"/>
  <c r="I28" i="14"/>
  <c r="H28" i="14"/>
  <c r="H19" i="47"/>
  <c r="I19" i="47"/>
  <c r="I29" i="71" l="1"/>
  <c r="H29" i="71"/>
  <c r="H29" i="14"/>
  <c r="I29" i="14"/>
  <c r="I20" i="47"/>
  <c r="H20" i="47"/>
  <c r="H30" i="71" l="1"/>
  <c r="I30" i="71"/>
  <c r="I30" i="14"/>
  <c r="H21" i="47"/>
  <c r="I21" i="47"/>
  <c r="H30" i="14"/>
  <c r="F95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I31" i="71" l="1"/>
  <c r="H31" i="71"/>
  <c r="H31" i="14"/>
  <c r="I22" i="47"/>
  <c r="H22" i="47"/>
  <c r="I31" i="14"/>
  <c r="H95" i="43"/>
  <c r="H96" i="43" s="1"/>
  <c r="H32" i="71" l="1"/>
  <c r="I32" i="71"/>
  <c r="I32" i="14"/>
  <c r="I23" i="47"/>
  <c r="H23" i="47"/>
  <c r="H32" i="14"/>
  <c r="I33" i="71" l="1"/>
  <c r="H33" i="71"/>
  <c r="H33" i="14"/>
  <c r="H24" i="47"/>
  <c r="I24" i="47"/>
  <c r="I33" i="14"/>
  <c r="H34" i="71" l="1"/>
  <c r="I34" i="14"/>
  <c r="I34" i="71"/>
  <c r="I25" i="47"/>
  <c r="H25" i="47"/>
  <c r="H34" i="14"/>
  <c r="I35" i="71" l="1"/>
  <c r="H35" i="14"/>
  <c r="H35" i="71"/>
  <c r="H36" i="71" s="1"/>
  <c r="H26" i="47"/>
  <c r="I26" i="47"/>
  <c r="I35" i="14"/>
  <c r="I36" i="14" l="1"/>
  <c r="I36" i="71"/>
  <c r="I37" i="71" s="1"/>
  <c r="I27" i="47"/>
  <c r="H27" i="47"/>
  <c r="H36" i="14"/>
  <c r="H37" i="14" l="1"/>
  <c r="H37" i="71"/>
  <c r="H38" i="71" s="1"/>
  <c r="H28" i="47"/>
  <c r="I28" i="47"/>
  <c r="I37" i="14"/>
  <c r="I38" i="14" s="1"/>
  <c r="I38" i="71" l="1"/>
  <c r="I39" i="71" s="1"/>
  <c r="I29" i="47"/>
  <c r="H29" i="47"/>
  <c r="H38" i="14"/>
  <c r="H39" i="14" s="1"/>
  <c r="H39" i="71" l="1"/>
  <c r="H40" i="71" s="1"/>
  <c r="H30" i="47"/>
  <c r="I30" i="47"/>
  <c r="I39" i="14"/>
  <c r="I40" i="14" s="1"/>
  <c r="I40" i="71" l="1"/>
  <c r="I41" i="71" s="1"/>
  <c r="I31" i="47"/>
  <c r="H31" i="47"/>
  <c r="H40" i="14"/>
  <c r="H41" i="14" s="1"/>
  <c r="H41" i="71" l="1"/>
  <c r="H42" i="71" s="1"/>
  <c r="H32" i="47"/>
  <c r="I32" i="47"/>
  <c r="I41" i="14"/>
  <c r="I42" i="14" s="1"/>
  <c r="I42" i="71" l="1"/>
  <c r="I43" i="71" s="1"/>
  <c r="I33" i="47"/>
  <c r="H33" i="47"/>
  <c r="H42" i="14"/>
  <c r="H43" i="14" s="1"/>
  <c r="H43" i="71" l="1"/>
  <c r="H44" i="71" s="1"/>
  <c r="H34" i="47"/>
  <c r="I34" i="47"/>
  <c r="I43" i="14"/>
  <c r="I44" i="14" s="1"/>
  <c r="I44" i="71" l="1"/>
  <c r="I45" i="71" s="1"/>
  <c r="I35" i="47"/>
  <c r="H35" i="47"/>
  <c r="H44" i="14"/>
  <c r="H45" i="14" s="1"/>
  <c r="H45" i="71" l="1"/>
  <c r="H46" i="71" s="1"/>
  <c r="H36" i="47"/>
  <c r="I36" i="47"/>
  <c r="I45" i="14"/>
  <c r="I46" i="14" s="1"/>
  <c r="I46" i="71" l="1"/>
  <c r="I47" i="71" s="1"/>
  <c r="I37" i="47"/>
  <c r="H37" i="47"/>
  <c r="H46" i="14"/>
  <c r="H47" i="14" s="1"/>
  <c r="H47" i="71" l="1"/>
  <c r="H48" i="71" s="1"/>
  <c r="H38" i="47"/>
  <c r="I38" i="47"/>
  <c r="I47" i="14"/>
  <c r="I48" i="14" s="1"/>
  <c r="I48" i="71" l="1"/>
  <c r="I49" i="71" s="1"/>
  <c r="I39" i="47"/>
  <c r="H39" i="47"/>
  <c r="H48" i="14"/>
  <c r="H49" i="14" s="1"/>
  <c r="H49" i="71" l="1"/>
  <c r="H50" i="71" s="1"/>
  <c r="H40" i="47"/>
  <c r="I40" i="47"/>
  <c r="I49" i="14"/>
  <c r="I50" i="71" l="1"/>
  <c r="I51" i="71" s="1"/>
  <c r="I41" i="47"/>
  <c r="H41" i="47"/>
  <c r="H51" i="71" l="1"/>
  <c r="H52" i="71" s="1"/>
  <c r="H42" i="47"/>
  <c r="I42" i="47"/>
  <c r="I52" i="71" l="1"/>
  <c r="I53" i="71" s="1"/>
  <c r="I43" i="47"/>
  <c r="H43" i="47"/>
  <c r="H53" i="71" l="1"/>
  <c r="H54" i="71" s="1"/>
  <c r="H44" i="47"/>
  <c r="I44" i="47"/>
  <c r="I54" i="71" l="1"/>
  <c r="I55" i="71" s="1"/>
  <c r="I45" i="47"/>
  <c r="H45" i="47"/>
  <c r="H55" i="71" l="1"/>
  <c r="H56" i="71" s="1"/>
  <c r="H46" i="47"/>
  <c r="I46" i="47"/>
  <c r="I56" i="71" l="1"/>
  <c r="I47" i="47"/>
  <c r="H47" i="47"/>
  <c r="H48" i="47" l="1"/>
  <c r="I48" i="47"/>
  <c r="I49" i="47" l="1"/>
  <c r="H49" i="47"/>
  <c r="H50" i="47" l="1"/>
  <c r="I50" i="47"/>
  <c r="I51" i="47" l="1"/>
  <c r="H51" i="47"/>
  <c r="H52" i="47" l="1"/>
  <c r="I52" i="47"/>
  <c r="I53" i="47" l="1"/>
  <c r="H53" i="47"/>
  <c r="B16" i="55"/>
  <c r="B17" i="55" s="1"/>
  <c r="B18" i="55" s="1"/>
  <c r="B19" i="55" s="1"/>
  <c r="B20" i="55" s="1"/>
  <c r="B21" i="55" s="1"/>
  <c r="H54" i="47" l="1"/>
  <c r="A16" i="55"/>
  <c r="I54" i="47"/>
  <c r="I55" i="47" l="1"/>
  <c r="A21" i="55"/>
  <c r="A17" i="55"/>
  <c r="H55" i="47"/>
  <c r="H56" i="47" l="1"/>
  <c r="I56" i="47"/>
  <c r="A18" i="55"/>
  <c r="I57" i="47" l="1"/>
  <c r="H57" i="47"/>
  <c r="H58" i="47" l="1"/>
  <c r="I58" i="47"/>
  <c r="I59" i="47" l="1"/>
  <c r="H59" i="47"/>
  <c r="H60" i="47" l="1"/>
  <c r="I60" i="47"/>
  <c r="J32" i="57" l="1"/>
  <c r="I24" i="73" l="1"/>
  <c r="H24" i="73"/>
  <c r="H10" i="73"/>
  <c r="I10" i="73"/>
  <c r="H32" i="57"/>
  <c r="L32" i="57" s="1"/>
  <c r="I52" i="73" l="1"/>
  <c r="H52" i="73"/>
  <c r="D13" i="39" l="1"/>
  <c r="F52" i="15" a="1"/>
  <c r="F52" i="15" s="1"/>
  <c r="F54" i="15" a="1"/>
  <c r="F54" i="15" s="1"/>
  <c r="J16" i="55" a="1"/>
  <c r="J16" i="55" s="1"/>
  <c r="J10" i="55" a="1"/>
  <c r="J10" i="55" s="1"/>
  <c r="F49" i="15" a="1"/>
  <c r="F49" i="15" s="1"/>
  <c r="J19" i="55" a="1"/>
  <c r="J19" i="55" s="1"/>
  <c r="J11" i="55" a="1"/>
  <c r="J11" i="55" s="1"/>
  <c r="J50" i="55" a="1"/>
  <c r="J50" i="55" s="1"/>
  <c r="J28" i="55" a="1"/>
  <c r="J28" i="55" s="1"/>
  <c r="E51" i="15" a="1"/>
  <c r="E51" i="15" s="1"/>
  <c r="E52" i="15" a="1"/>
  <c r="E52" i="15" s="1"/>
  <c r="F44" i="15" a="1"/>
  <c r="F44" i="15" s="1"/>
  <c r="F45" i="15" s="1"/>
  <c r="E48" i="15" a="1"/>
  <c r="E48" i="15" s="1"/>
  <c r="H18" i="55" a="1"/>
  <c r="H18" i="55" s="1"/>
  <c r="E50" i="15" a="1"/>
  <c r="E50" i="15" s="1"/>
  <c r="H17" i="55" a="1"/>
  <c r="H17" i="55" s="1"/>
  <c r="H19" i="55" a="1"/>
  <c r="H19" i="55" s="1"/>
  <c r="H50" i="55" a="1"/>
  <c r="H50" i="55" s="1"/>
  <c r="E49" i="15" a="1"/>
  <c r="E49" i="15" s="1"/>
  <c r="E32" i="15" a="1"/>
  <c r="E32" i="15" s="1"/>
  <c r="E7" i="12" a="1"/>
  <c r="E7" i="12" s="1"/>
  <c r="E28" i="15" a="1"/>
  <c r="E28" i="15" s="1"/>
  <c r="H20" i="55" a="1"/>
  <c r="H20" i="55" s="1"/>
  <c r="E46" i="15" a="1"/>
  <c r="E46" i="15" s="1"/>
  <c r="F9" i="12" a="1"/>
  <c r="F9" i="12" s="1"/>
  <c r="F22" i="15" a="1"/>
  <c r="F22" i="15" s="1"/>
  <c r="E31" i="15" a="1"/>
  <c r="E31" i="15" s="1"/>
  <c r="F37" i="15" a="1"/>
  <c r="F37" i="15" s="1"/>
  <c r="E10" i="12" a="1"/>
  <c r="E10" i="12" s="1"/>
  <c r="H10" i="55" a="1"/>
  <c r="H10" i="55" s="1"/>
  <c r="H11" i="55" a="1"/>
  <c r="H11" i="55" s="1"/>
  <c r="E47" i="15" a="1"/>
  <c r="E47" i="15" s="1"/>
  <c r="E53" i="15" a="1"/>
  <c r="E53" i="15" s="1"/>
  <c r="F28" i="15" a="1"/>
  <c r="F28" i="15" s="1"/>
  <c r="E22" i="15" a="1"/>
  <c r="E22" i="15" s="1"/>
  <c r="F19" i="15" a="1"/>
  <c r="F19" i="15" s="1"/>
  <c r="E35" i="15" a="1"/>
  <c r="E35" i="15" s="1"/>
  <c r="E12" i="15" a="1"/>
  <c r="E12" i="15" s="1"/>
  <c r="F14" i="15" a="1"/>
  <c r="F14" i="15" s="1"/>
  <c r="F29" i="15" a="1"/>
  <c r="F29" i="15" s="1"/>
  <c r="E20" i="15" a="1"/>
  <c r="E20" i="15" s="1"/>
  <c r="E26" i="15" a="1"/>
  <c r="E26" i="15" s="1"/>
  <c r="E27" i="15" s="1"/>
  <c r="J21" i="55" a="1"/>
  <c r="J21" i="55" s="1"/>
  <c r="F30" i="15" a="1"/>
  <c r="F30" i="15" s="1"/>
  <c r="F42" i="15" a="1"/>
  <c r="F42" i="15" s="1"/>
  <c r="E44" i="15" a="1"/>
  <c r="E44" i="15" s="1"/>
  <c r="F39" i="15" a="1"/>
  <c r="F39" i="15" s="1"/>
  <c r="F6" i="12" a="1"/>
  <c r="F6" i="12" s="1"/>
  <c r="F10" i="15" a="1"/>
  <c r="F10" i="15" s="1"/>
  <c r="E30" i="15" a="1"/>
  <c r="E30" i="15" s="1"/>
  <c r="E9" i="12" a="1"/>
  <c r="E9" i="12" s="1"/>
  <c r="E14" i="15" a="1"/>
  <c r="E14" i="15" s="1"/>
  <c r="E24" i="15" a="1"/>
  <c r="E24" i="15" s="1"/>
  <c r="E25" i="15" s="1"/>
  <c r="F41" i="15" a="1"/>
  <c r="F41" i="15" s="1"/>
  <c r="E23" i="15" a="1"/>
  <c r="E23" i="15" s="1"/>
  <c r="F20" i="15" a="1"/>
  <c r="F20" i="15" s="1"/>
  <c r="E10" i="15" a="1"/>
  <c r="E10" i="15" s="1"/>
  <c r="H28" i="55" a="1"/>
  <c r="H28" i="55" s="1"/>
  <c r="E29" i="15" a="1"/>
  <c r="E29" i="15" s="1"/>
  <c r="F15" i="15" a="1"/>
  <c r="F15" i="15" s="1"/>
  <c r="E17" i="15" a="1"/>
  <c r="E17" i="15" s="1"/>
  <c r="E37" i="15" a="1"/>
  <c r="E37" i="15" s="1"/>
  <c r="F10" i="12" a="1"/>
  <c r="F10" i="12" s="1"/>
  <c r="F12" i="15" a="1"/>
  <c r="F12" i="15" s="1"/>
  <c r="F7" i="12" a="1"/>
  <c r="F7" i="12" s="1"/>
  <c r="E19" i="15" a="1"/>
  <c r="E19" i="15" s="1"/>
  <c r="E39" i="15" a="1"/>
  <c r="E39" i="15" s="1"/>
  <c r="F17" i="15" a="1"/>
  <c r="F17" i="15" s="1"/>
  <c r="H9" i="55" a="1"/>
  <c r="H9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21" i="55" a="1"/>
  <c r="H21" i="55" s="1"/>
  <c r="E6" i="12" a="1"/>
  <c r="E6" i="12" s="1"/>
  <c r="E42" i="15" a="1"/>
  <c r="E42" i="15" s="1"/>
  <c r="E54" i="15" a="1"/>
  <c r="E54" i="15" s="1"/>
  <c r="F35" i="15" a="1"/>
  <c r="F35" i="15" s="1"/>
  <c r="F26" i="15" a="1"/>
  <c r="F26" i="15" s="1"/>
  <c r="F27" i="15" s="1"/>
  <c r="E41" i="15" a="1"/>
  <c r="E41" i="15" s="1"/>
  <c r="C14" i="39"/>
  <c r="F38" i="70" l="1" a="1"/>
  <c r="F38" i="70" s="1"/>
  <c r="E40" i="70" a="1"/>
  <c r="E40" i="70" s="1"/>
  <c r="E39" i="70" a="1"/>
  <c r="E39" i="70" s="1"/>
  <c r="E38" i="70" a="1"/>
  <c r="E38" i="70" s="1"/>
  <c r="F39" i="70" a="1"/>
  <c r="F39" i="70" s="1"/>
  <c r="F40" i="70" a="1"/>
  <c r="F40" i="70" s="1"/>
  <c r="F51" i="15" a="1"/>
  <c r="F51" i="15" s="1"/>
  <c r="I51" i="15" s="1"/>
  <c r="E32" i="70" a="1"/>
  <c r="E32" i="70" s="1"/>
  <c r="E34" i="70" a="1"/>
  <c r="E34" i="70" s="1"/>
  <c r="E37" i="70" a="1"/>
  <c r="E37" i="70" s="1"/>
  <c r="F32" i="70" a="1"/>
  <c r="F32" i="70" s="1"/>
  <c r="F34" i="70" a="1"/>
  <c r="F34" i="70" s="1"/>
  <c r="F36" i="70" a="1"/>
  <c r="F36" i="70" s="1"/>
  <c r="E35" i="70" a="1"/>
  <c r="E35" i="70" s="1"/>
  <c r="F35" i="70" a="1"/>
  <c r="F35" i="70" s="1"/>
  <c r="E33" i="70" a="1"/>
  <c r="E33" i="70" s="1"/>
  <c r="F33" i="70" a="1"/>
  <c r="F33" i="70" s="1"/>
  <c r="E36" i="70" a="1"/>
  <c r="E36" i="70" s="1"/>
  <c r="F37" i="70" a="1"/>
  <c r="F37" i="70" s="1"/>
  <c r="E11" i="12" a="1"/>
  <c r="E11" i="12" s="1"/>
  <c r="E12" i="12" a="1"/>
  <c r="E12" i="12" s="1"/>
  <c r="F8" i="12" a="1"/>
  <c r="F8" i="12" s="1"/>
  <c r="F11" i="12" a="1"/>
  <c r="F11" i="12" s="1"/>
  <c r="F12" i="12" a="1"/>
  <c r="F12" i="12" s="1"/>
  <c r="E13" i="12" a="1"/>
  <c r="E13" i="12" s="1"/>
  <c r="E8" i="12" a="1"/>
  <c r="E8" i="12" s="1"/>
  <c r="F13" i="12" a="1"/>
  <c r="F13" i="12" s="1"/>
  <c r="F29" i="70" a="1"/>
  <c r="F29" i="70" s="1"/>
  <c r="F31" i="70" a="1"/>
  <c r="F31" i="70" s="1"/>
  <c r="E28" i="70" a="1"/>
  <c r="E28" i="70" s="1"/>
  <c r="E30" i="70" a="1"/>
  <c r="E30" i="70" s="1"/>
  <c r="F30" i="70" a="1"/>
  <c r="F30" i="70" s="1"/>
  <c r="E29" i="70" a="1"/>
  <c r="E29" i="70" s="1"/>
  <c r="E31" i="70" a="1"/>
  <c r="E31" i="70" s="1"/>
  <c r="F28" i="70" a="1"/>
  <c r="F28" i="70" s="1"/>
  <c r="E18" i="70" a="1"/>
  <c r="E18" i="70" s="1"/>
  <c r="F18" i="70" a="1"/>
  <c r="F18" i="70" s="1"/>
  <c r="I54" i="15"/>
  <c r="I52" i="15"/>
  <c r="L11" i="55"/>
  <c r="L10" i="55"/>
  <c r="L19" i="55"/>
  <c r="H31" i="15"/>
  <c r="J12" i="55" a="1"/>
  <c r="J12" i="55" s="1"/>
  <c r="H12" i="55" a="1"/>
  <c r="H12" i="55" s="1"/>
  <c r="F25" i="15"/>
  <c r="I49" i="15"/>
  <c r="J20" i="55" a="1"/>
  <c r="J20" i="55" s="1"/>
  <c r="L20" i="55" s="1"/>
  <c r="L50" i="55"/>
  <c r="L28" i="55"/>
  <c r="F8" i="70" a="1"/>
  <c r="F8" i="70" s="1"/>
  <c r="F23" i="70" a="1"/>
  <c r="F23" i="70" s="1"/>
  <c r="E7" i="70" a="1"/>
  <c r="E7" i="70" s="1"/>
  <c r="F6" i="70" a="1"/>
  <c r="F6" i="70" s="1"/>
  <c r="E14" i="70" a="1"/>
  <c r="E14" i="70" s="1"/>
  <c r="E13" i="70" a="1"/>
  <c r="E13" i="70" s="1"/>
  <c r="E23" i="70" a="1"/>
  <c r="E23" i="70" s="1"/>
  <c r="F20" i="70" a="1"/>
  <c r="F20" i="70" s="1"/>
  <c r="F21" i="70" a="1"/>
  <c r="F21" i="70" s="1"/>
  <c r="F11" i="70" a="1"/>
  <c r="F11" i="70" s="1"/>
  <c r="F10" i="70" a="1"/>
  <c r="F10" i="70" s="1"/>
  <c r="F25" i="70" a="1"/>
  <c r="F25" i="70" s="1"/>
  <c r="E27" i="70" a="1"/>
  <c r="E27" i="70" s="1"/>
  <c r="E17" i="70" a="1"/>
  <c r="E17" i="70" s="1"/>
  <c r="E22" i="70" a="1"/>
  <c r="E22" i="70" s="1"/>
  <c r="E15" i="70" a="1"/>
  <c r="E15" i="70" s="1"/>
  <c r="E10" i="70" a="1"/>
  <c r="E10" i="70" s="1"/>
  <c r="F14" i="70" a="1"/>
  <c r="F14" i="70" s="1"/>
  <c r="F13" i="70" a="1"/>
  <c r="F13" i="70" s="1"/>
  <c r="E26" i="70" a="1"/>
  <c r="E26" i="70" s="1"/>
  <c r="E9" i="70" a="1"/>
  <c r="E9" i="70" s="1"/>
  <c r="F15" i="70" a="1"/>
  <c r="F15" i="70" s="1"/>
  <c r="E16" i="70" a="1"/>
  <c r="E16" i="70" s="1"/>
  <c r="E19" i="70" a="1"/>
  <c r="E19" i="70" s="1"/>
  <c r="E12" i="70" a="1"/>
  <c r="E12" i="70" s="1"/>
  <c r="F7" i="70" a="1"/>
  <c r="F7" i="70" s="1"/>
  <c r="E24" i="70" a="1"/>
  <c r="E24" i="70" s="1"/>
  <c r="E8" i="70" a="1"/>
  <c r="E8" i="70" s="1"/>
  <c r="F22" i="70" a="1"/>
  <c r="F22" i="70" s="1"/>
  <c r="F24" i="70" a="1"/>
  <c r="F24" i="70" s="1"/>
  <c r="E6" i="70" a="1"/>
  <c r="E6" i="70" s="1"/>
  <c r="F19" i="70" a="1"/>
  <c r="F19" i="70" s="1"/>
  <c r="F9" i="70" a="1"/>
  <c r="F9" i="70" s="1"/>
  <c r="E20" i="70" a="1"/>
  <c r="E20" i="70" s="1"/>
  <c r="E21" i="70" a="1"/>
  <c r="E21" i="70" s="1"/>
  <c r="E11" i="70" a="1"/>
  <c r="E11" i="70" s="1"/>
  <c r="F27" i="70" a="1"/>
  <c r="F27" i="70" s="1"/>
  <c r="F17" i="70" a="1"/>
  <c r="F17" i="70" s="1"/>
  <c r="E25" i="70" a="1"/>
  <c r="E25" i="70" s="1"/>
  <c r="F16" i="70" a="1"/>
  <c r="F16" i="70" s="1"/>
  <c r="F12" i="70" a="1"/>
  <c r="F12" i="70" s="1"/>
  <c r="F26" i="70" a="1"/>
  <c r="F26" i="70" s="1"/>
  <c r="G29" i="15"/>
  <c r="H10" i="12"/>
  <c r="H7" i="12"/>
  <c r="G9" i="12"/>
  <c r="G22" i="15"/>
  <c r="H24" i="15"/>
  <c r="H41" i="15"/>
  <c r="E43" i="15"/>
  <c r="G42" i="15"/>
  <c r="G15" i="15"/>
  <c r="E16" i="15"/>
  <c r="G39" i="15"/>
  <c r="E40" i="15"/>
  <c r="H15" i="15"/>
  <c r="H16" i="15" s="1"/>
  <c r="F16" i="15"/>
  <c r="G14" i="15"/>
  <c r="F11" i="15"/>
  <c r="H10" i="15"/>
  <c r="H11" i="15" s="1"/>
  <c r="H6" i="12"/>
  <c r="I44" i="15"/>
  <c r="E45" i="15"/>
  <c r="I45" i="15" s="1"/>
  <c r="H29" i="15"/>
  <c r="E13" i="15"/>
  <c r="G12" i="15"/>
  <c r="G13" i="15" s="1"/>
  <c r="G35" i="15"/>
  <c r="E36" i="15"/>
  <c r="F38" i="15"/>
  <c r="H37" i="15"/>
  <c r="H38" i="15" s="1"/>
  <c r="G31" i="15"/>
  <c r="F47" i="15" a="1"/>
  <c r="F47" i="15" s="1"/>
  <c r="I47" i="15" s="1"/>
  <c r="J17" i="55" a="1"/>
  <c r="J17" i="55" s="1"/>
  <c r="L17" i="55" s="1"/>
  <c r="H35" i="15"/>
  <c r="F36" i="15"/>
  <c r="G6" i="12"/>
  <c r="F13" i="15"/>
  <c r="H12" i="15"/>
  <c r="H13" i="15" s="1"/>
  <c r="F43" i="15"/>
  <c r="H42" i="15"/>
  <c r="H22" i="15"/>
  <c r="G32" i="15"/>
  <c r="G33" i="15" s="1"/>
  <c r="E33" i="15"/>
  <c r="E34" i="15" s="1"/>
  <c r="F48" i="15" a="1"/>
  <c r="F48" i="15" s="1"/>
  <c r="I48" i="15" s="1"/>
  <c r="L21" i="55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H9" i="12"/>
  <c r="G28" i="15"/>
  <c r="J18" i="55" a="1"/>
  <c r="J18" i="55" s="1"/>
  <c r="L18" i="55" s="1"/>
  <c r="F50" i="15" a="1"/>
  <c r="F50" i="15" s="1"/>
  <c r="I50" i="15" s="1"/>
  <c r="F53" i="15" a="1"/>
  <c r="F53" i="15" s="1"/>
  <c r="I53" i="15" s="1"/>
  <c r="F46" i="15" a="1"/>
  <c r="F46" i="15" s="1"/>
  <c r="I46" i="15" s="1"/>
  <c r="H26" i="15"/>
  <c r="H27" i="15" s="1"/>
  <c r="H23" i="15"/>
  <c r="G41" i="15"/>
  <c r="F33" i="15"/>
  <c r="F34" i="15" s="1"/>
  <c r="H32" i="15"/>
  <c r="H33" i="15" s="1"/>
  <c r="G17" i="15"/>
  <c r="E18" i="15"/>
  <c r="G23" i="15"/>
  <c r="G30" i="15"/>
  <c r="H39" i="15"/>
  <c r="F40" i="15"/>
  <c r="G20" i="15"/>
  <c r="H14" i="15"/>
  <c r="H28" i="15"/>
  <c r="G10" i="12"/>
  <c r="G7" i="12"/>
  <c r="J9" i="55" a="1"/>
  <c r="J9" i="55" s="1"/>
  <c r="J14" i="55" s="1"/>
  <c r="J15" i="55" s="1"/>
  <c r="H16" i="55" a="1"/>
  <c r="H16" i="55" s="1"/>
  <c r="H40" i="70" l="1"/>
  <c r="G38" i="70"/>
  <c r="H39" i="70"/>
  <c r="G40" i="70"/>
  <c r="G39" i="70"/>
  <c r="H38" i="70"/>
  <c r="G8" i="12"/>
  <c r="H37" i="70"/>
  <c r="H33" i="70"/>
  <c r="G36" i="70"/>
  <c r="H32" i="70"/>
  <c r="H34" i="70"/>
  <c r="G35" i="70"/>
  <c r="H35" i="70"/>
  <c r="G37" i="70"/>
  <c r="H36" i="70"/>
  <c r="G34" i="70"/>
  <c r="H12" i="12"/>
  <c r="G33" i="70"/>
  <c r="G32" i="70"/>
  <c r="G29" i="70"/>
  <c r="H11" i="12"/>
  <c r="G13" i="12"/>
  <c r="H8" i="12"/>
  <c r="G12" i="12"/>
  <c r="H13" i="12"/>
  <c r="G11" i="12"/>
  <c r="H30" i="70"/>
  <c r="G31" i="70"/>
  <c r="H28" i="70"/>
  <c r="G28" i="70"/>
  <c r="H31" i="70"/>
  <c r="G30" i="70"/>
  <c r="H29" i="70"/>
  <c r="H14" i="70"/>
  <c r="H18" i="70"/>
  <c r="G18" i="70"/>
  <c r="H14" i="55"/>
  <c r="H15" i="55" s="1"/>
  <c r="E16" i="12"/>
  <c r="E17" i="12" s="1"/>
  <c r="L12" i="55"/>
  <c r="E55" i="15"/>
  <c r="F55" i="15"/>
  <c r="G25" i="15"/>
  <c r="H25" i="15"/>
  <c r="F16" i="12"/>
  <c r="F17" i="12" s="1"/>
  <c r="G10" i="70"/>
  <c r="H182" i="55"/>
  <c r="H183" i="55" s="1"/>
  <c r="G12" i="70"/>
  <c r="H9" i="70"/>
  <c r="J182" i="55"/>
  <c r="J183" i="55" s="1"/>
  <c r="L16" i="55"/>
  <c r="H23" i="55"/>
  <c r="H24" i="55" s="1"/>
  <c r="J23" i="55"/>
  <c r="J24" i="55" s="1"/>
  <c r="G13" i="70"/>
  <c r="H23" i="70"/>
  <c r="G26" i="70"/>
  <c r="H27" i="70"/>
  <c r="H20" i="70"/>
  <c r="G25" i="70"/>
  <c r="G21" i="70"/>
  <c r="H22" i="70"/>
  <c r="H15" i="70"/>
  <c r="G14" i="70"/>
  <c r="G7" i="70"/>
  <c r="H11" i="70"/>
  <c r="G17" i="70"/>
  <c r="H8" i="70"/>
  <c r="G9" i="70"/>
  <c r="H40" i="15"/>
  <c r="H16" i="70"/>
  <c r="H6" i="70"/>
  <c r="H19" i="70"/>
  <c r="H17" i="70"/>
  <c r="H24" i="70"/>
  <c r="H12" i="70"/>
  <c r="H21" i="15"/>
  <c r="H36" i="15"/>
  <c r="G27" i="70"/>
  <c r="G24" i="70"/>
  <c r="G20" i="70"/>
  <c r="H25" i="70"/>
  <c r="H13" i="70"/>
  <c r="G22" i="70"/>
  <c r="G16" i="70"/>
  <c r="G8" i="70"/>
  <c r="G15" i="70"/>
  <c r="G23" i="70"/>
  <c r="H7" i="70"/>
  <c r="G19" i="70"/>
  <c r="H21" i="70"/>
  <c r="G6" i="70"/>
  <c r="H26" i="70"/>
  <c r="G11" i="70"/>
  <c r="E43" i="70"/>
  <c r="E44" i="70" s="1"/>
  <c r="G18" i="15"/>
  <c r="G34" i="15"/>
  <c r="G21" i="15"/>
  <c r="F43" i="70"/>
  <c r="F44" i="70" s="1"/>
  <c r="H10" i="70"/>
  <c r="H18" i="15"/>
  <c r="G16" i="15"/>
  <c r="H34" i="15"/>
  <c r="G40" i="15"/>
  <c r="G43" i="15"/>
  <c r="L9" i="55"/>
  <c r="H43" i="15"/>
  <c r="G36" i="15"/>
  <c r="F57" i="15" l="1"/>
  <c r="L14" i="55"/>
  <c r="L15" i="55" s="1"/>
  <c r="H55" i="15"/>
  <c r="G55" i="15"/>
  <c r="L182" i="55"/>
  <c r="L183" i="55" s="1"/>
  <c r="H16" i="12"/>
  <c r="G16" i="12"/>
  <c r="L23" i="55"/>
  <c r="L24" i="55" s="1"/>
  <c r="G43" i="70"/>
  <c r="H43" i="70"/>
  <c r="G44" i="70" l="1"/>
  <c r="H17" i="12"/>
  <c r="H57" i="15"/>
  <c r="A20" i="55"/>
  <c r="A19" i="55"/>
  <c r="B25" i="55" l="1"/>
  <c r="B26" i="55" s="1"/>
  <c r="B27" i="55" s="1"/>
  <c r="A27" i="55" l="1"/>
  <c r="B28" i="55"/>
  <c r="A26" i="55"/>
  <c r="A25" i="55"/>
  <c r="A28" i="55" l="1"/>
  <c r="B29" i="55"/>
  <c r="B30" i="55" l="1"/>
  <c r="A29" i="55"/>
  <c r="A30" i="55" l="1"/>
  <c r="B31" i="55"/>
  <c r="A31" i="55" l="1"/>
  <c r="B32" i="55"/>
  <c r="B33" i="55" l="1"/>
  <c r="A32" i="55"/>
  <c r="A33" i="55" l="1"/>
  <c r="B34" i="55"/>
  <c r="B35" i="55" l="1"/>
  <c r="A34" i="55"/>
  <c r="B36" i="55" l="1"/>
  <c r="A35" i="55"/>
  <c r="B37" i="55" l="1"/>
  <c r="A36" i="55"/>
  <c r="B38" i="55" l="1"/>
  <c r="A37" i="55"/>
  <c r="B39" i="55" l="1"/>
  <c r="A38" i="55"/>
  <c r="A39" i="55" l="1"/>
  <c r="B40" i="55"/>
  <c r="B41" i="55" l="1"/>
  <c r="A40" i="55"/>
  <c r="A41" i="55" l="1"/>
  <c r="B42" i="55"/>
  <c r="B43" i="55" l="1"/>
  <c r="A42" i="55"/>
  <c r="A43" i="55" l="1"/>
  <c r="B44" i="55"/>
  <c r="B45" i="55" l="1"/>
  <c r="A44" i="55"/>
  <c r="A45" i="55" l="1"/>
  <c r="B46" i="55"/>
  <c r="B47" i="55" l="1"/>
  <c r="A46" i="55"/>
  <c r="A47" i="55" l="1"/>
  <c r="B48" i="55"/>
  <c r="B49" i="55" l="1"/>
  <c r="A48" i="55"/>
  <c r="A49" i="55" l="1"/>
  <c r="B50" i="55"/>
  <c r="B51" i="55" l="1"/>
  <c r="A50" i="55"/>
  <c r="A51" i="55" l="1"/>
  <c r="B52" i="55"/>
  <c r="B53" i="55" l="1"/>
  <c r="A52" i="55"/>
  <c r="A53" i="55" l="1"/>
  <c r="B54" i="55"/>
  <c r="B55" i="55" l="1"/>
  <c r="A54" i="55"/>
  <c r="A55" i="55" l="1"/>
  <c r="B56" i="55"/>
  <c r="B57" i="55" l="1"/>
  <c r="A56" i="55"/>
  <c r="A57" i="55" l="1"/>
  <c r="B58" i="55"/>
  <c r="B59" i="55" l="1"/>
  <c r="A58" i="55"/>
  <c r="A59" i="55" l="1"/>
  <c r="B60" i="55"/>
  <c r="B61" i="55" l="1"/>
  <c r="A60" i="55"/>
  <c r="A61" i="55" l="1"/>
  <c r="B62" i="55"/>
  <c r="B63" i="55" l="1"/>
  <c r="A62" i="55"/>
  <c r="A63" i="55" l="1"/>
  <c r="B64" i="55"/>
  <c r="B65" i="55" l="1"/>
  <c r="A64" i="55"/>
  <c r="A65" i="55" l="1"/>
  <c r="B66" i="55"/>
  <c r="B67" i="55" l="1"/>
  <c r="A66" i="55"/>
  <c r="A67" i="55" l="1"/>
  <c r="B68" i="55"/>
  <c r="B69" i="55" l="1"/>
  <c r="A68" i="55"/>
  <c r="A69" i="55" l="1"/>
  <c r="B70" i="55"/>
  <c r="B71" i="55" l="1"/>
  <c r="A70" i="55"/>
  <c r="A71" i="55" l="1"/>
  <c r="B72" i="55"/>
  <c r="B73" i="55" l="1"/>
  <c r="A72" i="55"/>
  <c r="A73" i="55" l="1"/>
  <c r="B74" i="55"/>
  <c r="B75" i="55" l="1"/>
  <c r="A74" i="55"/>
  <c r="A75" i="55" l="1"/>
  <c r="B76" i="55"/>
  <c r="B77" i="55" l="1"/>
  <c r="A76" i="55"/>
  <c r="A77" i="55" l="1"/>
  <c r="B78" i="55"/>
  <c r="B79" i="55" l="1"/>
  <c r="A78" i="55"/>
  <c r="A79" i="55" l="1"/>
  <c r="B80" i="55"/>
  <c r="B81" i="55" l="1"/>
  <c r="A80" i="55"/>
  <c r="A81" i="55" l="1"/>
  <c r="B82" i="55"/>
  <c r="B83" i="55" l="1"/>
  <c r="A82" i="55"/>
  <c r="A83" i="55" l="1"/>
  <c r="B84" i="55"/>
  <c r="B85" i="55" l="1"/>
  <c r="A84" i="55"/>
  <c r="A85" i="55" l="1"/>
  <c r="B86" i="55"/>
  <c r="B87" i="55" l="1"/>
  <c r="A86" i="55"/>
  <c r="A87" i="55" l="1"/>
  <c r="B88" i="55"/>
  <c r="B89" i="55" l="1"/>
  <c r="A88" i="55"/>
  <c r="A89" i="55" l="1"/>
  <c r="B90" i="55"/>
  <c r="B91" i="55" l="1"/>
  <c r="A90" i="55"/>
  <c r="A91" i="55" l="1"/>
  <c r="B92" i="55"/>
  <c r="B93" i="55" l="1"/>
  <c r="A92" i="55"/>
  <c r="A93" i="55" l="1"/>
  <c r="B94" i="55"/>
  <c r="B95" i="55" l="1"/>
  <c r="A94" i="55"/>
  <c r="A95" i="55" l="1"/>
  <c r="B96" i="55"/>
  <c r="B97" i="55" l="1"/>
  <c r="A96" i="55"/>
  <c r="A97" i="55" l="1"/>
  <c r="B98" i="55"/>
  <c r="B99" i="55" l="1"/>
  <c r="A98" i="55"/>
  <c r="A99" i="55" l="1"/>
  <c r="B100" i="55"/>
  <c r="B101" i="55" l="1"/>
  <c r="A100" i="55"/>
  <c r="A101" i="55" l="1"/>
  <c r="B102" i="55"/>
  <c r="B103" i="55" l="1"/>
  <c r="A102" i="55"/>
  <c r="A103" i="55" l="1"/>
  <c r="B104" i="55"/>
  <c r="B105" i="55" l="1"/>
  <c r="A104" i="55"/>
  <c r="A105" i="55" l="1"/>
  <c r="B106" i="55"/>
  <c r="B107" i="55" l="1"/>
  <c r="A106" i="55"/>
  <c r="A107" i="55" l="1"/>
  <c r="B108" i="55"/>
  <c r="B109" i="55" l="1"/>
  <c r="A108" i="55"/>
  <c r="A109" i="55" l="1"/>
  <c r="B110" i="55"/>
  <c r="B111" i="55" l="1"/>
  <c r="A110" i="55"/>
  <c r="A111" i="55" l="1"/>
  <c r="B112" i="55"/>
  <c r="B113" i="55" l="1"/>
  <c r="A112" i="55"/>
  <c r="A113" i="55" l="1"/>
  <c r="B114" i="55"/>
  <c r="B115" i="55" l="1"/>
  <c r="A114" i="55"/>
  <c r="A115" i="55" l="1"/>
  <c r="B116" i="55"/>
  <c r="B117" i="55" l="1"/>
  <c r="A116" i="55"/>
  <c r="A117" i="55" l="1"/>
  <c r="B118" i="55"/>
  <c r="B119" i="55" l="1"/>
  <c r="A118" i="55"/>
  <c r="A119" i="55" l="1"/>
  <c r="B120" i="55"/>
  <c r="B121" i="55" l="1"/>
  <c r="A120" i="55"/>
  <c r="A121" i="55" l="1"/>
  <c r="B122" i="55"/>
  <c r="B123" i="55" l="1"/>
  <c r="A122" i="55"/>
  <c r="A123" i="55" l="1"/>
  <c r="B124" i="55"/>
  <c r="B125" i="55" l="1"/>
  <c r="A124" i="55"/>
  <c r="A125" i="55" l="1"/>
  <c r="B126" i="55"/>
  <c r="B127" i="55" l="1"/>
  <c r="A126" i="55"/>
  <c r="A127" i="55" l="1"/>
  <c r="B128" i="55"/>
  <c r="B129" i="55" l="1"/>
  <c r="A128" i="55"/>
  <c r="A129" i="55" l="1"/>
  <c r="B130" i="55"/>
  <c r="B131" i="55" l="1"/>
  <c r="A130" i="55"/>
  <c r="A131" i="55" l="1"/>
  <c r="B132" i="55"/>
  <c r="B133" i="55" l="1"/>
  <c r="A132" i="55"/>
  <c r="A133" i="55" l="1"/>
  <c r="B134" i="55"/>
  <c r="B135" i="55" l="1"/>
  <c r="A134" i="55"/>
  <c r="A135" i="55" l="1"/>
  <c r="B136" i="55"/>
  <c r="B137" i="55" l="1"/>
  <c r="A136" i="55"/>
  <c r="A137" i="55" l="1"/>
  <c r="B138" i="55"/>
  <c r="B139" i="55" l="1"/>
  <c r="A138" i="55"/>
  <c r="A139" i="55" l="1"/>
  <c r="B140" i="55"/>
  <c r="B141" i="55" l="1"/>
  <c r="A140" i="55"/>
  <c r="A141" i="55" l="1"/>
  <c r="B142" i="55"/>
  <c r="B143" i="55" l="1"/>
  <c r="A142" i="55"/>
  <c r="A143" i="55" l="1"/>
  <c r="B144" i="55"/>
  <c r="B145" i="55" l="1"/>
  <c r="A144" i="55"/>
  <c r="A145" i="55" l="1"/>
  <c r="B146" i="55"/>
  <c r="B147" i="55" l="1"/>
  <c r="A146" i="55"/>
  <c r="A147" i="55" l="1"/>
  <c r="B148" i="55"/>
  <c r="A148" i="55" l="1"/>
  <c r="B149" i="55"/>
  <c r="A149" i="55" l="1"/>
  <c r="B150" i="55"/>
  <c r="B151" i="55" l="1"/>
  <c r="A150" i="55"/>
  <c r="A151" i="55" l="1"/>
  <c r="B152" i="55"/>
  <c r="B153" i="55" l="1"/>
  <c r="A152" i="55"/>
  <c r="A153" i="55" l="1"/>
  <c r="B154" i="55"/>
  <c r="B155" i="55" l="1"/>
  <c r="A154" i="55"/>
  <c r="A155" i="55" l="1"/>
  <c r="B156" i="55"/>
  <c r="B157" i="55" l="1"/>
  <c r="A156" i="55"/>
  <c r="A157" i="55" l="1"/>
  <c r="B158" i="55"/>
  <c r="B159" i="55" l="1"/>
  <c r="A158" i="55"/>
  <c r="A159" i="55" l="1"/>
  <c r="B160" i="55"/>
  <c r="B161" i="55" l="1"/>
  <c r="A160" i="55"/>
  <c r="A161" i="55" l="1"/>
  <c r="B162" i="55"/>
  <c r="B163" i="55" l="1"/>
  <c r="A162" i="55"/>
  <c r="A163" i="55" l="1"/>
  <c r="B164" i="55"/>
  <c r="B165" i="55" l="1"/>
  <c r="A164" i="55"/>
  <c r="A165" i="55" l="1"/>
  <c r="B166" i="55"/>
  <c r="B167" i="55" l="1"/>
  <c r="A166" i="55"/>
  <c r="A167" i="55" l="1"/>
  <c r="B168" i="55"/>
  <c r="B169" i="55" l="1"/>
  <c r="A168" i="55"/>
  <c r="A169" i="55" l="1"/>
  <c r="B170" i="55"/>
  <c r="B171" i="55" l="1"/>
  <c r="A170" i="55"/>
  <c r="A171" i="55" l="1"/>
  <c r="B172" i="55"/>
  <c r="B173" i="55" l="1"/>
  <c r="A172" i="55"/>
  <c r="A173" i="55" l="1"/>
  <c r="B174" i="55"/>
  <c r="A174" i="55" l="1"/>
  <c r="B175" i="55"/>
  <c r="A175" i="55" l="1"/>
  <c r="B176" i="55"/>
  <c r="A176" i="55" l="1"/>
  <c r="B177" i="55"/>
  <c r="A177" i="55" l="1"/>
  <c r="B178" i="55"/>
  <c r="B179" i="55" l="1"/>
  <c r="A178" i="55"/>
  <c r="A179" i="55" l="1"/>
  <c r="B180" i="55"/>
  <c r="A180" i="55" s="1"/>
</calcChain>
</file>

<file path=xl/sharedStrings.xml><?xml version="1.0" encoding="utf-8"?>
<sst xmlns="http://schemas.openxmlformats.org/spreadsheetml/2006/main" count="9797" uniqueCount="1096">
  <si>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</si>
  <si>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</si>
  <si>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</si>
  <si>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</si>
  <si>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</si>
  <si>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</si>
  <si>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</si>
  <si>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</si>
  <si>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</si>
  <si>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</si>
  <si>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</si>
  <si>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</si>
  <si>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</si>
  <si>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</si>
  <si>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</si>
  <si>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</si>
  <si>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</si>
  <si>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</si>
  <si>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</si>
  <si>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</si>
  <si>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</si>
  <si>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</si>
  <si>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</si>
  <si>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</si>
  <si>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</si>
  <si>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</si>
  <si>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</si>
  <si>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</si>
  <si>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</si>
  <si>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</si>
  <si>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</si>
  <si>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</si>
  <si>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</si>
  <si>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</si>
  <si>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</si>
  <si>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</si>
  <si>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</si>
  <si>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</si>
  <si>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</si>
  <si>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</si>
  <si>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</si>
  <si>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</si>
  <si>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</si>
  <si>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</si>
  <si>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</si>
  <si>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</si>
  <si>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</si>
  <si>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</si>
  <si>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</si>
  <si>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</si>
  <si>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</si>
  <si>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</si>
  <si>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</si>
  <si>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</si>
  <si>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</si>
  <si>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</si>
  <si>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</si>
  <si>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</si>
  <si>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</si>
  <si>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</si>
  <si>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</si>
  <si>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</si>
  <si>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</si>
  <si>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</si>
  <si>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</si>
  <si>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</si>
  <si>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</si>
  <si>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</si>
  <si>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</si>
  <si>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</si>
  <si>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</si>
  <si>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</si>
  <si>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</si>
  <si>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</si>
  <si>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</si>
  <si>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</si>
  <si>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</si>
  <si>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</si>
  <si>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</si>
  <si>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</si>
  <si>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</si>
  <si>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</si>
  <si>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</si>
  <si>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</si>
  <si>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</si>
  <si>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</si>
  <si>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</si>
  <si>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</si>
  <si>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</si>
  <si>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</si>
  <si>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</si>
  <si>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</si>
  <si>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</si>
  <si>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</si>
  <si>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</si>
  <si>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</si>
  <si>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</si>
  <si>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</si>
  <si>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</si>
  <si>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</si>
  <si>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</si>
  <si>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</si>
  <si>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</si>
  <si>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</si>
  <si>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</si>
  <si>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</si>
  <si>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</si>
  <si>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</si>
  <si>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</si>
  <si>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</si>
  <si>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</si>
  <si>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</si>
  <si>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</si>
  <si>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</si>
  <si>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</si>
  <si>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</si>
  <si>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</si>
  <si>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</si>
  <si>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</si>
  <si>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</si>
  <si>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</si>
  <si>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</si>
  <si>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</si>
  <si>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</si>
  <si>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</si>
  <si>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</si>
  <si>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</si>
  <si>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</si>
  <si>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</si>
  <si>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</si>
  <si>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</si>
  <si>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</si>
  <si>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</si>
  <si>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</si>
  <si>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</si>
  <si>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</si>
  <si>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</si>
  <si>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</si>
  <si>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</si>
  <si>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</si>
  <si>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</si>
  <si>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</si>
  <si>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</si>
  <si>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</si>
  <si>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</si>
  <si>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</si>
  <si>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</si>
  <si>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</si>
  <si>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</si>
  <si>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</si>
  <si>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</si>
  <si>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</si>
  <si>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</si>
  <si>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</si>
  <si>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</si>
  <si>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</si>
  <si>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</si>
  <si>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</si>
  <si>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</si>
  <si>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</si>
  <si>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</si>
  <si>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</si>
  <si>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</si>
  <si>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</si>
  <si>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</si>
  <si>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</si>
  <si>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</si>
  <si>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</si>
  <si>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</si>
  <si>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</si>
  <si>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</si>
  <si>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</si>
  <si>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</si>
  <si>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</si>
  <si>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</si>
  <si>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</si>
  <si>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</si>
  <si>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</si>
  <si>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</si>
  <si>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</si>
  <si>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</si>
  <si>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</si>
  <si>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</si>
  <si>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</si>
  <si>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</si>
  <si>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</si>
  <si>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</si>
  <si>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</si>
  <si>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</si>
  <si>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</si>
  <si>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</si>
  <si>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</si>
  <si>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</si>
  <si>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</si>
  <si>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</si>
  <si>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</si>
  <si>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</si>
  <si>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</si>
  <si>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</si>
  <si>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</si>
  <si>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</si>
  <si>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</si>
  <si>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</si>
  <si>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</si>
  <si>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</si>
  <si>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</si>
  <si>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</si>
  <si>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</si>
  <si>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</si>
  <si>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</si>
  <si>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</si>
  <si>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</si>
  <si>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</si>
  <si>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</si>
  <si>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</si>
  <si>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</si>
  <si>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</si>
  <si>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</si>
  <si>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</si>
  <si>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</si>
  <si>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</si>
  <si>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</si>
  <si>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</si>
  <si>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</si>
  <si>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</si>
  <si>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</si>
  <si>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</si>
  <si>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</si>
  <si>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</si>
  <si>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</si>
  <si>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</si>
  <si>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</si>
  <si>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</si>
  <si>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</si>
  <si>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</si>
  <si>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</si>
  <si>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</si>
  <si>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</si>
  <si>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</si>
  <si>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</si>
  <si>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</si>
  <si>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</si>
  <si>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</si>
  <si>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</si>
  <si>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</si>
  <si>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</si>
  <si>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</si>
  <si>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</si>
  <si>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</si>
  <si>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</si>
  <si>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</si>
  <si>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</si>
  <si>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</si>
  <si>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</si>
  <si>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</si>
  <si>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</si>
  <si>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</si>
  <si>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</si>
  <si>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</si>
  <si>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</si>
  <si>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</si>
  <si>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</si>
  <si>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</si>
  <si>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</si>
  <si>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</si>
  <si>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</si>
  <si>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</si>
  <si>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</si>
  <si>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</si>
  <si>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</si>
  <si>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</si>
  <si>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</si>
  <si>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</si>
  <si>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</si>
  <si>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</si>
  <si>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</si>
  <si>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</si>
  <si>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</si>
  <si>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</si>
  <si>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</si>
  <si>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</si>
  <si>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</si>
  <si>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</si>
  <si>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</si>
  <si>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</si>
  <si>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</si>
  <si>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</si>
  <si>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</si>
  <si>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</si>
  <si>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</si>
  <si>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</si>
  <si>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</si>
  <si>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</si>
  <si>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</si>
  <si>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</si>
  <si>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</si>
  <si>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</si>
  <si>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</si>
  <si>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</si>
  <si>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</si>
  <si>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</si>
  <si>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</si>
  <si>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</si>
  <si>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</si>
  <si>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</si>
  <si>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</si>
  <si>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</si>
  <si>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</si>
  <si>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</si>
  <si>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</si>
  <si>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</si>
  <si>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</si>
  <si>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</si>
  <si>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</si>
  <si>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</si>
  <si>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</si>
  <si>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</si>
  <si>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</si>
  <si>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</si>
  <si>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</si>
  <si>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Hữu Hình</t>
  </si>
  <si>
    <t xml:space="preserve"> Chi phí bán hàng</t>
  </si>
  <si>
    <t>K/C doanh thu thành phẩm</t>
  </si>
  <si>
    <t>THÁNG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</si>
  <si>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</si>
  <si>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</si>
  <si>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</si>
  <si>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</si>
  <si>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</si>
  <si>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</si>
  <si>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</si>
  <si>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</si>
  <si>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</si>
  <si>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</si>
  <si>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</si>
  <si>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</si>
  <si>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</si>
  <si>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</si>
  <si>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</si>
  <si>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</si>
  <si>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</si>
  <si>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</si>
  <si>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</si>
  <si>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</si>
  <si>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T01</t>
  </si>
  <si>
    <t>T02</t>
  </si>
  <si>
    <t>Máy chap khe khổ 2m</t>
  </si>
  <si>
    <t>Máy đóng kẽm</t>
  </si>
  <si>
    <t>Máy In</t>
  </si>
  <si>
    <t>T03</t>
  </si>
  <si>
    <t>Ngày  31   tháng  12  năm  2011</t>
  </si>
  <si>
    <t>Thuế GTGT đầu ra</t>
  </si>
  <si>
    <t>3331</t>
  </si>
  <si>
    <t>Nguyên vật liệu chính</t>
  </si>
  <si>
    <t>Nguyên vật liệu phụ</t>
  </si>
  <si>
    <t>Mực in</t>
  </si>
  <si>
    <t>Trả trước ngắn hạn</t>
  </si>
  <si>
    <t>Năm 2011</t>
  </si>
  <si>
    <t>331 131</t>
  </si>
  <si>
    <t>Thu vốn góp Lê Thị Dung</t>
  </si>
  <si>
    <t>Quý III</t>
  </si>
  <si>
    <t>Quý IV</t>
  </si>
  <si>
    <t>K/C lãi ( lỗ ) SXKD</t>
  </si>
  <si>
    <t>TK</t>
  </si>
  <si>
    <t>- Sổ này có 16 Trang, đánh số từ trang 01 đến trang 16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</si>
  <si>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</si>
  <si>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</si>
  <si>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</si>
  <si>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</si>
  <si>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</si>
  <si>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</si>
  <si>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</si>
  <si>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</si>
  <si>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</si>
  <si>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</si>
  <si>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</si>
  <si>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</si>
  <si>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</si>
  <si>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</si>
  <si>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</si>
  <si>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</si>
  <si>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</si>
  <si>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</si>
  <si>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</si>
  <si>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</si>
  <si>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</si>
  <si>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</si>
  <si>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</si>
  <si>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</si>
  <si>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</si>
  <si>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</si>
  <si>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</si>
  <si>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</si>
  <si>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</si>
  <si>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</si>
  <si>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</si>
  <si>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</si>
  <si>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</si>
  <si>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</si>
  <si>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</si>
  <si>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</si>
  <si>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</si>
  <si>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</si>
  <si>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</si>
  <si>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</si>
  <si>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</si>
  <si>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</si>
  <si>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</si>
  <si>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</si>
  <si>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</si>
  <si>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</si>
  <si>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</si>
  <si>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</si>
  <si>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</si>
  <si>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</si>
  <si>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</si>
  <si>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</si>
  <si>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</si>
  <si>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</si>
  <si>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</si>
  <si>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</si>
  <si>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</si>
  <si>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</si>
  <si>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</si>
  <si>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</si>
  <si>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</si>
  <si>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</si>
  <si>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</si>
  <si>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</si>
  <si>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</si>
  <si>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</si>
  <si>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</si>
  <si>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</si>
  <si>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</si>
  <si>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</si>
  <si>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</si>
  <si>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</si>
  <si>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</si>
  <si>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</si>
  <si>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</si>
  <si>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</si>
  <si>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</si>
  <si>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</si>
  <si>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</si>
  <si>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</si>
  <si>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</si>
  <si>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</si>
  <si>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</si>
  <si>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</si>
  <si>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</si>
  <si>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</si>
  <si>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</si>
  <si>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</si>
  <si>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</si>
  <si>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</si>
  <si>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</si>
  <si>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</si>
  <si>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</si>
  <si>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</si>
  <si>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</si>
  <si>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</si>
  <si>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</si>
  <si>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</si>
  <si>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</si>
  <si>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</si>
  <si>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</si>
  <si>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</si>
  <si>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</si>
  <si>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</si>
  <si>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</si>
  <si>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</si>
  <si>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</si>
  <si>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</si>
  <si>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</si>
  <si>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</si>
  <si>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</si>
  <si>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</si>
  <si>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</si>
  <si>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</si>
  <si>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</si>
  <si>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</si>
  <si>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</si>
  <si>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</si>
  <si>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</si>
  <si>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</si>
  <si>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</si>
  <si>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</si>
  <si>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</si>
  <si>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</si>
  <si>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</si>
  <si>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</si>
  <si>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</si>
  <si>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</si>
  <si>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Hộp âm dương (85.5x100.5x35)</t>
  </si>
  <si>
    <t>VAT Hộp âm dương</t>
  </si>
  <si>
    <t>Cty TNHH Greenled</t>
  </si>
  <si>
    <t>VAT Thùng carton</t>
  </si>
  <si>
    <t>Thùng carton (117x87x5)</t>
  </si>
  <si>
    <t>Thùng carton (103x54x180)</t>
  </si>
  <si>
    <t>Thùng carton (88x68x15)</t>
  </si>
  <si>
    <t>Thùng carton (47x42x25)</t>
  </si>
  <si>
    <t>Thùng carton (48x41x29)</t>
  </si>
  <si>
    <t>Thùng carton (45x37x27.5)</t>
  </si>
  <si>
    <t>Thùng carton (55x28x23.5)</t>
  </si>
  <si>
    <t>Thùng carton (37.5x23.5x69.5)</t>
  </si>
  <si>
    <t>Thùng carton (40x25x72)</t>
  </si>
  <si>
    <t>Cty TNHH SX TM DV Quà Việt</t>
  </si>
  <si>
    <t xml:space="preserve">VAT Tấm lót </t>
  </si>
  <si>
    <t>Tấm lót (70x45)</t>
  </si>
  <si>
    <t>Tấm lót (50x40)</t>
  </si>
  <si>
    <t>Thùng carton (37.5x25.5x23.9)</t>
  </si>
  <si>
    <t>Thùng carton (49.5x38.5x32.5)</t>
  </si>
  <si>
    <t>Thùng carton (72x51.5x40)</t>
  </si>
  <si>
    <t>Thùng carton (48x40x18)</t>
  </si>
  <si>
    <t>Thùng carton (39.5x26.5x29.5)</t>
  </si>
  <si>
    <t>Thùng carton (49x38x12)</t>
  </si>
  <si>
    <t>Thùng carton (49x38x13)</t>
  </si>
  <si>
    <t>Thùng carton (42x24x25)</t>
  </si>
  <si>
    <t>Thùng carton (50x37x21)</t>
  </si>
  <si>
    <t>Thùng carton (45x33x46)</t>
  </si>
  <si>
    <t>Thùng carton (52x24.5x24.5)</t>
  </si>
  <si>
    <t>Thùng carton (22.5x22.5x52)</t>
  </si>
  <si>
    <t>Thùng carton (55x45x29)</t>
  </si>
  <si>
    <t>Thùng carton (49x38x12.5)</t>
  </si>
  <si>
    <t>Thùng carton (36.5x26.5x26)</t>
  </si>
  <si>
    <t>Cty TNHH MTV DV Quảng Cáo Lu Bi</t>
  </si>
  <si>
    <t>Thùng carton (62x42.5x42.5)</t>
  </si>
  <si>
    <t>Thùng carton (52x24x24)</t>
  </si>
  <si>
    <t>Thùng carton (52x27x27)</t>
  </si>
  <si>
    <t>Thùng carton (103x50x180)</t>
  </si>
  <si>
    <t>Thùng carton (40x29.5x19)</t>
  </si>
  <si>
    <t>Thùng carton (40x25.5x72)</t>
  </si>
  <si>
    <t>Giấy 2 lớp</t>
  </si>
  <si>
    <t>VAT giấy</t>
  </si>
  <si>
    <t>Thùng carton (51.5x39.5x39.5)</t>
  </si>
  <si>
    <t>Tấm lót (50x38)</t>
  </si>
  <si>
    <t>Thùng carton (52.5x30.5x8.5)</t>
  </si>
  <si>
    <t>Thùng carton (53x31x9.2)</t>
  </si>
  <si>
    <t>Thùng carton (43x27.5x23)</t>
  </si>
  <si>
    <t xml:space="preserve">VAT Giấy tấm </t>
  </si>
  <si>
    <t>Thùng carton (52x28x28)</t>
  </si>
  <si>
    <t>Thùng carton (32x26x25)</t>
  </si>
  <si>
    <t>VAT Giấy</t>
  </si>
  <si>
    <t>Thùng carton (23.5x23.5x30)</t>
  </si>
  <si>
    <t>Cty TNHH MTV TM Trường Phúc</t>
  </si>
  <si>
    <t>Thùng carton (44.5x28.5x22.5)</t>
  </si>
  <si>
    <t>Thùng carton (52x26.5x26.5)</t>
  </si>
  <si>
    <t>Thùng carton (52x32x21)</t>
  </si>
  <si>
    <t>Thùng carton (50x25x30)</t>
  </si>
  <si>
    <t>Thùng carton (41.5x24.5x11.6)</t>
  </si>
  <si>
    <t>Thùng carton (46.5x26.5x11.5)</t>
  </si>
  <si>
    <t>Cty TNHH SXTM Phú Hưng Cường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</si>
  <si>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</si>
  <si>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</si>
  <si>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</si>
  <si>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</si>
  <si>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</si>
  <si>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</si>
  <si>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</si>
  <si>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</si>
  <si>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</si>
  <si>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</si>
  <si>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</si>
  <si>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</si>
  <si>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</si>
  <si>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</si>
  <si>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</si>
  <si>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</si>
  <si>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</si>
  <si>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</si>
  <si>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</si>
  <si>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</si>
  <si>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</si>
  <si>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</si>
  <si>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</si>
  <si>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</si>
  <si>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</si>
  <si>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</si>
  <si>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</si>
  <si>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</si>
  <si>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</si>
  <si>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</si>
  <si>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</si>
  <si>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</si>
  <si>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</si>
  <si>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</si>
  <si>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</si>
  <si>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</si>
  <si>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</si>
  <si>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</si>
  <si>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</si>
  <si>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</si>
  <si>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</si>
  <si>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</si>
  <si>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</si>
  <si>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</si>
  <si>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</si>
  <si>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</si>
  <si>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</si>
  <si>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</si>
  <si>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</si>
  <si>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</si>
  <si>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</si>
  <si>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</si>
  <si>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</si>
  <si>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</si>
  <si>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</si>
  <si>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</si>
  <si>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</si>
  <si>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</si>
  <si>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</si>
  <si>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</si>
  <si>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</si>
  <si>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</si>
  <si>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</si>
  <si>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</si>
  <si>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</si>
  <si>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</si>
  <si>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</si>
  <si>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</si>
  <si>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</si>
  <si>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</si>
  <si>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</si>
  <si>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</si>
  <si>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</si>
  <si>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Thùng carton (61x51x30)</t>
  </si>
  <si>
    <t>Phí sử dụng đường bộ</t>
  </si>
  <si>
    <t>VAT Phí sử dụng đường bộ</t>
  </si>
  <si>
    <t>0000498</t>
  </si>
  <si>
    <t>Máy sóng giấy carton đầu 5 lớp</t>
  </si>
  <si>
    <t>VAT máy móc tiết bị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</si>
  <si>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</si>
  <si>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</si>
  <si>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</si>
  <si>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</si>
  <si>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</si>
  <si>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</si>
  <si>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</si>
  <si>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</si>
  <si>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</si>
  <si>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C08</t>
  </si>
  <si>
    <t>C13</t>
  </si>
  <si>
    <t>C14</t>
  </si>
  <si>
    <t>T04</t>
  </si>
  <si>
    <t>Thu vốn góp</t>
  </si>
  <si>
    <t>Lê Thị Dung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</si>
  <si>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</si>
  <si>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</si>
  <si>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</si>
  <si>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</si>
  <si>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</si>
  <si>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</si>
  <si>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</si>
  <si>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</si>
  <si>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</si>
  <si>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</si>
  <si>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</si>
  <si>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</si>
  <si>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</si>
  <si>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</si>
  <si>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</si>
  <si>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</si>
  <si>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</si>
  <si>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</si>
  <si>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</si>
  <si>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</si>
  <si>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</si>
  <si>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</si>
  <si>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</si>
  <si>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</si>
  <si>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</si>
  <si>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</si>
  <si>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</si>
  <si>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</si>
  <si>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</si>
  <si>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</si>
  <si>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</si>
  <si>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</si>
  <si>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</si>
  <si>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</si>
  <si>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</si>
  <si>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</si>
  <si>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</si>
  <si>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</si>
  <si>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</si>
  <si>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</si>
  <si>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</si>
  <si>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</si>
  <si>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</si>
  <si>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</si>
  <si>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</si>
  <si>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</si>
  <si>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</si>
  <si>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</si>
  <si>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</si>
  <si>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</si>
  <si>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</si>
  <si>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Cty TNHH MTV Hoàng Gia -Mỹ Hạnh</t>
  </si>
  <si>
    <t>0002104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</si>
  <si>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</si>
  <si>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</si>
  <si>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</si>
  <si>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</si>
  <si>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</si>
  <si>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</si>
  <si>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</si>
  <si>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</si>
  <si>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</si>
  <si>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</si>
  <si>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</si>
  <si>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</si>
  <si>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</si>
  <si>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</si>
  <si>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</si>
  <si>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</si>
  <si>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</si>
  <si>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</si>
  <si>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</si>
  <si>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</si>
  <si>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</si>
  <si>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</si>
  <si>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</si>
  <si>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</si>
  <si>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</si>
  <si>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</si>
  <si>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</si>
  <si>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</si>
  <si>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</si>
  <si>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</si>
  <si>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0000038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</si>
  <si>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</si>
  <si>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</si>
  <si>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</si>
  <si>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</si>
  <si>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</si>
  <si>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</si>
  <si>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</si>
  <si>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</si>
  <si>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</si>
  <si>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</si>
  <si>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</si>
  <si>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</si>
  <si>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</si>
  <si>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</si>
  <si>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</si>
  <si>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</si>
  <si>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</si>
  <si>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</si>
  <si>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</si>
  <si>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</si>
  <si>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</si>
  <si>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</si>
  <si>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</si>
  <si>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</si>
  <si>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</si>
  <si>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</si>
  <si>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</si>
  <si>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</si>
  <si>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</si>
  <si>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</si>
  <si>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</si>
  <si>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</si>
  <si>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</si>
  <si>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</si>
  <si>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</si>
  <si>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</si>
  <si>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</si>
  <si>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</si>
  <si>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</si>
  <si>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</si>
  <si>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</si>
  <si>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</si>
  <si>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</si>
  <si>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Dầu DO</t>
  </si>
  <si>
    <t>VAT Dầu DO</t>
  </si>
  <si>
    <t>Tiền thuê xưởng T10/2016</t>
  </si>
  <si>
    <t>0000111</t>
  </si>
  <si>
    <t>Củi đòn cao su</t>
  </si>
  <si>
    <t>VAT Củi đòn cao su</t>
  </si>
  <si>
    <t>0000489</t>
  </si>
  <si>
    <t>Cty TNHH TMDV Đại Phú Hào Đức Hòa</t>
  </si>
  <si>
    <t>0000491</t>
  </si>
  <si>
    <t>0000276</t>
  </si>
  <si>
    <t>Giấy xeo</t>
  </si>
  <si>
    <t>Chi Nhánh DNTN Lợi Lộc Phước 1</t>
  </si>
  <si>
    <t>0000224</t>
  </si>
  <si>
    <t>Vật dụng sửa xe</t>
  </si>
  <si>
    <t>VAT Vật dụng sửa xe</t>
  </si>
  <si>
    <t>0000265</t>
  </si>
  <si>
    <t>0000266</t>
  </si>
  <si>
    <t>0000269</t>
  </si>
  <si>
    <t>Văn phòng phẩm</t>
  </si>
  <si>
    <t>VAT Văn phòng phẩm</t>
  </si>
  <si>
    <t>0000051</t>
  </si>
  <si>
    <t>Cty TNHH TMDV VPP Khang Lê</t>
  </si>
  <si>
    <t>0000496</t>
  </si>
  <si>
    <t>Lê Kim Ngọc Thảo</t>
  </si>
  <si>
    <t>Phí nộp tiền chuyển trong ngày</t>
  </si>
  <si>
    <t>VAT Phí nộp tiền chuyển trong ngày</t>
  </si>
  <si>
    <t>Phí chịu thay</t>
  </si>
  <si>
    <t>Tiền thuê xưởng T07/2016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</si>
  <si>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</si>
  <si>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</si>
  <si>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</si>
  <si>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</si>
  <si>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</si>
  <si>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</si>
  <si>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</si>
  <si>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</si>
  <si>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</si>
  <si>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</si>
  <si>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</si>
  <si>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</si>
  <si>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</si>
  <si>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</si>
  <si>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</si>
  <si>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</si>
  <si>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Thùng mực viết máy (29x18x18.8)</t>
  </si>
  <si>
    <t>Thùng keo dán (42.5x28.5x23)</t>
  </si>
  <si>
    <t>Thùng carton chảo 30 (63x53x32)</t>
  </si>
  <si>
    <t>Trích khấu hao TSCĐ Hữu hình</t>
  </si>
  <si>
    <t>Tiền lương BP Văn phòng</t>
  </si>
  <si>
    <t>Tiền lương BP Phân Xưởng &amp; CN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</si>
  <si>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</si>
  <si>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</si>
  <si>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</si>
  <si>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</si>
  <si>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</si>
  <si>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</si>
  <si>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</si>
  <si>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</si>
  <si>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</si>
  <si>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</si>
  <si>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</si>
  <si>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</si>
  <si>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</si>
  <si>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</si>
  <si>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</si>
  <si>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</si>
  <si>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</si>
  <si>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</si>
  <si>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</si>
  <si>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</si>
  <si>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</si>
  <si>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</si>
  <si>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</si>
  <si>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</si>
  <si>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</si>
  <si>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</si>
  <si>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</si>
  <si>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</si>
  <si>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</si>
  <si>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</si>
  <si>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</si>
  <si>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</si>
  <si>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</si>
  <si>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VAT Tấm carton</t>
  </si>
  <si>
    <t>Tấm carton (36x26)</t>
  </si>
  <si>
    <t>Tấm carton (36x22)</t>
  </si>
  <si>
    <t>Tấm carton (36x18)</t>
  </si>
  <si>
    <t>Tấm carton (36x36)</t>
  </si>
  <si>
    <t>VAT Keo 932 H1</t>
  </si>
  <si>
    <t>Keo 932 H1</t>
  </si>
  <si>
    <t>Cty TNHH SXTM&amp;DV Vĩnh Khải Tấn</t>
  </si>
  <si>
    <t>Tinh bột khoai mì</t>
  </si>
  <si>
    <t>0002388</t>
  </si>
  <si>
    <t>0000241</t>
  </si>
  <si>
    <t>Xe nâng tay</t>
  </si>
  <si>
    <t>VAT Xe nâng tay</t>
  </si>
  <si>
    <t>Cty TNHH Công Nghiệp Việt Nhật</t>
  </si>
  <si>
    <t>0001966</t>
  </si>
  <si>
    <t>VAT Tinh bột khoai mì</t>
  </si>
  <si>
    <t>0001474</t>
  </si>
  <si>
    <t>Tiền thuê xưởng T11/2016</t>
  </si>
  <si>
    <t>Chi phí tiếp khách</t>
  </si>
  <si>
    <t>VAT Chi phí tiếp khách</t>
  </si>
  <si>
    <t>0007724</t>
  </si>
  <si>
    <t>CN Cty CP Nhà Hàng Gói và Cuốn</t>
  </si>
  <si>
    <t>0000074</t>
  </si>
  <si>
    <t>Giấy cuộn</t>
  </si>
  <si>
    <t>VAT 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</si>
  <si>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</si>
  <si>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</si>
  <si>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</si>
  <si>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</si>
  <si>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</si>
  <si>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</si>
  <si>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</si>
  <si>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</si>
  <si>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</si>
  <si>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0000136</t>
  </si>
  <si>
    <t>VAT Giấy carton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</si>
  <si>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</si>
  <si>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</si>
  <si>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</si>
  <si>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</si>
  <si>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</si>
  <si>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</si>
  <si>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</si>
  <si>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</si>
  <si>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</si>
  <si>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</si>
  <si>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</si>
  <si>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</si>
  <si>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</si>
  <si>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</si>
  <si>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</si>
  <si>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</si>
  <si>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</si>
  <si>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</si>
  <si>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</si>
  <si>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</si>
  <si>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</si>
  <si>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</si>
  <si>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</si>
  <si>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</si>
  <si>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</si>
  <si>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</si>
  <si>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</si>
  <si>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</si>
  <si>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</si>
  <si>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</si>
  <si>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</si>
  <si>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</si>
  <si>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</si>
  <si>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</si>
  <si>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</si>
  <si>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</si>
  <si>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</si>
  <si>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</si>
  <si>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</si>
  <si>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</si>
  <si>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</si>
  <si>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</si>
  <si>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</si>
  <si>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</si>
  <si>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</si>
  <si>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</si>
  <si>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0001043</t>
  </si>
  <si>
    <t>0002562</t>
  </si>
  <si>
    <t>Chi Nhánh DNTN Nam Trường Tín</t>
  </si>
  <si>
    <t>0001051</t>
  </si>
  <si>
    <t>0000996</t>
  </si>
  <si>
    <t>0000941</t>
  </si>
  <si>
    <t>0000169</t>
  </si>
  <si>
    <t>VL/N04</t>
  </si>
  <si>
    <t>VL/N05</t>
  </si>
  <si>
    <t>VL/N06</t>
  </si>
  <si>
    <t>VL/N07</t>
  </si>
  <si>
    <t>VL/N08</t>
  </si>
  <si>
    <t>VL/N09</t>
  </si>
  <si>
    <t>VL/N10</t>
  </si>
  <si>
    <t>VL/N11</t>
  </si>
  <si>
    <t>VL/N12</t>
  </si>
  <si>
    <t>VL/N13</t>
  </si>
  <si>
    <t>NL/N06</t>
  </si>
  <si>
    <t>0000740</t>
  </si>
  <si>
    <t>0000685</t>
  </si>
  <si>
    <t>Cty TNHH Bao Bì Giấy Sài Gòn</t>
  </si>
  <si>
    <t>Thùng carton (82x37.5x11.2)</t>
  </si>
  <si>
    <t>0000156</t>
  </si>
  <si>
    <t>Thùng carton (51x37x27)</t>
  </si>
  <si>
    <t>Cty TNHH May Nhật Anh</t>
  </si>
  <si>
    <t>TP/X65</t>
  </si>
  <si>
    <t>TP/X66</t>
  </si>
  <si>
    <t>TP/X67</t>
  </si>
  <si>
    <t>TP/X68</t>
  </si>
  <si>
    <t>TP/X69</t>
  </si>
  <si>
    <t>TP/X70</t>
  </si>
  <si>
    <t>TP/X71</t>
  </si>
  <si>
    <t>TP/X72</t>
  </si>
  <si>
    <t>tấm</t>
  </si>
  <si>
    <t>cái</t>
  </si>
  <si>
    <t>Hoàn trả lệnh chuyển tiền do sai tên</t>
  </si>
  <si>
    <t>Thanh toán tiền điện</t>
  </si>
  <si>
    <t>Thanh toán tiền thuê kho T12/2016</t>
  </si>
  <si>
    <t>Tiền thuê xưởng T12/2016</t>
  </si>
  <si>
    <t>0055707</t>
  </si>
  <si>
    <t>Tiền thuê xưởng T09/2016</t>
  </si>
  <si>
    <t>Tiền thuê xưởng T08/2016</t>
  </si>
  <si>
    <t>0001285</t>
  </si>
  <si>
    <t>0000435</t>
  </si>
  <si>
    <t>0000512</t>
  </si>
  <si>
    <t>0000428</t>
  </si>
  <si>
    <t>Cước CPN T12/2016</t>
  </si>
  <si>
    <t>VAT Cước CPN T12/2016</t>
  </si>
  <si>
    <t>0208578</t>
  </si>
  <si>
    <t>Cty CP Bưu Chính Viettel</t>
  </si>
  <si>
    <t>Cty TNHH SX TM Kim Dung Phát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</si>
  <si>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</si>
  <si>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</si>
  <si>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</si>
  <si>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</si>
  <si>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</si>
  <si>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</si>
  <si>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</si>
  <si>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</si>
  <si>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</si>
  <si>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</si>
  <si>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</si>
  <si>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</si>
  <si>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C15</t>
  </si>
  <si>
    <t>C16</t>
  </si>
  <si>
    <t>C17</t>
  </si>
  <si>
    <t>C18</t>
  </si>
  <si>
    <t>T17</t>
  </si>
  <si>
    <t>T18</t>
  </si>
  <si>
    <t>C19</t>
  </si>
  <si>
    <t>C20</t>
  </si>
  <si>
    <t>C21</t>
  </si>
  <si>
    <t>C22</t>
  </si>
  <si>
    <t>T19</t>
  </si>
  <si>
    <t>T20</t>
  </si>
  <si>
    <t>C23</t>
  </si>
  <si>
    <t>C24</t>
  </si>
  <si>
    <t>C25</t>
  </si>
  <si>
    <t>T21</t>
  </si>
  <si>
    <t>T22</t>
  </si>
  <si>
    <t>T23</t>
  </si>
  <si>
    <t>T24</t>
  </si>
  <si>
    <t>T25</t>
  </si>
  <si>
    <t>NL/X</t>
  </si>
  <si>
    <t>TP/X</t>
  </si>
  <si>
    <t>0000083;0000077;0000070;0000061</t>
  </si>
  <si>
    <t>0000048;0000027;0000014</t>
  </si>
  <si>
    <t>0000020;0000021</t>
  </si>
  <si>
    <t>0000026;0000035;0000046</t>
  </si>
  <si>
    <t>0000076;0000085</t>
  </si>
  <si>
    <t>0000091;0000093</t>
  </si>
  <si>
    <t>0000029;0000031</t>
  </si>
  <si>
    <t>0000033;0000050</t>
  </si>
  <si>
    <t>0000013;0000023;0000039</t>
  </si>
  <si>
    <t>Trả lại tiền trả dư</t>
  </si>
  <si>
    <t>C26</t>
  </si>
  <si>
    <t>T26</t>
  </si>
  <si>
    <t>T27</t>
  </si>
  <si>
    <t>T28</t>
  </si>
  <si>
    <t>T29</t>
  </si>
  <si>
    <t>T30</t>
  </si>
  <si>
    <t>T31</t>
  </si>
  <si>
    <t>T32</t>
  </si>
  <si>
    <t>T34</t>
  </si>
  <si>
    <t>T33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</si>
  <si>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</si>
  <si>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</si>
  <si>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</si>
  <si>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</si>
  <si>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</si>
  <si>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</si>
  <si>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</si>
  <si>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</si>
  <si>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</si>
  <si>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</si>
  <si>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</si>
  <si>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</si>
  <si>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</si>
  <si>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</si>
  <si>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</si>
  <si>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</si>
  <si>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</si>
  <si>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</si>
  <si>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</si>
  <si>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</si>
  <si>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</si>
  <si>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</si>
  <si>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</si>
  <si>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</si>
  <si>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</si>
  <si>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</si>
  <si>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</si>
  <si>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</t>
  </si>
  <si>
    <t>Xuất sản xuất</t>
  </si>
  <si>
    <t>VL/X</t>
  </si>
  <si>
    <t>TP/N</t>
  </si>
  <si>
    <t>Nhập thành phẩm</t>
  </si>
  <si>
    <t>Xuất bán</t>
  </si>
  <si>
    <t>0000270</t>
  </si>
  <si>
    <t>Cty TNHH TM DV Top Marketing</t>
  </si>
  <si>
    <t>0000010</t>
  </si>
  <si>
    <t>NL/N07</t>
  </si>
  <si>
    <t>NL/N08</t>
  </si>
  <si>
    <t>NL/N09</t>
  </si>
  <si>
    <t>TP/X73</t>
  </si>
  <si>
    <t>0000165</t>
  </si>
  <si>
    <t>Cty TNHH Bao Bì Huỳnh Long</t>
  </si>
  <si>
    <t>Giấy 3L (58x48)</t>
  </si>
  <si>
    <t>Giấy 3L (58x38)</t>
  </si>
  <si>
    <t>Giấy 3L (25x20)</t>
  </si>
  <si>
    <t>Giấy 3L (120x240)</t>
  </si>
  <si>
    <t>Giấy 3L (41x40)</t>
  </si>
  <si>
    <t>Giấy 3L (88x41)</t>
  </si>
  <si>
    <t>Giấy 3L (47x30)</t>
  </si>
  <si>
    <t>XTP</t>
  </si>
  <si>
    <t>Nộp thuế môn bài</t>
  </si>
  <si>
    <t>Chi Cục Thuế Đức Hòa</t>
  </si>
  <si>
    <t>Thuế môn bài phải nộp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</si>
</sst>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8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rgb="FFC00000"/>
      <name val="Times New Roman"/>
      <family val="1"/>
    </font>
    <font>
      <sz val="10"/>
      <color rgb="FF0000FF"/>
      <name val="Arial"/>
      <family val="2"/>
    </font>
    <font>
      <sz val="10"/>
      <color rgb="FFC00000"/>
      <name val="Arial"/>
      <family val="2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  <font>
      <sz val="11"/>
      <color rgb="FF0000FF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1" fillId="0" borderId="0">
      <alignment horizontal="center"/>
    </xf>
    <xf numFmtId="0" fontId="45" fillId="0" borderId="0"/>
    <xf numFmtId="0" fontId="3" fillId="0" borderId="0"/>
    <xf numFmtId="0" fontId="51" fillId="0" borderId="0" applyNumberFormat="0" applyFill="0" applyBorder="0" applyAlignment="0" applyProtection="0">
      <alignment vertical="top"/>
      <protection locked="0"/>
    </xf>
    <xf numFmtId="43" fontId="5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6" fillId="0" borderId="0" applyFont="0" applyFill="0" applyBorder="0" applyAlignment="0" applyProtection="0"/>
    <xf numFmtId="0" fontId="5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6" fillId="0" borderId="0"/>
  </cellStyleXfs>
  <cellXfs count="1009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4" fillId="0" borderId="0" xfId="76" applyFont="1" applyFill="1" applyAlignment="1">
      <alignment horizontal="left" vertical="center"/>
    </xf>
    <xf numFmtId="0" fontId="38" fillId="0" borderId="0" xfId="76" applyFont="1" applyFill="1" applyAlignment="1">
      <alignment horizontal="center" vertical="center" wrapText="1"/>
    </xf>
    <xf numFmtId="0" fontId="38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7" applyNumberFormat="1" applyFont="1" applyFill="1" applyBorder="1" applyAlignment="1">
      <alignment vertical="center"/>
    </xf>
    <xf numFmtId="14" fontId="42" fillId="0" borderId="16" xfId="76" applyNumberFormat="1" applyFont="1" applyFill="1" applyBorder="1" applyAlignment="1">
      <alignment horizontal="center" vertical="center"/>
    </xf>
    <xf numFmtId="164" fontId="42" fillId="0" borderId="16" xfId="76" applyNumberFormat="1" applyFont="1" applyFill="1" applyBorder="1" applyAlignment="1">
      <alignment horizontal="left" vertical="center"/>
    </xf>
    <xf numFmtId="49" fontId="42" fillId="0" borderId="16" xfId="76" applyNumberFormat="1" applyFont="1" applyFill="1" applyBorder="1" applyAlignment="1">
      <alignment horizontal="left" vertical="center"/>
    </xf>
    <xf numFmtId="164" fontId="42" fillId="0" borderId="16" xfId="77" applyNumberFormat="1" applyFont="1" applyFill="1" applyBorder="1" applyAlignment="1">
      <alignment vertical="center"/>
    </xf>
    <xf numFmtId="0" fontId="42" fillId="0" borderId="16" xfId="76" quotePrefix="1" applyNumberFormat="1" applyFont="1" applyFill="1" applyBorder="1" applyAlignment="1">
      <alignment horizontal="center" vertical="center"/>
    </xf>
    <xf numFmtId="1" fontId="42" fillId="0" borderId="16" xfId="76" quotePrefix="1" applyNumberFormat="1" applyFont="1" applyFill="1" applyBorder="1" applyAlignment="1">
      <alignment horizontal="center" vertical="center"/>
    </xf>
    <xf numFmtId="49" fontId="38" fillId="0" borderId="0" xfId="76" applyNumberFormat="1" applyFont="1" applyFill="1" applyAlignment="1">
      <alignment vertical="center"/>
    </xf>
    <xf numFmtId="49" fontId="38" fillId="0" borderId="0" xfId="76" applyNumberFormat="1" applyFont="1" applyFill="1" applyAlignment="1">
      <alignment horizontal="center" vertical="center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0" fillId="0" borderId="0" xfId="77" applyNumberFormat="1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10" fontId="5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horizontal="left" vertical="center"/>
      <protection hidden="1"/>
    </xf>
    <xf numFmtId="0" fontId="53" fillId="0" borderId="0" xfId="77" applyFont="1" applyFill="1" applyBorder="1" applyAlignment="1" applyProtection="1">
      <alignment horizontal="justify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171" fontId="5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53" fillId="0" borderId="0" xfId="74" applyNumberFormat="1" applyFont="1" applyFill="1" applyBorder="1" applyAlignment="1" applyProtection="1">
      <alignment vertical="center"/>
      <protection hidden="1"/>
    </xf>
    <xf numFmtId="10" fontId="53" fillId="0" borderId="0" xfId="79" applyNumberFormat="1" applyFont="1" applyFill="1" applyBorder="1" applyAlignment="1" applyProtection="1">
      <alignment vertical="center"/>
      <protection hidden="1"/>
    </xf>
    <xf numFmtId="49" fontId="55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horizontal="left" vertical="center"/>
      <protection hidden="1"/>
    </xf>
    <xf numFmtId="10" fontId="5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9" fillId="0" borderId="0" xfId="77" applyFont="1" applyFill="1" applyBorder="1" applyAlignment="1" applyProtection="1">
      <alignment vertical="center"/>
      <protection locked="0" hidden="1"/>
    </xf>
    <xf numFmtId="172" fontId="54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7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8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58" fillId="29" borderId="0" xfId="87" applyFont="1" applyFill="1" applyAlignment="1">
      <alignment vertical="center" wrapText="1"/>
    </xf>
    <xf numFmtId="43" fontId="34" fillId="0" borderId="16" xfId="29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horizontal="center" vertical="center"/>
      <protection hidden="1"/>
    </xf>
    <xf numFmtId="0" fontId="0" fillId="0" borderId="0" xfId="0" applyFill="1"/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0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164" fontId="42" fillId="0" borderId="16" xfId="29" applyNumberFormat="1" applyFont="1" applyFill="1" applyBorder="1" applyAlignment="1">
      <alignment horizontal="left" vertical="center"/>
    </xf>
    <xf numFmtId="164" fontId="42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61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8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16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3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60" fillId="0" borderId="0" xfId="80" applyFont="1" applyAlignment="1" applyProtection="1">
      <alignment horizontal="left" vertical="center"/>
      <protection hidden="1"/>
    </xf>
    <xf numFmtId="0" fontId="60" fillId="0" borderId="0" xfId="80" applyFont="1" applyAlignment="1" applyProtection="1">
      <alignment horizontal="center" vertical="center"/>
      <protection hidden="1"/>
    </xf>
    <xf numFmtId="0" fontId="46" fillId="0" borderId="0" xfId="97" applyFont="1"/>
    <xf numFmtId="0" fontId="33" fillId="0" borderId="0" xfId="97" applyFont="1"/>
    <xf numFmtId="0" fontId="33" fillId="0" borderId="0" xfId="97" applyFont="1" applyFill="1" applyBorder="1"/>
    <xf numFmtId="0" fontId="58" fillId="29" borderId="0" xfId="95" applyFont="1" applyFill="1" applyAlignment="1">
      <alignment vertical="top"/>
    </xf>
    <xf numFmtId="0" fontId="58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58" fillId="29" borderId="0" xfId="95" applyFont="1" applyFill="1" applyAlignment="1">
      <alignment horizontal="center" vertical="top"/>
    </xf>
    <xf numFmtId="0" fontId="36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6" fillId="0" borderId="22" xfId="97" applyFont="1" applyBorder="1" applyAlignment="1"/>
    <xf numFmtId="0" fontId="46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7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6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0" fillId="29" borderId="0" xfId="0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57" fillId="0" borderId="0" xfId="0" applyFont="1" applyAlignment="1" applyProtection="1">
      <alignment horizontal="center"/>
      <protection hidden="1"/>
    </xf>
    <xf numFmtId="0" fontId="57" fillId="0" borderId="0" xfId="0" applyNumberFormat="1" applyFont="1" applyProtection="1">
      <protection hidden="1"/>
    </xf>
    <xf numFmtId="14" fontId="57" fillId="0" borderId="0" xfId="0" applyNumberFormat="1" applyFont="1" applyProtection="1">
      <protection hidden="1"/>
    </xf>
    <xf numFmtId="164" fontId="57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164" fontId="38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8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1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8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9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8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65" fillId="0" borderId="0" xfId="93" applyFont="1" applyAlignment="1">
      <alignment vertical="center"/>
    </xf>
    <xf numFmtId="0" fontId="38" fillId="0" borderId="0" xfId="93" applyFont="1" applyAlignment="1">
      <alignment vertical="center" wrapText="1"/>
    </xf>
    <xf numFmtId="0" fontId="38" fillId="0" borderId="2" xfId="93" applyFont="1" applyBorder="1" applyAlignment="1">
      <alignment horizontal="center" vertical="center" wrapText="1"/>
    </xf>
    <xf numFmtId="0" fontId="68" fillId="0" borderId="2" xfId="93" applyFont="1" applyBorder="1" applyAlignment="1">
      <alignment horizontal="center" vertical="center"/>
    </xf>
    <xf numFmtId="164" fontId="68" fillId="0" borderId="2" xfId="94" applyNumberFormat="1" applyFont="1" applyBorder="1" applyAlignment="1">
      <alignment horizontal="center" vertical="center"/>
    </xf>
    <xf numFmtId="0" fontId="68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8" fillId="0" borderId="2" xfId="93" applyFont="1" applyBorder="1" applyAlignment="1">
      <alignment horizontal="center" vertical="center"/>
    </xf>
    <xf numFmtId="0" fontId="38" fillId="0" borderId="2" xfId="93" applyFont="1" applyBorder="1" applyAlignment="1">
      <alignment vertical="center"/>
    </xf>
    <xf numFmtId="0" fontId="38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0" fillId="0" borderId="0" xfId="94" applyNumberFormat="1" applyFont="1" applyAlignment="1">
      <alignment horizontal="center" vertical="center"/>
    </xf>
    <xf numFmtId="0" fontId="38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6" fillId="0" borderId="0" xfId="94" applyNumberFormat="1" applyFont="1" applyBorder="1" applyAlignment="1">
      <alignment vertical="center"/>
    </xf>
    <xf numFmtId="0" fontId="60" fillId="0" borderId="0" xfId="93" applyFont="1" applyAlignment="1">
      <alignment vertical="center"/>
    </xf>
    <xf numFmtId="0" fontId="60" fillId="0" borderId="0" xfId="93" applyFont="1" applyAlignment="1">
      <alignment horizontal="center" vertical="center"/>
    </xf>
    <xf numFmtId="164" fontId="69" fillId="0" borderId="0" xfId="94" applyNumberFormat="1" applyFont="1" applyBorder="1" applyAlignment="1">
      <alignment vertical="center"/>
    </xf>
    <xf numFmtId="164" fontId="60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8" fillId="0" borderId="2" xfId="94" applyNumberFormat="1" applyFont="1" applyBorder="1" applyAlignment="1">
      <alignment horizontal="center" vertical="center" wrapText="1"/>
    </xf>
    <xf numFmtId="0" fontId="68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68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68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8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8" fillId="0" borderId="2" xfId="94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3" fontId="38" fillId="0" borderId="0" xfId="94" applyNumberFormat="1" applyFont="1" applyBorder="1" applyAlignment="1">
      <alignment horizontal="center" vertical="center"/>
    </xf>
    <xf numFmtId="164" fontId="38" fillId="0" borderId="0" xfId="94" applyNumberFormat="1" applyFont="1" applyBorder="1" applyAlignment="1">
      <alignment horizontal="center" vertical="center"/>
    </xf>
    <xf numFmtId="0" fontId="38" fillId="0" borderId="12" xfId="93" applyFont="1" applyBorder="1" applyAlignment="1">
      <alignment horizontal="center" vertical="center"/>
    </xf>
    <xf numFmtId="3" fontId="38" fillId="0" borderId="12" xfId="94" applyNumberFormat="1" applyFont="1" applyBorder="1" applyAlignment="1">
      <alignment horizontal="center" vertical="center"/>
    </xf>
    <xf numFmtId="0" fontId="38" fillId="0" borderId="16" xfId="93" applyFont="1" applyBorder="1" applyAlignment="1">
      <alignment horizontal="center" vertical="center"/>
    </xf>
    <xf numFmtId="3" fontId="38" fillId="0" borderId="16" xfId="94" applyNumberFormat="1" applyFont="1" applyBorder="1" applyAlignment="1">
      <alignment horizontal="center" vertical="center"/>
    </xf>
    <xf numFmtId="0" fontId="38" fillId="0" borderId="19" xfId="93" applyFont="1" applyBorder="1" applyAlignment="1">
      <alignment horizontal="center" vertical="center"/>
    </xf>
    <xf numFmtId="3" fontId="38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8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8" fillId="0" borderId="0" xfId="0" applyFont="1" applyAlignment="1">
      <alignment horizontal="center" vertical="center"/>
    </xf>
    <xf numFmtId="0" fontId="38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60" fillId="0" borderId="0" xfId="93" applyFont="1" applyAlignment="1">
      <alignment horizontal="center" vertical="center"/>
    </xf>
    <xf numFmtId="0" fontId="63" fillId="0" borderId="0" xfId="93" applyFont="1" applyAlignment="1">
      <alignment vertical="center"/>
    </xf>
    <xf numFmtId="0" fontId="70" fillId="0" borderId="0" xfId="93" applyFont="1" applyAlignment="1">
      <alignment vertical="center"/>
    </xf>
    <xf numFmtId="0" fontId="62" fillId="0" borderId="0" xfId="93" applyFont="1" applyAlignment="1">
      <alignment vertical="center" wrapText="1"/>
    </xf>
    <xf numFmtId="0" fontId="71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8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64" fillId="0" borderId="0" xfId="29" applyNumberFormat="1" applyFont="1" applyAlignment="1">
      <alignment vertical="center"/>
    </xf>
    <xf numFmtId="41" fontId="64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0" fillId="0" borderId="0" xfId="93" applyFont="1" applyAlignment="1">
      <alignment horizontal="center"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3" fillId="0" borderId="0" xfId="0" applyFont="1" applyFill="1" applyAlignment="1"/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34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9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8" fillId="0" borderId="0" xfId="93" applyFont="1" applyFill="1" applyAlignment="1">
      <alignment vertical="center"/>
    </xf>
    <xf numFmtId="0" fontId="38" fillId="0" borderId="0" xfId="93" applyFont="1" applyFill="1" applyAlignment="1">
      <alignment horizontal="left" vertical="center"/>
    </xf>
    <xf numFmtId="164" fontId="72" fillId="0" borderId="0" xfId="77" applyNumberFormat="1" applyFont="1" applyAlignment="1">
      <alignment vertical="center"/>
    </xf>
    <xf numFmtId="164" fontId="61" fillId="0" borderId="0" xfId="77" applyNumberFormat="1" applyFont="1" applyAlignment="1">
      <alignment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8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73" fillId="0" borderId="0" xfId="77" applyFont="1" applyFill="1" applyBorder="1" applyAlignment="1" applyProtection="1">
      <alignment horizontal="left" vertical="center"/>
      <protection hidden="1"/>
    </xf>
    <xf numFmtId="0" fontId="74" fillId="0" borderId="0" xfId="80" applyFont="1" applyAlignment="1" applyProtection="1">
      <alignment vertical="center"/>
      <protection hidden="1"/>
    </xf>
    <xf numFmtId="0" fontId="73" fillId="0" borderId="0" xfId="80" applyFont="1" applyAlignment="1" applyProtection="1">
      <alignment horizontal="center" vertical="center"/>
      <protection hidden="1"/>
    </xf>
    <xf numFmtId="0" fontId="74" fillId="0" borderId="0" xfId="77" applyFont="1" applyFill="1" applyBorder="1" applyAlignment="1" applyProtection="1">
      <alignment horizontal="left" vertical="center"/>
      <protection hidden="1"/>
    </xf>
    <xf numFmtId="0" fontId="74" fillId="0" borderId="0" xfId="80" applyFont="1" applyFill="1" applyBorder="1" applyAlignment="1" applyProtection="1">
      <alignment vertical="center"/>
      <protection hidden="1"/>
    </xf>
    <xf numFmtId="164" fontId="75" fillId="0" borderId="0" xfId="77" applyNumberFormat="1" applyFont="1" applyBorder="1" applyAlignment="1" applyProtection="1">
      <alignment vertical="center"/>
      <protection hidden="1"/>
    </xf>
    <xf numFmtId="0" fontId="73" fillId="0" borderId="0" xfId="80" applyFont="1" applyAlignment="1" applyProtection="1">
      <alignment vertical="center"/>
      <protection hidden="1"/>
    </xf>
    <xf numFmtId="0" fontId="74" fillId="0" borderId="0" xfId="80" applyFont="1" applyBorder="1" applyAlignment="1" applyProtection="1">
      <alignment vertical="center"/>
      <protection hidden="1"/>
    </xf>
    <xf numFmtId="0" fontId="48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0" fontId="34" fillId="0" borderId="0" xfId="98" applyFont="1" applyAlignment="1">
      <alignment vertical="center"/>
    </xf>
    <xf numFmtId="0" fontId="38" fillId="0" borderId="0" xfId="98" applyFont="1" applyAlignment="1">
      <alignment vertical="center"/>
    </xf>
    <xf numFmtId="164" fontId="38" fillId="0" borderId="0" xfId="29" applyNumberFormat="1" applyFont="1" applyBorder="1" applyAlignment="1">
      <alignment vertical="center"/>
    </xf>
    <xf numFmtId="164" fontId="38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8" fillId="0" borderId="2" xfId="98" applyFont="1" applyBorder="1" applyAlignment="1">
      <alignment vertical="center"/>
    </xf>
    <xf numFmtId="0" fontId="38" fillId="0" borderId="2" xfId="98" applyFont="1" applyBorder="1" applyAlignment="1">
      <alignment horizontal="center" vertical="center"/>
    </xf>
    <xf numFmtId="0" fontId="38" fillId="0" borderId="0" xfId="98" applyFont="1" applyBorder="1" applyAlignment="1">
      <alignment vertical="center"/>
    </xf>
    <xf numFmtId="0" fontId="38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8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67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67" fillId="0" borderId="19" xfId="98" applyFont="1" applyFill="1" applyBorder="1" applyAlignment="1">
      <alignment vertical="center"/>
    </xf>
    <xf numFmtId="164" fontId="67" fillId="0" borderId="19" xfId="29" applyNumberFormat="1" applyFont="1" applyFill="1" applyBorder="1" applyAlignment="1">
      <alignment vertical="center"/>
    </xf>
    <xf numFmtId="43" fontId="67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0" fontId="34" fillId="0" borderId="16" xfId="97" applyFont="1" applyBorder="1" applyAlignment="1">
      <alignment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49" fontId="3" fillId="0" borderId="0" xfId="0" applyNumberFormat="1" applyFont="1" applyFill="1" applyAlignment="1"/>
    <xf numFmtId="0" fontId="58" fillId="0" borderId="0" xfId="87" applyFont="1" applyFill="1" applyAlignment="1">
      <alignment horizontal="center" vertical="center"/>
    </xf>
    <xf numFmtId="0" fontId="59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2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72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9" xfId="97" applyFont="1" applyBorder="1" applyAlignment="1">
      <alignment vertical="center"/>
    </xf>
    <xf numFmtId="164" fontId="38" fillId="0" borderId="24" xfId="29" applyNumberFormat="1" applyFont="1" applyBorder="1" applyAlignment="1">
      <alignment vertical="center"/>
    </xf>
    <xf numFmtId="164" fontId="38" fillId="0" borderId="5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vertical="center"/>
    </xf>
    <xf numFmtId="173" fontId="38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8" fillId="0" borderId="2" xfId="29" applyFont="1" applyBorder="1" applyAlignment="1">
      <alignment vertical="center"/>
    </xf>
    <xf numFmtId="173" fontId="38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67" fillId="29" borderId="19" xfId="29" applyNumberFormat="1" applyFont="1" applyFill="1" applyBorder="1" applyAlignment="1">
      <alignment horizontal="right" vertical="center"/>
    </xf>
    <xf numFmtId="173" fontId="67" fillId="0" borderId="19" xfId="29" applyNumberFormat="1" applyFont="1" applyBorder="1" applyAlignment="1">
      <alignment vertical="center"/>
    </xf>
    <xf numFmtId="173" fontId="67" fillId="0" borderId="19" xfId="29" applyNumberFormat="1" applyFont="1" applyFill="1" applyBorder="1" applyAlignment="1">
      <alignment vertical="center"/>
    </xf>
    <xf numFmtId="0" fontId="76" fillId="0" borderId="16" xfId="77" applyNumberFormat="1" applyFont="1" applyFill="1" applyBorder="1" applyAlignment="1">
      <alignment horizontal="center" vertical="center"/>
    </xf>
    <xf numFmtId="14" fontId="76" fillId="0" borderId="16" xfId="54" applyNumberFormat="1" applyFont="1" applyFill="1" applyBorder="1" applyAlignment="1">
      <alignment horizontal="center" vertical="center"/>
    </xf>
    <xf numFmtId="14" fontId="76" fillId="0" borderId="16" xfId="90" applyNumberFormat="1" applyFont="1" applyFill="1" applyBorder="1" applyAlignment="1">
      <alignment horizontal="center" vertical="center"/>
    </xf>
    <xf numFmtId="164" fontId="76" fillId="0" borderId="16" xfId="90" applyNumberFormat="1" applyFont="1" applyFill="1" applyBorder="1" applyAlignment="1">
      <alignment horizontal="left" vertical="center"/>
    </xf>
    <xf numFmtId="164" fontId="76" fillId="0" borderId="16" xfId="90" quotePrefix="1" applyNumberFormat="1" applyFont="1" applyFill="1" applyBorder="1" applyAlignment="1">
      <alignment horizontal="left" vertical="center"/>
    </xf>
    <xf numFmtId="3" fontId="76" fillId="0" borderId="16" xfId="46" applyFont="1" applyBorder="1" applyAlignment="1">
      <alignment vertical="center"/>
    </xf>
    <xf numFmtId="164" fontId="76" fillId="0" borderId="16" xfId="29" applyNumberFormat="1" applyFont="1" applyFill="1" applyBorder="1" applyAlignment="1">
      <alignment horizontal="left" vertical="center"/>
    </xf>
    <xf numFmtId="0" fontId="77" fillId="0" borderId="0" xfId="0" applyFont="1" applyFill="1" applyAlignment="1"/>
    <xf numFmtId="0" fontId="77" fillId="0" borderId="0" xfId="0" applyFont="1" applyFill="1"/>
    <xf numFmtId="164" fontId="77" fillId="0" borderId="0" xfId="0" applyNumberFormat="1" applyFont="1" applyFill="1"/>
    <xf numFmtId="164" fontId="34" fillId="0" borderId="16" xfId="29" applyNumberFormat="1" applyFont="1" applyFill="1" applyBorder="1" applyAlignment="1">
      <alignment horizontal="center" vertical="center"/>
    </xf>
    <xf numFmtId="0" fontId="42" fillId="0" borderId="16" xfId="90" quotePrefix="1" applyNumberFormat="1" applyFont="1" applyFill="1" applyBorder="1" applyAlignment="1">
      <alignment horizontal="center" vertical="center"/>
    </xf>
    <xf numFmtId="164" fontId="76" fillId="0" borderId="16" xfId="77" applyNumberFormat="1" applyFont="1" applyFill="1" applyBorder="1" applyAlignment="1">
      <alignment vertical="center"/>
    </xf>
    <xf numFmtId="14" fontId="42" fillId="0" borderId="16" xfId="90" applyNumberFormat="1" applyFont="1" applyFill="1" applyBorder="1" applyAlignment="1">
      <alignment horizontal="center" vertical="center"/>
    </xf>
    <xf numFmtId="164" fontId="42" fillId="0" borderId="16" xfId="90" applyNumberFormat="1" applyFont="1" applyFill="1" applyBorder="1" applyAlignment="1">
      <alignment horizontal="left" vertical="center"/>
    </xf>
    <xf numFmtId="164" fontId="42" fillId="0" borderId="16" xfId="90" quotePrefix="1" applyNumberFormat="1" applyFont="1" applyFill="1" applyBorder="1" applyAlignment="1">
      <alignment horizontal="left" vertical="center"/>
    </xf>
    <xf numFmtId="49" fontId="42" fillId="0" borderId="16" xfId="90" applyNumberFormat="1" applyFont="1" applyFill="1" applyBorder="1" applyAlignment="1">
      <alignment horizontal="left" vertical="center"/>
    </xf>
    <xf numFmtId="0" fontId="76" fillId="0" borderId="16" xfId="90" quotePrefix="1" applyNumberFormat="1" applyFont="1" applyFill="1" applyBorder="1" applyAlignment="1">
      <alignment horizontal="center" vertical="center"/>
    </xf>
    <xf numFmtId="14" fontId="78" fillId="0" borderId="16" xfId="90" applyNumberFormat="1" applyFont="1" applyFill="1" applyBorder="1" applyAlignment="1">
      <alignment horizontal="center" vertical="center"/>
    </xf>
    <xf numFmtId="164" fontId="78" fillId="0" borderId="16" xfId="90" quotePrefix="1" applyNumberFormat="1" applyFont="1" applyFill="1" applyBorder="1" applyAlignment="1">
      <alignment horizontal="left" vertical="center"/>
    </xf>
    <xf numFmtId="164" fontId="78" fillId="0" borderId="16" xfId="29" applyNumberFormat="1" applyFont="1" applyFill="1" applyBorder="1" applyAlignment="1">
      <alignment horizontal="left" vertical="center"/>
    </xf>
    <xf numFmtId="164" fontId="78" fillId="0" borderId="16" xfId="54" applyNumberFormat="1" applyFont="1" applyFill="1" applyBorder="1" applyAlignment="1">
      <alignment horizontal="left" vertical="center"/>
    </xf>
    <xf numFmtId="164" fontId="78" fillId="0" borderId="16" xfId="90" applyNumberFormat="1" applyFont="1" applyFill="1" applyBorder="1" applyAlignment="1">
      <alignment horizontal="left" vertical="center"/>
    </xf>
    <xf numFmtId="164" fontId="78" fillId="0" borderId="16" xfId="0" applyNumberFormat="1" applyFont="1" applyFill="1" applyBorder="1" applyAlignment="1">
      <alignment vertical="center"/>
    </xf>
    <xf numFmtId="0" fontId="42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76" fillId="0" borderId="0" xfId="90" quotePrefix="1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0" fontId="42" fillId="0" borderId="16" xfId="77" applyNumberFormat="1" applyFont="1" applyFill="1" applyBorder="1" applyAlignment="1">
      <alignment horizontal="center" vertical="center"/>
    </xf>
    <xf numFmtId="14" fontId="42" fillId="0" borderId="16" xfId="54" applyNumberFormat="1" applyFont="1" applyFill="1" applyBorder="1" applyAlignment="1">
      <alignment horizontal="center" vertical="center"/>
    </xf>
    <xf numFmtId="3" fontId="42" fillId="0" borderId="16" xfId="46" applyFont="1" applyFill="1" applyBorder="1" applyAlignment="1">
      <alignment vertical="center"/>
    </xf>
    <xf numFmtId="0" fontId="79" fillId="0" borderId="0" xfId="0" applyFont="1" applyFill="1" applyAlignment="1"/>
    <xf numFmtId="0" fontId="79" fillId="0" borderId="0" xfId="0" applyFont="1" applyFill="1"/>
    <xf numFmtId="3" fontId="42" fillId="0" borderId="16" xfId="46" applyFont="1" applyBorder="1" applyAlignment="1">
      <alignment vertical="center"/>
    </xf>
    <xf numFmtId="164" fontId="42" fillId="0" borderId="16" xfId="29" applyNumberFormat="1" applyFont="1" applyFill="1" applyBorder="1" applyAlignment="1">
      <alignment vertical="center"/>
    </xf>
    <xf numFmtId="164" fontId="42" fillId="0" borderId="16" xfId="29" applyNumberFormat="1" applyFont="1" applyFill="1" applyBorder="1" applyAlignment="1">
      <alignment horizontal="left" vertical="center" wrapText="1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78" fillId="0" borderId="16" xfId="0" applyNumberFormat="1" applyFont="1" applyFill="1" applyBorder="1" applyAlignment="1">
      <alignment horizontal="left" vertical="center"/>
    </xf>
    <xf numFmtId="3" fontId="78" fillId="0" borderId="16" xfId="46" applyFont="1" applyBorder="1" applyAlignment="1">
      <alignment vertical="center"/>
    </xf>
    <xf numFmtId="1" fontId="78" fillId="0" borderId="16" xfId="54" quotePrefix="1" applyNumberFormat="1" applyFont="1" applyFill="1" applyBorder="1" applyAlignment="1">
      <alignment horizontal="center" vertical="center"/>
    </xf>
    <xf numFmtId="0" fontId="80" fillId="0" borderId="0" xfId="0" applyFont="1" applyFill="1"/>
    <xf numFmtId="0" fontId="78" fillId="0" borderId="16" xfId="77" applyNumberFormat="1" applyFont="1" applyFill="1" applyBorder="1" applyAlignment="1">
      <alignment horizontal="center" vertical="center"/>
    </xf>
    <xf numFmtId="164" fontId="42" fillId="0" borderId="16" xfId="54" quotePrefix="1" applyNumberFormat="1" applyFont="1" applyFill="1" applyBorder="1" applyAlignment="1">
      <alignment horizontal="left" vertical="center"/>
    </xf>
    <xf numFmtId="164" fontId="38" fillId="0" borderId="0" xfId="98" applyNumberFormat="1" applyFont="1" applyAlignment="1">
      <alignment vertical="center"/>
    </xf>
    <xf numFmtId="164" fontId="34" fillId="0" borderId="0" xfId="98" applyNumberFormat="1" applyFont="1" applyAlignment="1">
      <alignment vertical="center"/>
    </xf>
    <xf numFmtId="0" fontId="76" fillId="0" borderId="16" xfId="0" applyFont="1" applyFill="1" applyBorder="1" applyAlignment="1">
      <alignment horizontal="center"/>
    </xf>
    <xf numFmtId="3" fontId="76" fillId="0" borderId="16" xfId="46" applyFont="1" applyFill="1" applyBorder="1" applyAlignment="1">
      <alignment vertical="center"/>
    </xf>
    <xf numFmtId="14" fontId="76" fillId="0" borderId="16" xfId="29" applyNumberFormat="1" applyFont="1" applyBorder="1" applyAlignment="1">
      <alignment horizontal="center" vertical="center"/>
    </xf>
    <xf numFmtId="164" fontId="76" fillId="0" borderId="16" xfId="54" applyNumberFormat="1" applyFont="1" applyFill="1" applyBorder="1" applyAlignment="1">
      <alignment horizontal="left" vertical="center"/>
    </xf>
    <xf numFmtId="0" fontId="42" fillId="0" borderId="16" xfId="0" applyFont="1" applyFill="1" applyBorder="1" applyAlignment="1">
      <alignment horizontal="center"/>
    </xf>
    <xf numFmtId="164" fontId="76" fillId="0" borderId="16" xfId="29" applyNumberFormat="1" applyFont="1" applyFill="1" applyBorder="1" applyAlignment="1">
      <alignment vertical="center"/>
    </xf>
    <xf numFmtId="164" fontId="76" fillId="0" borderId="16" xfId="29" quotePrefix="1" applyNumberFormat="1" applyFont="1" applyFill="1" applyBorder="1" applyAlignment="1">
      <alignment horizontal="left" vertical="center"/>
    </xf>
    <xf numFmtId="164" fontId="3" fillId="0" borderId="0" xfId="0" applyNumberFormat="1" applyFont="1" applyFill="1" applyAlignment="1"/>
    <xf numFmtId="14" fontId="42" fillId="0" borderId="21" xfId="29" applyNumberFormat="1" applyFont="1" applyBorder="1" applyAlignment="1">
      <alignment horizontal="center" vertical="center"/>
    </xf>
    <xf numFmtId="43" fontId="42" fillId="0" borderId="21" xfId="29" applyNumberFormat="1" applyFont="1" applyBorder="1" applyAlignment="1">
      <alignment horizontal="center" vertical="center"/>
    </xf>
    <xf numFmtId="14" fontId="42" fillId="0" borderId="16" xfId="29" applyNumberFormat="1" applyFont="1" applyBorder="1" applyAlignment="1">
      <alignment horizontal="center" vertical="center"/>
    </xf>
    <xf numFmtId="0" fontId="42" fillId="0" borderId="16" xfId="0" applyFont="1" applyBorder="1" applyAlignment="1">
      <alignment vertical="center"/>
    </xf>
    <xf numFmtId="43" fontId="42" fillId="0" borderId="16" xfId="29" applyNumberFormat="1" applyFont="1" applyBorder="1" applyAlignment="1">
      <alignment horizontal="center" vertical="center"/>
    </xf>
    <xf numFmtId="43" fontId="42" fillId="0" borderId="16" xfId="29" applyFont="1" applyFill="1" applyBorder="1" applyAlignment="1">
      <alignment horizontal="left" vertical="center"/>
    </xf>
    <xf numFmtId="14" fontId="76" fillId="0" borderId="21" xfId="29" applyNumberFormat="1" applyFont="1" applyBorder="1" applyAlignment="1">
      <alignment horizontal="center" vertical="center"/>
    </xf>
    <xf numFmtId="0" fontId="76" fillId="0" borderId="21" xfId="0" applyFont="1" applyBorder="1" applyAlignment="1">
      <alignment vertical="center"/>
    </xf>
    <xf numFmtId="43" fontId="76" fillId="0" borderId="21" xfId="29" applyNumberFormat="1" applyFont="1" applyBorder="1" applyAlignment="1">
      <alignment horizontal="center" vertical="center"/>
    </xf>
    <xf numFmtId="49" fontId="76" fillId="0" borderId="16" xfId="90" applyNumberFormat="1" applyFont="1" applyFill="1" applyBorder="1" applyAlignment="1">
      <alignment horizontal="left" vertical="center"/>
    </xf>
    <xf numFmtId="0" fontId="76" fillId="0" borderId="16" xfId="0" applyFont="1" applyBorder="1" applyAlignment="1">
      <alignment vertical="center"/>
    </xf>
    <xf numFmtId="164" fontId="77" fillId="0" borderId="0" xfId="0" applyNumberFormat="1" applyFont="1" applyFill="1" applyAlignment="1"/>
    <xf numFmtId="0" fontId="36" fillId="0" borderId="0" xfId="73" applyFont="1" applyAlignment="1">
      <alignment vertical="center"/>
    </xf>
    <xf numFmtId="164" fontId="33" fillId="0" borderId="0" xfId="74" applyNumberFormat="1" applyFont="1" applyAlignment="1">
      <alignment vertical="center"/>
    </xf>
    <xf numFmtId="0" fontId="33" fillId="0" borderId="0" xfId="73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4" applyNumberFormat="1" applyFont="1" applyAlignment="1">
      <alignment horizontal="centerContinuous" vertical="center"/>
    </xf>
    <xf numFmtId="164" fontId="36" fillId="0" borderId="0" xfId="74" applyNumberFormat="1" applyFont="1" applyAlignment="1">
      <alignment horizontal="center" vertical="center"/>
    </xf>
    <xf numFmtId="164" fontId="36" fillId="21" borderId="2" xfId="74" applyNumberFormat="1" applyFont="1" applyFill="1" applyBorder="1" applyAlignment="1">
      <alignment horizontal="centerContinuous" vertical="center" wrapText="1"/>
    </xf>
    <xf numFmtId="164" fontId="50" fillId="0" borderId="23" xfId="74" quotePrefix="1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vertical="center"/>
    </xf>
    <xf numFmtId="164" fontId="50" fillId="0" borderId="23" xfId="29" applyNumberFormat="1" applyFont="1" applyBorder="1" applyAlignment="1">
      <alignment vertical="center"/>
    </xf>
    <xf numFmtId="164" fontId="50" fillId="0" borderId="25" xfId="74" applyNumberFormat="1" applyFont="1" applyBorder="1" applyAlignment="1">
      <alignment vertical="center"/>
    </xf>
    <xf numFmtId="164" fontId="36" fillId="0" borderId="10" xfId="74" applyNumberFormat="1" applyFont="1" applyBorder="1" applyAlignment="1">
      <alignment horizontal="left" vertical="center"/>
    </xf>
    <xf numFmtId="164" fontId="36" fillId="0" borderId="10" xfId="74" applyNumberFormat="1" applyFont="1" applyBorder="1" applyAlignment="1">
      <alignment vertical="center"/>
    </xf>
    <xf numFmtId="164" fontId="36" fillId="0" borderId="10" xfId="29" applyNumberFormat="1" applyFont="1" applyBorder="1" applyAlignment="1">
      <alignment vertical="center"/>
    </xf>
    <xf numFmtId="164" fontId="33" fillId="0" borderId="0" xfId="74" applyNumberFormat="1" applyFont="1" applyFill="1" applyAlignment="1">
      <alignment vertical="center"/>
    </xf>
    <xf numFmtId="164" fontId="36" fillId="0" borderId="26" xfId="29" applyNumberFormat="1" applyFont="1" applyBorder="1" applyAlignment="1">
      <alignment vertical="center"/>
    </xf>
    <xf numFmtId="164" fontId="33" fillId="0" borderId="23" xfId="74" quotePrefix="1" applyNumberFormat="1" applyFont="1" applyBorder="1" applyAlignment="1">
      <alignment horizontal="right" vertical="center"/>
    </xf>
    <xf numFmtId="164" fontId="33" fillId="0" borderId="23" xfId="74" applyNumberFormat="1" applyFont="1" applyBorder="1" applyAlignment="1">
      <alignment horizontal="center" vertical="center"/>
    </xf>
    <xf numFmtId="164" fontId="33" fillId="0" borderId="23" xfId="74" applyNumberFormat="1" applyFont="1" applyBorder="1" applyAlignment="1">
      <alignment vertical="center"/>
    </xf>
    <xf numFmtId="164" fontId="33" fillId="0" borderId="26" xfId="74" quotePrefix="1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vertical="center"/>
    </xf>
    <xf numFmtId="164" fontId="33" fillId="0" borderId="26" xfId="29" applyNumberFormat="1" applyFont="1" applyBorder="1" applyAlignment="1">
      <alignment vertical="center"/>
    </xf>
    <xf numFmtId="164" fontId="36" fillId="0" borderId="10" xfId="74" quotePrefix="1" applyNumberFormat="1" applyFont="1" applyBorder="1" applyAlignment="1">
      <alignment horizontal="left" vertical="center"/>
    </xf>
    <xf numFmtId="164" fontId="36" fillId="0" borderId="27" xfId="29" applyNumberFormat="1" applyFont="1" applyBorder="1" applyAlignment="1">
      <alignment vertical="center"/>
    </xf>
    <xf numFmtId="164" fontId="36" fillId="0" borderId="2" xfId="74" applyNumberFormat="1" applyFont="1" applyBorder="1" applyAlignment="1">
      <alignment vertical="center"/>
    </xf>
    <xf numFmtId="164" fontId="36" fillId="0" borderId="2" xfId="29" applyNumberFormat="1" applyFont="1" applyBorder="1" applyAlignment="1">
      <alignment vertical="center"/>
    </xf>
    <xf numFmtId="3" fontId="33" fillId="0" borderId="0" xfId="73" applyNumberFormat="1" applyFont="1" applyAlignment="1">
      <alignment vertical="center"/>
    </xf>
    <xf numFmtId="164" fontId="33" fillId="0" borderId="0" xfId="73" applyNumberFormat="1" applyFont="1" applyAlignment="1">
      <alignment vertical="center"/>
    </xf>
    <xf numFmtId="0" fontId="33" fillId="0" borderId="0" xfId="73" applyFont="1" applyBorder="1" applyAlignment="1">
      <alignment vertical="center"/>
    </xf>
    <xf numFmtId="164" fontId="40" fillId="0" borderId="0" xfId="74" applyNumberFormat="1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164" fontId="50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6" fillId="0" borderId="0" xfId="85" applyFont="1" applyAlignment="1">
      <alignment vertical="center"/>
    </xf>
    <xf numFmtId="0" fontId="36" fillId="0" borderId="0" xfId="85" applyFont="1" applyBorder="1" applyAlignment="1">
      <alignment vertical="center"/>
    </xf>
    <xf numFmtId="0" fontId="36" fillId="0" borderId="0" xfId="85" applyFont="1" applyBorder="1" applyAlignment="1">
      <alignment horizontal="center" vertical="center"/>
    </xf>
    <xf numFmtId="0" fontId="40" fillId="0" borderId="0" xfId="85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36" fillId="0" borderId="0" xfId="54" applyFont="1" applyAlignment="1">
      <alignment horizontal="left" vertical="center"/>
    </xf>
    <xf numFmtId="0" fontId="36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164" fontId="50" fillId="0" borderId="0" xfId="77" applyNumberFormat="1" applyFont="1" applyAlignment="1">
      <alignment horizontal="center"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59" fillId="29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8" fillId="29" borderId="2" xfId="87" applyNumberFormat="1" applyFont="1" applyFill="1" applyBorder="1" applyAlignment="1">
      <alignment horizontal="center" vertical="center" wrapText="1"/>
    </xf>
    <xf numFmtId="0" fontId="58" fillId="29" borderId="2" xfId="87" applyFont="1" applyFill="1" applyBorder="1" applyAlignment="1">
      <alignment horizontal="center" vertical="center" wrapText="1"/>
    </xf>
    <xf numFmtId="14" fontId="58" fillId="29" borderId="2" xfId="87" applyNumberFormat="1" applyFont="1" applyFill="1" applyBorder="1" applyAlignment="1">
      <alignment vertical="center" wrapText="1"/>
    </xf>
    <xf numFmtId="0" fontId="58" fillId="29" borderId="2" xfId="87" applyFont="1" applyFill="1" applyBorder="1" applyAlignment="1">
      <alignment vertical="center" wrapText="1"/>
    </xf>
    <xf numFmtId="164" fontId="58" fillId="29" borderId="2" xfId="29" applyNumberFormat="1" applyFont="1" applyFill="1" applyBorder="1" applyAlignment="1">
      <alignment vertical="center" wrapText="1"/>
    </xf>
    <xf numFmtId="43" fontId="58" fillId="29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59" fillId="29" borderId="2" xfId="87" applyNumberFormat="1" applyFont="1" applyFill="1" applyBorder="1" applyAlignment="1">
      <alignment vertical="center" wrapText="1"/>
    </xf>
    <xf numFmtId="0" fontId="59" fillId="29" borderId="2" xfId="87" applyFont="1" applyFill="1" applyBorder="1" applyAlignment="1">
      <alignment horizontal="center" vertical="center" wrapText="1"/>
    </xf>
    <xf numFmtId="0" fontId="59" fillId="29" borderId="2" xfId="87" applyFont="1" applyFill="1" applyBorder="1" applyAlignment="1">
      <alignment vertical="center" wrapText="1"/>
    </xf>
    <xf numFmtId="43" fontId="59" fillId="29" borderId="2" xfId="29" applyFont="1" applyFill="1" applyBorder="1" applyAlignment="1">
      <alignment vertical="center" wrapText="1"/>
    </xf>
    <xf numFmtId="164" fontId="58" fillId="29" borderId="2" xfId="87" applyNumberFormat="1" applyFont="1" applyFill="1" applyBorder="1" applyAlignment="1">
      <alignment vertical="center" wrapText="1"/>
    </xf>
    <xf numFmtId="0" fontId="59" fillId="0" borderId="0" xfId="87" applyFont="1" applyBorder="1" applyAlignment="1">
      <alignment horizontal="center" vertical="center"/>
    </xf>
    <xf numFmtId="0" fontId="81" fillId="29" borderId="0" xfId="87" applyFont="1" applyFill="1" applyAlignment="1">
      <alignment horizontal="center" vertical="center" wrapText="1"/>
    </xf>
    <xf numFmtId="0" fontId="58" fillId="29" borderId="0" xfId="87" applyFont="1" applyFill="1" applyAlignment="1">
      <alignment horizontal="center" vertical="center"/>
    </xf>
    <xf numFmtId="164" fontId="58" fillId="29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/>
    </xf>
    <xf numFmtId="164" fontId="59" fillId="29" borderId="0" xfId="74" applyNumberFormat="1" applyFont="1" applyFill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0" fontId="45" fillId="0" borderId="0" xfId="53" applyFont="1" applyAlignment="1">
      <alignment vertical="center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49" fontId="33" fillId="0" borderId="16" xfId="77" applyNumberFormat="1" applyFont="1" applyFill="1" applyBorder="1" applyAlignment="1">
      <alignment vertical="center"/>
    </xf>
    <xf numFmtId="49" fontId="33" fillId="0" borderId="16" xfId="90" applyNumberFormat="1" applyFont="1" applyFill="1" applyBorder="1" applyAlignment="1">
      <alignment horizontal="left" vertical="center"/>
    </xf>
    <xf numFmtId="3" fontId="33" fillId="0" borderId="16" xfId="46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5" fillId="0" borderId="0" xfId="53" applyNumberFormat="1" applyFont="1" applyAlignment="1">
      <alignment vertical="center"/>
    </xf>
    <xf numFmtId="164" fontId="45" fillId="0" borderId="0" xfId="29" applyNumberFormat="1" applyFont="1" applyAlignment="1">
      <alignment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7" fillId="0" borderId="0" xfId="0" applyFont="1"/>
    <xf numFmtId="164" fontId="83" fillId="0" borderId="16" xfId="29" applyNumberFormat="1" applyFont="1" applyBorder="1" applyAlignment="1">
      <alignment vertical="center"/>
    </xf>
    <xf numFmtId="164" fontId="83" fillId="0" borderId="21" xfId="29" applyNumberFormat="1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0" fontId="33" fillId="0" borderId="39" xfId="0" applyFont="1" applyBorder="1" applyAlignment="1">
      <alignment vertical="center"/>
    </xf>
    <xf numFmtId="3" fontId="33" fillId="0" borderId="39" xfId="0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0" fontId="33" fillId="0" borderId="21" xfId="97" applyFont="1" applyBorder="1" applyAlignment="1">
      <alignment horizontal="center" vertical="center"/>
    </xf>
    <xf numFmtId="0" fontId="33" fillId="0" borderId="19" xfId="0" applyFont="1" applyBorder="1" applyAlignment="1">
      <alignment vertical="center"/>
    </xf>
    <xf numFmtId="3" fontId="33" fillId="0" borderId="19" xfId="0" applyNumberFormat="1" applyFont="1" applyBorder="1" applyAlignment="1">
      <alignment horizontal="center" vertical="center"/>
    </xf>
    <xf numFmtId="164" fontId="33" fillId="0" borderId="19" xfId="29" applyNumberFormat="1" applyFont="1" applyBorder="1" applyAlignment="1">
      <alignment vertical="center"/>
    </xf>
    <xf numFmtId="0" fontId="33" fillId="0" borderId="16" xfId="97" applyFont="1" applyBorder="1" applyAlignment="1">
      <alignment horizontal="center"/>
    </xf>
    <xf numFmtId="164" fontId="33" fillId="0" borderId="16" xfId="90" applyNumberFormat="1" applyFont="1" applyFill="1" applyBorder="1" applyAlignment="1">
      <alignment horizontal="left" vertical="center"/>
    </xf>
    <xf numFmtId="173" fontId="33" fillId="0" borderId="21" xfId="29" applyNumberFormat="1" applyFont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57" fillId="0" borderId="0" xfId="0" applyFont="1" applyAlignment="1">
      <alignment horizontal="center"/>
    </xf>
    <xf numFmtId="0" fontId="36" fillId="0" borderId="0" xfId="0" applyFont="1" applyAlignment="1" applyProtection="1">
      <alignment wrapText="1"/>
      <protection hidden="1"/>
    </xf>
    <xf numFmtId="0" fontId="40" fillId="0" borderId="0" xfId="0" applyNumberFormat="1" applyFont="1" applyAlignment="1" applyProtection="1">
      <alignment horizontal="center" vertical="center" wrapText="1"/>
      <protection hidden="1"/>
    </xf>
    <xf numFmtId="0" fontId="33" fillId="0" borderId="21" xfId="97" applyFont="1" applyBorder="1" applyAlignment="1" applyProtection="1">
      <alignment horizontal="center" vertical="center"/>
      <protection hidden="1"/>
    </xf>
    <xf numFmtId="0" fontId="33" fillId="0" borderId="16" xfId="97" applyFont="1" applyBorder="1" applyAlignment="1" applyProtection="1">
      <alignment horizontal="center" vertical="center"/>
      <protection hidden="1"/>
    </xf>
    <xf numFmtId="0" fontId="33" fillId="0" borderId="39" xfId="97" applyFont="1" applyBorder="1" applyAlignment="1" applyProtection="1">
      <alignment horizontal="center" vertical="center"/>
      <protection hidden="1"/>
    </xf>
    <xf numFmtId="3" fontId="34" fillId="0" borderId="16" xfId="46" quotePrefix="1" applyFont="1" applyFill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left" vertical="center"/>
    </xf>
    <xf numFmtId="3" fontId="34" fillId="0" borderId="19" xfId="46" applyFont="1" applyBorder="1" applyAlignment="1">
      <alignment horizontal="center" vertical="center"/>
    </xf>
    <xf numFmtId="0" fontId="34" fillId="0" borderId="19" xfId="93" applyFont="1" applyBorder="1" applyAlignment="1">
      <alignment horizontal="center" vertical="center"/>
    </xf>
    <xf numFmtId="3" fontId="34" fillId="0" borderId="19" xfId="93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4" fillId="0" borderId="19" xfId="94" quotePrefix="1" applyNumberFormat="1" applyFont="1" applyBorder="1" applyAlignment="1">
      <alignment horizontal="center" vertical="center"/>
    </xf>
    <xf numFmtId="164" fontId="36" fillId="21" borderId="24" xfId="74" applyNumberFormat="1" applyFont="1" applyFill="1" applyBorder="1" applyAlignment="1">
      <alignment horizontal="center" vertical="center" wrapText="1"/>
    </xf>
    <xf numFmtId="164" fontId="36" fillId="21" borderId="20" xfId="74" applyNumberFormat="1" applyFont="1" applyFill="1" applyBorder="1" applyAlignment="1">
      <alignment horizontal="center" vertical="center" wrapText="1"/>
    </xf>
    <xf numFmtId="164" fontId="36" fillId="0" borderId="24" xfId="74" applyNumberFormat="1" applyFont="1" applyBorder="1" applyAlignment="1">
      <alignment horizontal="center" vertical="center"/>
    </xf>
    <xf numFmtId="164" fontId="36" fillId="0" borderId="20" xfId="74" applyNumberFormat="1" applyFont="1" applyBorder="1" applyAlignment="1">
      <alignment horizontal="center" vertical="center"/>
    </xf>
    <xf numFmtId="0" fontId="36" fillId="21" borderId="17" xfId="75" applyFont="1" applyBorder="1" applyAlignment="1">
      <alignment horizontal="center" vertical="center" wrapText="1"/>
    </xf>
    <xf numFmtId="0" fontId="36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0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61" fillId="0" borderId="0" xfId="77" applyNumberFormat="1" applyFont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7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4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7" fillId="0" borderId="30" xfId="52" applyFont="1" applyBorder="1" applyAlignment="1">
      <alignment horizontal="center" vertical="center" wrapText="1"/>
    </xf>
    <xf numFmtId="164" fontId="40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59" fillId="29" borderId="36" xfId="87" applyFont="1" applyFill="1" applyBorder="1" applyAlignment="1">
      <alignment horizontal="center" vertical="center" wrapText="1"/>
    </xf>
    <xf numFmtId="0" fontId="59" fillId="29" borderId="45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59" fillId="29" borderId="17" xfId="87" applyNumberFormat="1" applyFont="1" applyFill="1" applyBorder="1" applyAlignment="1">
      <alignment horizontal="center" vertical="center" wrapText="1"/>
    </xf>
    <xf numFmtId="14" fontId="59" fillId="29" borderId="18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33" fillId="0" borderId="48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82" fillId="0" borderId="0" xfId="87" applyFont="1" applyAlignment="1">
      <alignment horizontal="center" vertical="center" wrapText="1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33" fillId="0" borderId="0" xfId="97" applyFont="1" applyAlignment="1" applyProtection="1">
      <alignment horizontal="center"/>
      <protection hidden="1"/>
    </xf>
    <xf numFmtId="0" fontId="40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6" fillId="0" borderId="0" xfId="52" applyFont="1" applyAlignment="1">
      <alignment horizontal="left" vertical="center"/>
    </xf>
    <xf numFmtId="0" fontId="33" fillId="0" borderId="2" xfId="52" applyFont="1" applyBorder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40" fillId="0" borderId="0" xfId="93" applyFont="1" applyAlignment="1">
      <alignment horizontal="center" vertic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57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7" fillId="0" borderId="2" xfId="93" applyFont="1" applyBorder="1" applyAlignment="1">
      <alignment horizontal="center" vertical="center" wrapText="1" shrinkToFit="1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40" fillId="0" borderId="0" xfId="96" applyFont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41" fontId="33" fillId="29" borderId="0" xfId="95" applyNumberFormat="1" applyFont="1" applyFill="1" applyAlignment="1">
      <alignment horizontal="left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40" fillId="0" borderId="0" xfId="97" applyFont="1" applyAlignment="1">
      <alignment horizontal="center" vertical="center"/>
    </xf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0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8" fillId="0" borderId="24" xfId="93" applyFont="1" applyBorder="1" applyAlignment="1">
      <alignment horizontal="center" vertical="center"/>
    </xf>
    <xf numFmtId="0" fontId="38" fillId="0" borderId="5" xfId="93" applyFont="1" applyBorder="1" applyAlignment="1">
      <alignment horizontal="center" vertical="center"/>
    </xf>
    <xf numFmtId="0" fontId="38" fillId="0" borderId="20" xfId="93" applyFont="1" applyBorder="1" applyAlignment="1">
      <alignment horizontal="center" vertical="center"/>
    </xf>
    <xf numFmtId="0" fontId="38" fillId="0" borderId="2" xfId="98" applyFont="1" applyBorder="1" applyAlignment="1">
      <alignment horizontal="center" vertical="center" wrapText="1"/>
    </xf>
    <xf numFmtId="164" fontId="38" fillId="0" borderId="2" xfId="29" applyNumberFormat="1" applyFont="1" applyBorder="1" applyAlignment="1">
      <alignment horizontal="center" vertical="center" wrapText="1"/>
    </xf>
    <xf numFmtId="164" fontId="38" fillId="0" borderId="24" xfId="29" applyNumberFormat="1" applyFont="1" applyBorder="1" applyAlignment="1">
      <alignment horizontal="center" vertical="center" wrapText="1"/>
    </xf>
    <xf numFmtId="164" fontId="38" fillId="0" borderId="5" xfId="29" applyNumberFormat="1" applyFont="1" applyBorder="1" applyAlignment="1">
      <alignment horizontal="center" vertical="center" wrapText="1"/>
    </xf>
    <xf numFmtId="164" fontId="38" fillId="0" borderId="20" xfId="29" applyNumberFormat="1" applyFont="1" applyBorder="1" applyAlignment="1">
      <alignment horizontal="center" vertical="center" wrapText="1"/>
    </xf>
    <xf numFmtId="0" fontId="38" fillId="0" borderId="17" xfId="98" applyFont="1" applyBorder="1" applyAlignment="1">
      <alignment horizontal="center" vertical="center" wrapText="1"/>
    </xf>
    <xf numFmtId="0" fontId="38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4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164" fontId="34" fillId="0" borderId="0" xfId="94" applyNumberFormat="1" applyFont="1" applyAlignment="1">
      <alignment horizontal="center" vertical="center" wrapText="1"/>
    </xf>
    <xf numFmtId="164" fontId="38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64" fillId="0" borderId="0" xfId="78" applyFont="1" applyAlignment="1">
      <alignment horizontal="center" vertical="center"/>
    </xf>
    <xf numFmtId="0" fontId="64" fillId="0" borderId="0" xfId="93" applyFont="1" applyAlignment="1">
      <alignment horizontal="center" vertical="center"/>
    </xf>
    <xf numFmtId="0" fontId="38" fillId="0" borderId="17" xfId="93" applyFont="1" applyBorder="1" applyAlignment="1">
      <alignment horizontal="center" vertical="center" wrapText="1"/>
    </xf>
    <xf numFmtId="0" fontId="38" fillId="0" borderId="23" xfId="93" applyFont="1" applyBorder="1" applyAlignment="1">
      <alignment horizontal="center" vertical="center" wrapText="1"/>
    </xf>
    <xf numFmtId="0" fontId="38" fillId="0" borderId="18" xfId="93" applyFont="1" applyBorder="1" applyAlignment="1">
      <alignment horizontal="center" vertical="center" wrapText="1"/>
    </xf>
    <xf numFmtId="0" fontId="38" fillId="0" borderId="24" xfId="93" applyFont="1" applyBorder="1" applyAlignment="1">
      <alignment horizontal="center" vertical="center" wrapText="1"/>
    </xf>
    <xf numFmtId="0" fontId="38" fillId="0" borderId="5" xfId="93" applyFont="1" applyBorder="1" applyAlignment="1">
      <alignment horizontal="center" vertical="center" wrapText="1"/>
    </xf>
    <xf numFmtId="0" fontId="38" fillId="0" borderId="20" xfId="93" applyFont="1" applyBorder="1" applyAlignment="1">
      <alignment horizontal="center" vertical="center" wrapText="1"/>
    </xf>
    <xf numFmtId="0" fontId="38" fillId="0" borderId="2" xfId="93" applyFont="1" applyBorder="1" applyAlignment="1">
      <alignment horizontal="center" vertical="center" wrapText="1"/>
    </xf>
    <xf numFmtId="164" fontId="38" fillId="0" borderId="17" xfId="94" applyNumberFormat="1" applyFont="1" applyBorder="1" applyAlignment="1">
      <alignment horizontal="center" vertical="center" wrapText="1"/>
    </xf>
    <xf numFmtId="164" fontId="38" fillId="0" borderId="18" xfId="94" applyNumberFormat="1" applyFont="1" applyBorder="1" applyAlignment="1">
      <alignment horizontal="center" vertical="center" wrapText="1"/>
    </xf>
    <xf numFmtId="0" fontId="60" fillId="0" borderId="0" xfId="93" applyFont="1" applyAlignment="1">
      <alignment horizontal="center" vertical="center"/>
    </xf>
    <xf numFmtId="164" fontId="60" fillId="0" borderId="0" xfId="94" applyNumberFormat="1" applyFont="1" applyAlignment="1">
      <alignment horizontal="center" vertical="center"/>
    </xf>
    <xf numFmtId="0" fontId="38" fillId="0" borderId="28" xfId="93" applyFont="1" applyBorder="1" applyAlignment="1">
      <alignment horizontal="center" vertical="center" wrapText="1"/>
    </xf>
    <xf numFmtId="0" fontId="38" fillId="0" borderId="29" xfId="93" applyFont="1" applyBorder="1" applyAlignment="1">
      <alignment horizontal="center" vertical="center" wrapText="1"/>
    </xf>
    <xf numFmtId="0" fontId="38" fillId="0" borderId="32" xfId="93" applyFont="1" applyBorder="1" applyAlignment="1">
      <alignment horizontal="center" vertical="center" wrapText="1"/>
    </xf>
    <xf numFmtId="0" fontId="38" fillId="0" borderId="33" xfId="93" applyFont="1" applyBorder="1" applyAlignment="1">
      <alignment horizontal="center" vertical="center" wrapText="1"/>
    </xf>
    <xf numFmtId="164" fontId="38" fillId="0" borderId="24" xfId="94" applyNumberFormat="1" applyFont="1" applyBorder="1" applyAlignment="1">
      <alignment horizontal="center" vertical="center" wrapText="1"/>
    </xf>
    <xf numFmtId="164" fontId="38" fillId="0" borderId="5" xfId="94" applyNumberFormat="1" applyFont="1" applyBorder="1" applyAlignment="1">
      <alignment horizontal="center" vertical="center" wrapText="1"/>
    </xf>
    <xf numFmtId="164" fontId="38" fillId="0" borderId="20" xfId="94" applyNumberFormat="1" applyFont="1" applyBorder="1" applyAlignment="1">
      <alignment horizontal="center" vertical="center" wrapText="1"/>
    </xf>
    <xf numFmtId="164" fontId="38" fillId="0" borderId="28" xfId="94" applyNumberFormat="1" applyFont="1" applyBorder="1" applyAlignment="1">
      <alignment horizontal="center" vertical="center" wrapText="1"/>
    </xf>
    <xf numFmtId="164" fontId="38" fillId="0" borderId="30" xfId="94" applyNumberFormat="1" applyFont="1" applyBorder="1" applyAlignment="1">
      <alignment horizontal="center" vertical="center" wrapText="1"/>
    </xf>
    <xf numFmtId="164" fontId="38" fillId="0" borderId="29" xfId="94" applyNumberFormat="1" applyFont="1" applyBorder="1" applyAlignment="1">
      <alignment horizontal="center" vertical="center" wrapText="1"/>
    </xf>
    <xf numFmtId="49" fontId="38" fillId="0" borderId="2" xfId="93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8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8" zoomScale="90" zoomScaleNormal="90" workbookViewId="0">
      <pane ySplit="2" topLeftCell="A10" activePane="bottomLeft" state="frozen"/>
      <selection activeCell="A8" sqref="A8"/>
      <selection pane="bottomLeft" activeCell="H57" sqref="H57"/>
    </sheetView>
  </sheetViews>
  <sheetFormatPr defaultColWidth="8" defaultRowHeight="15"/>
  <cols>
    <col min="1" max="1" width="5.7109375" style="625" customWidth="1"/>
    <col min="2" max="2" width="36.85546875" style="625" customWidth="1"/>
    <col min="3" max="4" width="7.42578125" style="624" customWidth="1"/>
    <col min="5" max="5" width="16.140625" style="625" customWidth="1"/>
    <col min="6" max="6" width="16.85546875" style="625" customWidth="1"/>
    <col min="7" max="7" width="16.42578125" style="625" customWidth="1"/>
    <col min="8" max="8" width="16.28515625" style="625" customWidth="1"/>
    <col min="9" max="9" width="2.42578125" style="625" customWidth="1"/>
    <col min="10" max="10" width="11" style="625" customWidth="1"/>
    <col min="11" max="11" width="2.85546875" style="625" customWidth="1"/>
    <col min="12" max="12" width="11.85546875" style="625" customWidth="1"/>
    <col min="13" max="16384" width="8" style="625"/>
  </cols>
  <sheetData>
    <row r="1" spans="1:16">
      <c r="A1" s="623"/>
      <c r="B1" s="623"/>
    </row>
    <row r="2" spans="1:16">
      <c r="A2" s="623" t="str">
        <f>TH!A1</f>
        <v>Đơn vị: CÔNG TY TNHH BAO BÌ GIẤY KIM DUNG PHÁT</v>
      </c>
      <c r="B2" s="623"/>
    </row>
    <row r="3" spans="1:16">
      <c r="A3" s="625" t="str">
        <f>TH!A2</f>
        <v>Địa chỉ: Ấp Rừng Sến, xã Mỹ Hạnh Bắc, Huyện Đức Hòa, Tỉnh Long An, Việt Nam</v>
      </c>
      <c r="B3" s="623"/>
    </row>
    <row r="5" spans="1:16" ht="36" customHeight="1">
      <c r="A5" s="626"/>
      <c r="B5" s="626"/>
      <c r="C5" s="627"/>
      <c r="D5" s="654" t="s">
        <v>343</v>
      </c>
      <c r="E5" s="626"/>
      <c r="F5" s="626"/>
      <c r="G5" s="626"/>
      <c r="H5" s="626"/>
    </row>
    <row r="6" spans="1:16">
      <c r="A6" s="626"/>
      <c r="B6" s="626"/>
      <c r="C6" s="627"/>
      <c r="D6" s="628" t="s">
        <v>401</v>
      </c>
      <c r="E6" s="626"/>
      <c r="F6" s="626"/>
      <c r="G6" s="626"/>
      <c r="H6" s="626"/>
    </row>
    <row r="7" spans="1:16" ht="6.75" customHeight="1"/>
    <row r="8" spans="1:16" ht="21.75" customHeight="1">
      <c r="A8" s="819" t="s">
        <v>363</v>
      </c>
      <c r="B8" s="819" t="s">
        <v>341</v>
      </c>
      <c r="C8" s="815" t="s">
        <v>36</v>
      </c>
      <c r="D8" s="816"/>
      <c r="E8" s="815" t="s">
        <v>37</v>
      </c>
      <c r="F8" s="816"/>
      <c r="G8" s="815" t="s">
        <v>342</v>
      </c>
      <c r="H8" s="816"/>
    </row>
    <row r="9" spans="1:16" ht="21.75" customHeight="1">
      <c r="A9" s="820"/>
      <c r="B9" s="820"/>
      <c r="C9" s="629" t="s">
        <v>41</v>
      </c>
      <c r="D9" s="629" t="s">
        <v>42</v>
      </c>
      <c r="E9" s="629" t="s">
        <v>41</v>
      </c>
      <c r="F9" s="629" t="s">
        <v>42</v>
      </c>
      <c r="G9" s="629" t="s">
        <v>41</v>
      </c>
      <c r="H9" s="629" t="s">
        <v>42</v>
      </c>
    </row>
    <row r="10" spans="1:16" s="624" customFormat="1" ht="17.25" customHeight="1">
      <c r="A10" s="630" t="s">
        <v>46</v>
      </c>
      <c r="B10" s="631" t="s">
        <v>47</v>
      </c>
      <c r="C10" s="632"/>
      <c r="D10" s="632"/>
      <c r="E10" s="633">
        <f t="array" ref="E10">SUM(IF(A10=KHN,TH))</f>
        <v>3004628591</v>
      </c>
      <c r="F10" s="633">
        <f t="array" ref="F10">SUM(IF(A10=KHC,TH))</f>
        <v>924314007</v>
      </c>
      <c r="G10" s="634">
        <f>MAX(C10+E10-D10-F10,0)</f>
        <v>2080314584</v>
      </c>
      <c r="H10" s="634">
        <f>MAX(D10+F10-E10-C10,0)</f>
        <v>0</v>
      </c>
      <c r="J10" s="625"/>
      <c r="K10" s="625"/>
      <c r="L10" s="625"/>
      <c r="M10" s="625"/>
      <c r="N10" s="625"/>
      <c r="O10" s="625"/>
      <c r="P10" s="625"/>
    </row>
    <row r="11" spans="1:16" s="624" customFormat="1" ht="17.25" customHeight="1">
      <c r="A11" s="635" t="s">
        <v>16</v>
      </c>
      <c r="B11" s="635" t="s">
        <v>48</v>
      </c>
      <c r="C11" s="636">
        <f t="shared" ref="C11:H11" si="0">C10</f>
        <v>0</v>
      </c>
      <c r="D11" s="636">
        <f t="shared" si="0"/>
        <v>0</v>
      </c>
      <c r="E11" s="637">
        <f t="shared" si="0"/>
        <v>3004628591</v>
      </c>
      <c r="F11" s="637">
        <f t="shared" si="0"/>
        <v>924314007</v>
      </c>
      <c r="G11" s="636">
        <f t="shared" si="0"/>
        <v>2080314584</v>
      </c>
      <c r="H11" s="636">
        <f t="shared" si="0"/>
        <v>0</v>
      </c>
      <c r="J11" s="625"/>
      <c r="K11" s="625"/>
      <c r="L11" s="625"/>
      <c r="M11" s="625"/>
      <c r="N11" s="625"/>
      <c r="O11" s="625"/>
      <c r="P11" s="625"/>
    </row>
    <row r="12" spans="1:16" s="624" customFormat="1" ht="17.25" customHeight="1">
      <c r="A12" s="631" t="s">
        <v>24</v>
      </c>
      <c r="B12" s="631" t="s">
        <v>49</v>
      </c>
      <c r="C12" s="632"/>
      <c r="D12" s="632">
        <v>0</v>
      </c>
      <c r="E12" s="633">
        <f t="array" ref="E12">SUM(IF(A12=KHN,TH))</f>
        <v>1206463158</v>
      </c>
      <c r="F12" s="633">
        <f t="array" ref="F12">SUM(IF(A12=KHC,TH))</f>
        <v>1190333221</v>
      </c>
      <c r="G12" s="634">
        <f>MAX(C12+E12-D12-F12,0)</f>
        <v>16129937</v>
      </c>
      <c r="H12" s="634">
        <f>MAX(D12+F12-E12-C12,0)</f>
        <v>0</v>
      </c>
      <c r="K12" s="638"/>
      <c r="L12" s="638"/>
      <c r="M12" s="638"/>
    </row>
    <row r="13" spans="1:16" s="624" customFormat="1" ht="17.25" customHeight="1">
      <c r="A13" s="635" t="s">
        <v>50</v>
      </c>
      <c r="B13" s="635" t="s">
        <v>51</v>
      </c>
      <c r="C13" s="636">
        <f t="shared" ref="C13:H13" si="1">C12</f>
        <v>0</v>
      </c>
      <c r="D13" s="636">
        <f t="shared" si="1"/>
        <v>0</v>
      </c>
      <c r="E13" s="637">
        <f t="shared" si="1"/>
        <v>1206463158</v>
      </c>
      <c r="F13" s="637">
        <f t="shared" si="1"/>
        <v>1190333221</v>
      </c>
      <c r="G13" s="636">
        <f t="shared" si="1"/>
        <v>16129937</v>
      </c>
      <c r="H13" s="636">
        <f t="shared" si="1"/>
        <v>0</v>
      </c>
    </row>
    <row r="14" spans="1:16" s="624" customFormat="1" ht="17.25" customHeight="1">
      <c r="A14" s="635" t="s">
        <v>252</v>
      </c>
      <c r="B14" s="635" t="s">
        <v>264</v>
      </c>
      <c r="C14" s="636"/>
      <c r="D14" s="636"/>
      <c r="E14" s="639">
        <f t="array" ref="E14">SUM(IF(A14=KHN,TH))</f>
        <v>1908076385</v>
      </c>
      <c r="F14" s="639">
        <f t="array" ref="F14">SUM(IF(A14=KHC,TH))</f>
        <v>1494788988</v>
      </c>
      <c r="G14" s="636">
        <f>MAX(C14+E14-D14-F14,0)</f>
        <v>413287397</v>
      </c>
      <c r="H14" s="636">
        <f>MAX(D14+F14-E14-C14,0)</f>
        <v>0</v>
      </c>
    </row>
    <row r="15" spans="1:16" s="624" customFormat="1" ht="17.25" customHeight="1">
      <c r="A15" s="631" t="s">
        <v>9</v>
      </c>
      <c r="B15" s="631" t="s">
        <v>52</v>
      </c>
      <c r="C15" s="632"/>
      <c r="D15" s="632"/>
      <c r="E15" s="633">
        <f t="array" ref="E15">SUM(IF(A15=KHN,TH))</f>
        <v>294729945</v>
      </c>
      <c r="F15" s="633">
        <f t="array" ref="F15">SUM(IF(A15=KHC,TH))</f>
        <v>172771288</v>
      </c>
      <c r="G15" s="634">
        <f>MAX(C15+E15-D15-F15,0)</f>
        <v>121958657</v>
      </c>
      <c r="H15" s="634">
        <f>MAX(D15+F15-E15-C15,0)</f>
        <v>0</v>
      </c>
    </row>
    <row r="16" spans="1:16" s="624" customFormat="1" ht="17.25" customHeight="1">
      <c r="A16" s="635" t="s">
        <v>53</v>
      </c>
      <c r="B16" s="635" t="s">
        <v>54</v>
      </c>
      <c r="C16" s="636">
        <f t="shared" ref="C16:H16" si="2">C15</f>
        <v>0</v>
      </c>
      <c r="D16" s="636">
        <f t="shared" si="2"/>
        <v>0</v>
      </c>
      <c r="E16" s="637">
        <f t="shared" si="2"/>
        <v>294729945</v>
      </c>
      <c r="F16" s="637">
        <f t="shared" si="2"/>
        <v>172771288</v>
      </c>
      <c r="G16" s="636">
        <f t="shared" si="2"/>
        <v>121958657</v>
      </c>
      <c r="H16" s="636">
        <f t="shared" si="2"/>
        <v>0</v>
      </c>
    </row>
    <row r="17" spans="1:8" s="624" customFormat="1" ht="17.25" customHeight="1">
      <c r="A17" s="631" t="s">
        <v>55</v>
      </c>
      <c r="B17" s="631" t="s">
        <v>56</v>
      </c>
      <c r="C17" s="632"/>
      <c r="D17" s="632"/>
      <c r="E17" s="633">
        <f t="array" ref="E17">SUM(IF(A17=KHN,TH))</f>
        <v>11286770</v>
      </c>
      <c r="F17" s="633">
        <f t="array" ref="F17">SUM(IF(A17=KHC,TH))</f>
        <v>11286770</v>
      </c>
      <c r="G17" s="634">
        <f t="shared" ref="G17:G32" si="3">MAX(C17+E17-D17-F17,0)</f>
        <v>0</v>
      </c>
      <c r="H17" s="634">
        <f t="shared" ref="H17:H32" si="4">MAX(D17+F17-E17-C17,0)</f>
        <v>0</v>
      </c>
    </row>
    <row r="18" spans="1:8" s="624" customFormat="1" ht="17.25" customHeight="1">
      <c r="A18" s="635" t="s">
        <v>57</v>
      </c>
      <c r="B18" s="635" t="s">
        <v>58</v>
      </c>
      <c r="C18" s="636">
        <f>C17</f>
        <v>0</v>
      </c>
      <c r="D18" s="636">
        <f>D17</f>
        <v>0</v>
      </c>
      <c r="E18" s="637">
        <f>E17</f>
        <v>11286770</v>
      </c>
      <c r="F18" s="637">
        <f>F17</f>
        <v>11286770</v>
      </c>
      <c r="G18" s="636">
        <f t="shared" si="3"/>
        <v>0</v>
      </c>
      <c r="H18" s="636">
        <f t="shared" si="4"/>
        <v>0</v>
      </c>
    </row>
    <row r="19" spans="1:8" s="624" customFormat="1" ht="17.25" customHeight="1">
      <c r="A19" s="631" t="s">
        <v>154</v>
      </c>
      <c r="B19" s="631" t="s">
        <v>155</v>
      </c>
      <c r="C19" s="632"/>
      <c r="D19" s="632"/>
      <c r="E19" s="633">
        <f t="array" ref="E19">SUM(IF(A19=KHN,TH))</f>
        <v>1551048800</v>
      </c>
      <c r="F19" s="633">
        <f t="array" ref="F19">SUM(IF(A19=KHC,TH))</f>
        <v>1121262800</v>
      </c>
      <c r="G19" s="634">
        <f t="shared" si="3"/>
        <v>429786000</v>
      </c>
      <c r="H19" s="634">
        <f t="shared" si="4"/>
        <v>0</v>
      </c>
    </row>
    <row r="20" spans="1:8" s="624" customFormat="1" ht="17.25" customHeight="1">
      <c r="A20" s="631" t="s">
        <v>156</v>
      </c>
      <c r="B20" s="631" t="s">
        <v>157</v>
      </c>
      <c r="C20" s="632"/>
      <c r="D20" s="632"/>
      <c r="E20" s="633">
        <f t="array" ref="E20">SUM(IF(A20=KHN,TH))</f>
        <v>246460100</v>
      </c>
      <c r="F20" s="633">
        <f t="array" ref="F20">SUM(IF(A20=KHC,TH))</f>
        <v>206404100</v>
      </c>
      <c r="G20" s="632">
        <f t="shared" si="3"/>
        <v>40056000</v>
      </c>
      <c r="H20" s="632">
        <f t="shared" si="4"/>
        <v>0</v>
      </c>
    </row>
    <row r="21" spans="1:8" s="624" customFormat="1" ht="17.25" customHeight="1">
      <c r="A21" s="635" t="s">
        <v>158</v>
      </c>
      <c r="B21" s="635" t="s">
        <v>159</v>
      </c>
      <c r="C21" s="636">
        <f>C19+C20</f>
        <v>0</v>
      </c>
      <c r="D21" s="636">
        <f>D19+D20</f>
        <v>0</v>
      </c>
      <c r="E21" s="637">
        <f>E19+E20</f>
        <v>1797508900</v>
      </c>
      <c r="F21" s="637">
        <f>F19+F20</f>
        <v>1327666900</v>
      </c>
      <c r="G21" s="636">
        <f t="shared" si="3"/>
        <v>469842000</v>
      </c>
      <c r="H21" s="636">
        <f t="shared" si="4"/>
        <v>0</v>
      </c>
    </row>
    <row r="22" spans="1:8" s="624" customFormat="1" ht="17.25" customHeight="1">
      <c r="A22" s="635" t="s">
        <v>160</v>
      </c>
      <c r="B22" s="635" t="s">
        <v>161</v>
      </c>
      <c r="C22" s="636"/>
      <c r="D22" s="636">
        <v>0</v>
      </c>
      <c r="E22" s="639">
        <f t="array" ref="E22">SUM(IF(A22=KHN,TH))</f>
        <v>1444698200</v>
      </c>
      <c r="F22" s="639">
        <f t="array" ref="F22">SUM(IF(A22=KHC,TH))</f>
        <v>1444698200</v>
      </c>
      <c r="G22" s="636">
        <f t="shared" si="3"/>
        <v>0</v>
      </c>
      <c r="H22" s="636">
        <f t="shared" si="4"/>
        <v>0</v>
      </c>
    </row>
    <row r="23" spans="1:8" s="624" customFormat="1" ht="17.25" customHeight="1">
      <c r="A23" s="635" t="s">
        <v>162</v>
      </c>
      <c r="B23" s="635" t="s">
        <v>163</v>
      </c>
      <c r="C23" s="636"/>
      <c r="D23" s="636"/>
      <c r="E23" s="639">
        <f t="array" ref="E23">SUM(IF(A23=KHN,TH))</f>
        <v>1444698200</v>
      </c>
      <c r="F23" s="639">
        <f t="array" ref="F23">SUM(IF(A23=KHC,TH))</f>
        <v>1444698200</v>
      </c>
      <c r="G23" s="636">
        <f t="shared" si="3"/>
        <v>0</v>
      </c>
      <c r="H23" s="636">
        <f t="shared" si="4"/>
        <v>0</v>
      </c>
    </row>
    <row r="24" spans="1:8" s="624" customFormat="1" ht="17.25" customHeight="1">
      <c r="A24" s="640" t="s">
        <v>164</v>
      </c>
      <c r="B24" s="641" t="s">
        <v>378</v>
      </c>
      <c r="C24" s="642"/>
      <c r="D24" s="642"/>
      <c r="E24" s="633">
        <f t="array" ref="E24">SUM(IF(A24=KHN,TH))</f>
        <v>840000000</v>
      </c>
      <c r="F24" s="633">
        <f t="array" ref="F24">SUM(IF(A24=KHC,TH))</f>
        <v>0</v>
      </c>
      <c r="G24" s="642">
        <f t="shared" si="3"/>
        <v>840000000</v>
      </c>
      <c r="H24" s="642">
        <f t="shared" si="4"/>
        <v>0</v>
      </c>
    </row>
    <row r="25" spans="1:8" s="624" customFormat="1" ht="17.25" customHeight="1">
      <c r="A25" s="635" t="s">
        <v>165</v>
      </c>
      <c r="B25" s="635" t="s">
        <v>166</v>
      </c>
      <c r="C25" s="636">
        <f t="shared" ref="C25:H25" si="5">SUM(C24:C24)</f>
        <v>0</v>
      </c>
      <c r="D25" s="636">
        <f t="shared" si="5"/>
        <v>0</v>
      </c>
      <c r="E25" s="637">
        <f t="shared" si="5"/>
        <v>840000000</v>
      </c>
      <c r="F25" s="637">
        <f t="shared" si="5"/>
        <v>0</v>
      </c>
      <c r="G25" s="636">
        <f t="shared" si="5"/>
        <v>840000000</v>
      </c>
      <c r="H25" s="636">
        <f t="shared" si="5"/>
        <v>0</v>
      </c>
    </row>
    <row r="26" spans="1:8" s="624" customFormat="1" ht="17.25" customHeight="1">
      <c r="A26" s="631" t="s">
        <v>253</v>
      </c>
      <c r="B26" s="631" t="s">
        <v>261</v>
      </c>
      <c r="C26" s="632"/>
      <c r="D26" s="632"/>
      <c r="E26" s="633">
        <f t="array" ref="E26">SUM(IF(A26=KHN,TH))</f>
        <v>0</v>
      </c>
      <c r="F26" s="633">
        <f t="array" ref="F26">SUM(IF(A26=KHC,TH))</f>
        <v>26500000</v>
      </c>
      <c r="G26" s="632">
        <f>MAX(C26+E26-D26-F26,0)</f>
        <v>0</v>
      </c>
      <c r="H26" s="632">
        <f>MAX(D26+F26-E26-C26,0)</f>
        <v>26500000</v>
      </c>
    </row>
    <row r="27" spans="1:8" s="624" customFormat="1" ht="17.25" customHeight="1">
      <c r="A27" s="635" t="s">
        <v>262</v>
      </c>
      <c r="B27" s="635" t="s">
        <v>263</v>
      </c>
      <c r="C27" s="636">
        <f>C26</f>
        <v>0</v>
      </c>
      <c r="D27" s="636">
        <f t="shared" ref="D27:H27" si="6">D26</f>
        <v>0</v>
      </c>
      <c r="E27" s="637">
        <f t="shared" si="6"/>
        <v>0</v>
      </c>
      <c r="F27" s="637">
        <f t="shared" si="6"/>
        <v>26500000</v>
      </c>
      <c r="G27" s="636">
        <f t="shared" si="6"/>
        <v>0</v>
      </c>
      <c r="H27" s="636">
        <f t="shared" si="6"/>
        <v>26500000</v>
      </c>
    </row>
    <row r="28" spans="1:8" s="624" customFormat="1" ht="17.25" customHeight="1">
      <c r="A28" s="635" t="s">
        <v>8</v>
      </c>
      <c r="B28" s="635" t="s">
        <v>59</v>
      </c>
      <c r="C28" s="636"/>
      <c r="D28" s="636"/>
      <c r="E28" s="639">
        <f t="array" ref="E28">SUM(IF(A28=KHN,TH))</f>
        <v>1001806110</v>
      </c>
      <c r="F28" s="639">
        <f t="array" ref="F28">SUM(IF(A28=KHC,TH))</f>
        <v>3164281340</v>
      </c>
      <c r="G28" s="636">
        <f t="shared" si="3"/>
        <v>0</v>
      </c>
      <c r="H28" s="636">
        <f t="shared" si="4"/>
        <v>2162475230</v>
      </c>
    </row>
    <row r="29" spans="1:8" s="624" customFormat="1" ht="17.25" customHeight="1">
      <c r="A29" s="643" t="s">
        <v>352</v>
      </c>
      <c r="B29" s="631" t="s">
        <v>351</v>
      </c>
      <c r="C29" s="632"/>
      <c r="D29" s="632"/>
      <c r="E29" s="633">
        <f t="array" ref="E29">SUM(IF(A29=KHN,TH))</f>
        <v>172771288</v>
      </c>
      <c r="F29" s="633">
        <f t="array" ref="F29">SUM(IF(A29=KHC,TH))</f>
        <v>172771288</v>
      </c>
      <c r="G29" s="632">
        <f t="shared" ref="G29" si="7">MAX(C29+E29-D29-F29,0)</f>
        <v>0</v>
      </c>
      <c r="H29" s="632">
        <f t="shared" ref="H29" si="8">MAX(D29+F29-E29-C29,0)</f>
        <v>0</v>
      </c>
    </row>
    <row r="30" spans="1:8" s="624" customFormat="1" ht="17.25" customHeight="1">
      <c r="A30" s="631" t="s">
        <v>60</v>
      </c>
      <c r="B30" s="631" t="s">
        <v>61</v>
      </c>
      <c r="C30" s="632"/>
      <c r="D30" s="632"/>
      <c r="E30" s="633">
        <f t="array" ref="E30">SUM(IF(A30=KHN,TH))</f>
        <v>0</v>
      </c>
      <c r="F30" s="633">
        <f t="array" ref="F30">SUM(IF(A30=KHC,TH))</f>
        <v>0</v>
      </c>
      <c r="G30" s="632">
        <f t="shared" si="3"/>
        <v>0</v>
      </c>
      <c r="H30" s="632">
        <f t="shared" si="4"/>
        <v>0</v>
      </c>
    </row>
    <row r="31" spans="1:8" s="624" customFormat="1" ht="17.25" customHeight="1">
      <c r="A31" s="631" t="s">
        <v>259</v>
      </c>
      <c r="B31" s="631" t="s">
        <v>260</v>
      </c>
      <c r="C31" s="632"/>
      <c r="D31" s="632"/>
      <c r="E31" s="633">
        <f t="array" ref="E31">SUM(IF(A31=KHN,TH))</f>
        <v>0</v>
      </c>
      <c r="F31" s="633">
        <f t="array" ref="F31">SUM(IF(A31=KHC,TH))</f>
        <v>0</v>
      </c>
      <c r="G31" s="632">
        <f t="shared" si="3"/>
        <v>0</v>
      </c>
      <c r="H31" s="632">
        <f t="shared" si="4"/>
        <v>0</v>
      </c>
    </row>
    <row r="32" spans="1:8" s="624" customFormat="1" ht="17.25" customHeight="1">
      <c r="A32" s="643" t="s">
        <v>62</v>
      </c>
      <c r="B32" s="644" t="s">
        <v>63</v>
      </c>
      <c r="C32" s="645"/>
      <c r="D32" s="645"/>
      <c r="E32" s="646">
        <f t="array" ref="E32">SUM(IF(A32=KHN,TH))</f>
        <v>1000000</v>
      </c>
      <c r="F32" s="646">
        <f t="array" ref="F32">SUM(IF(A32=KHC,TH))</f>
        <v>1000000</v>
      </c>
      <c r="G32" s="645">
        <f t="shared" si="3"/>
        <v>0</v>
      </c>
      <c r="H32" s="645">
        <f t="shared" si="4"/>
        <v>0</v>
      </c>
    </row>
    <row r="33" spans="1:10" s="624" customFormat="1" ht="17.25" customHeight="1">
      <c r="A33" s="631" t="s">
        <v>18</v>
      </c>
      <c r="B33" s="631" t="s">
        <v>64</v>
      </c>
      <c r="C33" s="632">
        <f>C32</f>
        <v>0</v>
      </c>
      <c r="D33" s="632">
        <f t="shared" ref="D33:H33" si="9">D32</f>
        <v>0</v>
      </c>
      <c r="E33" s="633">
        <f t="shared" si="9"/>
        <v>1000000</v>
      </c>
      <c r="F33" s="633">
        <f t="shared" si="9"/>
        <v>1000000</v>
      </c>
      <c r="G33" s="632">
        <f t="shared" si="9"/>
        <v>0</v>
      </c>
      <c r="H33" s="632">
        <f t="shared" si="9"/>
        <v>0</v>
      </c>
    </row>
    <row r="34" spans="1:10" s="624" customFormat="1" ht="17.25" customHeight="1">
      <c r="A34" s="635" t="s">
        <v>65</v>
      </c>
      <c r="B34" s="635" t="s">
        <v>66</v>
      </c>
      <c r="C34" s="636">
        <f>C30+C33+C31+C29</f>
        <v>0</v>
      </c>
      <c r="D34" s="636">
        <f t="shared" ref="D34:H34" si="10">D30+D33+D31+D29</f>
        <v>0</v>
      </c>
      <c r="E34" s="637">
        <f t="shared" si="10"/>
        <v>173771288</v>
      </c>
      <c r="F34" s="637">
        <f t="shared" si="10"/>
        <v>173771288</v>
      </c>
      <c r="G34" s="636">
        <f t="shared" si="10"/>
        <v>0</v>
      </c>
      <c r="H34" s="636">
        <f t="shared" si="10"/>
        <v>0</v>
      </c>
    </row>
    <row r="35" spans="1:10" s="624" customFormat="1" ht="17.25" customHeight="1">
      <c r="A35" s="631" t="s">
        <v>255</v>
      </c>
      <c r="B35" s="631" t="s">
        <v>256</v>
      </c>
      <c r="C35" s="632">
        <v>0</v>
      </c>
      <c r="D35" s="632">
        <v>0</v>
      </c>
      <c r="E35" s="633">
        <f t="array" ref="E35">SUM(IF(A35=KHN,TH))</f>
        <v>110175000</v>
      </c>
      <c r="F35" s="633">
        <f t="array" ref="F35">SUM(IF(A35=KHC,TH))</f>
        <v>110175000</v>
      </c>
      <c r="G35" s="632">
        <f t="shared" ref="G35:G37" si="11">MAX(C35+E35-D35-F35,0)</f>
        <v>0</v>
      </c>
      <c r="H35" s="632">
        <f t="shared" ref="H35:H37" si="12">MAX(D35+F35-E35-C35,0)</f>
        <v>0</v>
      </c>
    </row>
    <row r="36" spans="1:10" s="624" customFormat="1" ht="17.25" customHeight="1">
      <c r="A36" s="635" t="s">
        <v>257</v>
      </c>
      <c r="B36" s="635" t="s">
        <v>258</v>
      </c>
      <c r="C36" s="636">
        <f>C35</f>
        <v>0</v>
      </c>
      <c r="D36" s="636">
        <f>D35</f>
        <v>0</v>
      </c>
      <c r="E36" s="637">
        <f>E35</f>
        <v>110175000</v>
      </c>
      <c r="F36" s="637">
        <f>F35</f>
        <v>110175000</v>
      </c>
      <c r="G36" s="636">
        <f t="shared" si="11"/>
        <v>0</v>
      </c>
      <c r="H36" s="636">
        <f t="shared" si="12"/>
        <v>0</v>
      </c>
    </row>
    <row r="37" spans="1:10" s="624" customFormat="1" ht="17.25" customHeight="1">
      <c r="A37" s="631" t="s">
        <v>17</v>
      </c>
      <c r="B37" s="631" t="s">
        <v>67</v>
      </c>
      <c r="C37" s="632"/>
      <c r="D37" s="632"/>
      <c r="E37" s="633">
        <f t="array" ref="E37">SUM(IF(A37=KHN,TH))</f>
        <v>0</v>
      </c>
      <c r="F37" s="633">
        <f t="array" ref="F37">SUM(IF(A37=KHC,TH))</f>
        <v>0</v>
      </c>
      <c r="G37" s="632">
        <f t="shared" si="11"/>
        <v>0</v>
      </c>
      <c r="H37" s="632">
        <f t="shared" si="12"/>
        <v>0</v>
      </c>
    </row>
    <row r="38" spans="1:10" s="624" customFormat="1" ht="17.25" customHeight="1">
      <c r="A38" s="635" t="s">
        <v>68</v>
      </c>
      <c r="B38" s="635" t="s">
        <v>69</v>
      </c>
      <c r="C38" s="636">
        <f t="shared" ref="C38:H38" si="13">SUM(C37:C37)</f>
        <v>0</v>
      </c>
      <c r="D38" s="636">
        <f t="shared" si="13"/>
        <v>0</v>
      </c>
      <c r="E38" s="637">
        <f t="shared" si="13"/>
        <v>0</v>
      </c>
      <c r="F38" s="637">
        <f t="shared" si="13"/>
        <v>0</v>
      </c>
      <c r="G38" s="636">
        <f t="shared" si="13"/>
        <v>0</v>
      </c>
      <c r="H38" s="636">
        <f t="shared" si="13"/>
        <v>0</v>
      </c>
    </row>
    <row r="39" spans="1:10" s="624" customFormat="1" ht="17.25" customHeight="1">
      <c r="A39" s="631" t="s">
        <v>25</v>
      </c>
      <c r="B39" s="631" t="s">
        <v>70</v>
      </c>
      <c r="C39" s="632"/>
      <c r="D39" s="632"/>
      <c r="E39" s="633">
        <f t="array" ref="E39">SUM(IF(A39=KHN,TH))</f>
        <v>0</v>
      </c>
      <c r="F39" s="633">
        <f t="array" ref="F39">SUM(IF(A39=KHC,TH))</f>
        <v>1800000000</v>
      </c>
      <c r="G39" s="634">
        <f>MAX(C39+E39-D39-F39,0)</f>
        <v>0</v>
      </c>
      <c r="H39" s="634">
        <f>MAX(D39+F39-E39-C39,0)</f>
        <v>1800000000</v>
      </c>
    </row>
    <row r="40" spans="1:10" s="624" customFormat="1" ht="17.25" customHeight="1">
      <c r="A40" s="635" t="s">
        <v>71</v>
      </c>
      <c r="B40" s="635" t="s">
        <v>72</v>
      </c>
      <c r="C40" s="636">
        <v>0</v>
      </c>
      <c r="D40" s="636">
        <f>D39</f>
        <v>0</v>
      </c>
      <c r="E40" s="637">
        <f>E39</f>
        <v>0</v>
      </c>
      <c r="F40" s="637">
        <f>F39</f>
        <v>1800000000</v>
      </c>
      <c r="G40" s="636">
        <f>MAX(C40+E40-D40-F40,0)</f>
        <v>0</v>
      </c>
      <c r="H40" s="636">
        <f>MAX(D40+F40-E40-C40,0)</f>
        <v>1800000000</v>
      </c>
    </row>
    <row r="41" spans="1:10" s="624" customFormat="1" ht="17.25" customHeight="1">
      <c r="A41" s="630" t="s">
        <v>73</v>
      </c>
      <c r="B41" s="631" t="s">
        <v>74</v>
      </c>
      <c r="C41" s="632"/>
      <c r="D41" s="632"/>
      <c r="E41" s="633">
        <f t="array" ref="E41">SUM(IF(A41=KHN,TH))</f>
        <v>0</v>
      </c>
      <c r="F41" s="633">
        <f t="array" ref="F41">SUM(IF(A41=KHC,TH))</f>
        <v>0</v>
      </c>
      <c r="G41" s="634">
        <f>MAX(C41+E41-D41-F41,0)</f>
        <v>0</v>
      </c>
      <c r="H41" s="634">
        <f>MAX(D41+F41-E41-C41,0)</f>
        <v>0</v>
      </c>
    </row>
    <row r="42" spans="1:10" s="624" customFormat="1" ht="17.25" customHeight="1">
      <c r="A42" s="631" t="s">
        <v>75</v>
      </c>
      <c r="B42" s="631" t="s">
        <v>76</v>
      </c>
      <c r="C42" s="632"/>
      <c r="D42" s="632"/>
      <c r="E42" s="633">
        <f t="array" ref="E42">SUM(IF(A42=TH!$L$10:$L$1396,TH!$K$10:$K$1396))</f>
        <v>47442655</v>
      </c>
      <c r="F42" s="633">
        <f t="array" ref="F42">SUM(IF(A42=TH!$M$10:$M$1396,TH!$K$10:$K$1396))</f>
        <v>0</v>
      </c>
      <c r="G42" s="632">
        <f>MAX(C42+E42-D42-F42,0)</f>
        <v>47442655</v>
      </c>
      <c r="H42" s="632">
        <f>MAX(D42+F42-E42-C42,0)</f>
        <v>0</v>
      </c>
      <c r="J42" s="462"/>
    </row>
    <row r="43" spans="1:10" s="624" customFormat="1" ht="17.25" customHeight="1">
      <c r="A43" s="635" t="s">
        <v>77</v>
      </c>
      <c r="B43" s="635" t="s">
        <v>78</v>
      </c>
      <c r="C43" s="636">
        <f t="shared" ref="C43:H43" si="14">C42+C41</f>
        <v>0</v>
      </c>
      <c r="D43" s="636">
        <f t="shared" si="14"/>
        <v>0</v>
      </c>
      <c r="E43" s="637">
        <f t="shared" si="14"/>
        <v>47442655</v>
      </c>
      <c r="F43" s="637">
        <f t="shared" si="14"/>
        <v>0</v>
      </c>
      <c r="G43" s="636">
        <f t="shared" si="14"/>
        <v>47442655</v>
      </c>
      <c r="H43" s="636">
        <f t="shared" si="14"/>
        <v>0</v>
      </c>
    </row>
    <row r="44" spans="1:10" s="624" customFormat="1" ht="17.25" customHeight="1">
      <c r="A44" s="630" t="s">
        <v>169</v>
      </c>
      <c r="B44" s="631" t="s">
        <v>170</v>
      </c>
      <c r="C44" s="632"/>
      <c r="D44" s="632"/>
      <c r="E44" s="633">
        <f t="array" ref="E44">SUM(IF(A44=KHN,TH))</f>
        <v>1727712897</v>
      </c>
      <c r="F44" s="633">
        <f t="array" ref="F44">SUM(IF(A44=KHC,TH))</f>
        <v>1727712897</v>
      </c>
      <c r="G44" s="634"/>
      <c r="H44" s="634"/>
      <c r="I44" s="624">
        <f>E44-F44</f>
        <v>0</v>
      </c>
    </row>
    <row r="45" spans="1:10" s="624" customFormat="1" ht="17.25" customHeight="1">
      <c r="A45" s="635" t="s">
        <v>171</v>
      </c>
      <c r="B45" s="635" t="s">
        <v>172</v>
      </c>
      <c r="C45" s="636"/>
      <c r="D45" s="636"/>
      <c r="E45" s="637">
        <f>E44</f>
        <v>1727712897</v>
      </c>
      <c r="F45" s="637">
        <f>F44</f>
        <v>1727712897</v>
      </c>
      <c r="G45" s="636"/>
      <c r="H45" s="636"/>
      <c r="I45" s="624">
        <f>E45-F45</f>
        <v>0</v>
      </c>
    </row>
    <row r="46" spans="1:10" s="624" customFormat="1" ht="17.25" customHeight="1">
      <c r="A46" s="635" t="s">
        <v>39</v>
      </c>
      <c r="B46" s="635" t="s">
        <v>79</v>
      </c>
      <c r="C46" s="636"/>
      <c r="D46" s="636"/>
      <c r="E46" s="639">
        <f t="array" ref="E46">SUM(IF(A46=KHN,TH))</f>
        <v>20851</v>
      </c>
      <c r="F46" s="639">
        <f t="array" ref="F46">SUM(IF(A46=KHC,TH))</f>
        <v>20851</v>
      </c>
      <c r="G46" s="636"/>
      <c r="H46" s="636"/>
      <c r="I46" s="624">
        <f t="shared" ref="I46:I54" si="15">E46-F46</f>
        <v>0</v>
      </c>
    </row>
    <row r="47" spans="1:10" s="624" customFormat="1" ht="17.25" customHeight="1">
      <c r="A47" s="635" t="s">
        <v>167</v>
      </c>
      <c r="B47" s="635" t="s">
        <v>168</v>
      </c>
      <c r="C47" s="636"/>
      <c r="D47" s="636"/>
      <c r="E47" s="639">
        <f t="array" ref="E47">SUM(IF(A47=KHN,TH))</f>
        <v>1457006900</v>
      </c>
      <c r="F47" s="639">
        <f t="array" ref="F47">SUM(IF(A47=KHC,TH))</f>
        <v>1457006900</v>
      </c>
      <c r="G47" s="636"/>
      <c r="H47" s="636"/>
      <c r="I47" s="624">
        <f t="shared" si="15"/>
        <v>0</v>
      </c>
    </row>
    <row r="48" spans="1:10" s="624" customFormat="1" ht="17.25" customHeight="1">
      <c r="A48" s="635" t="s">
        <v>80</v>
      </c>
      <c r="B48" s="635" t="s">
        <v>81</v>
      </c>
      <c r="C48" s="636"/>
      <c r="D48" s="636"/>
      <c r="E48" s="639">
        <f t="array" ref="E48">SUM(IF(A48=KHN,TH))</f>
        <v>0</v>
      </c>
      <c r="F48" s="639">
        <f t="array" ref="F48">SUM(IF(A48=KHC,TH))</f>
        <v>0</v>
      </c>
      <c r="G48" s="636"/>
      <c r="H48" s="636"/>
      <c r="I48" s="624">
        <f t="shared" si="15"/>
        <v>0</v>
      </c>
    </row>
    <row r="49" spans="1:9" s="624" customFormat="1" ht="17.25" customHeight="1">
      <c r="A49" s="647" t="s">
        <v>254</v>
      </c>
      <c r="B49" s="635" t="s">
        <v>321</v>
      </c>
      <c r="C49" s="636"/>
      <c r="D49" s="636"/>
      <c r="E49" s="639">
        <f t="array" ref="E49">SUM(IF(A49=KHN,TH))</f>
        <v>27431523</v>
      </c>
      <c r="F49" s="639">
        <f t="array" ref="F49">SUM(IF(A49=KHC,TH))</f>
        <v>27431523</v>
      </c>
      <c r="G49" s="636"/>
      <c r="H49" s="636"/>
      <c r="I49" s="624">
        <f>E49-F49</f>
        <v>0</v>
      </c>
    </row>
    <row r="50" spans="1:9" s="624" customFormat="1" ht="17.25" customHeight="1">
      <c r="A50" s="635" t="s">
        <v>82</v>
      </c>
      <c r="B50" s="635" t="s">
        <v>83</v>
      </c>
      <c r="C50" s="636"/>
      <c r="D50" s="636"/>
      <c r="E50" s="639">
        <f t="array" ref="E50">SUM(IF(A50=KHN,TH))</f>
        <v>290737980</v>
      </c>
      <c r="F50" s="639">
        <f t="array" ref="F50">SUM(IF(A50=KHC,TH))</f>
        <v>290737980</v>
      </c>
      <c r="G50" s="636"/>
      <c r="H50" s="636"/>
      <c r="I50" s="624">
        <f t="shared" si="15"/>
        <v>0</v>
      </c>
    </row>
    <row r="51" spans="1:9" s="624" customFormat="1" ht="17.25" customHeight="1">
      <c r="A51" s="647" t="s">
        <v>84</v>
      </c>
      <c r="B51" s="635" t="s">
        <v>85</v>
      </c>
      <c r="C51" s="636"/>
      <c r="D51" s="636"/>
      <c r="E51" s="639">
        <f t="array" ref="E51">SUM(IF(A51=KHN,TH))</f>
        <v>0</v>
      </c>
      <c r="F51" s="639">
        <f t="array" ref="F51">SUM(IF(A51=KHC,TH))</f>
        <v>0</v>
      </c>
      <c r="G51" s="636"/>
      <c r="H51" s="636"/>
      <c r="I51" s="624">
        <f t="shared" si="15"/>
        <v>0</v>
      </c>
    </row>
    <row r="52" spans="1:9" s="624" customFormat="1" ht="17.25" customHeight="1">
      <c r="A52" s="635" t="s">
        <v>86</v>
      </c>
      <c r="B52" s="635" t="s">
        <v>87</v>
      </c>
      <c r="C52" s="636"/>
      <c r="D52" s="636"/>
      <c r="E52" s="639">
        <f t="array" ref="E52">SUM(IF(A52=KHN,TH))</f>
        <v>0</v>
      </c>
      <c r="F52" s="639">
        <f t="array" ref="F52">SUM(IF(A52=KHC,TH))</f>
        <v>0</v>
      </c>
      <c r="G52" s="636"/>
      <c r="H52" s="636"/>
      <c r="I52" s="624">
        <f t="shared" si="15"/>
        <v>0</v>
      </c>
    </row>
    <row r="53" spans="1:9" s="624" customFormat="1" ht="17.25" customHeight="1">
      <c r="A53" s="647" t="s">
        <v>88</v>
      </c>
      <c r="B53" s="635" t="s">
        <v>89</v>
      </c>
      <c r="C53" s="636"/>
      <c r="D53" s="636"/>
      <c r="E53" s="639">
        <f t="array" ref="E53">SUM(IF(A53=KHN,TH))</f>
        <v>0</v>
      </c>
      <c r="F53" s="639">
        <f t="array" ref="F53">SUM(IF(A53=KHC,TH))</f>
        <v>0</v>
      </c>
      <c r="G53" s="636"/>
      <c r="H53" s="636"/>
      <c r="I53" s="624">
        <f t="shared" si="15"/>
        <v>0</v>
      </c>
    </row>
    <row r="54" spans="1:9" s="624" customFormat="1" ht="17.25" customHeight="1">
      <c r="A54" s="635" t="s">
        <v>90</v>
      </c>
      <c r="B54" s="635" t="s">
        <v>91</v>
      </c>
      <c r="C54" s="636"/>
      <c r="D54" s="636"/>
      <c r="E54" s="648">
        <f t="array" ref="E54">SUM(IF(A54=KHN,TH))</f>
        <v>1775176403</v>
      </c>
      <c r="F54" s="648">
        <f t="array" ref="F54">SUM(IF(A54=TH!$M$10:$M$1396,TH!$K$10:$K$1396))</f>
        <v>1775176403</v>
      </c>
      <c r="G54" s="636"/>
      <c r="H54" s="636"/>
      <c r="I54" s="624">
        <f t="shared" si="15"/>
        <v>0</v>
      </c>
    </row>
    <row r="55" spans="1:9" s="624" customFormat="1" ht="17.25" customHeight="1">
      <c r="A55" s="817" t="s">
        <v>38</v>
      </c>
      <c r="B55" s="818"/>
      <c r="C55" s="649">
        <f t="shared" ref="C55:H55" si="16">C11+C13+C14+C16+C18+C21+C22+C23+C25+C27+C28+C34+C36+C38+C40+C43+C45+C46+C47+C48+C49+C50+C51+C52+C53+C54</f>
        <v>0</v>
      </c>
      <c r="D55" s="649">
        <f t="shared" si="16"/>
        <v>0</v>
      </c>
      <c r="E55" s="650">
        <f t="shared" si="16"/>
        <v>18563371756</v>
      </c>
      <c r="F55" s="650">
        <f t="shared" si="16"/>
        <v>18563371756</v>
      </c>
      <c r="G55" s="649">
        <f t="shared" si="16"/>
        <v>3988975230</v>
      </c>
      <c r="H55" s="649">
        <f t="shared" si="16"/>
        <v>3988975230</v>
      </c>
    </row>
    <row r="56" spans="1:9">
      <c r="E56" s="651"/>
      <c r="F56" s="652"/>
    </row>
    <row r="57" spans="1:9">
      <c r="E57" s="652"/>
      <c r="F57" s="652">
        <f>E55-F55</f>
        <v>0</v>
      </c>
      <c r="H57" s="652">
        <f>G55-H55</f>
        <v>0</v>
      </c>
    </row>
    <row r="58" spans="1:9">
      <c r="E58" s="653"/>
      <c r="F58" s="653"/>
    </row>
    <row r="59" spans="1:9">
      <c r="E59" s="653"/>
      <c r="F59" s="653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4" right="0.2" top="0.3" bottom="0.3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E1400"/>
  <sheetViews>
    <sheetView topLeftCell="A7" workbookViewId="0">
      <pane ySplit="3" topLeftCell="A10" activePane="bottomLeft" state="frozen"/>
      <selection activeCell="A7" sqref="A7"/>
      <selection pane="bottomLeft" activeCell="G180" sqref="G180"/>
    </sheetView>
  </sheetViews>
  <sheetFormatPr defaultRowHeight="12.75"/>
  <cols>
    <col min="1" max="1" width="4.5703125" style="124" customWidth="1"/>
    <col min="2" max="2" width="4.85546875" style="119" customWidth="1"/>
    <col min="3" max="3" width="9.140625" style="119" customWidth="1"/>
    <col min="4" max="4" width="7.7109375" style="119" customWidth="1"/>
    <col min="5" max="5" width="9.140625" style="119" customWidth="1"/>
    <col min="6" max="6" width="45" style="119" customWidth="1"/>
    <col min="7" max="7" width="11.140625" style="306" customWidth="1"/>
    <col min="8" max="8" width="34.85546875" style="131" customWidth="1"/>
    <col min="9" max="9" width="7.85546875" style="131" customWidth="1"/>
    <col min="10" max="10" width="8.85546875" style="131" customWidth="1"/>
    <col min="11" max="11" width="13.140625" style="119" customWidth="1"/>
    <col min="12" max="13" width="7" style="119" customWidth="1"/>
    <col min="14" max="14" width="4.42578125" style="119" hidden="1" customWidth="1"/>
    <col min="15" max="17" width="2.7109375" style="119" hidden="1" customWidth="1"/>
    <col min="18" max="20" width="2.5703125" style="119" hidden="1" customWidth="1"/>
    <col min="21" max="24" width="2.7109375" style="119" hidden="1" customWidth="1"/>
    <col min="25" max="25" width="2.85546875" style="119" hidden="1" customWidth="1"/>
    <col min="26" max="26" width="2.85546875" style="119" customWidth="1"/>
    <col min="27" max="27" width="3.5703125" style="119" customWidth="1"/>
    <col min="28" max="28" width="3.85546875" style="119" customWidth="1"/>
    <col min="29" max="29" width="14" style="119" bestFit="1" customWidth="1"/>
    <col min="30" max="16384" width="9.140625" style="119"/>
  </cols>
  <sheetData>
    <row r="1" spans="1:26" ht="15">
      <c r="A1" s="1" t="s">
        <v>639</v>
      </c>
      <c r="B1" s="7"/>
      <c r="C1" s="7"/>
      <c r="D1" s="8"/>
      <c r="E1" s="8"/>
      <c r="F1" s="9"/>
      <c r="G1" s="304"/>
      <c r="H1" s="24"/>
      <c r="I1" s="24"/>
      <c r="J1" s="24"/>
      <c r="K1" s="15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6" ht="15">
      <c r="A2" s="1" t="s">
        <v>638</v>
      </c>
      <c r="B2" s="7"/>
      <c r="C2" s="7"/>
      <c r="D2" s="8"/>
      <c r="E2" s="8"/>
      <c r="F2" s="8"/>
      <c r="G2" s="304"/>
      <c r="H2" s="25"/>
      <c r="I2" s="25"/>
      <c r="J2" s="25"/>
      <c r="K2" s="15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6">
      <c r="B3" s="8"/>
      <c r="C3" s="8"/>
      <c r="D3" s="8"/>
      <c r="E3" s="8"/>
      <c r="F3" s="8"/>
      <c r="G3" s="304"/>
      <c r="H3" s="25"/>
      <c r="I3" s="25"/>
      <c r="J3" s="25"/>
      <c r="K3" s="14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6" ht="22.5">
      <c r="B4" s="15"/>
      <c r="C4" s="837" t="s">
        <v>92</v>
      </c>
      <c r="D4" s="837"/>
      <c r="E4" s="837"/>
      <c r="F4" s="837"/>
      <c r="G4" s="837"/>
      <c r="H4" s="837"/>
      <c r="I4" s="837"/>
      <c r="J4" s="837"/>
      <c r="K4" s="837"/>
      <c r="L4" s="837"/>
      <c r="M4" s="837"/>
    </row>
    <row r="5" spans="1:26" ht="14.25">
      <c r="B5" s="15"/>
      <c r="C5" s="838"/>
      <c r="D5" s="838"/>
      <c r="E5" s="838"/>
      <c r="F5" s="838"/>
      <c r="G5" s="838"/>
      <c r="H5" s="838"/>
      <c r="I5" s="838"/>
      <c r="J5" s="838"/>
      <c r="K5" s="838"/>
      <c r="L5" s="838"/>
      <c r="M5" s="838"/>
    </row>
    <row r="6" spans="1:26">
      <c r="B6" s="15"/>
      <c r="C6" s="15"/>
      <c r="D6" s="15"/>
      <c r="E6" s="15"/>
      <c r="F6" s="15"/>
      <c r="G6" s="7"/>
      <c r="H6" s="16"/>
      <c r="I6" s="16"/>
      <c r="J6" s="16"/>
      <c r="K6" s="15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6" ht="24.75" customHeight="1">
      <c r="A7" s="821" t="s">
        <v>113</v>
      </c>
      <c r="B7" s="823" t="s">
        <v>97</v>
      </c>
      <c r="C7" s="839" t="s">
        <v>20</v>
      </c>
      <c r="D7" s="840" t="s">
        <v>1</v>
      </c>
      <c r="E7" s="841"/>
      <c r="F7" s="839" t="s">
        <v>0</v>
      </c>
      <c r="G7" s="843" t="s">
        <v>112</v>
      </c>
      <c r="H7" s="825" t="s">
        <v>43</v>
      </c>
      <c r="I7" s="834" t="s">
        <v>251</v>
      </c>
      <c r="J7" s="835"/>
      <c r="K7" s="839" t="s">
        <v>152</v>
      </c>
      <c r="L7" s="842" t="s">
        <v>93</v>
      </c>
      <c r="M7" s="842"/>
      <c r="N7" s="832" t="s">
        <v>358</v>
      </c>
      <c r="O7" s="826" t="s">
        <v>46</v>
      </c>
      <c r="P7" s="827"/>
      <c r="Q7" s="828"/>
      <c r="R7" s="826" t="s">
        <v>50</v>
      </c>
      <c r="S7" s="827"/>
      <c r="T7" s="828"/>
      <c r="U7" s="836" t="s">
        <v>158</v>
      </c>
      <c r="V7" s="836"/>
      <c r="W7" s="836"/>
      <c r="X7" s="845" t="str">
        <f>CTTK!$E$7</f>
        <v>642</v>
      </c>
      <c r="Y7" s="836" t="s">
        <v>340</v>
      </c>
      <c r="Z7" s="514"/>
    </row>
    <row r="8" spans="1:26" ht="24.75" customHeight="1">
      <c r="A8" s="822"/>
      <c r="B8" s="824"/>
      <c r="C8" s="839"/>
      <c r="D8" s="121" t="s">
        <v>15</v>
      </c>
      <c r="E8" s="120" t="s">
        <v>31</v>
      </c>
      <c r="F8" s="839"/>
      <c r="G8" s="844"/>
      <c r="H8" s="825"/>
      <c r="I8" s="145" t="s">
        <v>196</v>
      </c>
      <c r="J8" s="145" t="s">
        <v>197</v>
      </c>
      <c r="K8" s="839"/>
      <c r="L8" s="122" t="s">
        <v>22</v>
      </c>
      <c r="M8" s="122" t="s">
        <v>23</v>
      </c>
      <c r="N8" s="833"/>
      <c r="O8" s="829"/>
      <c r="P8" s="830"/>
      <c r="Q8" s="831"/>
      <c r="R8" s="829"/>
      <c r="S8" s="830"/>
      <c r="T8" s="831"/>
      <c r="U8" s="836"/>
      <c r="V8" s="836"/>
      <c r="W8" s="836"/>
      <c r="X8" s="833"/>
      <c r="Y8" s="836"/>
      <c r="Z8" s="514"/>
    </row>
    <row r="9" spans="1:26">
      <c r="A9" s="125">
        <v>1</v>
      </c>
      <c r="B9" s="126">
        <v>2</v>
      </c>
      <c r="C9" s="125">
        <v>3</v>
      </c>
      <c r="D9" s="126">
        <v>4</v>
      </c>
      <c r="E9" s="125">
        <v>5</v>
      </c>
      <c r="F9" s="126">
        <v>6</v>
      </c>
      <c r="G9" s="125">
        <v>7</v>
      </c>
      <c r="H9" s="126">
        <v>8</v>
      </c>
      <c r="I9" s="125">
        <v>9</v>
      </c>
      <c r="J9" s="126">
        <v>10</v>
      </c>
      <c r="K9" s="125">
        <v>11</v>
      </c>
      <c r="L9" s="126">
        <v>12</v>
      </c>
      <c r="M9" s="125">
        <v>13</v>
      </c>
      <c r="N9" s="126">
        <v>16</v>
      </c>
      <c r="O9" s="127">
        <v>17</v>
      </c>
      <c r="P9" s="126">
        <v>18</v>
      </c>
      <c r="Q9" s="127">
        <v>19</v>
      </c>
      <c r="R9" s="126">
        <v>20</v>
      </c>
      <c r="S9" s="126"/>
      <c r="T9" s="126"/>
      <c r="U9" s="126">
        <v>19</v>
      </c>
      <c r="V9" s="126">
        <v>20</v>
      </c>
      <c r="W9" s="126"/>
      <c r="X9" s="126"/>
      <c r="Y9" s="126">
        <v>21</v>
      </c>
      <c r="Z9" s="515"/>
    </row>
    <row r="10" spans="1:26" s="128" customFormat="1" ht="15.75" customHeight="1">
      <c r="A10" s="123" t="str">
        <f>IF(B10&lt;&gt;"",IF(AND(B10&gt;=_TM1,B10&lt;=_TM2,OR(TH!L10="1111",TH!M10="1111")),TH!D10,""),"")</f>
        <v/>
      </c>
      <c r="B10" s="12">
        <f t="shared" ref="B10:B16" si="0">IF(C10&lt;&gt;"",MONTH(C10),"")</f>
        <v>12</v>
      </c>
      <c r="C10" s="18">
        <f t="shared" ref="C10:C16" si="1">E10</f>
        <v>42735</v>
      </c>
      <c r="D10" s="18" t="s">
        <v>94</v>
      </c>
      <c r="E10" s="18">
        <v>42735</v>
      </c>
      <c r="F10" s="19" t="s">
        <v>268</v>
      </c>
      <c r="G10" s="19"/>
      <c r="H10" s="20"/>
      <c r="I10" s="137"/>
      <c r="J10" s="137"/>
      <c r="K10" s="21">
        <f>SUMIF(KHC,L10,TH)</f>
        <v>172771288</v>
      </c>
      <c r="L10" s="23" t="s">
        <v>352</v>
      </c>
      <c r="M10" s="22" t="s">
        <v>9</v>
      </c>
      <c r="N10" s="22" t="str">
        <f>IF(AND('331-CT'!$E$7=TH!H10,OR(L10="331",M10="331")),"331",IF(AND(OR(L10="131",M10="131"),H10='131-CT'!$E$7),"131",""))</f>
        <v/>
      </c>
      <c r="O10" s="22" t="str">
        <f>IF(AND($B10&gt;='111'!$N$11,$B10&lt;='111'!$O$11,OR($L10=$O$7,$M10=$O$7)),"x","")</f>
        <v/>
      </c>
      <c r="P10" s="22" t="str">
        <f>IF(AND($L10=$O$7,$B10&lt;'111'!$N$11),"x","")</f>
        <v/>
      </c>
      <c r="Q10" s="22" t="str">
        <f>IF(AND($M10=$O$7,$B10&lt;'111'!$N$11),"x","")</f>
        <v/>
      </c>
      <c r="R10" s="22" t="str">
        <f>IF(ISERROR(FIND('112'!$M$9,G10,1)),"",IF((AND(FIND('112'!$M$9,G10,1)&gt;=1,$B10&gt;='112'!$N$8,$B10&lt;='112'!$O$8,OR($L10='112'!$I$6,$M10='112'!$I$6))),"x",""))</f>
        <v/>
      </c>
      <c r="S10" s="22" t="str">
        <f>IF(ISERROR(FIND('112'!$M$9,G10,1)),"",IF((AND(LEFT(G10,2)=LEFT('112'!$M$9,2),B10&lt;'112'!$N$8,$L10='112'!$I$6)),"x",""))</f>
        <v/>
      </c>
      <c r="T10" s="22" t="str">
        <f>IF(ISERROR(FIND('112'!$M$9,G10,1)),"",IF((AND(RIGHT(G10,2)=RIGHT('112'!$M$9,2),B10&lt;'112'!$N$8,$M10='112'!$I$6)),"x",""))</f>
        <v/>
      </c>
      <c r="U10" s="22" t="str">
        <f>IF(AND(B10&gt;='IN-NX'!$P$3,B10&lt;='IN-NX'!$Q$3,'IN-NX'!$D$7=D10,OR(LEFT(L10,2)="15",AND(LEFT(M10,2)&lt;&gt;"15",LEFT(M10,2)&lt;&gt;"33"))),"x","")</f>
        <v/>
      </c>
      <c r="V10" s="22" t="str">
        <f>IF(AND(OR(LEFT(TH!L10,2)="15",LEFT(TH!M10,2)="15"),'152-CT'!$J$8=TH!F10),"x","")</f>
        <v/>
      </c>
      <c r="W10" s="22" t="str">
        <f>IF(AND(OR(LEFT(TH!L10,2)="15",LEFT(TH!M10,2)="15"),TK!$E$7=TH!F10),"x","")</f>
        <v/>
      </c>
      <c r="X10" s="22" t="str">
        <f>IF(OR(TH!L10=TH!$X$7,M10=TH!$X$7),"x","")</f>
        <v/>
      </c>
      <c r="Y10" s="22" t="str">
        <f>IF(AND(B10&lt;=NKC!$N$8,B10&gt;=NKC!$M$8),"x","")</f>
        <v/>
      </c>
      <c r="Z10" s="516"/>
    </row>
    <row r="11" spans="1:26" s="128" customFormat="1" ht="15.75" customHeight="1">
      <c r="A11" s="123" t="str">
        <f>IF(B11&lt;&gt;"",IF(AND(B11&gt;=_TM1,B11&lt;=_TM2,OR(TH!L11="1111",TH!M11="1111")),TH!D11,""),"")</f>
        <v/>
      </c>
      <c r="B11" s="12">
        <f t="shared" si="0"/>
        <v>12</v>
      </c>
      <c r="C11" s="18">
        <f t="shared" si="1"/>
        <v>42735</v>
      </c>
      <c r="D11" s="18" t="s">
        <v>94</v>
      </c>
      <c r="E11" s="18">
        <v>42735</v>
      </c>
      <c r="F11" s="19" t="s">
        <v>269</v>
      </c>
      <c r="G11" s="19"/>
      <c r="H11" s="20"/>
      <c r="I11" s="137"/>
      <c r="J11" s="137"/>
      <c r="K11" s="21">
        <f>SUMIF(KHN,M11,TH)</f>
        <v>1457006900</v>
      </c>
      <c r="L11" s="23" t="s">
        <v>90</v>
      </c>
      <c r="M11" s="22" t="s">
        <v>167</v>
      </c>
      <c r="N11" s="22" t="str">
        <f>IF(AND('331-CT'!$E$7=TH!H11,OR(L11="331",M11="331")),"331",IF(AND(OR(L11="131",M11="131"),H11='131-CT'!$E$7),"131",""))</f>
        <v/>
      </c>
      <c r="O11" s="22" t="str">
        <f>IF(AND($B11&gt;='111'!$N$11,$B11&lt;='111'!$O$11,OR($L11=$O$7,$M11=$O$7)),"x","")</f>
        <v/>
      </c>
      <c r="P11" s="22" t="str">
        <f>IF(AND($L11=$O$7,$B11&lt;'111'!$N$11),"x","")</f>
        <v/>
      </c>
      <c r="Q11" s="22" t="str">
        <f>IF(AND($M11=$O$7,$B11&lt;'111'!$N$11),"x","")</f>
        <v/>
      </c>
      <c r="R11" s="22" t="str">
        <f>IF(ISERROR(FIND('112'!$M$9,G11,1)),"",IF((AND(FIND('112'!$M$9,G11,1)&gt;=1,$B11&gt;='112'!$N$8,$B11&lt;='112'!$O$8,OR($L11='112'!$I$6,$M11='112'!$I$6))),"x",""))</f>
        <v/>
      </c>
      <c r="S11" s="22" t="str">
        <f>IF(ISERROR(FIND('112'!$M$9,G11,1)),"",IF((AND(LEFT(G11,2)=LEFT('112'!$M$9,2),B11&lt;'112'!$N$8,$L11='112'!$I$6)),"x",""))</f>
        <v/>
      </c>
      <c r="T11" s="22" t="str">
        <f>IF(ISERROR(FIND('112'!$M$9,G11,1)),"",IF((AND(RIGHT(G11,2)=RIGHT('112'!$M$9,2),B11&lt;'112'!$N$8,$M11='112'!$I$6)),"x",""))</f>
        <v/>
      </c>
      <c r="U11" s="22" t="str">
        <f>IF(AND(B11&gt;='IN-NX'!$P$3,B11&lt;='IN-NX'!$Q$3,'IN-NX'!$D$7=D11,OR(LEFT(L11,2)="15",AND(LEFT(M11,2)&lt;&gt;"15",LEFT(M11,2)&lt;&gt;"33"))),"x","")</f>
        <v/>
      </c>
      <c r="V11" s="22" t="str">
        <f>IF(AND(OR(LEFT(TH!L11,2)="15",LEFT(TH!M11,2)="15"),'152-CT'!$J$8=TH!F11),"x","")</f>
        <v/>
      </c>
      <c r="W11" s="22" t="str">
        <f>IF(AND(OR(LEFT(TH!L11,2)="15",LEFT(TH!M11,2)="15"),TK!$E$7=TH!F11),"x","")</f>
        <v/>
      </c>
      <c r="X11" s="22" t="str">
        <f>IF(OR(TH!L11=TH!$X$7,M11=TH!$X$7),"x","")</f>
        <v/>
      </c>
      <c r="Y11" s="22" t="str">
        <f>IF(AND(B11&lt;=NKC!$N$8,B11&gt;=NKC!$M$8),"x","")</f>
        <v/>
      </c>
      <c r="Z11" s="516"/>
    </row>
    <row r="12" spans="1:26" s="128" customFormat="1" ht="15.75" customHeight="1">
      <c r="A12" s="123" t="str">
        <f>IF(B12&lt;&gt;"",IF(AND(B12&gt;=_TM1,B12&lt;=_TM2,OR(TH!L12="1111",TH!M12="1111")),TH!D12,""),"")</f>
        <v/>
      </c>
      <c r="B12" s="12">
        <f t="shared" si="0"/>
        <v>12</v>
      </c>
      <c r="C12" s="18">
        <f t="shared" si="1"/>
        <v>42735</v>
      </c>
      <c r="D12" s="18" t="s">
        <v>94</v>
      </c>
      <c r="E12" s="18">
        <v>42735</v>
      </c>
      <c r="F12" s="19" t="s">
        <v>270</v>
      </c>
      <c r="G12" s="19"/>
      <c r="H12" s="20"/>
      <c r="I12" s="137"/>
      <c r="J12" s="137"/>
      <c r="K12" s="21">
        <f>SUMIF(KHN,M12,TH)</f>
        <v>27431523</v>
      </c>
      <c r="L12" s="22" t="s">
        <v>90</v>
      </c>
      <c r="M12" s="22" t="s">
        <v>254</v>
      </c>
      <c r="N12" s="22" t="str">
        <f>IF(AND('331-CT'!$E$7=TH!H12,OR(L12="331",M12="331")),"331",IF(AND(OR(L12="131",M12="131"),H12='131-CT'!$E$7),"131",""))</f>
        <v/>
      </c>
      <c r="O12" s="22" t="str">
        <f>IF(AND($B12&gt;='111'!$N$11,$B12&lt;='111'!$O$11,OR($L12=$O$7,$M12=$O$7)),"x","")</f>
        <v/>
      </c>
      <c r="P12" s="22" t="str">
        <f>IF(AND($L12=$O$7,$B12&lt;'111'!$N$11),"x","")</f>
        <v/>
      </c>
      <c r="Q12" s="22" t="str">
        <f>IF(AND($M12=$O$7,$B12&lt;'111'!$N$11),"x","")</f>
        <v/>
      </c>
      <c r="R12" s="22" t="str">
        <f>IF(ISERROR(FIND('112'!$M$9,G12,1)),"",IF((AND(FIND('112'!$M$9,G12,1)&gt;=1,$B12&gt;='112'!$N$8,$B12&lt;='112'!$O$8,OR($L12='112'!$I$6,$M12='112'!$I$6))),"x",""))</f>
        <v/>
      </c>
      <c r="S12" s="22" t="str">
        <f>IF(ISERROR(FIND('112'!$M$9,G12,1)),"",IF((AND(LEFT(G12,2)=LEFT('112'!$M$9,2),B12&lt;'112'!$N$8,$L12='112'!$I$6)),"x",""))</f>
        <v/>
      </c>
      <c r="T12" s="22" t="str">
        <f>IF(ISERROR(FIND('112'!$M$9,G12,1)),"",IF((AND(RIGHT(G12,2)=RIGHT('112'!$M$9,2),B12&lt;'112'!$N$8,$M12='112'!$I$6)),"x",""))</f>
        <v/>
      </c>
      <c r="U12" s="22" t="str">
        <f>IF(AND(B12&gt;='IN-NX'!$P$3,B12&lt;='IN-NX'!$Q$3,'IN-NX'!$D$7=D12,OR(LEFT(L12,2)="15",AND(LEFT(M12,2)&lt;&gt;"15",LEFT(M12,2)&lt;&gt;"33"))),"x","")</f>
        <v/>
      </c>
      <c r="V12" s="22" t="str">
        <f>IF(AND(OR(LEFT(TH!L12,2)="15",LEFT(TH!M12,2)="15"),'152-CT'!$J$8=TH!F12),"x","")</f>
        <v/>
      </c>
      <c r="W12" s="22" t="str">
        <f>IF(AND(OR(LEFT(TH!L12,2)="15",LEFT(TH!M12,2)="15"),TK!$E$7=TH!F12),"x","")</f>
        <v/>
      </c>
      <c r="X12" s="22" t="str">
        <f>IF(OR(TH!L12=TH!$X$7,M12=TH!$X$7),"x","")</f>
        <v/>
      </c>
      <c r="Y12" s="22" t="str">
        <f>IF(AND(B12&lt;=NKC!$N$8,B12&gt;=NKC!$M$8),"x","")</f>
        <v/>
      </c>
      <c r="Z12" s="516"/>
    </row>
    <row r="13" spans="1:26" s="128" customFormat="1" ht="15.75" customHeight="1">
      <c r="A13" s="123" t="str">
        <f>IF(B13&lt;&gt;"",IF(AND(B13&gt;=_TM1,B13&lt;=_TM2,OR(TH!L13="1111",TH!M13="1111")),TH!D13,""),"")</f>
        <v/>
      </c>
      <c r="B13" s="12">
        <f t="shared" si="0"/>
        <v>12</v>
      </c>
      <c r="C13" s="18">
        <f t="shared" si="1"/>
        <v>42735</v>
      </c>
      <c r="D13" s="18" t="s">
        <v>94</v>
      </c>
      <c r="E13" s="18">
        <v>42735</v>
      </c>
      <c r="F13" s="19" t="s">
        <v>95</v>
      </c>
      <c r="G13" s="19"/>
      <c r="H13" s="20"/>
      <c r="I13" s="137"/>
      <c r="J13" s="137"/>
      <c r="K13" s="21">
        <f>SUMIF(KHN,M13,TH)</f>
        <v>290737980</v>
      </c>
      <c r="L13" s="22" t="s">
        <v>90</v>
      </c>
      <c r="M13" s="22" t="s">
        <v>82</v>
      </c>
      <c r="N13" s="22" t="str">
        <f>IF(AND('331-CT'!$E$7=TH!H13,OR(L13="331",M13="331")),"331",IF(AND(OR(L13="131",M13="131"),H13='131-CT'!$E$7),"131",""))</f>
        <v/>
      </c>
      <c r="O13" s="22" t="str">
        <f>IF(AND($B13&gt;='111'!$N$11,$B13&lt;='111'!$O$11,OR($L13=$O$7,$M13=$O$7)),"x","")</f>
        <v/>
      </c>
      <c r="P13" s="22" t="str">
        <f>IF(AND($L13=$O$7,$B13&lt;'111'!$N$11),"x","")</f>
        <v/>
      </c>
      <c r="Q13" s="22" t="str">
        <f>IF(AND($M13=$O$7,$B13&lt;'111'!$N$11),"x","")</f>
        <v/>
      </c>
      <c r="R13" s="22" t="str">
        <f>IF(ISERROR(FIND('112'!$M$9,G13,1)),"",IF((AND(FIND('112'!$M$9,G13,1)&gt;=1,$B13&gt;='112'!$N$8,$B13&lt;='112'!$O$8,OR($L13='112'!$I$6,$M13='112'!$I$6))),"x",""))</f>
        <v/>
      </c>
      <c r="S13" s="22" t="str">
        <f>IF(ISERROR(FIND('112'!$M$9,G13,1)),"",IF((AND(LEFT(G13,2)=LEFT('112'!$M$9,2),B13&lt;'112'!$N$8,$L13='112'!$I$6)),"x",""))</f>
        <v/>
      </c>
      <c r="T13" s="22" t="str">
        <f>IF(ISERROR(FIND('112'!$M$9,G13,1)),"",IF((AND(RIGHT(G13,2)=RIGHT('112'!$M$9,2),B13&lt;'112'!$N$8,$M13='112'!$I$6)),"x",""))</f>
        <v/>
      </c>
      <c r="U13" s="22" t="str">
        <f>IF(AND(B13&gt;='IN-NX'!$P$3,B13&lt;='IN-NX'!$Q$3,'IN-NX'!$D$7=D13,OR(LEFT(L13,2)="15",AND(LEFT(M13,2)&lt;&gt;"15",LEFT(M13,2)&lt;&gt;"33"))),"x","")</f>
        <v/>
      </c>
      <c r="V13" s="22" t="str">
        <f>IF(AND(OR(LEFT(TH!L13,2)="15",LEFT(TH!M13,2)="15"),'152-CT'!$J$8=TH!F13),"x","")</f>
        <v/>
      </c>
      <c r="W13" s="22" t="str">
        <f>IF(AND(OR(LEFT(TH!L13,2)="15",LEFT(TH!M13,2)="15"),TK!$E$7=TH!F13),"x","")</f>
        <v/>
      </c>
      <c r="X13" s="22" t="str">
        <f>IF(OR(TH!L13=TH!$X$7,M13=TH!$X$7),"x","")</f>
        <v>x</v>
      </c>
      <c r="Y13" s="22" t="str">
        <f>IF(AND(B13&lt;=NKC!$N$8,B13&gt;=NKC!$M$8),"x","")</f>
        <v/>
      </c>
      <c r="Z13" s="516"/>
    </row>
    <row r="14" spans="1:26" s="128" customFormat="1" ht="15.75" customHeight="1">
      <c r="A14" s="123" t="str">
        <f>IF(B14&lt;&gt;"",IF(AND(B14&gt;=_TM1,B14&lt;=_TM2,OR(TH!L14="1111",TH!M14="1111")),TH!D14,""),"")</f>
        <v/>
      </c>
      <c r="B14" s="12">
        <f t="shared" si="0"/>
        <v>12</v>
      </c>
      <c r="C14" s="18">
        <f t="shared" si="1"/>
        <v>42735</v>
      </c>
      <c r="D14" s="18" t="s">
        <v>94</v>
      </c>
      <c r="E14" s="18">
        <v>42735</v>
      </c>
      <c r="F14" s="19" t="s">
        <v>96</v>
      </c>
      <c r="G14" s="19"/>
      <c r="H14" s="20"/>
      <c r="I14" s="137"/>
      <c r="J14" s="137"/>
      <c r="K14" s="21">
        <f>SUMIF(KHC,L14,TH)</f>
        <v>20851</v>
      </c>
      <c r="L14" s="23" t="s">
        <v>39</v>
      </c>
      <c r="M14" s="22" t="s">
        <v>90</v>
      </c>
      <c r="N14" s="22" t="str">
        <f>IF(AND('331-CT'!$E$7=TH!H14,OR(L14="331",M14="331")),"331",IF(AND(OR(L14="131",M14="131"),H14='131-CT'!$E$7),"131",""))</f>
        <v/>
      </c>
      <c r="O14" s="22" t="str">
        <f>IF(AND($B14&gt;='111'!$N$11,$B14&lt;='111'!$O$11,OR($L14=$O$7,$M14=$O$7)),"x","")</f>
        <v/>
      </c>
      <c r="P14" s="22" t="str">
        <f>IF(AND($L14=$O$7,$B14&lt;'111'!$N$11),"x","")</f>
        <v/>
      </c>
      <c r="Q14" s="22" t="str">
        <f>IF(AND($M14=$O$7,$B14&lt;'111'!$N$11),"x","")</f>
        <v/>
      </c>
      <c r="R14" s="22" t="str">
        <f>IF(ISERROR(FIND('112'!$M$9,G14,1)),"",IF((AND(FIND('112'!$M$9,G14,1)&gt;=1,$B14&gt;='112'!$N$8,$B14&lt;='112'!$O$8,OR($L14='112'!$I$6,$M14='112'!$I$6))),"x",""))</f>
        <v/>
      </c>
      <c r="S14" s="22" t="str">
        <f>IF(ISERROR(FIND('112'!$M$9,G14,1)),"",IF((AND(LEFT(G14,2)=LEFT('112'!$M$9,2),B14&lt;'112'!$N$8,$L14='112'!$I$6)),"x",""))</f>
        <v/>
      </c>
      <c r="T14" s="22" t="str">
        <f>IF(ISERROR(FIND('112'!$M$9,G14,1)),"",IF((AND(RIGHT(G14,2)=RIGHT('112'!$M$9,2),B14&lt;'112'!$N$8,$M14='112'!$I$6)),"x",""))</f>
        <v/>
      </c>
      <c r="U14" s="22" t="str">
        <f>IF(AND(B14&gt;='IN-NX'!$P$3,B14&lt;='IN-NX'!$Q$3,'IN-NX'!$D$7=D14,OR(LEFT(L14,2)="15",AND(LEFT(M14,2)&lt;&gt;"15",LEFT(M14,2)&lt;&gt;"33"))),"x","")</f>
        <v/>
      </c>
      <c r="V14" s="22" t="str">
        <f>IF(AND(OR(LEFT(TH!L14,2)="15",LEFT(TH!M14,2)="15"),'152-CT'!$J$8=TH!F14),"x","")</f>
        <v/>
      </c>
      <c r="W14" s="22" t="str">
        <f>IF(AND(OR(LEFT(TH!L14,2)="15",LEFT(TH!M14,2)="15"),TK!$E$7=TH!F14),"x","")</f>
        <v/>
      </c>
      <c r="X14" s="22" t="str">
        <f>IF(OR(TH!L14=TH!$X$7,M14=TH!$X$7),"x","")</f>
        <v/>
      </c>
      <c r="Y14" s="22" t="str">
        <f>IF(AND(B14&lt;=NKC!$N$8,B14&gt;=NKC!$M$8),"x","")</f>
        <v/>
      </c>
      <c r="Z14" s="516"/>
    </row>
    <row r="15" spans="1:26" s="128" customFormat="1" ht="15.75" customHeight="1">
      <c r="A15" s="123" t="str">
        <f>IF(B15&lt;&gt;"",IF(AND(B15&gt;=_TM1,B15&lt;=_TM2,OR(TH!L15="1111",TH!M15="1111")),TH!D15,""),"")</f>
        <v/>
      </c>
      <c r="B15" s="12">
        <f t="shared" si="0"/>
        <v>12</v>
      </c>
      <c r="C15" s="18">
        <f t="shared" si="1"/>
        <v>42735</v>
      </c>
      <c r="D15" s="18" t="s">
        <v>94</v>
      </c>
      <c r="E15" s="18">
        <v>42735</v>
      </c>
      <c r="F15" s="19" t="s">
        <v>322</v>
      </c>
      <c r="G15" s="19"/>
      <c r="H15" s="20"/>
      <c r="I15" s="137"/>
      <c r="J15" s="137"/>
      <c r="K15" s="21">
        <f>SUMIF(KHC,L15,TH)</f>
        <v>1727712897</v>
      </c>
      <c r="L15" s="22" t="s">
        <v>169</v>
      </c>
      <c r="M15" s="22" t="s">
        <v>90</v>
      </c>
      <c r="N15" s="22" t="str">
        <f>IF(AND('331-CT'!$E$7=TH!H15,OR(L15="331",M15="331")),"331",IF(AND(OR(L15="131",M15="131"),H15='131-CT'!$E$7),"131",""))</f>
        <v/>
      </c>
      <c r="O15" s="22" t="str">
        <f>IF(AND($B15&gt;='111'!$N$11,$B15&lt;='111'!$O$11,OR($L15=$O$7,$M15=$O$7)),"x","")</f>
        <v/>
      </c>
      <c r="P15" s="22" t="str">
        <f>IF(AND($L15=$O$7,$B15&lt;'111'!$N$11),"x","")</f>
        <v/>
      </c>
      <c r="Q15" s="22" t="str">
        <f>IF(AND($M15=$O$7,$B15&lt;'111'!$N$11),"x","")</f>
        <v/>
      </c>
      <c r="R15" s="22" t="str">
        <f>IF(ISERROR(FIND('112'!$M$9,G15,1)),"",IF((AND(FIND('112'!$M$9,G15,1)&gt;=1,$B15&gt;='112'!$N$8,$B15&lt;='112'!$O$8,OR($L15='112'!$I$6,$M15='112'!$I$6))),"x",""))</f>
        <v/>
      </c>
      <c r="S15" s="22" t="str">
        <f>IF(ISERROR(FIND('112'!$M$9,G15,1)),"",IF((AND(LEFT(G15,2)=LEFT('112'!$M$9,2),B15&lt;'112'!$N$8,$L15='112'!$I$6)),"x",""))</f>
        <v/>
      </c>
      <c r="T15" s="22" t="str">
        <f>IF(ISERROR(FIND('112'!$M$9,G15,1)),"",IF((AND(RIGHT(G15,2)=RIGHT('112'!$M$9,2),B15&lt;'112'!$N$8,$M15='112'!$I$6)),"x",""))</f>
        <v/>
      </c>
      <c r="U15" s="22" t="str">
        <f>IF(AND(B15&gt;='IN-NX'!$P$3,B15&lt;='IN-NX'!$Q$3,'IN-NX'!$D$7=D15,OR(LEFT(L15,2)="15",AND(LEFT(M15,2)&lt;&gt;"15",LEFT(M15,2)&lt;&gt;"33"))),"x","")</f>
        <v/>
      </c>
      <c r="V15" s="22" t="str">
        <f>IF(AND(OR(LEFT(TH!L15,2)="15",LEFT(TH!M15,2)="15"),'152-CT'!$J$8=TH!F15),"x","")</f>
        <v/>
      </c>
      <c r="W15" s="22" t="str">
        <f>IF(AND(OR(LEFT(TH!L15,2)="15",LEFT(TH!M15,2)="15"),TK!$E$7=TH!F15),"x","")</f>
        <v/>
      </c>
      <c r="X15" s="22" t="str">
        <f>IF(OR(TH!L15=TH!$X$7,M15=TH!$X$7),"x","")</f>
        <v/>
      </c>
      <c r="Y15" s="22" t="str">
        <f>IF(AND(B15&lt;=NKC!$N$8,B15&gt;=NKC!$M$8),"x","")</f>
        <v/>
      </c>
      <c r="Z15" s="516"/>
    </row>
    <row r="16" spans="1:26" s="128" customFormat="1" ht="15.75" customHeight="1">
      <c r="A16" s="123" t="str">
        <f>IF(B16&lt;&gt;"",IF(AND(B16&gt;=_TM1,B16&lt;=_TM2,OR(TH!L16="1111",TH!M16="1111")),TH!D16,""),"")</f>
        <v/>
      </c>
      <c r="B16" s="12">
        <f t="shared" si="0"/>
        <v>12</v>
      </c>
      <c r="C16" s="18">
        <f t="shared" si="1"/>
        <v>42735</v>
      </c>
      <c r="D16" s="18" t="s">
        <v>94</v>
      </c>
      <c r="E16" s="18">
        <v>42735</v>
      </c>
      <c r="F16" s="19" t="s">
        <v>362</v>
      </c>
      <c r="G16" s="19"/>
      <c r="H16" s="20"/>
      <c r="I16" s="137"/>
      <c r="J16" s="137"/>
      <c r="K16" s="21">
        <v>47442655</v>
      </c>
      <c r="L16" s="22" t="s">
        <v>75</v>
      </c>
      <c r="M16" s="22" t="s">
        <v>90</v>
      </c>
      <c r="N16" s="22" t="str">
        <f>IF(AND('331-CT'!$E$7=TH!H16,OR(L16="331",M16="331")),"331",IF(AND(OR(L16="131",M16="131"),H16='131-CT'!$E$7),"131",""))</f>
        <v/>
      </c>
      <c r="O16" s="22" t="str">
        <f>IF(AND($B16&gt;='111'!$N$11,$B16&lt;='111'!$O$11,OR($L16=$O$7,$M16=$O$7)),"x","")</f>
        <v/>
      </c>
      <c r="P16" s="22" t="str">
        <f>IF(AND($L16=$O$7,$B16&lt;'111'!$N$11),"x","")</f>
        <v/>
      </c>
      <c r="Q16" s="22" t="str">
        <f>IF(AND($M16=$O$7,$B16&lt;'111'!$N$11),"x","")</f>
        <v/>
      </c>
      <c r="R16" s="22" t="str">
        <f>IF(ISERROR(FIND('112'!$M$9,G16,1)),"",IF((AND(FIND('112'!$M$9,G16,1)&gt;=1,$B16&gt;='112'!$N$8,$B16&lt;='112'!$O$8,OR($L16='112'!$I$6,$M16='112'!$I$6))),"x",""))</f>
        <v/>
      </c>
      <c r="S16" s="22" t="str">
        <f>IF(ISERROR(FIND('112'!$M$9,G16,1)),"",IF((AND(LEFT(G16,2)=LEFT('112'!$M$9,2),B16&lt;'112'!$N$8,$L16='112'!$I$6)),"x",""))</f>
        <v/>
      </c>
      <c r="T16" s="22" t="str">
        <f>IF(ISERROR(FIND('112'!$M$9,G16,1)),"",IF((AND(RIGHT(G16,2)=RIGHT('112'!$M$9,2),B16&lt;'112'!$N$8,$M16='112'!$I$6)),"x",""))</f>
        <v/>
      </c>
      <c r="U16" s="22" t="str">
        <f>IF(AND(B16&gt;='IN-NX'!$P$3,B16&lt;='IN-NX'!$Q$3,'IN-NX'!$D$7=D16,OR(LEFT(L16,2)="15",AND(LEFT(M16,2)&lt;&gt;"15",LEFT(M16,2)&lt;&gt;"33"))),"x","")</f>
        <v/>
      </c>
      <c r="V16" s="22" t="str">
        <f>IF(AND(OR(LEFT(TH!L16,2)="15",LEFT(TH!M16,2)="15"),'152-CT'!$J$8=TH!F16),"x","")</f>
        <v/>
      </c>
      <c r="W16" s="22" t="str">
        <f>IF(AND(OR(LEFT(TH!L16,2)="15",LEFT(TH!M16,2)="15"),TK!$E$7=TH!F16),"x","")</f>
        <v/>
      </c>
      <c r="X16" s="22" t="str">
        <f>IF(OR(TH!L16=TH!$X$7,M16=TH!$X$7),"x","")</f>
        <v/>
      </c>
      <c r="Y16" s="22" t="str">
        <f>IF(AND(B16&lt;=NKC!$N$8,B16&gt;=NKC!$M$8),"x","")</f>
        <v/>
      </c>
      <c r="Z16" s="516"/>
    </row>
    <row r="17" spans="1:31" s="598" customFormat="1" ht="15.75" customHeight="1">
      <c r="A17" s="123" t="str">
        <f>IF(B17&lt;&gt;"",IF(AND(B17&gt;=_TM1,B17&lt;=_TM2,OR(TH!L19="1111",TH!M19="1111")),TH!D19,""),"")</f>
        <v/>
      </c>
      <c r="B17" s="12">
        <f t="shared" ref="B17:B80" si="2">IF(C17&lt;&gt;"",MONTH(C17),"")</f>
        <v>5</v>
      </c>
      <c r="C17" s="108">
        <f>E17</f>
        <v>42516</v>
      </c>
      <c r="D17" s="108" t="s">
        <v>344</v>
      </c>
      <c r="E17" s="108">
        <v>42516</v>
      </c>
      <c r="F17" s="112" t="s">
        <v>644</v>
      </c>
      <c r="G17" s="303"/>
      <c r="H17" s="4" t="s">
        <v>645</v>
      </c>
      <c r="I17" s="139"/>
      <c r="J17" s="139"/>
      <c r="K17" s="13">
        <v>1800000000</v>
      </c>
      <c r="L17" s="116" t="s">
        <v>46</v>
      </c>
      <c r="M17" s="116" t="s">
        <v>25</v>
      </c>
      <c r="N17" s="22" t="str">
        <f>IF(AND('331-CT'!$E$7=TH!H17,OR(L17="331",M17="331")),"331",IF(AND(OR(L17="131",M17="131"),H17='131-CT'!$E$7),"131",""))</f>
        <v/>
      </c>
      <c r="O17" s="22" t="str">
        <f>IF(AND($B17&gt;='111'!$N$11,$B17&lt;='111'!$O$11,OR($L17=$O$7,$M17=$O$7)),"x","")</f>
        <v/>
      </c>
      <c r="P17" s="22" t="str">
        <f>IF(AND($L17=$O$7,$B17&lt;'111'!$N$11),"x","")</f>
        <v>x</v>
      </c>
      <c r="Q17" s="22" t="str">
        <f>IF(AND($M17=$O$7,$B17&lt;'111'!$N$11),"x","")</f>
        <v/>
      </c>
      <c r="R17" s="22" t="str">
        <f>IF(ISERROR(FIND('112'!$M$9,G17,1)),"",IF((AND(FIND('112'!$M$9,G17,1)&gt;=1,$B17&gt;='112'!$N$8,$B17&lt;='112'!$O$8,OR($L17='112'!$I$6,$M17='112'!$I$6))),"x",""))</f>
        <v/>
      </c>
      <c r="S17" s="22" t="str">
        <f>IF(ISERROR(FIND('112'!$M$9,G17,1)),"",IF((AND(LEFT(G17,2)=LEFT('112'!$M$9,2),B17&lt;'112'!$N$8,$L17='112'!$I$6)),"x",""))</f>
        <v/>
      </c>
      <c r="T17" s="22" t="str">
        <f>IF(ISERROR(FIND('112'!$M$9,G17,1)),"",IF((AND(RIGHT(G17,2)=RIGHT('112'!$M$9,2),B17&lt;'112'!$N$8,$M17='112'!$I$6)),"x",""))</f>
        <v/>
      </c>
      <c r="U17" s="22" t="str">
        <f>IF(AND(B17&gt;='IN-NX'!$P$3,B17&lt;='IN-NX'!$Q$3,'IN-NX'!$D$7=D17,OR(LEFT(L17,2)="15",AND(LEFT(M17,2)&lt;&gt;"15",LEFT(M17,2)&lt;&gt;"33"))),"x","")</f>
        <v/>
      </c>
      <c r="V17" s="22" t="str">
        <f>IF(AND(OR(LEFT(TH!L17,2)="15",LEFT(TH!M17,2)="15"),'152-CT'!$J$8=TH!F17),"x","")</f>
        <v/>
      </c>
      <c r="W17" s="22" t="str">
        <f>IF(AND(OR(LEFT(TH!L17,2)="15",LEFT(TH!M17,2)="15"),TK!$E$7=TH!F17),"x","")</f>
        <v/>
      </c>
      <c r="X17" s="22" t="str">
        <f>IF(OR(TH!L17=TH!$X$7,M17=TH!$X$7),"x","")</f>
        <v/>
      </c>
      <c r="Y17" s="22" t="str">
        <f>IF(AND(B17&lt;=NKC!$N$8,B17&gt;=NKC!$M$8),"x","")</f>
        <v/>
      </c>
      <c r="Z17" s="580"/>
      <c r="AA17" s="406"/>
      <c r="AB17" s="406"/>
      <c r="AC17" s="406"/>
      <c r="AD17" s="406"/>
      <c r="AE17" s="406"/>
    </row>
    <row r="18" spans="1:31" s="598" customFormat="1" ht="15.75" customHeight="1">
      <c r="A18" s="123" t="str">
        <f>IF(B18&lt;&gt;"",IF(AND(B18&gt;=_TM1,B18&lt;=_TM2,OR(TH!L20="1111",TH!M20="1111")),TH!D20,""),"")</f>
        <v/>
      </c>
      <c r="B18" s="12">
        <f t="shared" si="2"/>
        <v>5</v>
      </c>
      <c r="C18" s="108">
        <f>E18</f>
        <v>42516</v>
      </c>
      <c r="D18" s="108" t="s">
        <v>452</v>
      </c>
      <c r="E18" s="108">
        <v>42516</v>
      </c>
      <c r="F18" s="112" t="s">
        <v>471</v>
      </c>
      <c r="G18" s="303" t="s">
        <v>474</v>
      </c>
      <c r="H18" s="4" t="s">
        <v>475</v>
      </c>
      <c r="I18" s="139"/>
      <c r="J18" s="139"/>
      <c r="K18" s="13">
        <v>2200000</v>
      </c>
      <c r="L18" s="116" t="s">
        <v>24</v>
      </c>
      <c r="M18" s="116" t="s">
        <v>46</v>
      </c>
      <c r="N18" s="22" t="str">
        <f>IF(AND('331-CT'!$E$7=TH!H18,OR(L18="331",M18="331")),"331",IF(AND(OR(L18="131",M18="131"),H18='131-CT'!$E$7),"131",""))</f>
        <v/>
      </c>
      <c r="O18" s="22" t="str">
        <f>IF(AND($B18&gt;='111'!$N$11,$B18&lt;='111'!$O$11,OR($L18=$O$7,$M18=$O$7)),"x","")</f>
        <v/>
      </c>
      <c r="P18" s="22" t="str">
        <f>IF(AND($L18=$O$7,$B18&lt;'111'!$N$11),"x","")</f>
        <v/>
      </c>
      <c r="Q18" s="22" t="str">
        <f>IF(AND($M18=$O$7,$B18&lt;'111'!$N$11),"x","")</f>
        <v>x</v>
      </c>
      <c r="R18" s="22" t="str">
        <f>IF(ISERROR(FIND('112'!$M$9,G18,1)),"",IF((AND(FIND('112'!$M$9,G18,1)&gt;=1,$B18&gt;='112'!$N$8,$B18&lt;='112'!$O$8,OR($L18='112'!$I$6,$M18='112'!$I$6))),"x",""))</f>
        <v/>
      </c>
      <c r="S18" s="22" t="str">
        <f>IF(ISERROR(FIND('112'!$M$9,G18,1)),"",IF((AND(LEFT(G18,2)=LEFT('112'!$M$9,2),B18&lt;'112'!$N$8,$L18='112'!$I$6)),"x",""))</f>
        <v>x</v>
      </c>
      <c r="T18" s="22" t="str">
        <f>IF(ISERROR(FIND('112'!$M$9,G18,1)),"",IF((AND(RIGHT(G18,2)=RIGHT('112'!$M$9,2),B18&lt;'112'!$N$8,$M18='112'!$I$6)),"x",""))</f>
        <v/>
      </c>
      <c r="U18" s="22" t="str">
        <f>IF(AND(B18&gt;='IN-NX'!$P$3,B18&lt;='IN-NX'!$Q$3,'IN-NX'!$D$7=D18,OR(LEFT(L18,2)="15",AND(LEFT(M18,2)&lt;&gt;"15",LEFT(M18,2)&lt;&gt;"33"))),"x","")</f>
        <v/>
      </c>
      <c r="V18" s="22" t="str">
        <f>IF(AND(OR(LEFT(TH!L18,2)="15",LEFT(TH!M18,2)="15"),'152-CT'!$J$8=TH!F18),"x","")</f>
        <v/>
      </c>
      <c r="W18" s="22" t="str">
        <f>IF(AND(OR(LEFT(TH!L18,2)="15",LEFT(TH!M18,2)="15"),TK!$E$7=TH!F18),"x","")</f>
        <v/>
      </c>
      <c r="X18" s="22" t="str">
        <f>IF(OR(TH!L18=TH!$X$7,M18=TH!$X$7),"x","")</f>
        <v/>
      </c>
      <c r="Y18" s="22" t="str">
        <f>IF(AND(B18&lt;=NKC!$N$8,B18&gt;=NKC!$M$8),"x","")</f>
        <v/>
      </c>
      <c r="Z18" s="580"/>
      <c r="AA18" s="406"/>
      <c r="AB18" s="406"/>
      <c r="AC18" s="406"/>
      <c r="AD18" s="406"/>
      <c r="AE18" s="406"/>
    </row>
    <row r="19" spans="1:31" s="598" customFormat="1" ht="15.75" customHeight="1">
      <c r="A19" s="123" t="str">
        <f>IF(B19&lt;&gt;"",IF(AND(B19&gt;=_TM1,B19&lt;=_TM2,OR(TH!L21="1111",TH!M21="1111")),TH!D21,""),"")</f>
        <v/>
      </c>
      <c r="B19" s="12">
        <f t="shared" si="2"/>
        <v>5</v>
      </c>
      <c r="C19" s="108">
        <v>42516</v>
      </c>
      <c r="D19" s="108" t="s">
        <v>453</v>
      </c>
      <c r="E19" s="108">
        <v>42508</v>
      </c>
      <c r="F19" s="112" t="s">
        <v>417</v>
      </c>
      <c r="G19" s="303" t="s">
        <v>416</v>
      </c>
      <c r="H19" s="115" t="s">
        <v>415</v>
      </c>
      <c r="I19" s="139"/>
      <c r="J19" s="139"/>
      <c r="K19" s="410">
        <v>2160000</v>
      </c>
      <c r="L19" s="411" t="s">
        <v>82</v>
      </c>
      <c r="M19" s="411" t="s">
        <v>46</v>
      </c>
      <c r="N19" s="22" t="str">
        <f>IF(AND('331-CT'!$E$7=TH!H19,OR(L19="331",M19="331")),"331",IF(AND(OR(L19="131",M19="131"),H19='131-CT'!$E$7),"131",""))</f>
        <v/>
      </c>
      <c r="O19" s="22" t="str">
        <f>IF(AND($B19&gt;='111'!$N$11,$B19&lt;='111'!$O$11,OR($L19=$O$7,$M19=$O$7)),"x","")</f>
        <v/>
      </c>
      <c r="P19" s="22" t="str">
        <f>IF(AND($L19=$O$7,$B19&lt;'111'!$N$11),"x","")</f>
        <v/>
      </c>
      <c r="Q19" s="22" t="str">
        <f>IF(AND($M19=$O$7,$B19&lt;'111'!$N$11),"x","")</f>
        <v>x</v>
      </c>
      <c r="R19" s="22" t="str">
        <f>IF(ISERROR(FIND('112'!$M$9,G19,1)),"",IF((AND(FIND('112'!$M$9,G19,1)&gt;=1,$B19&gt;='112'!$N$8,$B19&lt;='112'!$O$8,OR($L19='112'!$I$6,$M19='112'!$I$6))),"x",""))</f>
        <v/>
      </c>
      <c r="S19" s="22" t="str">
        <f>IF(ISERROR(FIND('112'!$M$9,G19,1)),"",IF((AND(LEFT(G19,2)=LEFT('112'!$M$9,2),B19&lt;'112'!$N$8,$L19='112'!$I$6)),"x",""))</f>
        <v/>
      </c>
      <c r="T19" s="22" t="str">
        <f>IF(ISERROR(FIND('112'!$M$9,G19,1)),"",IF((AND(RIGHT(G19,2)=RIGHT('112'!$M$9,2),B19&lt;'112'!$N$8,$M19='112'!$I$6)),"x",""))</f>
        <v/>
      </c>
      <c r="U19" s="22" t="str">
        <f>IF(AND(B19&gt;='IN-NX'!$P$3,B19&lt;='IN-NX'!$Q$3,'IN-NX'!$D$7=D19,OR(LEFT(L19,2)="15",AND(LEFT(M19,2)&lt;&gt;"15",LEFT(M19,2)&lt;&gt;"33"))),"x","")</f>
        <v/>
      </c>
      <c r="V19" s="22" t="str">
        <f>IF(AND(OR(LEFT(TH!L19,2)="15",LEFT(TH!M19,2)="15"),'152-CT'!$J$8=TH!F19),"x","")</f>
        <v/>
      </c>
      <c r="W19" s="22" t="str">
        <f>IF(AND(OR(LEFT(TH!L19,2)="15",LEFT(TH!M19,2)="15"),TK!$E$7=TH!F19),"x","")</f>
        <v/>
      </c>
      <c r="X19" s="22" t="str">
        <f>IF(OR(TH!L19=TH!$X$7,M19=TH!$X$7),"x","")</f>
        <v>x</v>
      </c>
      <c r="Y19" s="22" t="str">
        <f>IF(AND(B19&lt;=NKC!$N$8,B19&gt;=NKC!$M$8),"x","")</f>
        <v/>
      </c>
      <c r="Z19" s="580">
        <v>3</v>
      </c>
      <c r="AA19" s="406"/>
      <c r="AB19" s="406"/>
      <c r="AC19" s="406"/>
      <c r="AD19" s="406"/>
      <c r="AE19" s="406"/>
    </row>
    <row r="20" spans="1:31" s="598" customFormat="1" ht="15.75" customHeight="1">
      <c r="A20" s="123" t="str">
        <f>IF(B20&lt;&gt;"",IF(AND(B20&gt;=_TM1,B20&lt;=_TM2,OR(TH!L22="1111",TH!M22="1111")),TH!D22,""),"")</f>
        <v/>
      </c>
      <c r="B20" s="12">
        <f t="shared" si="2"/>
        <v>5</v>
      </c>
      <c r="C20" s="108">
        <v>42516</v>
      </c>
      <c r="D20" s="108" t="s">
        <v>453</v>
      </c>
      <c r="E20" s="108">
        <v>42508</v>
      </c>
      <c r="F20" s="112" t="s">
        <v>418</v>
      </c>
      <c r="G20" s="303" t="s">
        <v>416</v>
      </c>
      <c r="H20" s="115" t="s">
        <v>415</v>
      </c>
      <c r="I20" s="139"/>
      <c r="J20" s="139"/>
      <c r="K20" s="410">
        <v>216000</v>
      </c>
      <c r="L20" s="411" t="s">
        <v>9</v>
      </c>
      <c r="M20" s="411" t="s">
        <v>46</v>
      </c>
      <c r="N20" s="22" t="str">
        <f>IF(AND('331-CT'!$E$7=TH!H20,OR(L20="331",M20="331")),"331",IF(AND(OR(L20="131",M20="131"),H20='131-CT'!$E$7),"131",""))</f>
        <v/>
      </c>
      <c r="O20" s="22" t="str">
        <f>IF(AND($B20&gt;='111'!$N$11,$B20&lt;='111'!$O$11,OR($L20=$O$7,$M20=$O$7)),"x","")</f>
        <v/>
      </c>
      <c r="P20" s="22" t="str">
        <f>IF(AND($L20=$O$7,$B20&lt;'111'!$N$11),"x","")</f>
        <v/>
      </c>
      <c r="Q20" s="22" t="str">
        <f>IF(AND($M20=$O$7,$B20&lt;'111'!$N$11),"x","")</f>
        <v>x</v>
      </c>
      <c r="R20" s="22" t="str">
        <f>IF(ISERROR(FIND('112'!$M$9,G20,1)),"",IF((AND(FIND('112'!$M$9,G20,1)&gt;=1,$B20&gt;='112'!$N$8,$B20&lt;='112'!$O$8,OR($L20='112'!$I$6,$M20='112'!$I$6))),"x",""))</f>
        <v/>
      </c>
      <c r="S20" s="22" t="str">
        <f>IF(ISERROR(FIND('112'!$M$9,G20,1)),"",IF((AND(LEFT(G20,2)=LEFT('112'!$M$9,2),B20&lt;'112'!$N$8,$L20='112'!$I$6)),"x",""))</f>
        <v/>
      </c>
      <c r="T20" s="22" t="str">
        <f>IF(ISERROR(FIND('112'!$M$9,G20,1)),"",IF((AND(RIGHT(G20,2)=RIGHT('112'!$M$9,2),B20&lt;'112'!$N$8,$M20='112'!$I$6)),"x",""))</f>
        <v/>
      </c>
      <c r="U20" s="22" t="str">
        <f>IF(AND(B20&gt;='IN-NX'!$P$3,B20&lt;='IN-NX'!$Q$3,'IN-NX'!$D$7=D20,OR(LEFT(L20,2)="15",AND(LEFT(M20,2)&lt;&gt;"15",LEFT(M20,2)&lt;&gt;"33"))),"x","")</f>
        <v/>
      </c>
      <c r="V20" s="22" t="str">
        <f>IF(AND(OR(LEFT(TH!L20,2)="15",LEFT(TH!M20,2)="15"),'152-CT'!$J$8=TH!F20),"x","")</f>
        <v/>
      </c>
      <c r="W20" s="22" t="str">
        <f>IF(AND(OR(LEFT(TH!L20,2)="15",LEFT(TH!M20,2)="15"),TK!$E$7=TH!F20),"x","")</f>
        <v/>
      </c>
      <c r="X20" s="22" t="str">
        <f>IF(OR(TH!L20=TH!$X$7,M20=TH!$X$7),"x","")</f>
        <v/>
      </c>
      <c r="Y20" s="22" t="str">
        <f>IF(AND(B20&lt;=NKC!$N$8,B20&gt;=NKC!$M$8),"x","")</f>
        <v/>
      </c>
      <c r="Z20" s="580">
        <v>3</v>
      </c>
      <c r="AA20" s="406"/>
      <c r="AB20" s="406"/>
      <c r="AC20" s="406"/>
      <c r="AD20" s="406"/>
      <c r="AE20" s="406"/>
    </row>
    <row r="21" spans="1:31" s="598" customFormat="1" ht="15.75" customHeight="1">
      <c r="A21" s="123" t="str">
        <f>IF(B21&lt;&gt;"",IF(AND(B21&gt;=_TM1,B21&lt;=_TM2,OR(TH!L23="1111",TH!M23="1111")),TH!D23,""),"")</f>
        <v/>
      </c>
      <c r="B21" s="12">
        <f t="shared" si="2"/>
        <v>5</v>
      </c>
      <c r="C21" s="108">
        <f>E21</f>
        <v>42516</v>
      </c>
      <c r="D21" s="108" t="s">
        <v>470</v>
      </c>
      <c r="E21" s="108">
        <v>42516</v>
      </c>
      <c r="F21" s="112" t="s">
        <v>472</v>
      </c>
      <c r="G21" s="303" t="s">
        <v>474</v>
      </c>
      <c r="H21" s="4"/>
      <c r="I21" s="139"/>
      <c r="J21" s="139"/>
      <c r="K21" s="13">
        <v>20000</v>
      </c>
      <c r="L21" s="116" t="s">
        <v>82</v>
      </c>
      <c r="M21" s="116" t="s">
        <v>24</v>
      </c>
      <c r="N21" s="22" t="str">
        <f>IF(AND('331-CT'!$E$7=TH!H21,OR(L21="331",M21="331")),"331",IF(AND(OR(L21="131",M21="131"),H21='131-CT'!$E$7),"131",""))</f>
        <v/>
      </c>
      <c r="O21" s="22" t="str">
        <f>IF(AND($B21&gt;='111'!$N$11,$B21&lt;='111'!$O$11,OR($L21=$O$7,$M21=$O$7)),"x","")</f>
        <v/>
      </c>
      <c r="P21" s="22" t="str">
        <f>IF(AND($L21=$O$7,$B21&lt;'111'!$N$11),"x","")</f>
        <v/>
      </c>
      <c r="Q21" s="22" t="str">
        <f>IF(AND($M21=$O$7,$B21&lt;'111'!$N$11),"x","")</f>
        <v/>
      </c>
      <c r="R21" s="22" t="str">
        <f>IF(ISERROR(FIND('112'!$M$9,G21,1)),"",IF((AND(FIND('112'!$M$9,G21,1)&gt;=1,$B21&gt;='112'!$N$8,$B21&lt;='112'!$O$8,OR($L21='112'!$I$6,$M21='112'!$I$6))),"x",""))</f>
        <v/>
      </c>
      <c r="S21" s="22" t="str">
        <f>IF(ISERROR(FIND('112'!$M$9,G21,1)),"",IF((AND(LEFT(G21,2)=LEFT('112'!$M$9,2),B21&lt;'112'!$N$8,$L21='112'!$I$6)),"x",""))</f>
        <v/>
      </c>
      <c r="T21" s="22" t="str">
        <f>IF(ISERROR(FIND('112'!$M$9,G21,1)),"",IF((AND(RIGHT(G21,2)=RIGHT('112'!$M$9,2),B21&lt;'112'!$N$8,$M21='112'!$I$6)),"x",""))</f>
        <v>x</v>
      </c>
      <c r="U21" s="22" t="str">
        <f>IF(AND(B21&gt;='IN-NX'!$P$3,B21&lt;='IN-NX'!$Q$3,'IN-NX'!$D$7=D21,OR(LEFT(L21,2)="15",AND(LEFT(M21,2)&lt;&gt;"15",LEFT(M21,2)&lt;&gt;"33"))),"x","")</f>
        <v/>
      </c>
      <c r="V21" s="22" t="str">
        <f>IF(AND(OR(LEFT(TH!L21,2)="15",LEFT(TH!M21,2)="15"),'152-CT'!$J$8=TH!F21),"x","")</f>
        <v/>
      </c>
      <c r="W21" s="22" t="str">
        <f>IF(AND(OR(LEFT(TH!L21,2)="15",LEFT(TH!M21,2)="15"),TK!$E$7=TH!F21),"x","")</f>
        <v/>
      </c>
      <c r="X21" s="22" t="str">
        <f>IF(OR(TH!L21=TH!$X$7,M21=TH!$X$7),"x","")</f>
        <v>x</v>
      </c>
      <c r="Y21" s="22" t="str">
        <f>IF(AND(B21&lt;=NKC!$N$8,B21&gt;=NKC!$M$8),"x","")</f>
        <v/>
      </c>
      <c r="Z21" s="580">
        <v>3</v>
      </c>
      <c r="AA21" s="406"/>
      <c r="AB21" s="406"/>
      <c r="AC21" s="406"/>
      <c r="AD21" s="406"/>
      <c r="AE21" s="406"/>
    </row>
    <row r="22" spans="1:31" s="598" customFormat="1" ht="15.75" customHeight="1">
      <c r="A22" s="123" t="str">
        <f>IF(B22&lt;&gt;"",IF(AND(B22&gt;=_TM1,B22&lt;=_TM2,OR(TH!L24="1111",TH!M24="1111")),TH!D24,""),"")</f>
        <v/>
      </c>
      <c r="B22" s="12">
        <f t="shared" si="2"/>
        <v>5</v>
      </c>
      <c r="C22" s="108">
        <f>E22</f>
        <v>42516</v>
      </c>
      <c r="D22" s="108" t="s">
        <v>470</v>
      </c>
      <c r="E22" s="108">
        <v>42516</v>
      </c>
      <c r="F22" s="112" t="s">
        <v>473</v>
      </c>
      <c r="G22" s="303" t="s">
        <v>474</v>
      </c>
      <c r="H22" s="4"/>
      <c r="I22" s="139"/>
      <c r="J22" s="139"/>
      <c r="K22" s="13">
        <v>2000</v>
      </c>
      <c r="L22" s="116" t="s">
        <v>9</v>
      </c>
      <c r="M22" s="116" t="s">
        <v>24</v>
      </c>
      <c r="N22" s="22" t="str">
        <f>IF(AND('331-CT'!$E$7=TH!H22,OR(L22="331",M22="331")),"331",IF(AND(OR(L22="131",M22="131"),H22='131-CT'!$E$7),"131",""))</f>
        <v/>
      </c>
      <c r="O22" s="22" t="str">
        <f>IF(AND($B22&gt;='111'!$N$11,$B22&lt;='111'!$O$11,OR($L22=$O$7,$M22=$O$7)),"x","")</f>
        <v/>
      </c>
      <c r="P22" s="22" t="str">
        <f>IF(AND($L22=$O$7,$B22&lt;'111'!$N$11),"x","")</f>
        <v/>
      </c>
      <c r="Q22" s="22" t="str">
        <f>IF(AND($M22=$O$7,$B22&lt;'111'!$N$11),"x","")</f>
        <v/>
      </c>
      <c r="R22" s="22" t="str">
        <f>IF(ISERROR(FIND('112'!$M$9,G22,1)),"",IF((AND(FIND('112'!$M$9,G22,1)&gt;=1,$B22&gt;='112'!$N$8,$B22&lt;='112'!$O$8,OR($L22='112'!$I$6,$M22='112'!$I$6))),"x",""))</f>
        <v/>
      </c>
      <c r="S22" s="22" t="str">
        <f>IF(ISERROR(FIND('112'!$M$9,G22,1)),"",IF((AND(LEFT(G22,2)=LEFT('112'!$M$9,2),B22&lt;'112'!$N$8,$L22='112'!$I$6)),"x",""))</f>
        <v/>
      </c>
      <c r="T22" s="22" t="str">
        <f>IF(ISERROR(FIND('112'!$M$9,G22,1)),"",IF((AND(RIGHT(G22,2)=RIGHT('112'!$M$9,2),B22&lt;'112'!$N$8,$M22='112'!$I$6)),"x",""))</f>
        <v>x</v>
      </c>
      <c r="U22" s="22" t="str">
        <f>IF(AND(B22&gt;='IN-NX'!$P$3,B22&lt;='IN-NX'!$Q$3,'IN-NX'!$D$7=D22,OR(LEFT(L22,2)="15",AND(LEFT(M22,2)&lt;&gt;"15",LEFT(M22,2)&lt;&gt;"33"))),"x","")</f>
        <v/>
      </c>
      <c r="V22" s="22" t="str">
        <f>IF(AND(OR(LEFT(TH!L22,2)="15",LEFT(TH!M22,2)="15"),'152-CT'!$J$8=TH!F22),"x","")</f>
        <v/>
      </c>
      <c r="W22" s="22" t="str">
        <f>IF(AND(OR(LEFT(TH!L22,2)="15",LEFT(TH!M22,2)="15"),TK!$E$7=TH!F22),"x","")</f>
        <v/>
      </c>
      <c r="X22" s="22" t="str">
        <f>IF(OR(TH!L22=TH!$X$7,M22=TH!$X$7),"x","")</f>
        <v/>
      </c>
      <c r="Y22" s="22" t="str">
        <f>IF(AND(B22&lt;=NKC!$N$8,B22&gt;=NKC!$M$8),"x","")</f>
        <v/>
      </c>
      <c r="Z22" s="580">
        <v>3</v>
      </c>
      <c r="AA22" s="406"/>
      <c r="AB22" s="406"/>
      <c r="AC22" s="406"/>
      <c r="AD22" s="406"/>
      <c r="AE22" s="406"/>
    </row>
    <row r="23" spans="1:31" s="598" customFormat="1" ht="15.75" customHeight="1">
      <c r="A23" s="123" t="str">
        <f>IF(B23&lt;&gt;"",IF(AND(B23&gt;=_TM1,B23&lt;=_TM2,OR(TH!L25="1111",TH!M25="1111")),TH!D25,""),"")</f>
        <v/>
      </c>
      <c r="B23" s="12">
        <f t="shared" si="2"/>
        <v>5</v>
      </c>
      <c r="C23" s="108">
        <v>42516</v>
      </c>
      <c r="D23" s="108" t="s">
        <v>454</v>
      </c>
      <c r="E23" s="108">
        <v>42508</v>
      </c>
      <c r="F23" s="112" t="s">
        <v>1093</v>
      </c>
      <c r="G23" s="303"/>
      <c r="H23" s="115" t="s">
        <v>1094</v>
      </c>
      <c r="I23" s="139"/>
      <c r="J23" s="139"/>
      <c r="K23" s="410">
        <v>1000000</v>
      </c>
      <c r="L23" s="411" t="s">
        <v>62</v>
      </c>
      <c r="M23" s="411" t="s">
        <v>46</v>
      </c>
      <c r="N23" s="22" t="str">
        <f>IF(AND('331-CT'!$E$7=TH!H23,OR(L23="331",M23="331")),"331",IF(AND(OR(L23="131",M23="131"),H23='131-CT'!$E$7),"131",""))</f>
        <v/>
      </c>
      <c r="O23" s="22" t="str">
        <f>IF(AND($B23&gt;='111'!$N$11,$B23&lt;='111'!$O$11,OR($L23=$O$7,$M23=$O$7)),"x","")</f>
        <v/>
      </c>
      <c r="P23" s="22" t="str">
        <f>IF(AND($L23=$O$7,$B23&lt;'111'!$N$11),"x","")</f>
        <v/>
      </c>
      <c r="Q23" s="22" t="str">
        <f>IF(AND($M23=$O$7,$B23&lt;'111'!$N$11),"x","")</f>
        <v>x</v>
      </c>
      <c r="R23" s="22" t="str">
        <f>IF(ISERROR(FIND('112'!$M$9,G23,1)),"",IF((AND(FIND('112'!$M$9,G23,1)&gt;=1,$B23&gt;='112'!$N$8,$B23&lt;='112'!$O$8,OR($L23='112'!$I$6,$M23='112'!$I$6))),"x",""))</f>
        <v/>
      </c>
      <c r="S23" s="22" t="str">
        <f>IF(ISERROR(FIND('112'!$M$9,G23,1)),"",IF((AND(LEFT(G23,2)=LEFT('112'!$M$9,2),B23&lt;'112'!$N$8,$L23='112'!$I$6)),"x",""))</f>
        <v/>
      </c>
      <c r="T23" s="22" t="str">
        <f>IF(ISERROR(FIND('112'!$M$9,G23,1)),"",IF((AND(RIGHT(G23,2)=RIGHT('112'!$M$9,2),B23&lt;'112'!$N$8,$M23='112'!$I$6)),"x",""))</f>
        <v/>
      </c>
      <c r="U23" s="22" t="str">
        <f>IF(AND(B23&gt;='IN-NX'!$P$3,B23&lt;='IN-NX'!$Q$3,'IN-NX'!$D$7=D23,OR(LEFT(L23,2)="15",AND(LEFT(M23,2)&lt;&gt;"15",LEFT(M23,2)&lt;&gt;"33"))),"x","")</f>
        <v/>
      </c>
      <c r="V23" s="22" t="str">
        <f>IF(AND(OR(LEFT(TH!L23,2)="15",LEFT(TH!M23,2)="15"),'152-CT'!$J$8=TH!F23),"x","")</f>
        <v/>
      </c>
      <c r="W23" s="22" t="str">
        <f>IF(AND(OR(LEFT(TH!L23,2)="15",LEFT(TH!M23,2)="15"),TK!$E$7=TH!F23),"x","")</f>
        <v/>
      </c>
      <c r="X23" s="22" t="str">
        <f>IF(OR(TH!L23=TH!$X$7,M23=TH!$X$7),"x","")</f>
        <v/>
      </c>
      <c r="Y23" s="22" t="str">
        <f>IF(AND(B23&lt;=NKC!$N$8,B23&gt;=NKC!$M$8),"x","")</f>
        <v/>
      </c>
      <c r="Z23" s="580"/>
      <c r="AA23" s="406"/>
      <c r="AB23" s="406"/>
      <c r="AC23" s="406"/>
      <c r="AD23" s="406"/>
      <c r="AE23" s="406"/>
    </row>
    <row r="24" spans="1:31" s="598" customFormat="1" ht="15.75" customHeight="1">
      <c r="A24" s="123" t="str">
        <f>IF(B24&lt;&gt;"",IF(AND(B24&gt;=_TM1,B24&lt;=_TM2,OR(TH!L26="1111",TH!M26="1111")),TH!D26,""),"")</f>
        <v/>
      </c>
      <c r="B24" s="12">
        <f t="shared" si="2"/>
        <v>5</v>
      </c>
      <c r="C24" s="108">
        <v>42516</v>
      </c>
      <c r="D24" s="108" t="s">
        <v>324</v>
      </c>
      <c r="E24" s="108">
        <v>42508</v>
      </c>
      <c r="F24" s="112" t="s">
        <v>1095</v>
      </c>
      <c r="G24" s="303"/>
      <c r="H24" s="115" t="s">
        <v>1094</v>
      </c>
      <c r="I24" s="139"/>
      <c r="J24" s="139"/>
      <c r="K24" s="410">
        <v>1000000</v>
      </c>
      <c r="L24" s="411" t="s">
        <v>82</v>
      </c>
      <c r="M24" s="411" t="s">
        <v>62</v>
      </c>
      <c r="N24" s="22" t="str">
        <f>IF(AND('331-CT'!$E$7=TH!H24,OR(L24="331",M24="331")),"331",IF(AND(OR(L24="131",M24="131"),H24='131-CT'!$E$7),"131",""))</f>
        <v/>
      </c>
      <c r="O24" s="22" t="str">
        <f>IF(AND($B24&gt;='111'!$N$11,$B24&lt;='111'!$O$11,OR($L24=$O$7,$M24=$O$7)),"x","")</f>
        <v/>
      </c>
      <c r="P24" s="22" t="str">
        <f>IF(AND($L24=$O$7,$B24&lt;'111'!$N$11),"x","")</f>
        <v/>
      </c>
      <c r="Q24" s="22" t="str">
        <f>IF(AND($M24=$O$7,$B24&lt;'111'!$N$11),"x","")</f>
        <v/>
      </c>
      <c r="R24" s="22" t="str">
        <f>IF(ISERROR(FIND('112'!$M$9,G24,1)),"",IF((AND(FIND('112'!$M$9,G24,1)&gt;=1,$B24&gt;='112'!$N$8,$B24&lt;='112'!$O$8,OR($L24='112'!$I$6,$M24='112'!$I$6))),"x",""))</f>
        <v/>
      </c>
      <c r="S24" s="22" t="str">
        <f>IF(ISERROR(FIND('112'!$M$9,G24,1)),"",IF((AND(LEFT(G24,2)=LEFT('112'!$M$9,2),B24&lt;'112'!$N$8,$L24='112'!$I$6)),"x",""))</f>
        <v/>
      </c>
      <c r="T24" s="22" t="str">
        <f>IF(ISERROR(FIND('112'!$M$9,G24,1)),"",IF((AND(RIGHT(G24,2)=RIGHT('112'!$M$9,2),B24&lt;'112'!$N$8,$M24='112'!$I$6)),"x",""))</f>
        <v/>
      </c>
      <c r="U24" s="22" t="str">
        <f>IF(AND(B24&gt;='IN-NX'!$P$3,B24&lt;='IN-NX'!$Q$3,'IN-NX'!$D$7=D24,OR(LEFT(L24,2)="15",AND(LEFT(M24,2)&lt;&gt;"15",LEFT(M24,2)&lt;&gt;"33"))),"x","")</f>
        <v/>
      </c>
      <c r="V24" s="22" t="str">
        <f>IF(AND(OR(LEFT(TH!L24,2)="15",LEFT(TH!M24,2)="15"),'152-CT'!$J$8=TH!F24),"x","")</f>
        <v/>
      </c>
      <c r="W24" s="22" t="str">
        <f>IF(AND(OR(LEFT(TH!L24,2)="15",LEFT(TH!M24,2)="15"),TK!$E$7=TH!F24),"x","")</f>
        <v/>
      </c>
      <c r="X24" s="22" t="str">
        <f>IF(OR(TH!L24=TH!$X$7,M24=TH!$X$7),"x","")</f>
        <v>x</v>
      </c>
      <c r="Y24" s="22" t="str">
        <f>IF(AND(B24&lt;=NKC!$N$8,B24&gt;=NKC!$M$8),"x","")</f>
        <v/>
      </c>
      <c r="Z24" s="580"/>
      <c r="AA24" s="406"/>
      <c r="AB24" s="406"/>
      <c r="AC24" s="406"/>
      <c r="AD24" s="406"/>
      <c r="AE24" s="406"/>
    </row>
    <row r="25" spans="1:31" s="598" customFormat="1" ht="15.75" customHeight="1">
      <c r="A25" s="123" t="str">
        <f>IF(B25&lt;&gt;"",IF(AND(B25&gt;=_TM1,B25&lt;=_TM2,OR(TH!L27="1111",TH!M27="1111")),TH!D27,""),"")</f>
        <v/>
      </c>
      <c r="B25" s="12">
        <f t="shared" si="2"/>
        <v>6</v>
      </c>
      <c r="C25" s="108">
        <f t="shared" ref="C25:C88" si="3">E25</f>
        <v>42529</v>
      </c>
      <c r="D25" s="113" t="s">
        <v>402</v>
      </c>
      <c r="E25" s="108">
        <v>42529</v>
      </c>
      <c r="F25" s="112" t="s">
        <v>405</v>
      </c>
      <c r="G25" s="305" t="s">
        <v>375</v>
      </c>
      <c r="H25" s="4" t="s">
        <v>398</v>
      </c>
      <c r="I25" s="139">
        <v>10288</v>
      </c>
      <c r="J25" s="139">
        <v>7500</v>
      </c>
      <c r="K25" s="13">
        <f>ROUND(I25*J25,0)</f>
        <v>77160000</v>
      </c>
      <c r="L25" s="116" t="s">
        <v>154</v>
      </c>
      <c r="M25" s="116" t="s">
        <v>8</v>
      </c>
      <c r="N25" s="22" t="str">
        <f>IF(AND('331-CT'!$E$7=TH!H25,OR(L25="331",M25="331")),"331",IF(AND(OR(L25="131",M25="131"),H25='131-CT'!$E$7),"131",""))</f>
        <v/>
      </c>
      <c r="O25" s="22" t="str">
        <f>IF(AND($B25&gt;='111'!$N$11,$B25&lt;='111'!$O$11,OR($L25=$O$7,$M25=$O$7)),"x","")</f>
        <v/>
      </c>
      <c r="P25" s="22" t="str">
        <f>IF(AND($L25=$O$7,$B25&lt;'111'!$N$11),"x","")</f>
        <v/>
      </c>
      <c r="Q25" s="22" t="str">
        <f>IF(AND($M25=$O$7,$B25&lt;'111'!$N$11),"x","")</f>
        <v/>
      </c>
      <c r="R25" s="22" t="str">
        <f>IF(ISERROR(FIND('112'!$M$9,G25,1)),"",IF((AND(FIND('112'!$M$9,G25,1)&gt;=1,$B25&gt;='112'!$N$8,$B25&lt;='112'!$O$8,OR($L25='112'!$I$6,$M25='112'!$I$6))),"x",""))</f>
        <v/>
      </c>
      <c r="S25" s="22" t="str">
        <f>IF(ISERROR(FIND('112'!$M$9,G25,1)),"",IF((AND(LEFT(G25,2)=LEFT('112'!$M$9,2),B25&lt;'112'!$N$8,$L25='112'!$I$6)),"x",""))</f>
        <v/>
      </c>
      <c r="T25" s="22" t="str">
        <f>IF(ISERROR(FIND('112'!$M$9,G25,1)),"",IF((AND(RIGHT(G25,2)=RIGHT('112'!$M$9,2),B25&lt;'112'!$N$8,$M25='112'!$I$6)),"x",""))</f>
        <v/>
      </c>
      <c r="U25" s="22" t="str">
        <f>IF(AND(B25&gt;='IN-NX'!$P$3,B25&lt;='IN-NX'!$Q$3,'IN-NX'!$D$7=D25,OR(LEFT(L25,2)="15",AND(LEFT(M25,2)&lt;&gt;"15",LEFT(M25,2)&lt;&gt;"33"))),"x","")</f>
        <v/>
      </c>
      <c r="V25" s="22" t="str">
        <f>IF(AND(OR(LEFT(TH!L25,2)="15",LEFT(TH!M25,2)="15"),'152-CT'!$J$8=TH!F25),"x","")</f>
        <v/>
      </c>
      <c r="W25" s="22" t="str">
        <f>IF(AND(OR(LEFT(TH!L25,2)="15",LEFT(TH!M25,2)="15"),TK!$E$7=TH!F25),"x","")</f>
        <v/>
      </c>
      <c r="X25" s="22" t="str">
        <f>IF(OR(TH!L25=TH!$X$7,M25=TH!$X$7),"x","")</f>
        <v/>
      </c>
      <c r="Y25" s="22" t="str">
        <f>IF(AND(B25&lt;=NKC!$N$8,B25&gt;=NKC!$M$8),"x","")</f>
        <v/>
      </c>
      <c r="Z25" s="580">
        <v>3</v>
      </c>
      <c r="AA25" s="406"/>
      <c r="AB25" s="406"/>
      <c r="AC25" s="406"/>
      <c r="AD25" s="406"/>
      <c r="AE25" s="406"/>
    </row>
    <row r="26" spans="1:31" s="598" customFormat="1" ht="15.75" customHeight="1">
      <c r="A26" s="123" t="str">
        <f>IF(B26&lt;&gt;"",IF(AND(B26&gt;=_TM1,B26&lt;=_TM2,OR(TH!L28="1111",TH!M28="1111")),TH!D28,""),"")</f>
        <v/>
      </c>
      <c r="B26" s="12">
        <f t="shared" si="2"/>
        <v>6</v>
      </c>
      <c r="C26" s="108">
        <f t="shared" si="3"/>
        <v>42529</v>
      </c>
      <c r="D26" s="113" t="s">
        <v>402</v>
      </c>
      <c r="E26" s="108">
        <v>42529</v>
      </c>
      <c r="F26" s="114" t="s">
        <v>376</v>
      </c>
      <c r="G26" s="305" t="s">
        <v>375</v>
      </c>
      <c r="H26" s="4" t="s">
        <v>398</v>
      </c>
      <c r="I26" s="139"/>
      <c r="J26" s="139"/>
      <c r="K26" s="410">
        <v>7716000</v>
      </c>
      <c r="L26" s="116" t="s">
        <v>9</v>
      </c>
      <c r="M26" s="116" t="s">
        <v>8</v>
      </c>
      <c r="N26" s="22" t="str">
        <f>IF(AND('331-CT'!$E$7=TH!H26,OR(L26="331",M26="331")),"331",IF(AND(OR(L26="131",M26="131"),H26='131-CT'!$E$7),"131",""))</f>
        <v/>
      </c>
      <c r="O26" s="22" t="str">
        <f>IF(AND($B26&gt;='111'!$N$11,$B26&lt;='111'!$O$11,OR($L26=$O$7,$M26=$O$7)),"x","")</f>
        <v/>
      </c>
      <c r="P26" s="22" t="str">
        <f>IF(AND($L26=$O$7,$B26&lt;'111'!$N$11),"x","")</f>
        <v/>
      </c>
      <c r="Q26" s="22" t="str">
        <f>IF(AND($M26=$O$7,$B26&lt;'111'!$N$11),"x","")</f>
        <v/>
      </c>
      <c r="R26" s="22" t="str">
        <f>IF(ISERROR(FIND('112'!$M$9,G26,1)),"",IF((AND(FIND('112'!$M$9,G26,1)&gt;=1,$B26&gt;='112'!$N$8,$B26&lt;='112'!$O$8,OR($L26='112'!$I$6,$M26='112'!$I$6))),"x",""))</f>
        <v/>
      </c>
      <c r="S26" s="22" t="str">
        <f>IF(ISERROR(FIND('112'!$M$9,G26,1)),"",IF((AND(LEFT(G26,2)=LEFT('112'!$M$9,2),B26&lt;'112'!$N$8,$L26='112'!$I$6)),"x",""))</f>
        <v/>
      </c>
      <c r="T26" s="22" t="str">
        <f>IF(ISERROR(FIND('112'!$M$9,G26,1)),"",IF((AND(RIGHT(G26,2)=RIGHT('112'!$M$9,2),B26&lt;'112'!$N$8,$M26='112'!$I$6)),"x",""))</f>
        <v/>
      </c>
      <c r="U26" s="22" t="str">
        <f>IF(AND(B26&gt;='IN-NX'!$P$3,B26&lt;='IN-NX'!$Q$3,'IN-NX'!$D$7=D26,OR(LEFT(L26,2)="15",AND(LEFT(M26,2)&lt;&gt;"15",LEFT(M26,2)&lt;&gt;"33"))),"x","")</f>
        <v/>
      </c>
      <c r="V26" s="22" t="str">
        <f>IF(AND(OR(LEFT(TH!L26,2)="15",LEFT(TH!M26,2)="15"),'152-CT'!$J$8=TH!F26),"x","")</f>
        <v/>
      </c>
      <c r="W26" s="22" t="str">
        <f>IF(AND(OR(LEFT(TH!L26,2)="15",LEFT(TH!M26,2)="15"),TK!$E$7=TH!F26),"x","")</f>
        <v/>
      </c>
      <c r="X26" s="22" t="str">
        <f>IF(OR(TH!L26=TH!$X$7,M26=TH!$X$7),"x","")</f>
        <v/>
      </c>
      <c r="Y26" s="22" t="str">
        <f>IF(AND(B26&lt;=NKC!$N$8,B26&gt;=NKC!$M$8),"x","")</f>
        <v/>
      </c>
      <c r="Z26" s="580">
        <v>3</v>
      </c>
      <c r="AA26" s="406"/>
      <c r="AB26" s="406"/>
      <c r="AC26" s="406"/>
      <c r="AD26" s="406"/>
      <c r="AE26" s="406"/>
    </row>
    <row r="27" spans="1:31" s="598" customFormat="1" ht="15.75" customHeight="1">
      <c r="A27" s="123" t="str">
        <f>IF(B27&lt;&gt;"",IF(AND(B27&gt;=_TM1,B27&lt;=_TM2,OR(TH!L29="1111",TH!M29="1111")),TH!D29,""),"")</f>
        <v/>
      </c>
      <c r="B27" s="12">
        <f t="shared" si="2"/>
        <v>6</v>
      </c>
      <c r="C27" s="108">
        <f t="shared" si="3"/>
        <v>42532</v>
      </c>
      <c r="D27" s="108" t="s">
        <v>454</v>
      </c>
      <c r="E27" s="108">
        <v>42532</v>
      </c>
      <c r="F27" s="112" t="s">
        <v>421</v>
      </c>
      <c r="G27" s="303" t="s">
        <v>420</v>
      </c>
      <c r="H27" s="115" t="s">
        <v>419</v>
      </c>
      <c r="I27" s="139"/>
      <c r="J27" s="139"/>
      <c r="K27" s="410">
        <v>3800000</v>
      </c>
      <c r="L27" s="411" t="s">
        <v>82</v>
      </c>
      <c r="M27" s="411" t="s">
        <v>46</v>
      </c>
      <c r="N27" s="22" t="str">
        <f>IF(AND('331-CT'!$E$7=TH!H27,OR(L27="331",M27="331")),"331",IF(AND(OR(L27="131",M27="131"),H27='131-CT'!$E$7),"131",""))</f>
        <v/>
      </c>
      <c r="O27" s="22" t="str">
        <f>IF(AND($B27&gt;='111'!$N$11,$B27&lt;='111'!$O$11,OR($L27=$O$7,$M27=$O$7)),"x","")</f>
        <v/>
      </c>
      <c r="P27" s="22" t="str">
        <f>IF(AND($L27=$O$7,$B27&lt;'111'!$N$11),"x","")</f>
        <v/>
      </c>
      <c r="Q27" s="22" t="str">
        <f>IF(AND($M27=$O$7,$B27&lt;'111'!$N$11),"x","")</f>
        <v>x</v>
      </c>
      <c r="R27" s="22" t="str">
        <f>IF(ISERROR(FIND('112'!$M$9,G27,1)),"",IF((AND(FIND('112'!$M$9,G27,1)&gt;=1,$B27&gt;='112'!$N$8,$B27&lt;='112'!$O$8,OR($L27='112'!$I$6,$M27='112'!$I$6))),"x",""))</f>
        <v/>
      </c>
      <c r="S27" s="22" t="str">
        <f>IF(ISERROR(FIND('112'!$M$9,G27,1)),"",IF((AND(LEFT(G27,2)=LEFT('112'!$M$9,2),B27&lt;'112'!$N$8,$L27='112'!$I$6)),"x",""))</f>
        <v/>
      </c>
      <c r="T27" s="22" t="str">
        <f>IF(ISERROR(FIND('112'!$M$9,G27,1)),"",IF((AND(RIGHT(G27,2)=RIGHT('112'!$M$9,2),B27&lt;'112'!$N$8,$M27='112'!$I$6)),"x",""))</f>
        <v/>
      </c>
      <c r="U27" s="22" t="str">
        <f>IF(AND(B27&gt;='IN-NX'!$P$3,B27&lt;='IN-NX'!$Q$3,'IN-NX'!$D$7=D27,OR(LEFT(L27,2)="15",AND(LEFT(M27,2)&lt;&gt;"15",LEFT(M27,2)&lt;&gt;"33"))),"x","")</f>
        <v/>
      </c>
      <c r="V27" s="22" t="str">
        <f>IF(AND(OR(LEFT(TH!L27,2)="15",LEFT(TH!M27,2)="15"),'152-CT'!$J$8=TH!F27),"x","")</f>
        <v/>
      </c>
      <c r="W27" s="22" t="str">
        <f>IF(AND(OR(LEFT(TH!L27,2)="15",LEFT(TH!M27,2)="15"),TK!$E$7=TH!F27),"x","")</f>
        <v/>
      </c>
      <c r="X27" s="22" t="str">
        <f>IF(OR(TH!L27=TH!$X$7,M27=TH!$X$7),"x","")</f>
        <v>x</v>
      </c>
      <c r="Y27" s="22" t="str">
        <f>IF(AND(B27&lt;=NKC!$N$8,B27&gt;=NKC!$M$8),"x","")</f>
        <v/>
      </c>
      <c r="Z27" s="580">
        <v>3</v>
      </c>
      <c r="AA27" s="406"/>
      <c r="AB27" s="406"/>
      <c r="AC27" s="406"/>
      <c r="AD27" s="406"/>
      <c r="AE27" s="406"/>
    </row>
    <row r="28" spans="1:31" s="598" customFormat="1" ht="15.75" customHeight="1">
      <c r="A28" s="123" t="str">
        <f>IF(B28&lt;&gt;"",IF(AND(B28&gt;=_TM1,B28&lt;=_TM2,OR(TH!L30="1111",TH!M30="1111")),TH!D30,""),"")</f>
        <v/>
      </c>
      <c r="B28" s="12">
        <f t="shared" si="2"/>
        <v>6</v>
      </c>
      <c r="C28" s="108">
        <f t="shared" si="3"/>
        <v>42532</v>
      </c>
      <c r="D28" s="108" t="s">
        <v>454</v>
      </c>
      <c r="E28" s="108">
        <v>42532</v>
      </c>
      <c r="F28" s="112" t="s">
        <v>422</v>
      </c>
      <c r="G28" s="303" t="s">
        <v>420</v>
      </c>
      <c r="H28" s="115" t="s">
        <v>419</v>
      </c>
      <c r="I28" s="139"/>
      <c r="J28" s="139"/>
      <c r="K28" s="13">
        <v>380000</v>
      </c>
      <c r="L28" s="411" t="s">
        <v>9</v>
      </c>
      <c r="M28" s="411" t="s">
        <v>46</v>
      </c>
      <c r="N28" s="22" t="str">
        <f>IF(AND('331-CT'!$E$7=TH!H28,OR(L28="331",M28="331")),"331",IF(AND(OR(L28="131",M28="131"),H28='131-CT'!$E$7),"131",""))</f>
        <v/>
      </c>
      <c r="O28" s="22" t="str">
        <f>IF(AND($B28&gt;='111'!$N$11,$B28&lt;='111'!$O$11,OR($L28=$O$7,$M28=$O$7)),"x","")</f>
        <v/>
      </c>
      <c r="P28" s="22" t="str">
        <f>IF(AND($L28=$O$7,$B28&lt;'111'!$N$11),"x","")</f>
        <v/>
      </c>
      <c r="Q28" s="22" t="str">
        <f>IF(AND($M28=$O$7,$B28&lt;'111'!$N$11),"x","")</f>
        <v>x</v>
      </c>
      <c r="R28" s="22" t="str">
        <f>IF(ISERROR(FIND('112'!$M$9,G28,1)),"",IF((AND(FIND('112'!$M$9,G28,1)&gt;=1,$B28&gt;='112'!$N$8,$B28&lt;='112'!$O$8,OR($L28='112'!$I$6,$M28='112'!$I$6))),"x",""))</f>
        <v/>
      </c>
      <c r="S28" s="22" t="str">
        <f>IF(ISERROR(FIND('112'!$M$9,G28,1)),"",IF((AND(LEFT(G28,2)=LEFT('112'!$M$9,2),B28&lt;'112'!$N$8,$L28='112'!$I$6)),"x",""))</f>
        <v/>
      </c>
      <c r="T28" s="22" t="str">
        <f>IF(ISERROR(FIND('112'!$M$9,G28,1)),"",IF((AND(RIGHT(G28,2)=RIGHT('112'!$M$9,2),B28&lt;'112'!$N$8,$M28='112'!$I$6)),"x",""))</f>
        <v/>
      </c>
      <c r="U28" s="22" t="str">
        <f>IF(AND(B28&gt;='IN-NX'!$P$3,B28&lt;='IN-NX'!$Q$3,'IN-NX'!$D$7=D28,OR(LEFT(L28,2)="15",AND(LEFT(M28,2)&lt;&gt;"15",LEFT(M28,2)&lt;&gt;"33"))),"x","")</f>
        <v/>
      </c>
      <c r="V28" s="22" t="str">
        <f>IF(AND(OR(LEFT(TH!L28,2)="15",LEFT(TH!M28,2)="15"),'152-CT'!$J$8=TH!F28),"x","")</f>
        <v/>
      </c>
      <c r="W28" s="22" t="str">
        <f>IF(AND(OR(LEFT(TH!L28,2)="15",LEFT(TH!M28,2)="15"),TK!$E$7=TH!F28),"x","")</f>
        <v/>
      </c>
      <c r="X28" s="22" t="str">
        <f>IF(OR(TH!L28=TH!$X$7,M28=TH!$X$7),"x","")</f>
        <v/>
      </c>
      <c r="Y28" s="22" t="str">
        <f>IF(AND(B28&lt;=NKC!$N$8,B28&gt;=NKC!$M$8),"x","")</f>
        <v/>
      </c>
      <c r="Z28" s="580">
        <v>3</v>
      </c>
      <c r="AA28" s="406"/>
      <c r="AB28" s="406"/>
      <c r="AC28" s="406"/>
      <c r="AD28" s="406"/>
      <c r="AE28" s="406"/>
    </row>
    <row r="29" spans="1:31" s="598" customFormat="1" ht="15.75" customHeight="1">
      <c r="A29" s="123" t="str">
        <f>IF(B29&lt;&gt;"",IF(AND(B29&gt;=_TM1,B29&lt;=_TM2,OR(TH!L31="1111",TH!M31="1111")),TH!D31,""),"")</f>
        <v/>
      </c>
      <c r="B29" s="12">
        <f t="shared" si="2"/>
        <v>6</v>
      </c>
      <c r="C29" s="108">
        <f t="shared" si="3"/>
        <v>42542</v>
      </c>
      <c r="D29" s="113" t="s">
        <v>403</v>
      </c>
      <c r="E29" s="108">
        <v>42542</v>
      </c>
      <c r="F29" s="112" t="s">
        <v>405</v>
      </c>
      <c r="G29" s="305" t="s">
        <v>406</v>
      </c>
      <c r="H29" s="4" t="s">
        <v>399</v>
      </c>
      <c r="I29" s="139">
        <v>4094</v>
      </c>
      <c r="J29" s="139">
        <v>7600</v>
      </c>
      <c r="K29" s="13">
        <f>ROUND(I29*J29,0)</f>
        <v>31114400</v>
      </c>
      <c r="L29" s="116" t="s">
        <v>154</v>
      </c>
      <c r="M29" s="116" t="s">
        <v>8</v>
      </c>
      <c r="N29" s="22" t="str">
        <f>IF(AND('331-CT'!$E$7=TH!H29,OR(L29="331",M29="331")),"331",IF(AND(OR(L29="131",M29="131"),H29='131-CT'!$E$7),"131",""))</f>
        <v/>
      </c>
      <c r="O29" s="22" t="str">
        <f>IF(AND($B29&gt;='111'!$N$11,$B29&lt;='111'!$O$11,OR($L29=$O$7,$M29=$O$7)),"x","")</f>
        <v/>
      </c>
      <c r="P29" s="22" t="str">
        <f>IF(AND($L29=$O$7,$B29&lt;'111'!$N$11),"x","")</f>
        <v/>
      </c>
      <c r="Q29" s="22" t="str">
        <f>IF(AND($M29=$O$7,$B29&lt;'111'!$N$11),"x","")</f>
        <v/>
      </c>
      <c r="R29" s="22" t="str">
        <f>IF(ISERROR(FIND('112'!$M$9,G29,1)),"",IF((AND(FIND('112'!$M$9,G29,1)&gt;=1,$B29&gt;='112'!$N$8,$B29&lt;='112'!$O$8,OR($L29='112'!$I$6,$M29='112'!$I$6))),"x",""))</f>
        <v/>
      </c>
      <c r="S29" s="22" t="str">
        <f>IF(ISERROR(FIND('112'!$M$9,G29,1)),"",IF((AND(LEFT(G29,2)=LEFT('112'!$M$9,2),B29&lt;'112'!$N$8,$L29='112'!$I$6)),"x",""))</f>
        <v/>
      </c>
      <c r="T29" s="22" t="str">
        <f>IF(ISERROR(FIND('112'!$M$9,G29,1)),"",IF((AND(RIGHT(G29,2)=RIGHT('112'!$M$9,2),B29&lt;'112'!$N$8,$M29='112'!$I$6)),"x",""))</f>
        <v/>
      </c>
      <c r="U29" s="22" t="str">
        <f>IF(AND(B29&gt;='IN-NX'!$P$3,B29&lt;='IN-NX'!$Q$3,'IN-NX'!$D$7=D29,OR(LEFT(L29,2)="15",AND(LEFT(M29,2)&lt;&gt;"15",LEFT(M29,2)&lt;&gt;"33"))),"x","")</f>
        <v/>
      </c>
      <c r="V29" s="22" t="str">
        <f>IF(AND(OR(LEFT(TH!L29,2)="15",LEFT(TH!M29,2)="15"),'152-CT'!$J$8=TH!F29),"x","")</f>
        <v/>
      </c>
      <c r="W29" s="22" t="str">
        <f>IF(AND(OR(LEFT(TH!L29,2)="15",LEFT(TH!M29,2)="15"),TK!$E$7=TH!F29),"x","")</f>
        <v/>
      </c>
      <c r="X29" s="22" t="str">
        <f>IF(OR(TH!L29=TH!$X$7,M29=TH!$X$7),"x","")</f>
        <v/>
      </c>
      <c r="Y29" s="22" t="str">
        <f>IF(AND(B29&lt;=NKC!$N$8,B29&gt;=NKC!$M$8),"x","")</f>
        <v/>
      </c>
      <c r="Z29" s="580">
        <v>3</v>
      </c>
      <c r="AA29" s="406"/>
      <c r="AB29" s="406"/>
      <c r="AC29" s="406"/>
      <c r="AD29" s="406"/>
      <c r="AE29" s="406"/>
    </row>
    <row r="30" spans="1:31" s="598" customFormat="1" ht="15.75" customHeight="1">
      <c r="A30" s="123" t="str">
        <f>IF(B30&lt;&gt;"",IF(AND(B30&gt;=_TM1,B30&lt;=_TM2,OR(TH!L32="1111",TH!M32="1111")),TH!D32,""),"")</f>
        <v/>
      </c>
      <c r="B30" s="12">
        <f t="shared" si="2"/>
        <v>6</v>
      </c>
      <c r="C30" s="108">
        <f t="shared" si="3"/>
        <v>42542</v>
      </c>
      <c r="D30" s="113" t="s">
        <v>403</v>
      </c>
      <c r="E30" s="108">
        <v>42542</v>
      </c>
      <c r="F30" s="112" t="s">
        <v>407</v>
      </c>
      <c r="G30" s="305" t="s">
        <v>406</v>
      </c>
      <c r="H30" s="4" t="s">
        <v>399</v>
      </c>
      <c r="I30" s="139">
        <v>4522</v>
      </c>
      <c r="J30" s="139">
        <v>8500</v>
      </c>
      <c r="K30" s="13">
        <f>ROUND(I30*J30,0)</f>
        <v>38437000</v>
      </c>
      <c r="L30" s="116" t="s">
        <v>154</v>
      </c>
      <c r="M30" s="116" t="s">
        <v>8</v>
      </c>
      <c r="N30" s="22" t="str">
        <f>IF(AND('331-CT'!$E$7=TH!H30,OR(L30="331",M30="331")),"331",IF(AND(OR(L30="131",M30="131"),H30='131-CT'!$E$7),"131",""))</f>
        <v/>
      </c>
      <c r="O30" s="22" t="str">
        <f>IF(AND($B30&gt;='111'!$N$11,$B30&lt;='111'!$O$11,OR($L30=$O$7,$M30=$O$7)),"x","")</f>
        <v/>
      </c>
      <c r="P30" s="22" t="str">
        <f>IF(AND($L30=$O$7,$B30&lt;'111'!$N$11),"x","")</f>
        <v/>
      </c>
      <c r="Q30" s="22" t="str">
        <f>IF(AND($M30=$O$7,$B30&lt;'111'!$N$11),"x","")</f>
        <v/>
      </c>
      <c r="R30" s="22" t="str">
        <f>IF(ISERROR(FIND('112'!$M$9,G30,1)),"",IF((AND(FIND('112'!$M$9,G30,1)&gt;=1,$B30&gt;='112'!$N$8,$B30&lt;='112'!$O$8,OR($L30='112'!$I$6,$M30='112'!$I$6))),"x",""))</f>
        <v/>
      </c>
      <c r="S30" s="22" t="str">
        <f>IF(ISERROR(FIND('112'!$M$9,G30,1)),"",IF((AND(LEFT(G30,2)=LEFT('112'!$M$9,2),B30&lt;'112'!$N$8,$L30='112'!$I$6)),"x",""))</f>
        <v/>
      </c>
      <c r="T30" s="22" t="str">
        <f>IF(ISERROR(FIND('112'!$M$9,G30,1)),"",IF((AND(RIGHT(G30,2)=RIGHT('112'!$M$9,2),B30&lt;'112'!$N$8,$M30='112'!$I$6)),"x",""))</f>
        <v/>
      </c>
      <c r="U30" s="22" t="str">
        <f>IF(AND(B30&gt;='IN-NX'!$P$3,B30&lt;='IN-NX'!$Q$3,'IN-NX'!$D$7=D30,OR(LEFT(L30,2)="15",AND(LEFT(M30,2)&lt;&gt;"15",LEFT(M30,2)&lt;&gt;"33"))),"x","")</f>
        <v/>
      </c>
      <c r="V30" s="22" t="str">
        <f>IF(AND(OR(LEFT(TH!L30,2)="15",LEFT(TH!M30,2)="15"),'152-CT'!$J$8=TH!F30),"x","")</f>
        <v/>
      </c>
      <c r="W30" s="22" t="str">
        <f>IF(AND(OR(LEFT(TH!L30,2)="15",LEFT(TH!M30,2)="15"),TK!$E$7=TH!F30),"x","")</f>
        <v/>
      </c>
      <c r="X30" s="22" t="str">
        <f>IF(OR(TH!L30=TH!$X$7,M30=TH!$X$7),"x","")</f>
        <v/>
      </c>
      <c r="Y30" s="22" t="str">
        <f>IF(AND(B30&lt;=NKC!$N$8,B30&gt;=NKC!$M$8),"x","")</f>
        <v/>
      </c>
      <c r="Z30" s="580">
        <v>3</v>
      </c>
      <c r="AA30" s="406"/>
      <c r="AB30" s="406"/>
      <c r="AC30" s="406"/>
      <c r="AD30" s="130"/>
      <c r="AE30" s="130"/>
    </row>
    <row r="31" spans="1:31" s="598" customFormat="1" ht="15.75" customHeight="1">
      <c r="A31" s="123" t="str">
        <f>IF(B31&lt;&gt;"",IF(AND(B31&gt;=_TM1,B31&lt;=_TM2,OR(TH!L33="1111",TH!M33="1111")),TH!D33,""),"")</f>
        <v/>
      </c>
      <c r="B31" s="12">
        <f t="shared" si="2"/>
        <v>6</v>
      </c>
      <c r="C31" s="108">
        <f t="shared" si="3"/>
        <v>42542</v>
      </c>
      <c r="D31" s="113" t="s">
        <v>403</v>
      </c>
      <c r="E31" s="108">
        <v>42542</v>
      </c>
      <c r="F31" s="112" t="s">
        <v>450</v>
      </c>
      <c r="G31" s="305" t="s">
        <v>406</v>
      </c>
      <c r="H31" s="4" t="s">
        <v>399</v>
      </c>
      <c r="I31" s="139">
        <v>2633</v>
      </c>
      <c r="J31" s="139">
        <v>8500</v>
      </c>
      <c r="K31" s="13">
        <f>ROUND(I31*J31,0)</f>
        <v>22380500</v>
      </c>
      <c r="L31" s="116" t="s">
        <v>154</v>
      </c>
      <c r="M31" s="116" t="s">
        <v>8</v>
      </c>
      <c r="N31" s="22" t="str">
        <f>IF(AND('331-CT'!$E$7=TH!H31,OR(L31="331",M31="331")),"331",IF(AND(OR(L31="131",M31="131"),H31='131-CT'!$E$7),"131",""))</f>
        <v/>
      </c>
      <c r="O31" s="22" t="str">
        <f>IF(AND($B31&gt;='111'!$N$11,$B31&lt;='111'!$O$11,OR($L31=$O$7,$M31=$O$7)),"x","")</f>
        <v/>
      </c>
      <c r="P31" s="22" t="str">
        <f>IF(AND($L31=$O$7,$B31&lt;'111'!$N$11),"x","")</f>
        <v/>
      </c>
      <c r="Q31" s="22" t="str">
        <f>IF(AND($M31=$O$7,$B31&lt;'111'!$N$11),"x","")</f>
        <v/>
      </c>
      <c r="R31" s="22" t="str">
        <f>IF(ISERROR(FIND('112'!$M$9,G31,1)),"",IF((AND(FIND('112'!$M$9,G31,1)&gt;=1,$B31&gt;='112'!$N$8,$B31&lt;='112'!$O$8,OR($L31='112'!$I$6,$M31='112'!$I$6))),"x",""))</f>
        <v/>
      </c>
      <c r="S31" s="22" t="str">
        <f>IF(ISERROR(FIND('112'!$M$9,G31,1)),"",IF((AND(LEFT(G31,2)=LEFT('112'!$M$9,2),B31&lt;'112'!$N$8,$L31='112'!$I$6)),"x",""))</f>
        <v/>
      </c>
      <c r="T31" s="22" t="str">
        <f>IF(ISERROR(FIND('112'!$M$9,G31,1)),"",IF((AND(RIGHT(G31,2)=RIGHT('112'!$M$9,2),B31&lt;'112'!$N$8,$M31='112'!$I$6)),"x",""))</f>
        <v/>
      </c>
      <c r="U31" s="22" t="str">
        <f>IF(AND(B31&gt;='IN-NX'!$P$3,B31&lt;='IN-NX'!$Q$3,'IN-NX'!$D$7=D31,OR(LEFT(L31,2)="15",AND(LEFT(M31,2)&lt;&gt;"15",LEFT(M31,2)&lt;&gt;"33"))),"x","")</f>
        <v/>
      </c>
      <c r="V31" s="22" t="str">
        <f>IF(AND(OR(LEFT(TH!L31,2)="15",LEFT(TH!M31,2)="15"),'152-CT'!$J$8=TH!F31),"x","")</f>
        <v/>
      </c>
      <c r="W31" s="22" t="str">
        <f>IF(AND(OR(LEFT(TH!L31,2)="15",LEFT(TH!M31,2)="15"),TK!$E$7=TH!F31),"x","")</f>
        <v/>
      </c>
      <c r="X31" s="22" t="str">
        <f>IF(OR(TH!L31=TH!$X$7,M31=TH!$X$7),"x","")</f>
        <v/>
      </c>
      <c r="Y31" s="22" t="str">
        <f>IF(AND(B31&lt;=NKC!$N$8,B31&gt;=NKC!$M$8),"x","")</f>
        <v/>
      </c>
      <c r="Z31" s="580">
        <v>3</v>
      </c>
      <c r="AA31" s="406"/>
      <c r="AB31" s="406"/>
      <c r="AC31" s="406"/>
      <c r="AD31" s="130"/>
      <c r="AE31" s="130"/>
    </row>
    <row r="32" spans="1:31" s="598" customFormat="1" ht="15.75" customHeight="1">
      <c r="A32" s="123" t="str">
        <f>IF(B32&lt;&gt;"",IF(AND(B32&gt;=_TM1,B32&lt;=_TM2,OR(TH!L34="1111",TH!M34="1111")),TH!D34,""),"")</f>
        <v/>
      </c>
      <c r="B32" s="12">
        <f t="shared" si="2"/>
        <v>6</v>
      </c>
      <c r="C32" s="108">
        <f t="shared" si="3"/>
        <v>42542</v>
      </c>
      <c r="D32" s="113" t="s">
        <v>403</v>
      </c>
      <c r="E32" s="108">
        <v>42542</v>
      </c>
      <c r="F32" s="112" t="s">
        <v>400</v>
      </c>
      <c r="G32" s="305" t="s">
        <v>406</v>
      </c>
      <c r="H32" s="4" t="s">
        <v>399</v>
      </c>
      <c r="I32" s="139"/>
      <c r="J32" s="139"/>
      <c r="K32" s="410">
        <v>9193190</v>
      </c>
      <c r="L32" s="116" t="s">
        <v>9</v>
      </c>
      <c r="M32" s="116" t="s">
        <v>8</v>
      </c>
      <c r="N32" s="22" t="str">
        <f>IF(AND('331-CT'!$E$7=TH!H32,OR(L32="331",M32="331")),"331",IF(AND(OR(L32="131",M32="131"),H32='131-CT'!$E$7),"131",""))</f>
        <v/>
      </c>
      <c r="O32" s="22" t="str">
        <f>IF(AND($B32&gt;='111'!$N$11,$B32&lt;='111'!$O$11,OR($L32=$O$7,$M32=$O$7)),"x","")</f>
        <v/>
      </c>
      <c r="P32" s="22" t="str">
        <f>IF(AND($L32=$O$7,$B32&lt;'111'!$N$11),"x","")</f>
        <v/>
      </c>
      <c r="Q32" s="22" t="str">
        <f>IF(AND($M32=$O$7,$B32&lt;'111'!$N$11),"x","")</f>
        <v/>
      </c>
      <c r="R32" s="22" t="str">
        <f>IF(ISERROR(FIND('112'!$M$9,G32,1)),"",IF((AND(FIND('112'!$M$9,G32,1)&gt;=1,$B32&gt;='112'!$N$8,$B32&lt;='112'!$O$8,OR($L32='112'!$I$6,$M32='112'!$I$6))),"x",""))</f>
        <v/>
      </c>
      <c r="S32" s="22" t="str">
        <f>IF(ISERROR(FIND('112'!$M$9,G32,1)),"",IF((AND(LEFT(G32,2)=LEFT('112'!$M$9,2),B32&lt;'112'!$N$8,$L32='112'!$I$6)),"x",""))</f>
        <v/>
      </c>
      <c r="T32" s="22" t="str">
        <f>IF(ISERROR(FIND('112'!$M$9,G32,1)),"",IF((AND(RIGHT(G32,2)=RIGHT('112'!$M$9,2),B32&lt;'112'!$N$8,$M32='112'!$I$6)),"x",""))</f>
        <v/>
      </c>
      <c r="U32" s="22" t="str">
        <f>IF(AND(B32&gt;='IN-NX'!$P$3,B32&lt;='IN-NX'!$Q$3,'IN-NX'!$D$7=D32,OR(LEFT(L32,2)="15",AND(LEFT(M32,2)&lt;&gt;"15",LEFT(M32,2)&lt;&gt;"33"))),"x","")</f>
        <v/>
      </c>
      <c r="V32" s="22" t="str">
        <f>IF(AND(OR(LEFT(TH!L32,2)="15",LEFT(TH!M32,2)="15"),'152-CT'!$J$8=TH!F32),"x","")</f>
        <v/>
      </c>
      <c r="W32" s="22" t="str">
        <f>IF(AND(OR(LEFT(TH!L32,2)="15",LEFT(TH!M32,2)="15"),TK!$E$7=TH!F32),"x","")</f>
        <v/>
      </c>
      <c r="X32" s="22" t="str">
        <f>IF(OR(TH!L32=TH!$X$7,M32=TH!$X$7),"x","")</f>
        <v/>
      </c>
      <c r="Y32" s="22" t="str">
        <f>IF(AND(B32&lt;=NKC!$N$8,B32&gt;=NKC!$M$8),"x","")</f>
        <v/>
      </c>
      <c r="Z32" s="580">
        <v>3</v>
      </c>
      <c r="AA32" s="406"/>
      <c r="AB32" s="406"/>
      <c r="AC32" s="406"/>
      <c r="AD32" s="406"/>
      <c r="AE32" s="406"/>
    </row>
    <row r="33" spans="1:31" s="598" customFormat="1" ht="15.75" customHeight="1">
      <c r="A33" s="123" t="str">
        <f>IF(B33&lt;&gt;"",IF(AND(B33&gt;=_TM1,B33&lt;=_TM2,OR(TH!L35="1111",TH!M35="1111")),TH!D35,""),"")</f>
        <v/>
      </c>
      <c r="B33" s="12">
        <f t="shared" si="2"/>
        <v>6</v>
      </c>
      <c r="C33" s="108">
        <f t="shared" si="3"/>
        <v>42546</v>
      </c>
      <c r="D33" s="108" t="s">
        <v>469</v>
      </c>
      <c r="E33" s="108">
        <v>42546</v>
      </c>
      <c r="F33" s="112" t="s">
        <v>476</v>
      </c>
      <c r="G33" s="303" t="s">
        <v>474</v>
      </c>
      <c r="H33" s="4"/>
      <c r="I33" s="139"/>
      <c r="J33" s="139"/>
      <c r="K33" s="410">
        <v>1500</v>
      </c>
      <c r="L33" s="116" t="s">
        <v>24</v>
      </c>
      <c r="M33" s="116" t="s">
        <v>39</v>
      </c>
      <c r="N33" s="22" t="str">
        <f>IF(AND('331-CT'!$E$7=TH!H33,OR(L33="331",M33="331")),"331",IF(AND(OR(L33="131",M33="131"),H33='131-CT'!$E$7),"131",""))</f>
        <v/>
      </c>
      <c r="O33" s="22" t="str">
        <f>IF(AND($B33&gt;='111'!$N$11,$B33&lt;='111'!$O$11,OR($L33=$O$7,$M33=$O$7)),"x","")</f>
        <v/>
      </c>
      <c r="P33" s="22" t="str">
        <f>IF(AND($L33=$O$7,$B33&lt;'111'!$N$11),"x","")</f>
        <v/>
      </c>
      <c r="Q33" s="22" t="str">
        <f>IF(AND($M33=$O$7,$B33&lt;'111'!$N$11),"x","")</f>
        <v/>
      </c>
      <c r="R33" s="22" t="str">
        <f>IF(ISERROR(FIND('112'!$M$9,G33,1)),"",IF((AND(FIND('112'!$M$9,G33,1)&gt;=1,$B33&gt;='112'!$N$8,$B33&lt;='112'!$O$8,OR($L33='112'!$I$6,$M33='112'!$I$6))),"x",""))</f>
        <v/>
      </c>
      <c r="S33" s="22" t="str">
        <f>IF(ISERROR(FIND('112'!$M$9,G33,1)),"",IF((AND(LEFT(G33,2)=LEFT('112'!$M$9,2),B33&lt;'112'!$N$8,$L33='112'!$I$6)),"x",""))</f>
        <v>x</v>
      </c>
      <c r="T33" s="22" t="str">
        <f>IF(ISERROR(FIND('112'!$M$9,G33,1)),"",IF((AND(RIGHT(G33,2)=RIGHT('112'!$M$9,2),B33&lt;'112'!$N$8,$M33='112'!$I$6)),"x",""))</f>
        <v/>
      </c>
      <c r="U33" s="22" t="str">
        <f>IF(AND(B33&gt;='IN-NX'!$P$3,B33&lt;='IN-NX'!$Q$3,'IN-NX'!$D$7=D33,OR(LEFT(L33,2)="15",AND(LEFT(M33,2)&lt;&gt;"15",LEFT(M33,2)&lt;&gt;"33"))),"x","")</f>
        <v/>
      </c>
      <c r="V33" s="22" t="str">
        <f>IF(AND(OR(LEFT(TH!L33,2)="15",LEFT(TH!M33,2)="15"),'152-CT'!$J$8=TH!F33),"x","")</f>
        <v/>
      </c>
      <c r="W33" s="22" t="str">
        <f>IF(AND(OR(LEFT(TH!L33,2)="15",LEFT(TH!M33,2)="15"),TK!$E$7=TH!F33),"x","")</f>
        <v/>
      </c>
      <c r="X33" s="22" t="str">
        <f>IF(OR(TH!L33=TH!$X$7,M33=TH!$X$7),"x","")</f>
        <v/>
      </c>
      <c r="Y33" s="22" t="str">
        <f>IF(AND(B33&lt;=NKC!$N$8,B33&gt;=NKC!$M$8),"x","")</f>
        <v/>
      </c>
      <c r="Z33" s="580"/>
      <c r="AA33" s="406"/>
      <c r="AB33" s="406"/>
      <c r="AC33" s="406"/>
      <c r="AD33" s="406"/>
      <c r="AE33" s="406"/>
    </row>
    <row r="34" spans="1:31" s="598" customFormat="1" ht="15.75" customHeight="1">
      <c r="A34" s="123" t="str">
        <f>IF(B34&lt;&gt;"",IF(AND(B34&gt;=_TM1,B34&lt;=_TM2,OR(TH!L36="1111",TH!M36="1111")),TH!D36,""),"")</f>
        <v/>
      </c>
      <c r="B34" s="12">
        <f t="shared" si="2"/>
        <v>6</v>
      </c>
      <c r="C34" s="108">
        <f t="shared" si="3"/>
        <v>42546</v>
      </c>
      <c r="D34" s="108" t="s">
        <v>470</v>
      </c>
      <c r="E34" s="108">
        <v>42546</v>
      </c>
      <c r="F34" s="112" t="s">
        <v>477</v>
      </c>
      <c r="G34" s="303" t="s">
        <v>474</v>
      </c>
      <c r="H34" s="4"/>
      <c r="I34" s="139"/>
      <c r="J34" s="139"/>
      <c r="K34" s="13">
        <v>10000</v>
      </c>
      <c r="L34" s="116" t="s">
        <v>82</v>
      </c>
      <c r="M34" s="116" t="s">
        <v>24</v>
      </c>
      <c r="N34" s="22" t="str">
        <f>IF(AND('331-CT'!$E$7=TH!H34,OR(L34="331",M34="331")),"331",IF(AND(OR(L34="131",M34="131"),H34='131-CT'!$E$7),"131",""))</f>
        <v/>
      </c>
      <c r="O34" s="22" t="str">
        <f>IF(AND($B34&gt;='111'!$N$11,$B34&lt;='111'!$O$11,OR($L34=$O$7,$M34=$O$7)),"x","")</f>
        <v/>
      </c>
      <c r="P34" s="22" t="str">
        <f>IF(AND($L34=$O$7,$B34&lt;'111'!$N$11),"x","")</f>
        <v/>
      </c>
      <c r="Q34" s="22" t="str">
        <f>IF(AND($M34=$O$7,$B34&lt;'111'!$N$11),"x","")</f>
        <v/>
      </c>
      <c r="R34" s="22" t="str">
        <f>IF(ISERROR(FIND('112'!$M$9,G34,1)),"",IF((AND(FIND('112'!$M$9,G34,1)&gt;=1,$B34&gt;='112'!$N$8,$B34&lt;='112'!$O$8,OR($L34='112'!$I$6,$M34='112'!$I$6))),"x",""))</f>
        <v/>
      </c>
      <c r="S34" s="22" t="str">
        <f>IF(ISERROR(FIND('112'!$M$9,G34,1)),"",IF((AND(LEFT(G34,2)=LEFT('112'!$M$9,2),B34&lt;'112'!$N$8,$L34='112'!$I$6)),"x",""))</f>
        <v/>
      </c>
      <c r="T34" s="22" t="str">
        <f>IF(ISERROR(FIND('112'!$M$9,G34,1)),"",IF((AND(RIGHT(G34,2)=RIGHT('112'!$M$9,2),B34&lt;'112'!$N$8,$M34='112'!$I$6)),"x",""))</f>
        <v>x</v>
      </c>
      <c r="U34" s="22" t="str">
        <f>IF(AND(B34&gt;='IN-NX'!$P$3,B34&lt;='IN-NX'!$Q$3,'IN-NX'!$D$7=D34,OR(LEFT(L34,2)="15",AND(LEFT(M34,2)&lt;&gt;"15",LEFT(M34,2)&lt;&gt;"33"))),"x","")</f>
        <v/>
      </c>
      <c r="V34" s="22" t="str">
        <f>IF(AND(OR(LEFT(TH!L34,2)="15",LEFT(TH!M34,2)="15"),'152-CT'!$J$8=TH!F34),"x","")</f>
        <v/>
      </c>
      <c r="W34" s="22" t="str">
        <f>IF(AND(OR(LEFT(TH!L34,2)="15",LEFT(TH!M34,2)="15"),TK!$E$7=TH!F34),"x","")</f>
        <v/>
      </c>
      <c r="X34" s="22" t="str">
        <f>IF(OR(TH!L34=TH!$X$7,M34=TH!$X$7),"x","")</f>
        <v>x</v>
      </c>
      <c r="Y34" s="22" t="str">
        <f>IF(AND(B34&lt;=NKC!$N$8,B34&gt;=NKC!$M$8),"x","")</f>
        <v/>
      </c>
      <c r="Z34" s="580">
        <v>3</v>
      </c>
      <c r="AA34" s="406"/>
      <c r="AB34" s="406"/>
      <c r="AC34" s="406"/>
      <c r="AD34" s="406"/>
      <c r="AE34" s="406"/>
    </row>
    <row r="35" spans="1:31" s="598" customFormat="1" ht="15.75" customHeight="1">
      <c r="A35" s="123" t="str">
        <f>IF(B35&lt;&gt;"",IF(AND(B35&gt;=_TM1,B35&lt;=_TM2,OR(TH!L37="1111",TH!M37="1111")),TH!D37,""),"")</f>
        <v/>
      </c>
      <c r="B35" s="12">
        <f t="shared" si="2"/>
        <v>6</v>
      </c>
      <c r="C35" s="108">
        <f t="shared" si="3"/>
        <v>42546</v>
      </c>
      <c r="D35" s="108" t="s">
        <v>470</v>
      </c>
      <c r="E35" s="108">
        <v>42546</v>
      </c>
      <c r="F35" s="112" t="s">
        <v>478</v>
      </c>
      <c r="G35" s="303" t="s">
        <v>474</v>
      </c>
      <c r="H35" s="4"/>
      <c r="I35" s="139"/>
      <c r="J35" s="139"/>
      <c r="K35" s="13">
        <v>1000</v>
      </c>
      <c r="L35" s="116" t="s">
        <v>9</v>
      </c>
      <c r="M35" s="116" t="s">
        <v>24</v>
      </c>
      <c r="N35" s="22" t="str">
        <f>IF(AND('331-CT'!$E$7=TH!H35,OR(L35="331",M35="331")),"331",IF(AND(OR(L35="131",M35="131"),H35='131-CT'!$E$7),"131",""))</f>
        <v/>
      </c>
      <c r="O35" s="22" t="str">
        <f>IF(AND($B35&gt;='111'!$N$11,$B35&lt;='111'!$O$11,OR($L35=$O$7,$M35=$O$7)),"x","")</f>
        <v/>
      </c>
      <c r="P35" s="22" t="str">
        <f>IF(AND($L35=$O$7,$B35&lt;'111'!$N$11),"x","")</f>
        <v/>
      </c>
      <c r="Q35" s="22" t="str">
        <f>IF(AND($M35=$O$7,$B35&lt;'111'!$N$11),"x","")</f>
        <v/>
      </c>
      <c r="R35" s="22" t="str">
        <f>IF(ISERROR(FIND('112'!$M$9,G35,1)),"",IF((AND(FIND('112'!$M$9,G35,1)&gt;=1,$B35&gt;='112'!$N$8,$B35&lt;='112'!$O$8,OR($L35='112'!$I$6,$M35='112'!$I$6))),"x",""))</f>
        <v/>
      </c>
      <c r="S35" s="22" t="str">
        <f>IF(ISERROR(FIND('112'!$M$9,G35,1)),"",IF((AND(LEFT(G35,2)=LEFT('112'!$M$9,2),B35&lt;'112'!$N$8,$L35='112'!$I$6)),"x",""))</f>
        <v/>
      </c>
      <c r="T35" s="22" t="str">
        <f>IF(ISERROR(FIND('112'!$M$9,G35,1)),"",IF((AND(RIGHT(G35,2)=RIGHT('112'!$M$9,2),B35&lt;'112'!$N$8,$M35='112'!$I$6)),"x",""))</f>
        <v>x</v>
      </c>
      <c r="U35" s="22" t="str">
        <f>IF(AND(B35&gt;='IN-NX'!$P$3,B35&lt;='IN-NX'!$Q$3,'IN-NX'!$D$7=D35,OR(LEFT(L35,2)="15",AND(LEFT(M35,2)&lt;&gt;"15",LEFT(M35,2)&lt;&gt;"33"))),"x","")</f>
        <v/>
      </c>
      <c r="V35" s="22" t="str">
        <f>IF(AND(OR(LEFT(TH!L35,2)="15",LEFT(TH!M35,2)="15"),'152-CT'!$J$8=TH!F35),"x","")</f>
        <v/>
      </c>
      <c r="W35" s="22" t="str">
        <f>IF(AND(OR(LEFT(TH!L35,2)="15",LEFT(TH!M35,2)="15"),TK!$E$7=TH!F35),"x","")</f>
        <v/>
      </c>
      <c r="X35" s="22" t="str">
        <f>IF(OR(TH!L35=TH!$X$7,M35=TH!$X$7),"x","")</f>
        <v/>
      </c>
      <c r="Y35" s="22" t="str">
        <f>IF(AND(B35&lt;=NKC!$N$8,B35&gt;=NKC!$M$8),"x","")</f>
        <v/>
      </c>
      <c r="Z35" s="580">
        <v>3</v>
      </c>
      <c r="AA35" s="406"/>
      <c r="AB35" s="406"/>
      <c r="AC35" s="406"/>
      <c r="AD35" s="406"/>
      <c r="AE35" s="406"/>
    </row>
    <row r="36" spans="1:31" s="598" customFormat="1" ht="15.75" customHeight="1">
      <c r="A36" s="123" t="str">
        <f>IF(B36&lt;&gt;"",IF(AND(B36&gt;=_TM1,B36&lt;=_TM2,OR(TH!L38="1111",TH!M38="1111")),TH!D38,""),"")</f>
        <v/>
      </c>
      <c r="B36" s="12">
        <f t="shared" si="2"/>
        <v>6</v>
      </c>
      <c r="C36" s="108">
        <f t="shared" si="3"/>
        <v>42551</v>
      </c>
      <c r="D36" s="113" t="s">
        <v>404</v>
      </c>
      <c r="E36" s="108">
        <v>42551</v>
      </c>
      <c r="F36" s="112" t="s">
        <v>405</v>
      </c>
      <c r="G36" s="305" t="s">
        <v>408</v>
      </c>
      <c r="H36" s="4" t="s">
        <v>399</v>
      </c>
      <c r="I36" s="139">
        <v>6226</v>
      </c>
      <c r="J36" s="139">
        <v>7600</v>
      </c>
      <c r="K36" s="13">
        <f>ROUND(I36*J36,0)</f>
        <v>47317600</v>
      </c>
      <c r="L36" s="116" t="s">
        <v>154</v>
      </c>
      <c r="M36" s="116" t="s">
        <v>8</v>
      </c>
      <c r="N36" s="22" t="str">
        <f>IF(AND('331-CT'!$E$7=TH!H36,OR(L36="331",M36="331")),"331",IF(AND(OR(L36="131",M36="131"),H36='131-CT'!$E$7),"131",""))</f>
        <v/>
      </c>
      <c r="O36" s="22" t="str">
        <f>IF(AND($B36&gt;='111'!$N$11,$B36&lt;='111'!$O$11,OR($L36=$O$7,$M36=$O$7)),"x","")</f>
        <v/>
      </c>
      <c r="P36" s="22" t="str">
        <f>IF(AND($L36=$O$7,$B36&lt;'111'!$N$11),"x","")</f>
        <v/>
      </c>
      <c r="Q36" s="22" t="str">
        <f>IF(AND($M36=$O$7,$B36&lt;'111'!$N$11),"x","")</f>
        <v/>
      </c>
      <c r="R36" s="22" t="str">
        <f>IF(ISERROR(FIND('112'!$M$9,G36,1)),"",IF((AND(FIND('112'!$M$9,G36,1)&gt;=1,$B36&gt;='112'!$N$8,$B36&lt;='112'!$O$8,OR($L36='112'!$I$6,$M36='112'!$I$6))),"x",""))</f>
        <v/>
      </c>
      <c r="S36" s="22" t="str">
        <f>IF(ISERROR(FIND('112'!$M$9,G36,1)),"",IF((AND(LEFT(G36,2)=LEFT('112'!$M$9,2),B36&lt;'112'!$N$8,$L36='112'!$I$6)),"x",""))</f>
        <v/>
      </c>
      <c r="T36" s="22" t="str">
        <f>IF(ISERROR(FIND('112'!$M$9,G36,1)),"",IF((AND(RIGHT(G36,2)=RIGHT('112'!$M$9,2),B36&lt;'112'!$N$8,$M36='112'!$I$6)),"x",""))</f>
        <v/>
      </c>
      <c r="U36" s="22" t="str">
        <f>IF(AND(B36&gt;='IN-NX'!$P$3,B36&lt;='IN-NX'!$Q$3,'IN-NX'!$D$7=D36,OR(LEFT(L36,2)="15",AND(LEFT(M36,2)&lt;&gt;"15",LEFT(M36,2)&lt;&gt;"33"))),"x","")</f>
        <v/>
      </c>
      <c r="V36" s="22" t="str">
        <f>IF(AND(OR(LEFT(TH!L36,2)="15",LEFT(TH!M36,2)="15"),'152-CT'!$J$8=TH!F36),"x","")</f>
        <v/>
      </c>
      <c r="W36" s="22" t="str">
        <f>IF(AND(OR(LEFT(TH!L36,2)="15",LEFT(TH!M36,2)="15"),TK!$E$7=TH!F36),"x","")</f>
        <v/>
      </c>
      <c r="X36" s="22" t="str">
        <f>IF(OR(TH!L36=TH!$X$7,M36=TH!$X$7),"x","")</f>
        <v/>
      </c>
      <c r="Y36" s="22" t="str">
        <f>IF(AND(B36&lt;=NKC!$N$8,B36&gt;=NKC!$M$8),"x","")</f>
        <v/>
      </c>
      <c r="Z36" s="580">
        <v>3</v>
      </c>
      <c r="AA36" s="406"/>
      <c r="AB36" s="406"/>
      <c r="AC36" s="406"/>
      <c r="AD36" s="406"/>
      <c r="AE36" s="406"/>
    </row>
    <row r="37" spans="1:31" s="598" customFormat="1" ht="15.75" customHeight="1">
      <c r="A37" s="123" t="str">
        <f>IF(B37&lt;&gt;"",IF(AND(B37&gt;=_TM1,B37&lt;=_TM2,OR(TH!L39="1111",TH!M39="1111")),TH!D39,""),"")</f>
        <v/>
      </c>
      <c r="B37" s="12">
        <f t="shared" si="2"/>
        <v>6</v>
      </c>
      <c r="C37" s="108">
        <f t="shared" si="3"/>
        <v>42551</v>
      </c>
      <c r="D37" s="113" t="s">
        <v>404</v>
      </c>
      <c r="E37" s="108">
        <v>42551</v>
      </c>
      <c r="F37" s="112" t="s">
        <v>407</v>
      </c>
      <c r="G37" s="305" t="s">
        <v>408</v>
      </c>
      <c r="H37" s="4" t="s">
        <v>399</v>
      </c>
      <c r="I37" s="139">
        <v>8730</v>
      </c>
      <c r="J37" s="139">
        <v>8500</v>
      </c>
      <c r="K37" s="13">
        <f>ROUND(I37*J37,0)</f>
        <v>74205000</v>
      </c>
      <c r="L37" s="116" t="s">
        <v>154</v>
      </c>
      <c r="M37" s="116" t="s">
        <v>8</v>
      </c>
      <c r="N37" s="22" t="str">
        <f>IF(AND('331-CT'!$E$7=TH!H37,OR(L37="331",M37="331")),"331",IF(AND(OR(L37="131",M37="131"),H37='131-CT'!$E$7),"131",""))</f>
        <v/>
      </c>
      <c r="O37" s="22" t="str">
        <f>IF(AND($B37&gt;='111'!$N$11,$B37&lt;='111'!$O$11,OR($L37=$O$7,$M37=$O$7)),"x","")</f>
        <v/>
      </c>
      <c r="P37" s="22" t="str">
        <f>IF(AND($L37=$O$7,$B37&lt;'111'!$N$11),"x","")</f>
        <v/>
      </c>
      <c r="Q37" s="22" t="str">
        <f>IF(AND($M37=$O$7,$B37&lt;'111'!$N$11),"x","")</f>
        <v/>
      </c>
      <c r="R37" s="22" t="str">
        <f>IF(ISERROR(FIND('112'!$M$9,G37,1)),"",IF((AND(FIND('112'!$M$9,G37,1)&gt;=1,$B37&gt;='112'!$N$8,$B37&lt;='112'!$O$8,OR($L37='112'!$I$6,$M37='112'!$I$6))),"x",""))</f>
        <v/>
      </c>
      <c r="S37" s="22" t="str">
        <f>IF(ISERROR(FIND('112'!$M$9,G37,1)),"",IF((AND(LEFT(G37,2)=LEFT('112'!$M$9,2),B37&lt;'112'!$N$8,$L37='112'!$I$6)),"x",""))</f>
        <v/>
      </c>
      <c r="T37" s="22" t="str">
        <f>IF(ISERROR(FIND('112'!$M$9,G37,1)),"",IF((AND(RIGHT(G37,2)=RIGHT('112'!$M$9,2),B37&lt;'112'!$N$8,$M37='112'!$I$6)),"x",""))</f>
        <v/>
      </c>
      <c r="U37" s="22" t="str">
        <f>IF(AND(B37&gt;='IN-NX'!$P$3,B37&lt;='IN-NX'!$Q$3,'IN-NX'!$D$7=D37,OR(LEFT(L37,2)="15",AND(LEFT(M37,2)&lt;&gt;"15",LEFT(M37,2)&lt;&gt;"33"))),"x","")</f>
        <v/>
      </c>
      <c r="V37" s="22" t="str">
        <f>IF(AND(OR(LEFT(TH!L37,2)="15",LEFT(TH!M37,2)="15"),'152-CT'!$J$8=TH!F37),"x","")</f>
        <v/>
      </c>
      <c r="W37" s="22" t="str">
        <f>IF(AND(OR(LEFT(TH!L37,2)="15",LEFT(TH!M37,2)="15"),TK!$E$7=TH!F37),"x","")</f>
        <v/>
      </c>
      <c r="X37" s="22" t="str">
        <f>IF(OR(TH!L37=TH!$X$7,M37=TH!$X$7),"x","")</f>
        <v/>
      </c>
      <c r="Y37" s="22" t="str">
        <f>IF(AND(B37&lt;=NKC!$N$8,B37&gt;=NKC!$M$8),"x","")</f>
        <v/>
      </c>
      <c r="Z37" s="580">
        <v>3</v>
      </c>
      <c r="AA37" s="406"/>
      <c r="AB37" s="406"/>
      <c r="AC37" s="406"/>
      <c r="AD37" s="406"/>
      <c r="AE37" s="406"/>
    </row>
    <row r="38" spans="1:31" s="598" customFormat="1" ht="15.75" customHeight="1">
      <c r="A38" s="123" t="str">
        <f>IF(B38&lt;&gt;"",IF(AND(B38&gt;=_TM1,B38&lt;=_TM2,OR(TH!L40="1111",TH!M40="1111")),TH!D40,""),"")</f>
        <v/>
      </c>
      <c r="B38" s="12">
        <f t="shared" si="2"/>
        <v>6</v>
      </c>
      <c r="C38" s="108">
        <f t="shared" si="3"/>
        <v>42551</v>
      </c>
      <c r="D38" s="113" t="s">
        <v>404</v>
      </c>
      <c r="E38" s="108">
        <v>42551</v>
      </c>
      <c r="F38" s="112" t="s">
        <v>450</v>
      </c>
      <c r="G38" s="305" t="s">
        <v>408</v>
      </c>
      <c r="H38" s="4" t="s">
        <v>399</v>
      </c>
      <c r="I38" s="139">
        <v>8191</v>
      </c>
      <c r="J38" s="139">
        <v>8500</v>
      </c>
      <c r="K38" s="13">
        <f>ROUND(I38*J38,0)</f>
        <v>69623500</v>
      </c>
      <c r="L38" s="116" t="s">
        <v>154</v>
      </c>
      <c r="M38" s="116" t="s">
        <v>8</v>
      </c>
      <c r="N38" s="22" t="str">
        <f>IF(AND('331-CT'!$E$7=TH!H38,OR(L38="331",M38="331")),"331",IF(AND(OR(L38="131",M38="131"),H38='131-CT'!$E$7),"131",""))</f>
        <v/>
      </c>
      <c r="O38" s="22" t="str">
        <f>IF(AND($B38&gt;='111'!$N$11,$B38&lt;='111'!$O$11,OR($L38=$O$7,$M38=$O$7)),"x","")</f>
        <v/>
      </c>
      <c r="P38" s="22" t="str">
        <f>IF(AND($L38=$O$7,$B38&lt;'111'!$N$11),"x","")</f>
        <v/>
      </c>
      <c r="Q38" s="22" t="str">
        <f>IF(AND($M38=$O$7,$B38&lt;'111'!$N$11),"x","")</f>
        <v/>
      </c>
      <c r="R38" s="22" t="str">
        <f>IF(ISERROR(FIND('112'!$M$9,G38,1)),"",IF((AND(FIND('112'!$M$9,G38,1)&gt;=1,$B38&gt;='112'!$N$8,$B38&lt;='112'!$O$8,OR($L38='112'!$I$6,$M38='112'!$I$6))),"x",""))</f>
        <v/>
      </c>
      <c r="S38" s="22" t="str">
        <f>IF(ISERROR(FIND('112'!$M$9,G38,1)),"",IF((AND(LEFT(G38,2)=LEFT('112'!$M$9,2),B38&lt;'112'!$N$8,$L38='112'!$I$6)),"x",""))</f>
        <v/>
      </c>
      <c r="T38" s="22" t="str">
        <f>IF(ISERROR(FIND('112'!$M$9,G38,1)),"",IF((AND(RIGHT(G38,2)=RIGHT('112'!$M$9,2),B38&lt;'112'!$N$8,$M38='112'!$I$6)),"x",""))</f>
        <v/>
      </c>
      <c r="U38" s="22" t="str">
        <f>IF(AND(B38&gt;='IN-NX'!$P$3,B38&lt;='IN-NX'!$Q$3,'IN-NX'!$D$7=D38,OR(LEFT(L38,2)="15",AND(LEFT(M38,2)&lt;&gt;"15",LEFT(M38,2)&lt;&gt;"33"))),"x","")</f>
        <v/>
      </c>
      <c r="V38" s="22" t="str">
        <f>IF(AND(OR(LEFT(TH!L38,2)="15",LEFT(TH!M38,2)="15"),'152-CT'!$J$8=TH!F38),"x","")</f>
        <v/>
      </c>
      <c r="W38" s="22" t="str">
        <f>IF(AND(OR(LEFT(TH!L38,2)="15",LEFT(TH!M38,2)="15"),TK!$E$7=TH!F38),"x","")</f>
        <v/>
      </c>
      <c r="X38" s="22" t="str">
        <f>IF(OR(TH!L38=TH!$X$7,M38=TH!$X$7),"x","")</f>
        <v/>
      </c>
      <c r="Y38" s="22" t="str">
        <f>IF(AND(B38&lt;=NKC!$N$8,B38&gt;=NKC!$M$8),"x","")</f>
        <v/>
      </c>
      <c r="Z38" s="580">
        <v>3</v>
      </c>
      <c r="AA38" s="406"/>
      <c r="AB38" s="406"/>
      <c r="AC38" s="406"/>
      <c r="AD38" s="406"/>
      <c r="AE38" s="406"/>
    </row>
    <row r="39" spans="1:31" s="406" customFormat="1" ht="15.75" customHeight="1">
      <c r="A39" s="123" t="str">
        <f>IF(B39&lt;&gt;"",IF(AND(B39&gt;=_TM1,B39&lt;=_TM2,OR(TH!L41="1111",TH!M41="1111")),TH!D41,""),"")</f>
        <v/>
      </c>
      <c r="B39" s="12">
        <f t="shared" si="2"/>
        <v>6</v>
      </c>
      <c r="C39" s="108">
        <f t="shared" si="3"/>
        <v>42551</v>
      </c>
      <c r="D39" s="113" t="s">
        <v>404</v>
      </c>
      <c r="E39" s="108">
        <v>42551</v>
      </c>
      <c r="F39" s="114" t="s">
        <v>400</v>
      </c>
      <c r="G39" s="305" t="s">
        <v>408</v>
      </c>
      <c r="H39" s="4" t="s">
        <v>399</v>
      </c>
      <c r="I39" s="139"/>
      <c r="J39" s="139"/>
      <c r="K39" s="410">
        <v>19114610</v>
      </c>
      <c r="L39" s="116" t="s">
        <v>9</v>
      </c>
      <c r="M39" s="116" t="s">
        <v>8</v>
      </c>
      <c r="N39" s="22" t="str">
        <f>IF(AND('331-CT'!$E$7=TH!H39,OR(L39="331",M39="331")),"331",IF(AND(OR(L39="131",M39="131"),H39='131-CT'!$E$7),"131",""))</f>
        <v/>
      </c>
      <c r="O39" s="22" t="str">
        <f>IF(AND($B39&gt;='111'!$N$11,$B39&lt;='111'!$O$11,OR($L39=$O$7,$M39=$O$7)),"x","")</f>
        <v/>
      </c>
      <c r="P39" s="22" t="str">
        <f>IF(AND($L39=$O$7,$B39&lt;'111'!$N$11),"x","")</f>
        <v/>
      </c>
      <c r="Q39" s="22" t="str">
        <f>IF(AND($M39=$O$7,$B39&lt;'111'!$N$11),"x","")</f>
        <v/>
      </c>
      <c r="R39" s="22" t="str">
        <f>IF(ISERROR(FIND('112'!$M$9,G39,1)),"",IF((AND(FIND('112'!$M$9,G39,1)&gt;=1,$B39&gt;='112'!$N$8,$B39&lt;='112'!$O$8,OR($L39='112'!$I$6,$M39='112'!$I$6))),"x",""))</f>
        <v/>
      </c>
      <c r="S39" s="22" t="str">
        <f>IF(ISERROR(FIND('112'!$M$9,G39,1)),"",IF((AND(LEFT(G39,2)=LEFT('112'!$M$9,2),B39&lt;'112'!$N$8,$L39='112'!$I$6)),"x",""))</f>
        <v/>
      </c>
      <c r="T39" s="22" t="str">
        <f>IF(ISERROR(FIND('112'!$M$9,G39,1)),"",IF((AND(RIGHT(G39,2)=RIGHT('112'!$M$9,2),B39&lt;'112'!$N$8,$M39='112'!$I$6)),"x",""))</f>
        <v/>
      </c>
      <c r="U39" s="22" t="str">
        <f>IF(AND(B39&gt;='IN-NX'!$P$3,B39&lt;='IN-NX'!$Q$3,'IN-NX'!$D$7=D39,OR(LEFT(L39,2)="15",AND(LEFT(M39,2)&lt;&gt;"15",LEFT(M39,2)&lt;&gt;"33"))),"x","")</f>
        <v/>
      </c>
      <c r="V39" s="22" t="str">
        <f>IF(AND(OR(LEFT(TH!L39,2)="15",LEFT(TH!M39,2)="15"),'152-CT'!$J$8=TH!F39),"x","")</f>
        <v/>
      </c>
      <c r="W39" s="22" t="str">
        <f>IF(AND(OR(LEFT(TH!L39,2)="15",LEFT(TH!M39,2)="15"),TK!$E$7=TH!F39),"x","")</f>
        <v/>
      </c>
      <c r="X39" s="22" t="str">
        <f>IF(OR(TH!L39=TH!$X$7,M39=TH!$X$7),"x","")</f>
        <v/>
      </c>
      <c r="Y39" s="22" t="str">
        <f>IF(AND(B39&lt;=NKC!$N$8,B39&gt;=NKC!$M$8),"x","")</f>
        <v/>
      </c>
      <c r="Z39" s="580">
        <v>3</v>
      </c>
      <c r="AB39" s="130"/>
    </row>
    <row r="40" spans="1:31" s="406" customFormat="1" ht="15.75" customHeight="1">
      <c r="A40" s="123" t="str">
        <f>IF(B40&lt;&gt;"",IF(AND(B40&gt;=_TM1,B40&lt;=_TM2,OR(TH!L17="1111",TH!M17="1111")),TH!D17,""),"")</f>
        <v/>
      </c>
      <c r="B40" s="12">
        <f t="shared" si="2"/>
        <v>7</v>
      </c>
      <c r="C40" s="574">
        <f t="shared" si="3"/>
        <v>42552</v>
      </c>
      <c r="D40" s="574" t="s">
        <v>324</v>
      </c>
      <c r="E40" s="574">
        <v>42552</v>
      </c>
      <c r="F40" s="577" t="s">
        <v>820</v>
      </c>
      <c r="G40" s="575"/>
      <c r="H40" s="596"/>
      <c r="I40" s="576"/>
      <c r="J40" s="576"/>
      <c r="K40" s="579">
        <v>13250000</v>
      </c>
      <c r="L40" s="597" t="s">
        <v>160</v>
      </c>
      <c r="M40" s="597" t="s">
        <v>253</v>
      </c>
      <c r="N40" s="22" t="str">
        <f>IF(AND('331-CT'!$E$7=TH!H40,OR(L40="331",M40="331")),"331",IF(AND(OR(L40="131",M40="131"),H40='131-CT'!$E$7),"131",""))</f>
        <v/>
      </c>
      <c r="O40" s="22" t="str">
        <f>IF(AND($B40&gt;='111'!$N$11,$B40&lt;='111'!$O$11,OR($L40=$O$7,$M40=$O$7)),"x","")</f>
        <v/>
      </c>
      <c r="P40" s="22" t="str">
        <f>IF(AND($L40=$O$7,$B40&lt;'111'!$N$11),"x","")</f>
        <v/>
      </c>
      <c r="Q40" s="22" t="str">
        <f>IF(AND($M40=$O$7,$B40&lt;'111'!$N$11),"x","")</f>
        <v/>
      </c>
      <c r="R40" s="22" t="str">
        <f>IF(ISERROR(FIND('112'!$M$9,G40,1)),"",IF((AND(FIND('112'!$M$9,G40,1)&gt;=1,$B40&gt;='112'!$N$8,$B40&lt;='112'!$O$8,OR($L40='112'!$I$6,$M40='112'!$I$6))),"x",""))</f>
        <v/>
      </c>
      <c r="S40" s="22" t="str">
        <f>IF(ISERROR(FIND('112'!$M$9,G40,1)),"",IF((AND(LEFT(G40,2)=LEFT('112'!$M$9,2),B40&lt;'112'!$N$8,$L40='112'!$I$6)),"x",""))</f>
        <v/>
      </c>
      <c r="T40" s="22" t="str">
        <f>IF(ISERROR(FIND('112'!$M$9,G40,1)),"",IF((AND(RIGHT(G40,2)=RIGHT('112'!$M$9,2),B40&lt;'112'!$N$8,$M40='112'!$I$6)),"x",""))</f>
        <v/>
      </c>
      <c r="U40" s="22" t="str">
        <f>IF(AND(B40&gt;='IN-NX'!$P$3,B40&lt;='IN-NX'!$Q$3,'IN-NX'!$D$7=D40,OR(LEFT(L40,2)="15",AND(LEFT(M40,2)&lt;&gt;"15",LEFT(M40,2)&lt;&gt;"33"))),"x","")</f>
        <v/>
      </c>
      <c r="V40" s="22" t="str">
        <f>IF(AND(OR(LEFT(TH!L40,2)="15",LEFT(TH!M40,2)="15"),'152-CT'!$J$8=TH!F40),"x","")</f>
        <v/>
      </c>
      <c r="W40" s="22" t="str">
        <f>IF(AND(OR(LEFT(TH!L40,2)="15",LEFT(TH!M40,2)="15"),TK!$E$7=TH!F40),"x","")</f>
        <v/>
      </c>
      <c r="X40" s="22" t="str">
        <f>IF(OR(TH!L40=TH!$X$7,M40=TH!$X$7),"x","")</f>
        <v/>
      </c>
      <c r="Y40" s="22" t="str">
        <f>IF(AND(B40&lt;=NKC!$N$8,B40&gt;=NKC!$M$8),"x","")</f>
        <v>x</v>
      </c>
      <c r="Z40" s="598"/>
      <c r="AA40" s="598"/>
      <c r="AB40" s="598"/>
      <c r="AC40" s="598"/>
      <c r="AD40" s="598"/>
      <c r="AE40" s="598"/>
    </row>
    <row r="41" spans="1:31" s="406" customFormat="1" ht="15.75" customHeight="1">
      <c r="A41" s="123" t="str">
        <f>IF(B41&lt;&gt;"",IF(AND(B41&gt;=_TM1,B41&lt;=_TM2,OR(TH!L42="1111",TH!M42="1111")),TH!D42,""),"")</f>
        <v/>
      </c>
      <c r="B41" s="12">
        <f t="shared" si="2"/>
        <v>7</v>
      </c>
      <c r="C41" s="108">
        <f t="shared" si="3"/>
        <v>42559</v>
      </c>
      <c r="D41" s="108" t="s">
        <v>452</v>
      </c>
      <c r="E41" s="108">
        <v>42559</v>
      </c>
      <c r="F41" s="112" t="s">
        <v>471</v>
      </c>
      <c r="G41" s="303" t="s">
        <v>474</v>
      </c>
      <c r="H41" s="4" t="s">
        <v>475</v>
      </c>
      <c r="I41" s="139"/>
      <c r="J41" s="139"/>
      <c r="K41" s="13">
        <v>40700000</v>
      </c>
      <c r="L41" s="116" t="s">
        <v>24</v>
      </c>
      <c r="M41" s="116" t="s">
        <v>46</v>
      </c>
      <c r="N41" s="22" t="str">
        <f>IF(AND('331-CT'!$E$7=TH!H41,OR(L41="331",M41="331")),"331",IF(AND(OR(L41="131",M41="131"),H41='131-CT'!$E$7),"131",""))</f>
        <v/>
      </c>
      <c r="O41" s="22" t="str">
        <f>IF(AND($B41&gt;='111'!$N$11,$B41&lt;='111'!$O$11,OR($L41=$O$7,$M41=$O$7)),"x","")</f>
        <v/>
      </c>
      <c r="P41" s="22" t="str">
        <f>IF(AND($L41=$O$7,$B41&lt;'111'!$N$11),"x","")</f>
        <v/>
      </c>
      <c r="Q41" s="22" t="str">
        <f>IF(AND($M41=$O$7,$B41&lt;'111'!$N$11),"x","")</f>
        <v>x</v>
      </c>
      <c r="R41" s="22" t="str">
        <f>IF(ISERROR(FIND('112'!$M$9,G41,1)),"",IF((AND(FIND('112'!$M$9,G41,1)&gt;=1,$B41&gt;='112'!$N$8,$B41&lt;='112'!$O$8,OR($L41='112'!$I$6,$M41='112'!$I$6))),"x",""))</f>
        <v/>
      </c>
      <c r="S41" s="22" t="str">
        <f>IF(ISERROR(FIND('112'!$M$9,G41,1)),"",IF((AND(LEFT(G41,2)=LEFT('112'!$M$9,2),B41&lt;'112'!$N$8,$L41='112'!$I$6)),"x",""))</f>
        <v>x</v>
      </c>
      <c r="T41" s="22" t="str">
        <f>IF(ISERROR(FIND('112'!$M$9,G41,1)),"",IF((AND(RIGHT(G41,2)=RIGHT('112'!$M$9,2),B41&lt;'112'!$N$8,$M41='112'!$I$6)),"x",""))</f>
        <v/>
      </c>
      <c r="U41" s="22" t="str">
        <f>IF(AND(B41&gt;='IN-NX'!$P$3,B41&lt;='IN-NX'!$Q$3,'IN-NX'!$D$7=D41,OR(LEFT(L41,2)="15",AND(LEFT(M41,2)&lt;&gt;"15",LEFT(M41,2)&lt;&gt;"33"))),"x","")</f>
        <v/>
      </c>
      <c r="V41" s="22" t="str">
        <f>IF(AND(OR(LEFT(TH!L41,2)="15",LEFT(TH!M41,2)="15"),'152-CT'!$J$8=TH!F41),"x","")</f>
        <v/>
      </c>
      <c r="W41" s="22" t="str">
        <f>IF(AND(OR(LEFT(TH!L41,2)="15",LEFT(TH!M41,2)="15"),TK!$E$7=TH!F41),"x","")</f>
        <v/>
      </c>
      <c r="X41" s="22" t="str">
        <f>IF(OR(TH!L41=TH!$X$7,M41=TH!$X$7),"x","")</f>
        <v/>
      </c>
      <c r="Y41" s="22" t="str">
        <f>IF(AND(B41&lt;=NKC!$N$8,B41&gt;=NKC!$M$8),"x","")</f>
        <v>x</v>
      </c>
      <c r="Z41" s="580"/>
      <c r="AB41" s="130"/>
      <c r="AC41" s="130"/>
    </row>
    <row r="42" spans="1:31" s="406" customFormat="1" ht="15.75" customHeight="1">
      <c r="A42" s="123" t="str">
        <f>IF(B42&lt;&gt;"",IF(AND(B42&gt;=_TM1,B42&lt;=_TM2,OR(TH!L43="1111",TH!M43="1111")),TH!D43,""),"")</f>
        <v/>
      </c>
      <c r="B42" s="12">
        <f t="shared" si="2"/>
        <v>7</v>
      </c>
      <c r="C42" s="108">
        <f t="shared" si="3"/>
        <v>42559</v>
      </c>
      <c r="D42" s="108" t="s">
        <v>470</v>
      </c>
      <c r="E42" s="108">
        <v>42559</v>
      </c>
      <c r="F42" s="112" t="s">
        <v>479</v>
      </c>
      <c r="G42" s="303" t="s">
        <v>474</v>
      </c>
      <c r="H42" s="115" t="s">
        <v>624</v>
      </c>
      <c r="I42" s="139"/>
      <c r="J42" s="139"/>
      <c r="K42" s="13">
        <v>40700000</v>
      </c>
      <c r="L42" s="116" t="s">
        <v>8</v>
      </c>
      <c r="M42" s="116" t="s">
        <v>24</v>
      </c>
      <c r="N42" s="22" t="str">
        <f>IF(AND('331-CT'!$E$7=TH!H42,OR(L42="331",M42="331")),"331",IF(AND(OR(L42="131",M42="131"),H42='131-CT'!$E$7),"131",""))</f>
        <v/>
      </c>
      <c r="O42" s="22" t="str">
        <f>IF(AND($B42&gt;='111'!$N$11,$B42&lt;='111'!$O$11,OR($L42=$O$7,$M42=$O$7)),"x","")</f>
        <v/>
      </c>
      <c r="P42" s="22" t="str">
        <f>IF(AND($L42=$O$7,$B42&lt;'111'!$N$11),"x","")</f>
        <v/>
      </c>
      <c r="Q42" s="22" t="str">
        <f>IF(AND($M42=$O$7,$B42&lt;'111'!$N$11),"x","")</f>
        <v/>
      </c>
      <c r="R42" s="22" t="str">
        <f>IF(ISERROR(FIND('112'!$M$9,G42,1)),"",IF((AND(FIND('112'!$M$9,G42,1)&gt;=1,$B42&gt;='112'!$N$8,$B42&lt;='112'!$O$8,OR($L42='112'!$I$6,$M42='112'!$I$6))),"x",""))</f>
        <v/>
      </c>
      <c r="S42" s="22" t="str">
        <f>IF(ISERROR(FIND('112'!$M$9,G42,1)),"",IF((AND(LEFT(G42,2)=LEFT('112'!$M$9,2),B42&lt;'112'!$N$8,$L42='112'!$I$6)),"x",""))</f>
        <v/>
      </c>
      <c r="T42" s="22" t="str">
        <f>IF(ISERROR(FIND('112'!$M$9,G42,1)),"",IF((AND(RIGHT(G42,2)=RIGHT('112'!$M$9,2),B42&lt;'112'!$N$8,$M42='112'!$I$6)),"x",""))</f>
        <v>x</v>
      </c>
      <c r="U42" s="22" t="str">
        <f>IF(AND(B42&gt;='IN-NX'!$P$3,B42&lt;='IN-NX'!$Q$3,'IN-NX'!$D$7=D42,OR(LEFT(L42,2)="15",AND(LEFT(M42,2)&lt;&gt;"15",LEFT(M42,2)&lt;&gt;"33"))),"x","")</f>
        <v/>
      </c>
      <c r="V42" s="22" t="str">
        <f>IF(AND(OR(LEFT(TH!L42,2)="15",LEFT(TH!M42,2)="15"),'152-CT'!$J$8=TH!F42),"x","")</f>
        <v/>
      </c>
      <c r="W42" s="22" t="str">
        <f>IF(AND(OR(LEFT(TH!L42,2)="15",LEFT(TH!M42,2)="15"),TK!$E$7=TH!F42),"x","")</f>
        <v/>
      </c>
      <c r="X42" s="22" t="str">
        <f>IF(OR(TH!L42=TH!$X$7,M42=TH!$X$7),"x","")</f>
        <v/>
      </c>
      <c r="Y42" s="22" t="str">
        <f>IF(AND(B42&lt;=NKC!$N$8,B42&gt;=NKC!$M$8),"x","")</f>
        <v>x</v>
      </c>
      <c r="Z42" s="580"/>
      <c r="AC42" s="130"/>
    </row>
    <row r="43" spans="1:31" s="130" customFormat="1" ht="15.75" customHeight="1">
      <c r="A43" s="123" t="str">
        <f>IF(B43&lt;&gt;"",IF(AND(B43&gt;=_TM1,B43&lt;=_TM2,OR(TH!L44="1111",TH!M44="1111")),TH!D44,""),"")</f>
        <v/>
      </c>
      <c r="B43" s="12">
        <f t="shared" si="2"/>
        <v>7</v>
      </c>
      <c r="C43" s="108">
        <f t="shared" si="3"/>
        <v>42559</v>
      </c>
      <c r="D43" s="108" t="s">
        <v>470</v>
      </c>
      <c r="E43" s="108">
        <v>42559</v>
      </c>
      <c r="F43" s="112" t="s">
        <v>480</v>
      </c>
      <c r="G43" s="303" t="s">
        <v>474</v>
      </c>
      <c r="H43" s="4"/>
      <c r="I43" s="139"/>
      <c r="J43" s="139"/>
      <c r="K43" s="410">
        <v>20000</v>
      </c>
      <c r="L43" s="116" t="s">
        <v>82</v>
      </c>
      <c r="M43" s="116" t="s">
        <v>24</v>
      </c>
      <c r="N43" s="22" t="str">
        <f>IF(AND('331-CT'!$E$7=TH!H43,OR(L43="331",M43="331")),"331",IF(AND(OR(L43="131",M43="131"),H43='131-CT'!$E$7),"131",""))</f>
        <v/>
      </c>
      <c r="O43" s="22" t="str">
        <f>IF(AND($B43&gt;='111'!$N$11,$B43&lt;='111'!$O$11,OR($L43=$O$7,$M43=$O$7)),"x","")</f>
        <v/>
      </c>
      <c r="P43" s="22" t="str">
        <f>IF(AND($L43=$O$7,$B43&lt;'111'!$N$11),"x","")</f>
        <v/>
      </c>
      <c r="Q43" s="22" t="str">
        <f>IF(AND($M43=$O$7,$B43&lt;'111'!$N$11),"x","")</f>
        <v/>
      </c>
      <c r="R43" s="22" t="str">
        <f>IF(ISERROR(FIND('112'!$M$9,G43,1)),"",IF((AND(FIND('112'!$M$9,G43,1)&gt;=1,$B43&gt;='112'!$N$8,$B43&lt;='112'!$O$8,OR($L43='112'!$I$6,$M43='112'!$I$6))),"x",""))</f>
        <v/>
      </c>
      <c r="S43" s="22" t="str">
        <f>IF(ISERROR(FIND('112'!$M$9,G43,1)),"",IF((AND(LEFT(G43,2)=LEFT('112'!$M$9,2),B43&lt;'112'!$N$8,$L43='112'!$I$6)),"x",""))</f>
        <v/>
      </c>
      <c r="T43" s="22" t="str">
        <f>IF(ISERROR(FIND('112'!$M$9,G43,1)),"",IF((AND(RIGHT(G43,2)=RIGHT('112'!$M$9,2),B43&lt;'112'!$N$8,$M43='112'!$I$6)),"x",""))</f>
        <v>x</v>
      </c>
      <c r="U43" s="22" t="str">
        <f>IF(AND(B43&gt;='IN-NX'!$P$3,B43&lt;='IN-NX'!$Q$3,'IN-NX'!$D$7=D43,OR(LEFT(L43,2)="15",AND(LEFT(M43,2)&lt;&gt;"15",LEFT(M43,2)&lt;&gt;"33"))),"x","")</f>
        <v/>
      </c>
      <c r="V43" s="22" t="str">
        <f>IF(AND(OR(LEFT(TH!L43,2)="15",LEFT(TH!M43,2)="15"),'152-CT'!$J$8=TH!F43),"x","")</f>
        <v/>
      </c>
      <c r="W43" s="22" t="str">
        <f>IF(AND(OR(LEFT(TH!L43,2)="15",LEFT(TH!M43,2)="15"),TK!$E$7=TH!F43),"x","")</f>
        <v/>
      </c>
      <c r="X43" s="22" t="str">
        <f>IF(OR(TH!L43=TH!$X$7,M43=TH!$X$7),"x","")</f>
        <v>x</v>
      </c>
      <c r="Y43" s="22" t="str">
        <f>IF(AND(B43&lt;=NKC!$N$8,B43&gt;=NKC!$M$8),"x","")</f>
        <v>x</v>
      </c>
      <c r="Z43" s="580">
        <v>3</v>
      </c>
      <c r="AA43" s="406"/>
      <c r="AB43" s="406"/>
      <c r="AC43" s="406"/>
      <c r="AD43" s="406"/>
      <c r="AE43" s="406"/>
    </row>
    <row r="44" spans="1:31" s="130" customFormat="1" ht="15.75" customHeight="1">
      <c r="A44" s="123" t="str">
        <f>IF(B44&lt;&gt;"",IF(AND(B44&gt;=_TM1,B44&lt;=_TM2,OR(TH!L45="1111",TH!M45="1111")),TH!D45,""),"")</f>
        <v/>
      </c>
      <c r="B44" s="12">
        <f t="shared" si="2"/>
        <v>7</v>
      </c>
      <c r="C44" s="108">
        <f t="shared" si="3"/>
        <v>42559</v>
      </c>
      <c r="D44" s="108" t="s">
        <v>470</v>
      </c>
      <c r="E44" s="108">
        <v>42559</v>
      </c>
      <c r="F44" s="112" t="s">
        <v>481</v>
      </c>
      <c r="G44" s="303" t="s">
        <v>474</v>
      </c>
      <c r="H44" s="4"/>
      <c r="I44" s="139"/>
      <c r="J44" s="139"/>
      <c r="K44" s="410">
        <v>2000</v>
      </c>
      <c r="L44" s="116" t="s">
        <v>9</v>
      </c>
      <c r="M44" s="116" t="s">
        <v>24</v>
      </c>
      <c r="N44" s="22" t="str">
        <f>IF(AND('331-CT'!$E$7=TH!H44,OR(L44="331",M44="331")),"331",IF(AND(OR(L44="131",M44="131"),H44='131-CT'!$E$7),"131",""))</f>
        <v/>
      </c>
      <c r="O44" s="22" t="str">
        <f>IF(AND($B44&gt;='111'!$N$11,$B44&lt;='111'!$O$11,OR($L44=$O$7,$M44=$O$7)),"x","")</f>
        <v/>
      </c>
      <c r="P44" s="22" t="str">
        <f>IF(AND($L44=$O$7,$B44&lt;'111'!$N$11),"x","")</f>
        <v/>
      </c>
      <c r="Q44" s="22" t="str">
        <f>IF(AND($M44=$O$7,$B44&lt;'111'!$N$11),"x","")</f>
        <v/>
      </c>
      <c r="R44" s="22" t="str">
        <f>IF(ISERROR(FIND('112'!$M$9,G44,1)),"",IF((AND(FIND('112'!$M$9,G44,1)&gt;=1,$B44&gt;='112'!$N$8,$B44&lt;='112'!$O$8,OR($L44='112'!$I$6,$M44='112'!$I$6))),"x",""))</f>
        <v/>
      </c>
      <c r="S44" s="22" t="str">
        <f>IF(ISERROR(FIND('112'!$M$9,G44,1)),"",IF((AND(LEFT(G44,2)=LEFT('112'!$M$9,2),B44&lt;'112'!$N$8,$L44='112'!$I$6)),"x",""))</f>
        <v/>
      </c>
      <c r="T44" s="22" t="str">
        <f>IF(ISERROR(FIND('112'!$M$9,G44,1)),"",IF((AND(RIGHT(G44,2)=RIGHT('112'!$M$9,2),B44&lt;'112'!$N$8,$M44='112'!$I$6)),"x",""))</f>
        <v>x</v>
      </c>
      <c r="U44" s="22" t="str">
        <f>IF(AND(B44&gt;='IN-NX'!$P$3,B44&lt;='IN-NX'!$Q$3,'IN-NX'!$D$7=D44,OR(LEFT(L44,2)="15",AND(LEFT(M44,2)&lt;&gt;"15",LEFT(M44,2)&lt;&gt;"33"))),"x","")</f>
        <v/>
      </c>
      <c r="V44" s="22" t="str">
        <f>IF(AND(OR(LEFT(TH!L44,2)="15",LEFT(TH!M44,2)="15"),'152-CT'!$J$8=TH!F44),"x","")</f>
        <v/>
      </c>
      <c r="W44" s="22" t="str">
        <f>IF(AND(OR(LEFT(TH!L44,2)="15",LEFT(TH!M44,2)="15"),TK!$E$7=TH!F44),"x","")</f>
        <v/>
      </c>
      <c r="X44" s="22" t="str">
        <f>IF(OR(TH!L44=TH!$X$7,M44=TH!$X$7),"x","")</f>
        <v/>
      </c>
      <c r="Y44" s="22" t="str">
        <f>IF(AND(B44&lt;=NKC!$N$8,B44&gt;=NKC!$M$8),"x","")</f>
        <v>x</v>
      </c>
      <c r="Z44" s="580">
        <v>3</v>
      </c>
      <c r="AA44" s="406"/>
      <c r="AB44" s="406"/>
      <c r="AC44" s="406"/>
      <c r="AD44" s="406"/>
      <c r="AE44" s="406"/>
    </row>
    <row r="45" spans="1:31" s="406" customFormat="1" ht="15.75" customHeight="1">
      <c r="A45" s="123" t="str">
        <f>IF(B45&lt;&gt;"",IF(AND(B45&gt;=_TM1,B45&lt;=_TM2,OR(TH!L46="1111",TH!M46="1111")),TH!D46,""),"")</f>
        <v/>
      </c>
      <c r="B45" s="12">
        <f t="shared" si="2"/>
        <v>7</v>
      </c>
      <c r="C45" s="108">
        <f t="shared" si="3"/>
        <v>42559</v>
      </c>
      <c r="D45" s="108" t="s">
        <v>470</v>
      </c>
      <c r="E45" s="108">
        <v>42559</v>
      </c>
      <c r="F45" s="112" t="s">
        <v>482</v>
      </c>
      <c r="G45" s="303" t="s">
        <v>474</v>
      </c>
      <c r="H45" s="4"/>
      <c r="I45" s="139"/>
      <c r="J45" s="139"/>
      <c r="K45" s="410">
        <v>20000</v>
      </c>
      <c r="L45" s="116" t="s">
        <v>82</v>
      </c>
      <c r="M45" s="116" t="s">
        <v>24</v>
      </c>
      <c r="N45" s="22" t="str">
        <f>IF(AND('331-CT'!$E$7=TH!H45,OR(L45="331",M45="331")),"331",IF(AND(OR(L45="131",M45="131"),H45='131-CT'!$E$7),"131",""))</f>
        <v/>
      </c>
      <c r="O45" s="22" t="str">
        <f>IF(AND($B45&gt;='111'!$N$11,$B45&lt;='111'!$O$11,OR($L45=$O$7,$M45=$O$7)),"x","")</f>
        <v/>
      </c>
      <c r="P45" s="22" t="str">
        <f>IF(AND($L45=$O$7,$B45&lt;'111'!$N$11),"x","")</f>
        <v/>
      </c>
      <c r="Q45" s="22" t="str">
        <f>IF(AND($M45=$O$7,$B45&lt;'111'!$N$11),"x","")</f>
        <v/>
      </c>
      <c r="R45" s="22" t="str">
        <f>IF(ISERROR(FIND('112'!$M$9,G45,1)),"",IF((AND(FIND('112'!$M$9,G45,1)&gt;=1,$B45&gt;='112'!$N$8,$B45&lt;='112'!$O$8,OR($L45='112'!$I$6,$M45='112'!$I$6))),"x",""))</f>
        <v/>
      </c>
      <c r="S45" s="22" t="str">
        <f>IF(ISERROR(FIND('112'!$M$9,G45,1)),"",IF((AND(LEFT(G45,2)=LEFT('112'!$M$9,2),B45&lt;'112'!$N$8,$L45='112'!$I$6)),"x",""))</f>
        <v/>
      </c>
      <c r="T45" s="22" t="str">
        <f>IF(ISERROR(FIND('112'!$M$9,G45,1)),"",IF((AND(RIGHT(G45,2)=RIGHT('112'!$M$9,2),B45&lt;'112'!$N$8,$M45='112'!$I$6)),"x",""))</f>
        <v>x</v>
      </c>
      <c r="U45" s="22" t="str">
        <f>IF(AND(B45&gt;='IN-NX'!$P$3,B45&lt;='IN-NX'!$Q$3,'IN-NX'!$D$7=D45,OR(LEFT(L45,2)="15",AND(LEFT(M45,2)&lt;&gt;"15",LEFT(M45,2)&lt;&gt;"33"))),"x","")</f>
        <v/>
      </c>
      <c r="V45" s="22" t="str">
        <f>IF(AND(OR(LEFT(TH!L45,2)="15",LEFT(TH!M45,2)="15"),'152-CT'!$J$8=TH!F45),"x","")</f>
        <v/>
      </c>
      <c r="W45" s="22" t="str">
        <f>IF(AND(OR(LEFT(TH!L45,2)="15",LEFT(TH!M45,2)="15"),TK!$E$7=TH!F45),"x","")</f>
        <v/>
      </c>
      <c r="X45" s="22" t="str">
        <f>IF(OR(TH!L45=TH!$X$7,M45=TH!$X$7),"x","")</f>
        <v>x</v>
      </c>
      <c r="Y45" s="22" t="str">
        <f>IF(AND(B45&lt;=NKC!$N$8,B45&gt;=NKC!$M$8),"x","")</f>
        <v>x</v>
      </c>
      <c r="Z45" s="580">
        <v>3</v>
      </c>
    </row>
    <row r="46" spans="1:31" s="406" customFormat="1" ht="15.75" customHeight="1">
      <c r="A46" s="123" t="str">
        <f>IF(B46&lt;&gt;"",IF(AND(B46&gt;=_TM1,B46&lt;=_TM2,OR(TH!L47="1111",TH!M47="1111")),TH!D47,""),"")</f>
        <v/>
      </c>
      <c r="B46" s="12">
        <f t="shared" si="2"/>
        <v>7</v>
      </c>
      <c r="C46" s="108">
        <f t="shared" si="3"/>
        <v>42559</v>
      </c>
      <c r="D46" s="108" t="s">
        <v>470</v>
      </c>
      <c r="E46" s="108">
        <v>42559</v>
      </c>
      <c r="F46" s="112" t="s">
        <v>483</v>
      </c>
      <c r="G46" s="303" t="s">
        <v>474</v>
      </c>
      <c r="H46" s="4"/>
      <c r="I46" s="139"/>
      <c r="J46" s="139"/>
      <c r="K46" s="410">
        <v>2000</v>
      </c>
      <c r="L46" s="116" t="s">
        <v>9</v>
      </c>
      <c r="M46" s="116" t="s">
        <v>24</v>
      </c>
      <c r="N46" s="22" t="str">
        <f>IF(AND('331-CT'!$E$7=TH!H46,OR(L46="331",M46="331")),"331",IF(AND(OR(L46="131",M46="131"),H46='131-CT'!$E$7),"131",""))</f>
        <v/>
      </c>
      <c r="O46" s="22" t="str">
        <f>IF(AND($B46&gt;='111'!$N$11,$B46&lt;='111'!$O$11,OR($L46=$O$7,$M46=$O$7)),"x","")</f>
        <v/>
      </c>
      <c r="P46" s="22" t="str">
        <f>IF(AND($L46=$O$7,$B46&lt;'111'!$N$11),"x","")</f>
        <v/>
      </c>
      <c r="Q46" s="22" t="str">
        <f>IF(AND($M46=$O$7,$B46&lt;'111'!$N$11),"x","")</f>
        <v/>
      </c>
      <c r="R46" s="22" t="str">
        <f>IF(ISERROR(FIND('112'!$M$9,G46,1)),"",IF((AND(FIND('112'!$M$9,G46,1)&gt;=1,$B46&gt;='112'!$N$8,$B46&lt;='112'!$O$8,OR($L46='112'!$I$6,$M46='112'!$I$6))),"x",""))</f>
        <v/>
      </c>
      <c r="S46" s="22" t="str">
        <f>IF(ISERROR(FIND('112'!$M$9,G46,1)),"",IF((AND(LEFT(G46,2)=LEFT('112'!$M$9,2),B46&lt;'112'!$N$8,$L46='112'!$I$6)),"x",""))</f>
        <v/>
      </c>
      <c r="T46" s="22" t="str">
        <f>IF(ISERROR(FIND('112'!$M$9,G46,1)),"",IF((AND(RIGHT(G46,2)=RIGHT('112'!$M$9,2),B46&lt;'112'!$N$8,$M46='112'!$I$6)),"x",""))</f>
        <v>x</v>
      </c>
      <c r="U46" s="22" t="str">
        <f>IF(AND(B46&gt;='IN-NX'!$P$3,B46&lt;='IN-NX'!$Q$3,'IN-NX'!$D$7=D46,OR(LEFT(L46,2)="15",AND(LEFT(M46,2)&lt;&gt;"15",LEFT(M46,2)&lt;&gt;"33"))),"x","")</f>
        <v/>
      </c>
      <c r="V46" s="22" t="str">
        <f>IF(AND(OR(LEFT(TH!L46,2)="15",LEFT(TH!M46,2)="15"),'152-CT'!$J$8=TH!F46),"x","")</f>
        <v/>
      </c>
      <c r="W46" s="22" t="str">
        <f>IF(AND(OR(LEFT(TH!L46,2)="15",LEFT(TH!M46,2)="15"),TK!$E$7=TH!F46),"x","")</f>
        <v/>
      </c>
      <c r="X46" s="22" t="str">
        <f>IF(OR(TH!L46=TH!$X$7,M46=TH!$X$7),"x","")</f>
        <v/>
      </c>
      <c r="Y46" s="22" t="str">
        <f>IF(AND(B46&lt;=NKC!$N$8,B46&gt;=NKC!$M$8),"x","")</f>
        <v>x</v>
      </c>
      <c r="Z46" s="580">
        <v>3</v>
      </c>
    </row>
    <row r="47" spans="1:31" s="406" customFormat="1" ht="15.75" customHeight="1">
      <c r="A47" s="123" t="str">
        <f>IF(B47&lt;&gt;"",IF(AND(B47&gt;=_TM1,B47&lt;=_TM2,OR(TH!L48="1111",TH!M48="1111")),TH!D48,""),"")</f>
        <v/>
      </c>
      <c r="B47" s="12">
        <f t="shared" si="2"/>
        <v>7</v>
      </c>
      <c r="C47" s="108">
        <f t="shared" si="3"/>
        <v>42563</v>
      </c>
      <c r="D47" s="113" t="s">
        <v>402</v>
      </c>
      <c r="E47" s="108">
        <v>42563</v>
      </c>
      <c r="F47" s="112" t="s">
        <v>405</v>
      </c>
      <c r="G47" s="305" t="s">
        <v>451</v>
      </c>
      <c r="H47" s="4" t="s">
        <v>399</v>
      </c>
      <c r="I47" s="139">
        <v>11536</v>
      </c>
      <c r="J47" s="139">
        <v>7600</v>
      </c>
      <c r="K47" s="13">
        <f>ROUND(I47*J47,0)</f>
        <v>87673600</v>
      </c>
      <c r="L47" s="116" t="s">
        <v>154</v>
      </c>
      <c r="M47" s="116" t="s">
        <v>8</v>
      </c>
      <c r="N47" s="22" t="str">
        <f>IF(AND('331-CT'!$E$7=TH!H47,OR(L47="331",M47="331")),"331",IF(AND(OR(L47="131",M47="131"),H47='131-CT'!$E$7),"131",""))</f>
        <v/>
      </c>
      <c r="O47" s="22" t="str">
        <f>IF(AND($B47&gt;='111'!$N$11,$B47&lt;='111'!$O$11,OR($L47=$O$7,$M47=$O$7)),"x","")</f>
        <v/>
      </c>
      <c r="P47" s="22" t="str">
        <f>IF(AND($L47=$O$7,$B47&lt;'111'!$N$11),"x","")</f>
        <v/>
      </c>
      <c r="Q47" s="22" t="str">
        <f>IF(AND($M47=$O$7,$B47&lt;'111'!$N$11),"x","")</f>
        <v/>
      </c>
      <c r="R47" s="22" t="str">
        <f>IF(ISERROR(FIND('112'!$M$9,G47,1)),"",IF((AND(FIND('112'!$M$9,G47,1)&gt;=1,$B47&gt;='112'!$N$8,$B47&lt;='112'!$O$8,OR($L47='112'!$I$6,$M47='112'!$I$6))),"x",""))</f>
        <v/>
      </c>
      <c r="S47" s="22" t="str">
        <f>IF(ISERROR(FIND('112'!$M$9,G47,1)),"",IF((AND(LEFT(G47,2)=LEFT('112'!$M$9,2),B47&lt;'112'!$N$8,$L47='112'!$I$6)),"x",""))</f>
        <v/>
      </c>
      <c r="T47" s="22" t="str">
        <f>IF(ISERROR(FIND('112'!$M$9,G47,1)),"",IF((AND(RIGHT(G47,2)=RIGHT('112'!$M$9,2),B47&lt;'112'!$N$8,$M47='112'!$I$6)),"x",""))</f>
        <v/>
      </c>
      <c r="U47" s="22" t="str">
        <f>IF(AND(B47&gt;='IN-NX'!$P$3,B47&lt;='IN-NX'!$Q$3,'IN-NX'!$D$7=D47,OR(LEFT(L47,2)="15",AND(LEFT(M47,2)&lt;&gt;"15",LEFT(M47,2)&lt;&gt;"33"))),"x","")</f>
        <v/>
      </c>
      <c r="V47" s="22" t="str">
        <f>IF(AND(OR(LEFT(TH!L47,2)="15",LEFT(TH!M47,2)="15"),'152-CT'!$J$8=TH!F47),"x","")</f>
        <v/>
      </c>
      <c r="W47" s="22" t="str">
        <f>IF(AND(OR(LEFT(TH!L47,2)="15",LEFT(TH!M47,2)="15"),TK!$E$7=TH!F47),"x","")</f>
        <v/>
      </c>
      <c r="X47" s="22" t="str">
        <f>IF(OR(TH!L47=TH!$X$7,M47=TH!$X$7),"x","")</f>
        <v/>
      </c>
      <c r="Y47" s="22" t="str">
        <f>IF(AND(B47&lt;=NKC!$N$8,B47&gt;=NKC!$M$8),"x","")</f>
        <v>x</v>
      </c>
      <c r="Z47" s="580">
        <v>3</v>
      </c>
    </row>
    <row r="48" spans="1:31" s="406" customFormat="1" ht="15.75" customHeight="1">
      <c r="A48" s="123" t="str">
        <f>IF(B48&lt;&gt;"",IF(AND(B48&gt;=_TM1,B48&lt;=_TM2,OR(TH!L49="1111",TH!M49="1111")),TH!D49,""),"")</f>
        <v/>
      </c>
      <c r="B48" s="12">
        <f t="shared" si="2"/>
        <v>7</v>
      </c>
      <c r="C48" s="108">
        <f t="shared" si="3"/>
        <v>42563</v>
      </c>
      <c r="D48" s="113" t="s">
        <v>402</v>
      </c>
      <c r="E48" s="108">
        <v>42563</v>
      </c>
      <c r="F48" s="112" t="s">
        <v>449</v>
      </c>
      <c r="G48" s="305" t="s">
        <v>451</v>
      </c>
      <c r="H48" s="4" t="s">
        <v>399</v>
      </c>
      <c r="I48" s="139">
        <v>5979</v>
      </c>
      <c r="J48" s="139">
        <v>8900</v>
      </c>
      <c r="K48" s="13">
        <f>ROUND(I48*J48,0)</f>
        <v>53213100</v>
      </c>
      <c r="L48" s="116" t="s">
        <v>154</v>
      </c>
      <c r="M48" s="116" t="s">
        <v>8</v>
      </c>
      <c r="N48" s="22" t="str">
        <f>IF(AND('331-CT'!$E$7=TH!H48,OR(L48="331",M48="331")),"331",IF(AND(OR(L48="131",M48="131"),H48='131-CT'!$E$7),"131",""))</f>
        <v/>
      </c>
      <c r="O48" s="22" t="str">
        <f>IF(AND($B48&gt;='111'!$N$11,$B48&lt;='111'!$O$11,OR($L48=$O$7,$M48=$O$7)),"x","")</f>
        <v/>
      </c>
      <c r="P48" s="22" t="str">
        <f>IF(AND($L48=$O$7,$B48&lt;'111'!$N$11),"x","")</f>
        <v/>
      </c>
      <c r="Q48" s="22" t="str">
        <f>IF(AND($M48=$O$7,$B48&lt;'111'!$N$11),"x","")</f>
        <v/>
      </c>
      <c r="R48" s="22" t="str">
        <f>IF(ISERROR(FIND('112'!$M$9,G48,1)),"",IF((AND(FIND('112'!$M$9,G48,1)&gt;=1,$B48&gt;='112'!$N$8,$B48&lt;='112'!$O$8,OR($L48='112'!$I$6,$M48='112'!$I$6))),"x",""))</f>
        <v/>
      </c>
      <c r="S48" s="22" t="str">
        <f>IF(ISERROR(FIND('112'!$M$9,G48,1)),"",IF((AND(LEFT(G48,2)=LEFT('112'!$M$9,2),B48&lt;'112'!$N$8,$L48='112'!$I$6)),"x",""))</f>
        <v/>
      </c>
      <c r="T48" s="22" t="str">
        <f>IF(ISERROR(FIND('112'!$M$9,G48,1)),"",IF((AND(RIGHT(G48,2)=RIGHT('112'!$M$9,2),B48&lt;'112'!$N$8,$M48='112'!$I$6)),"x",""))</f>
        <v/>
      </c>
      <c r="U48" s="22" t="str">
        <f>IF(AND(B48&gt;='IN-NX'!$P$3,B48&lt;='IN-NX'!$Q$3,'IN-NX'!$D$7=D48,OR(LEFT(L48,2)="15",AND(LEFT(M48,2)&lt;&gt;"15",LEFT(M48,2)&lt;&gt;"33"))),"x","")</f>
        <v/>
      </c>
      <c r="V48" s="22" t="str">
        <f>IF(AND(OR(LEFT(TH!L48,2)="15",LEFT(TH!M48,2)="15"),'152-CT'!$J$8=TH!F48),"x","")</f>
        <v/>
      </c>
      <c r="W48" s="22" t="str">
        <f>IF(AND(OR(LEFT(TH!L48,2)="15",LEFT(TH!M48,2)="15"),TK!$E$7=TH!F48),"x","")</f>
        <v/>
      </c>
      <c r="X48" s="22" t="str">
        <f>IF(OR(TH!L48=TH!$X$7,M48=TH!$X$7),"x","")</f>
        <v/>
      </c>
      <c r="Y48" s="22" t="str">
        <f>IF(AND(B48&lt;=NKC!$N$8,B48&gt;=NKC!$M$8),"x","")</f>
        <v>x</v>
      </c>
      <c r="Z48" s="580">
        <v>3</v>
      </c>
      <c r="AB48" s="130"/>
    </row>
    <row r="49" spans="1:31" s="406" customFormat="1" ht="15.75" customHeight="1">
      <c r="A49" s="123" t="str">
        <f>IF(B49&lt;&gt;"",IF(AND(B49&gt;=_TM1,B49&lt;=_TM2,OR(TH!L50="1111",TH!M50="1111")),TH!D50,""),"")</f>
        <v/>
      </c>
      <c r="B49" s="12">
        <f t="shared" si="2"/>
        <v>7</v>
      </c>
      <c r="C49" s="108">
        <f t="shared" si="3"/>
        <v>42563</v>
      </c>
      <c r="D49" s="113" t="s">
        <v>402</v>
      </c>
      <c r="E49" s="108">
        <v>42563</v>
      </c>
      <c r="F49" s="112" t="s">
        <v>450</v>
      </c>
      <c r="G49" s="305" t="s">
        <v>451</v>
      </c>
      <c r="H49" s="4" t="s">
        <v>399</v>
      </c>
      <c r="I49" s="139">
        <v>4011</v>
      </c>
      <c r="J49" s="139">
        <v>8500</v>
      </c>
      <c r="K49" s="13">
        <f>ROUND(I49*J49,0)</f>
        <v>34093500</v>
      </c>
      <c r="L49" s="116" t="s">
        <v>154</v>
      </c>
      <c r="M49" s="116" t="s">
        <v>8</v>
      </c>
      <c r="N49" s="22" t="str">
        <f>IF(AND('331-CT'!$E$7=TH!H49,OR(L49="331",M49="331")),"331",IF(AND(OR(L49="131",M49="131"),H49='131-CT'!$E$7),"131",""))</f>
        <v/>
      </c>
      <c r="O49" s="22" t="str">
        <f>IF(AND($B49&gt;='111'!$N$11,$B49&lt;='111'!$O$11,OR($L49=$O$7,$M49=$O$7)),"x","")</f>
        <v/>
      </c>
      <c r="P49" s="22" t="str">
        <f>IF(AND($L49=$O$7,$B49&lt;'111'!$N$11),"x","")</f>
        <v/>
      </c>
      <c r="Q49" s="22" t="str">
        <f>IF(AND($M49=$O$7,$B49&lt;'111'!$N$11),"x","")</f>
        <v/>
      </c>
      <c r="R49" s="22" t="str">
        <f>IF(ISERROR(FIND('112'!$M$9,G49,1)),"",IF((AND(FIND('112'!$M$9,G49,1)&gt;=1,$B49&gt;='112'!$N$8,$B49&lt;='112'!$O$8,OR($L49='112'!$I$6,$M49='112'!$I$6))),"x",""))</f>
        <v/>
      </c>
      <c r="S49" s="22" t="str">
        <f>IF(ISERROR(FIND('112'!$M$9,G49,1)),"",IF((AND(LEFT(G49,2)=LEFT('112'!$M$9,2),B49&lt;'112'!$N$8,$L49='112'!$I$6)),"x",""))</f>
        <v/>
      </c>
      <c r="T49" s="22" t="str">
        <f>IF(ISERROR(FIND('112'!$M$9,G49,1)),"",IF((AND(RIGHT(G49,2)=RIGHT('112'!$M$9,2),B49&lt;'112'!$N$8,$M49='112'!$I$6)),"x",""))</f>
        <v/>
      </c>
      <c r="U49" s="22" t="str">
        <f>IF(AND(B49&gt;='IN-NX'!$P$3,B49&lt;='IN-NX'!$Q$3,'IN-NX'!$D$7=D49,OR(LEFT(L49,2)="15",AND(LEFT(M49,2)&lt;&gt;"15",LEFT(M49,2)&lt;&gt;"33"))),"x","")</f>
        <v/>
      </c>
      <c r="V49" s="22" t="str">
        <f>IF(AND(OR(LEFT(TH!L49,2)="15",LEFT(TH!M49,2)="15"),'152-CT'!$J$8=TH!F49),"x","")</f>
        <v/>
      </c>
      <c r="W49" s="22" t="str">
        <f>IF(AND(OR(LEFT(TH!L49,2)="15",LEFT(TH!M49,2)="15"),TK!$E$7=TH!F49),"x","")</f>
        <v/>
      </c>
      <c r="X49" s="22" t="str">
        <f>IF(OR(TH!L49=TH!$X$7,M49=TH!$X$7),"x","")</f>
        <v/>
      </c>
      <c r="Y49" s="22" t="str">
        <f>IF(AND(B49&lt;=NKC!$N$8,B49&gt;=NKC!$M$8),"x","")</f>
        <v>x</v>
      </c>
      <c r="Z49" s="580">
        <v>3</v>
      </c>
    </row>
    <row r="50" spans="1:31" s="406" customFormat="1" ht="15.75" customHeight="1">
      <c r="A50" s="123" t="str">
        <f>IF(B50&lt;&gt;"",IF(AND(B50&gt;=_TM1,B50&lt;=_TM2,OR(TH!L51="1111",TH!M51="1111")),TH!D51,""),"")</f>
        <v/>
      </c>
      <c r="B50" s="12">
        <f t="shared" si="2"/>
        <v>7</v>
      </c>
      <c r="C50" s="108">
        <f t="shared" si="3"/>
        <v>42563</v>
      </c>
      <c r="D50" s="113" t="s">
        <v>455</v>
      </c>
      <c r="E50" s="108">
        <v>42563</v>
      </c>
      <c r="F50" s="112" t="s">
        <v>400</v>
      </c>
      <c r="G50" s="305" t="s">
        <v>451</v>
      </c>
      <c r="H50" s="4" t="s">
        <v>399</v>
      </c>
      <c r="I50" s="139"/>
      <c r="J50" s="139"/>
      <c r="K50" s="410">
        <v>17498020</v>
      </c>
      <c r="L50" s="116" t="s">
        <v>9</v>
      </c>
      <c r="M50" s="116" t="s">
        <v>8</v>
      </c>
      <c r="N50" s="22" t="str">
        <f>IF(AND('331-CT'!$E$7=TH!H50,OR(L50="331",M50="331")),"331",IF(AND(OR(L50="131",M50="131"),H50='131-CT'!$E$7),"131",""))</f>
        <v/>
      </c>
      <c r="O50" s="22" t="str">
        <f>IF(AND($B50&gt;='111'!$N$11,$B50&lt;='111'!$O$11,OR($L50=$O$7,$M50=$O$7)),"x","")</f>
        <v/>
      </c>
      <c r="P50" s="22" t="str">
        <f>IF(AND($L50=$O$7,$B50&lt;'111'!$N$11),"x","")</f>
        <v/>
      </c>
      <c r="Q50" s="22" t="str">
        <f>IF(AND($M50=$O$7,$B50&lt;'111'!$N$11),"x","")</f>
        <v/>
      </c>
      <c r="R50" s="22" t="str">
        <f>IF(ISERROR(FIND('112'!$M$9,G50,1)),"",IF((AND(FIND('112'!$M$9,G50,1)&gt;=1,$B50&gt;='112'!$N$8,$B50&lt;='112'!$O$8,OR($L50='112'!$I$6,$M50='112'!$I$6))),"x",""))</f>
        <v/>
      </c>
      <c r="S50" s="22" t="str">
        <f>IF(ISERROR(FIND('112'!$M$9,G50,1)),"",IF((AND(LEFT(G50,2)=LEFT('112'!$M$9,2),B50&lt;'112'!$N$8,$L50='112'!$I$6)),"x",""))</f>
        <v/>
      </c>
      <c r="T50" s="22" t="str">
        <f>IF(ISERROR(FIND('112'!$M$9,G50,1)),"",IF((AND(RIGHT(G50,2)=RIGHT('112'!$M$9,2),B50&lt;'112'!$N$8,$M50='112'!$I$6)),"x",""))</f>
        <v/>
      </c>
      <c r="U50" s="22" t="str">
        <f>IF(AND(B50&gt;='IN-NX'!$P$3,B50&lt;='IN-NX'!$Q$3,'IN-NX'!$D$7=D50,OR(LEFT(L50,2)="15",AND(LEFT(M50,2)&lt;&gt;"15",LEFT(M50,2)&lt;&gt;"33"))),"x","")</f>
        <v/>
      </c>
      <c r="V50" s="22" t="str">
        <f>IF(AND(OR(LEFT(TH!L50,2)="15",LEFT(TH!M50,2)="15"),'152-CT'!$J$8=TH!F50),"x","")</f>
        <v/>
      </c>
      <c r="W50" s="22" t="str">
        <f>IF(AND(OR(LEFT(TH!L50,2)="15",LEFT(TH!M50,2)="15"),TK!$E$7=TH!F50),"x","")</f>
        <v/>
      </c>
      <c r="X50" s="22" t="str">
        <f>IF(OR(TH!L50=TH!$X$7,M50=TH!$X$7),"x","")</f>
        <v/>
      </c>
      <c r="Y50" s="22" t="str">
        <f>IF(AND(B50&lt;=NKC!$N$8,B50&gt;=NKC!$M$8),"x","")</f>
        <v>x</v>
      </c>
      <c r="Z50" s="580">
        <v>3</v>
      </c>
    </row>
    <row r="51" spans="1:31" s="406" customFormat="1" ht="15.75" customHeight="1">
      <c r="A51" s="123" t="str">
        <f>IF(B51&lt;&gt;"",IF(AND(B51&gt;=_TM1,B51&lt;=_TM2,OR(TH!L52="1111",TH!M52="1111")),TH!D52,""),"")</f>
        <v/>
      </c>
      <c r="B51" s="12">
        <f t="shared" si="2"/>
        <v>7</v>
      </c>
      <c r="C51" s="108">
        <f t="shared" si="3"/>
        <v>42563</v>
      </c>
      <c r="D51" s="113" t="s">
        <v>324</v>
      </c>
      <c r="E51" s="113">
        <v>42563</v>
      </c>
      <c r="F51" s="114" t="s">
        <v>346</v>
      </c>
      <c r="G51" s="305" t="s">
        <v>628</v>
      </c>
      <c r="H51" s="115" t="s">
        <v>988</v>
      </c>
      <c r="I51" s="139"/>
      <c r="J51" s="139"/>
      <c r="K51" s="13">
        <v>15000000</v>
      </c>
      <c r="L51" s="116" t="s">
        <v>164</v>
      </c>
      <c r="M51" s="116" t="s">
        <v>8</v>
      </c>
      <c r="N51" s="22" t="str">
        <f>IF(AND('331-CT'!$E$7=TH!H51,OR(L51="331",M51="331")),"331",IF(AND(OR(L51="131",M51="131"),H51='131-CT'!$E$7),"131",""))</f>
        <v/>
      </c>
      <c r="O51" s="22" t="str">
        <f>IF(AND($B51&gt;='111'!$N$11,$B51&lt;='111'!$O$11,OR($L51=$O$7,$M51=$O$7)),"x","")</f>
        <v/>
      </c>
      <c r="P51" s="22" t="str">
        <f>IF(AND($L51=$O$7,$B51&lt;'111'!$N$11),"x","")</f>
        <v/>
      </c>
      <c r="Q51" s="22" t="str">
        <f>IF(AND($M51=$O$7,$B51&lt;'111'!$N$11),"x","")</f>
        <v/>
      </c>
      <c r="R51" s="22" t="str">
        <f>IF(ISERROR(FIND('112'!$M$9,G51,1)),"",IF((AND(FIND('112'!$M$9,G51,1)&gt;=1,$B51&gt;='112'!$N$8,$B51&lt;='112'!$O$8,OR($L51='112'!$I$6,$M51='112'!$I$6))),"x",""))</f>
        <v/>
      </c>
      <c r="S51" s="22" t="str">
        <f>IF(ISERROR(FIND('112'!$M$9,G51,1)),"",IF((AND(LEFT(G51,2)=LEFT('112'!$M$9,2),B51&lt;'112'!$N$8,$L51='112'!$I$6)),"x",""))</f>
        <v/>
      </c>
      <c r="T51" s="22" t="str">
        <f>IF(ISERROR(FIND('112'!$M$9,G51,1)),"",IF((AND(RIGHT(G51,2)=RIGHT('112'!$M$9,2),B51&lt;'112'!$N$8,$M51='112'!$I$6)),"x",""))</f>
        <v/>
      </c>
      <c r="U51" s="22" t="str">
        <f>IF(AND(B51&gt;='IN-NX'!$P$3,B51&lt;='IN-NX'!$Q$3,'IN-NX'!$D$7=D51,OR(LEFT(L51,2)="15",AND(LEFT(M51,2)&lt;&gt;"15",LEFT(M51,2)&lt;&gt;"33"))),"x","")</f>
        <v/>
      </c>
      <c r="V51" s="22" t="str">
        <f>IF(AND(OR(LEFT(TH!L51,2)="15",LEFT(TH!M51,2)="15"),'152-CT'!$J$8=TH!F51),"x","")</f>
        <v/>
      </c>
      <c r="W51" s="22" t="str">
        <f>IF(AND(OR(LEFT(TH!L51,2)="15",LEFT(TH!M51,2)="15"),TK!$E$7=TH!F51),"x","")</f>
        <v/>
      </c>
      <c r="X51" s="22" t="str">
        <f>IF(OR(TH!L51=TH!$X$7,M51=TH!$X$7),"x","")</f>
        <v/>
      </c>
      <c r="Y51" s="22" t="str">
        <f>IF(AND(B51&lt;=NKC!$N$8,B51&gt;=NKC!$M$8),"x","")</f>
        <v>x</v>
      </c>
      <c r="Z51" s="580">
        <v>3</v>
      </c>
    </row>
    <row r="52" spans="1:31" s="406" customFormat="1" ht="15.75" customHeight="1">
      <c r="A52" s="123" t="str">
        <f>IF(B52&lt;&gt;"",IF(AND(B52&gt;=_TM1,B52&lt;=_TM2,OR(TH!L53="1111",TH!M53="1111")),TH!D53,""),"")</f>
        <v/>
      </c>
      <c r="B52" s="12">
        <f t="shared" si="2"/>
        <v>7</v>
      </c>
      <c r="C52" s="108">
        <f t="shared" si="3"/>
        <v>42563</v>
      </c>
      <c r="D52" s="113" t="s">
        <v>324</v>
      </c>
      <c r="E52" s="113">
        <v>42563</v>
      </c>
      <c r="F52" s="114" t="s">
        <v>347</v>
      </c>
      <c r="G52" s="305" t="s">
        <v>628</v>
      </c>
      <c r="H52" s="115" t="s">
        <v>988</v>
      </c>
      <c r="I52" s="139"/>
      <c r="J52" s="139"/>
      <c r="K52" s="13">
        <v>25000000</v>
      </c>
      <c r="L52" s="116" t="s">
        <v>164</v>
      </c>
      <c r="M52" s="116" t="s">
        <v>8</v>
      </c>
      <c r="N52" s="22" t="str">
        <f>IF(AND('331-CT'!$E$7=TH!H52,OR(L52="331",M52="331")),"331",IF(AND(OR(L52="131",M52="131"),H52='131-CT'!$E$7),"131",""))</f>
        <v/>
      </c>
      <c r="O52" s="22" t="str">
        <f>IF(AND($B52&gt;='111'!$N$11,$B52&lt;='111'!$O$11,OR($L52=$O$7,$M52=$O$7)),"x","")</f>
        <v/>
      </c>
      <c r="P52" s="22" t="str">
        <f>IF(AND($L52=$O$7,$B52&lt;'111'!$N$11),"x","")</f>
        <v/>
      </c>
      <c r="Q52" s="22" t="str">
        <f>IF(AND($M52=$O$7,$B52&lt;'111'!$N$11),"x","")</f>
        <v/>
      </c>
      <c r="R52" s="22" t="str">
        <f>IF(ISERROR(FIND('112'!$M$9,G52,1)),"",IF((AND(FIND('112'!$M$9,G52,1)&gt;=1,$B52&gt;='112'!$N$8,$B52&lt;='112'!$O$8,OR($L52='112'!$I$6,$M52='112'!$I$6))),"x",""))</f>
        <v/>
      </c>
      <c r="S52" s="22" t="str">
        <f>IF(ISERROR(FIND('112'!$M$9,G52,1)),"",IF((AND(LEFT(G52,2)=LEFT('112'!$M$9,2),B52&lt;'112'!$N$8,$L52='112'!$I$6)),"x",""))</f>
        <v/>
      </c>
      <c r="T52" s="22" t="str">
        <f>IF(ISERROR(FIND('112'!$M$9,G52,1)),"",IF((AND(RIGHT(G52,2)=RIGHT('112'!$M$9,2),B52&lt;'112'!$N$8,$M52='112'!$I$6)),"x",""))</f>
        <v/>
      </c>
      <c r="U52" s="22" t="str">
        <f>IF(AND(B52&gt;='IN-NX'!$P$3,B52&lt;='IN-NX'!$Q$3,'IN-NX'!$D$7=D52,OR(LEFT(L52,2)="15",AND(LEFT(M52,2)&lt;&gt;"15",LEFT(M52,2)&lt;&gt;"33"))),"x","")</f>
        <v/>
      </c>
      <c r="V52" s="22" t="str">
        <f>IF(AND(OR(LEFT(TH!L52,2)="15",LEFT(TH!M52,2)="15"),'152-CT'!$J$8=TH!F52),"x","")</f>
        <v/>
      </c>
      <c r="W52" s="22" t="str">
        <f>IF(AND(OR(LEFT(TH!L52,2)="15",LEFT(TH!M52,2)="15"),TK!$E$7=TH!F52),"x","")</f>
        <v/>
      </c>
      <c r="X52" s="22" t="str">
        <f>IF(OR(TH!L52=TH!$X$7,M52=TH!$X$7),"x","")</f>
        <v/>
      </c>
      <c r="Y52" s="22" t="str">
        <f>IF(AND(B52&lt;=NKC!$N$8,B52&gt;=NKC!$M$8),"x","")</f>
        <v>x</v>
      </c>
      <c r="Z52" s="580">
        <v>3</v>
      </c>
    </row>
    <row r="53" spans="1:31" s="406" customFormat="1" ht="15.75" customHeight="1">
      <c r="A53" s="123" t="str">
        <f>IF(B53&lt;&gt;"",IF(AND(B53&gt;=_TM1,B53&lt;=_TM2,OR(TH!L54="1111",TH!M54="1111")),TH!D54,""),"")</f>
        <v/>
      </c>
      <c r="B53" s="12">
        <f t="shared" si="2"/>
        <v>7</v>
      </c>
      <c r="C53" s="108">
        <f t="shared" si="3"/>
        <v>42563</v>
      </c>
      <c r="D53" s="113" t="s">
        <v>324</v>
      </c>
      <c r="E53" s="113">
        <v>42563</v>
      </c>
      <c r="F53" s="114" t="s">
        <v>348</v>
      </c>
      <c r="G53" s="305" t="s">
        <v>628</v>
      </c>
      <c r="H53" s="115" t="s">
        <v>988</v>
      </c>
      <c r="I53" s="139"/>
      <c r="J53" s="139"/>
      <c r="K53" s="13">
        <v>300000000</v>
      </c>
      <c r="L53" s="116" t="s">
        <v>164</v>
      </c>
      <c r="M53" s="116" t="s">
        <v>8</v>
      </c>
      <c r="N53" s="22" t="str">
        <f>IF(AND('331-CT'!$E$7=TH!H53,OR(L53="331",M53="331")),"331",IF(AND(OR(L53="131",M53="131"),H53='131-CT'!$E$7),"131",""))</f>
        <v/>
      </c>
      <c r="O53" s="22" t="str">
        <f>IF(AND($B53&gt;='111'!$N$11,$B53&lt;='111'!$O$11,OR($L53=$O$7,$M53=$O$7)),"x","")</f>
        <v/>
      </c>
      <c r="P53" s="22" t="str">
        <f>IF(AND($L53=$O$7,$B53&lt;'111'!$N$11),"x","")</f>
        <v/>
      </c>
      <c r="Q53" s="22" t="str">
        <f>IF(AND($M53=$O$7,$B53&lt;'111'!$N$11),"x","")</f>
        <v/>
      </c>
      <c r="R53" s="22" t="str">
        <f>IF(ISERROR(FIND('112'!$M$9,G53,1)),"",IF((AND(FIND('112'!$M$9,G53,1)&gt;=1,$B53&gt;='112'!$N$8,$B53&lt;='112'!$O$8,OR($L53='112'!$I$6,$M53='112'!$I$6))),"x",""))</f>
        <v/>
      </c>
      <c r="S53" s="22" t="str">
        <f>IF(ISERROR(FIND('112'!$M$9,G53,1)),"",IF((AND(LEFT(G53,2)=LEFT('112'!$M$9,2),B53&lt;'112'!$N$8,$L53='112'!$I$6)),"x",""))</f>
        <v/>
      </c>
      <c r="T53" s="22" t="str">
        <f>IF(ISERROR(FIND('112'!$M$9,G53,1)),"",IF((AND(RIGHT(G53,2)=RIGHT('112'!$M$9,2),B53&lt;'112'!$N$8,$M53='112'!$I$6)),"x",""))</f>
        <v/>
      </c>
      <c r="U53" s="22" t="str">
        <f>IF(AND(B53&gt;='IN-NX'!$P$3,B53&lt;='IN-NX'!$Q$3,'IN-NX'!$D$7=D53,OR(LEFT(L53,2)="15",AND(LEFT(M53,2)&lt;&gt;"15",LEFT(M53,2)&lt;&gt;"33"))),"x","")</f>
        <v/>
      </c>
      <c r="V53" s="22" t="str">
        <f>IF(AND(OR(LEFT(TH!L53,2)="15",LEFT(TH!M53,2)="15"),'152-CT'!$J$8=TH!F53),"x","")</f>
        <v/>
      </c>
      <c r="W53" s="22" t="str">
        <f>IF(AND(OR(LEFT(TH!L53,2)="15",LEFT(TH!M53,2)="15"),TK!$E$7=TH!F53),"x","")</f>
        <v/>
      </c>
      <c r="X53" s="22" t="str">
        <f>IF(OR(TH!L53=TH!$X$7,M53=TH!$X$7),"x","")</f>
        <v/>
      </c>
      <c r="Y53" s="22" t="str">
        <f>IF(AND(B53&lt;=NKC!$N$8,B53&gt;=NKC!$M$8),"x","")</f>
        <v>x</v>
      </c>
      <c r="Z53" s="580">
        <v>3</v>
      </c>
      <c r="AB53" s="130"/>
    </row>
    <row r="54" spans="1:31" s="406" customFormat="1" ht="15.75" customHeight="1">
      <c r="A54" s="123" t="str">
        <f>IF(B54&lt;&gt;"",IF(AND(B54&gt;=_TM1,B54&lt;=_TM2,OR(TH!L55="1111",TH!M55="1111")),TH!D55,""),"")</f>
        <v/>
      </c>
      <c r="B54" s="12">
        <f t="shared" si="2"/>
        <v>7</v>
      </c>
      <c r="C54" s="108">
        <f t="shared" si="3"/>
        <v>42563</v>
      </c>
      <c r="D54" s="113" t="s">
        <v>324</v>
      </c>
      <c r="E54" s="113">
        <v>42563</v>
      </c>
      <c r="F54" s="114" t="s">
        <v>629</v>
      </c>
      <c r="G54" s="305" t="s">
        <v>628</v>
      </c>
      <c r="H54" s="115" t="s">
        <v>988</v>
      </c>
      <c r="I54" s="139"/>
      <c r="J54" s="139"/>
      <c r="K54" s="13">
        <v>500000000</v>
      </c>
      <c r="L54" s="116" t="s">
        <v>164</v>
      </c>
      <c r="M54" s="116" t="s">
        <v>8</v>
      </c>
      <c r="N54" s="22" t="str">
        <f>IF(AND('331-CT'!$E$7=TH!H54,OR(L54="331",M54="331")),"331",IF(AND(OR(L54="131",M54="131"),H54='131-CT'!$E$7),"131",""))</f>
        <v/>
      </c>
      <c r="O54" s="22" t="str">
        <f>IF(AND($B54&gt;='111'!$N$11,$B54&lt;='111'!$O$11,OR($L54=$O$7,$M54=$O$7)),"x","")</f>
        <v/>
      </c>
      <c r="P54" s="22" t="str">
        <f>IF(AND($L54=$O$7,$B54&lt;'111'!$N$11),"x","")</f>
        <v/>
      </c>
      <c r="Q54" s="22" t="str">
        <f>IF(AND($M54=$O$7,$B54&lt;'111'!$N$11),"x","")</f>
        <v/>
      </c>
      <c r="R54" s="22" t="str">
        <f>IF(ISERROR(FIND('112'!$M$9,G54,1)),"",IF((AND(FIND('112'!$M$9,G54,1)&gt;=1,$B54&gt;='112'!$N$8,$B54&lt;='112'!$O$8,OR($L54='112'!$I$6,$M54='112'!$I$6))),"x",""))</f>
        <v/>
      </c>
      <c r="S54" s="22" t="str">
        <f>IF(ISERROR(FIND('112'!$M$9,G54,1)),"",IF((AND(LEFT(G54,2)=LEFT('112'!$M$9,2),B54&lt;'112'!$N$8,$L54='112'!$I$6)),"x",""))</f>
        <v/>
      </c>
      <c r="T54" s="22" t="str">
        <f>IF(ISERROR(FIND('112'!$M$9,G54,1)),"",IF((AND(RIGHT(G54,2)=RIGHT('112'!$M$9,2),B54&lt;'112'!$N$8,$M54='112'!$I$6)),"x",""))</f>
        <v/>
      </c>
      <c r="U54" s="22" t="str">
        <f>IF(AND(B54&gt;='IN-NX'!$P$3,B54&lt;='IN-NX'!$Q$3,'IN-NX'!$D$7=D54,OR(LEFT(L54,2)="15",AND(LEFT(M54,2)&lt;&gt;"15",LEFT(M54,2)&lt;&gt;"33"))),"x","")</f>
        <v/>
      </c>
      <c r="V54" s="22" t="str">
        <f>IF(AND(OR(LEFT(TH!L54,2)="15",LEFT(TH!M54,2)="15"),'152-CT'!$J$8=TH!F54),"x","")</f>
        <v/>
      </c>
      <c r="W54" s="22" t="str">
        <f>IF(AND(OR(LEFT(TH!L54,2)="15",LEFT(TH!M54,2)="15"),TK!$E$7=TH!F54),"x","")</f>
        <v/>
      </c>
      <c r="X54" s="22" t="str">
        <f>IF(OR(TH!L54=TH!$X$7,M54=TH!$X$7),"x","")</f>
        <v/>
      </c>
      <c r="Y54" s="22" t="str">
        <f>IF(AND(B54&lt;=NKC!$N$8,B54&gt;=NKC!$M$8),"x","")</f>
        <v>x</v>
      </c>
      <c r="Z54" s="580">
        <v>3</v>
      </c>
    </row>
    <row r="55" spans="1:31" s="406" customFormat="1" ht="15.75" customHeight="1">
      <c r="A55" s="123" t="str">
        <f>IF(B55&lt;&gt;"",IF(AND(B55&gt;=_TM1,B55&lt;=_TM2,OR(TH!L56="1111",TH!M56="1111")),TH!D56,""),"")</f>
        <v/>
      </c>
      <c r="B55" s="12">
        <f t="shared" si="2"/>
        <v>7</v>
      </c>
      <c r="C55" s="108">
        <f t="shared" si="3"/>
        <v>42563</v>
      </c>
      <c r="D55" s="113" t="s">
        <v>324</v>
      </c>
      <c r="E55" s="113">
        <v>42563</v>
      </c>
      <c r="F55" s="114" t="s">
        <v>630</v>
      </c>
      <c r="G55" s="305" t="s">
        <v>628</v>
      </c>
      <c r="H55" s="115" t="s">
        <v>988</v>
      </c>
      <c r="I55" s="139"/>
      <c r="J55" s="139"/>
      <c r="K55" s="13">
        <v>84000000</v>
      </c>
      <c r="L55" s="116" t="s">
        <v>9</v>
      </c>
      <c r="M55" s="116" t="s">
        <v>8</v>
      </c>
      <c r="N55" s="22" t="str">
        <f>IF(AND('331-CT'!$E$7=TH!H55,OR(L55="331",M55="331")),"331",IF(AND(OR(L55="131",M55="131"),H55='131-CT'!$E$7),"131",""))</f>
        <v/>
      </c>
      <c r="O55" s="22" t="str">
        <f>IF(AND($B55&gt;='111'!$N$11,$B55&lt;='111'!$O$11,OR($L55=$O$7,$M55=$O$7)),"x","")</f>
        <v/>
      </c>
      <c r="P55" s="22" t="str">
        <f>IF(AND($L55=$O$7,$B55&lt;'111'!$N$11),"x","")</f>
        <v/>
      </c>
      <c r="Q55" s="22" t="str">
        <f>IF(AND($M55=$O$7,$B55&lt;'111'!$N$11),"x","")</f>
        <v/>
      </c>
      <c r="R55" s="22" t="str">
        <f>IF(ISERROR(FIND('112'!$M$9,G55,1)),"",IF((AND(FIND('112'!$M$9,G55,1)&gt;=1,$B55&gt;='112'!$N$8,$B55&lt;='112'!$O$8,OR($L55='112'!$I$6,$M55='112'!$I$6))),"x",""))</f>
        <v/>
      </c>
      <c r="S55" s="22" t="str">
        <f>IF(ISERROR(FIND('112'!$M$9,G55,1)),"",IF((AND(LEFT(G55,2)=LEFT('112'!$M$9,2),B55&lt;'112'!$N$8,$L55='112'!$I$6)),"x",""))</f>
        <v/>
      </c>
      <c r="T55" s="22" t="str">
        <f>IF(ISERROR(FIND('112'!$M$9,G55,1)),"",IF((AND(RIGHT(G55,2)=RIGHT('112'!$M$9,2),B55&lt;'112'!$N$8,$M55='112'!$I$6)),"x",""))</f>
        <v/>
      </c>
      <c r="U55" s="22" t="str">
        <f>IF(AND(B55&gt;='IN-NX'!$P$3,B55&lt;='IN-NX'!$Q$3,'IN-NX'!$D$7=D55,OR(LEFT(L55,2)="15",AND(LEFT(M55,2)&lt;&gt;"15",LEFT(M55,2)&lt;&gt;"33"))),"x","")</f>
        <v/>
      </c>
      <c r="V55" s="22" t="str">
        <f>IF(AND(OR(LEFT(TH!L55,2)="15",LEFT(TH!M55,2)="15"),'152-CT'!$J$8=TH!F55),"x","")</f>
        <v/>
      </c>
      <c r="W55" s="22" t="str">
        <f>IF(AND(OR(LEFT(TH!L55,2)="15",LEFT(TH!M55,2)="15"),TK!$E$7=TH!F55),"x","")</f>
        <v/>
      </c>
      <c r="X55" s="22" t="str">
        <f>IF(OR(TH!L55=TH!$X$7,M55=TH!$X$7),"x","")</f>
        <v/>
      </c>
      <c r="Y55" s="22" t="str">
        <f>IF(AND(B55&lt;=NKC!$N$8,B55&gt;=NKC!$M$8),"x","")</f>
        <v>x</v>
      </c>
      <c r="Z55" s="580">
        <v>3</v>
      </c>
    </row>
    <row r="56" spans="1:31" s="406" customFormat="1" ht="15.75" customHeight="1">
      <c r="A56" s="123" t="str">
        <f>IF(B56&lt;&gt;"",IF(AND(B56&gt;=_TM1,B56&lt;=_TM2,OR(TH!L57="1111",TH!M57="1111")),TH!D57,""),"")</f>
        <v/>
      </c>
      <c r="B56" s="12">
        <f t="shared" si="2"/>
        <v>7</v>
      </c>
      <c r="C56" s="108">
        <f t="shared" si="3"/>
        <v>42566</v>
      </c>
      <c r="D56" s="113" t="s">
        <v>453</v>
      </c>
      <c r="E56" s="108">
        <v>42566</v>
      </c>
      <c r="F56" s="112" t="s">
        <v>411</v>
      </c>
      <c r="G56" s="303" t="s">
        <v>410</v>
      </c>
      <c r="H56" s="115" t="s">
        <v>409</v>
      </c>
      <c r="I56" s="139"/>
      <c r="J56" s="139"/>
      <c r="K56" s="410">
        <v>1454545</v>
      </c>
      <c r="L56" s="411" t="s">
        <v>254</v>
      </c>
      <c r="M56" s="411" t="s">
        <v>46</v>
      </c>
      <c r="N56" s="22" t="str">
        <f>IF(AND('331-CT'!$E$7=TH!H56,OR(L56="331",M56="331")),"331",IF(AND(OR(L56="131",M56="131"),H56='131-CT'!$E$7),"131",""))</f>
        <v/>
      </c>
      <c r="O56" s="22" t="str">
        <f>IF(AND($B56&gt;='111'!$N$11,$B56&lt;='111'!$O$11,OR($L56=$O$7,$M56=$O$7)),"x","")</f>
        <v/>
      </c>
      <c r="P56" s="22" t="str">
        <f>IF(AND($L56=$O$7,$B56&lt;'111'!$N$11),"x","")</f>
        <v/>
      </c>
      <c r="Q56" s="22" t="str">
        <f>IF(AND($M56=$O$7,$B56&lt;'111'!$N$11),"x","")</f>
        <v>x</v>
      </c>
      <c r="R56" s="22" t="str">
        <f>IF(ISERROR(FIND('112'!$M$9,G56,1)),"",IF((AND(FIND('112'!$M$9,G56,1)&gt;=1,$B56&gt;='112'!$N$8,$B56&lt;='112'!$O$8,OR($L56='112'!$I$6,$M56='112'!$I$6))),"x",""))</f>
        <v/>
      </c>
      <c r="S56" s="22" t="str">
        <f>IF(ISERROR(FIND('112'!$M$9,G56,1)),"",IF((AND(LEFT(G56,2)=LEFT('112'!$M$9,2),B56&lt;'112'!$N$8,$L56='112'!$I$6)),"x",""))</f>
        <v/>
      </c>
      <c r="T56" s="22" t="str">
        <f>IF(ISERROR(FIND('112'!$M$9,G56,1)),"",IF((AND(RIGHT(G56,2)=RIGHT('112'!$M$9,2),B56&lt;'112'!$N$8,$M56='112'!$I$6)),"x",""))</f>
        <v/>
      </c>
      <c r="U56" s="22" t="str">
        <f>IF(AND(B56&gt;='IN-NX'!$P$3,B56&lt;='IN-NX'!$Q$3,'IN-NX'!$D$7=D56,OR(LEFT(L56,2)="15",AND(LEFT(M56,2)&lt;&gt;"15",LEFT(M56,2)&lt;&gt;"33"))),"x","")</f>
        <v/>
      </c>
      <c r="V56" s="22" t="str">
        <f>IF(AND(OR(LEFT(TH!L56,2)="15",LEFT(TH!M56,2)="15"),'152-CT'!$J$8=TH!F56),"x","")</f>
        <v/>
      </c>
      <c r="W56" s="22" t="str">
        <f>IF(AND(OR(LEFT(TH!L56,2)="15",LEFT(TH!M56,2)="15"),TK!$E$7=TH!F56),"x","")</f>
        <v/>
      </c>
      <c r="X56" s="22" t="str">
        <f>IF(OR(TH!L56=TH!$X$7,M56=TH!$X$7),"x","")</f>
        <v/>
      </c>
      <c r="Y56" s="22" t="str">
        <f>IF(AND(B56&lt;=NKC!$N$8,B56&gt;=NKC!$M$8),"x","")</f>
        <v>x</v>
      </c>
      <c r="Z56" s="580">
        <v>3</v>
      </c>
    </row>
    <row r="57" spans="1:31" s="406" customFormat="1" ht="15.75" customHeight="1">
      <c r="A57" s="123" t="str">
        <f>IF(B57&lt;&gt;"",IF(AND(B57&gt;=_TM1,B57&lt;=_TM2,OR(TH!L58="1111",TH!M58="1111")),TH!D58,""),"")</f>
        <v/>
      </c>
      <c r="B57" s="12">
        <f t="shared" si="2"/>
        <v>7</v>
      </c>
      <c r="C57" s="108">
        <f t="shared" si="3"/>
        <v>42566</v>
      </c>
      <c r="D57" s="113" t="s">
        <v>453</v>
      </c>
      <c r="E57" s="108">
        <v>42566</v>
      </c>
      <c r="F57" s="112" t="s">
        <v>412</v>
      </c>
      <c r="G57" s="303" t="s">
        <v>410</v>
      </c>
      <c r="H57" s="115" t="s">
        <v>409</v>
      </c>
      <c r="I57" s="139"/>
      <c r="J57" s="139"/>
      <c r="K57" s="410">
        <v>145455</v>
      </c>
      <c r="L57" s="411" t="s">
        <v>9</v>
      </c>
      <c r="M57" s="411" t="s">
        <v>46</v>
      </c>
      <c r="N57" s="22" t="str">
        <f>IF(AND('331-CT'!$E$7=TH!H57,OR(L57="331",M57="331")),"331",IF(AND(OR(L57="131",M57="131"),H57='131-CT'!$E$7),"131",""))</f>
        <v/>
      </c>
      <c r="O57" s="22" t="str">
        <f>IF(AND($B57&gt;='111'!$N$11,$B57&lt;='111'!$O$11,OR($L57=$O$7,$M57=$O$7)),"x","")</f>
        <v/>
      </c>
      <c r="P57" s="22" t="str">
        <f>IF(AND($L57=$O$7,$B57&lt;'111'!$N$11),"x","")</f>
        <v/>
      </c>
      <c r="Q57" s="22" t="str">
        <f>IF(AND($M57=$O$7,$B57&lt;'111'!$N$11),"x","")</f>
        <v>x</v>
      </c>
      <c r="R57" s="22" t="str">
        <f>IF(ISERROR(FIND('112'!$M$9,G57,1)),"",IF((AND(FIND('112'!$M$9,G57,1)&gt;=1,$B57&gt;='112'!$N$8,$B57&lt;='112'!$O$8,OR($L57='112'!$I$6,$M57='112'!$I$6))),"x",""))</f>
        <v/>
      </c>
      <c r="S57" s="22" t="str">
        <f>IF(ISERROR(FIND('112'!$M$9,G57,1)),"",IF((AND(LEFT(G57,2)=LEFT('112'!$M$9,2),B57&lt;'112'!$N$8,$L57='112'!$I$6)),"x",""))</f>
        <v/>
      </c>
      <c r="T57" s="22" t="str">
        <f>IF(ISERROR(FIND('112'!$M$9,G57,1)),"",IF((AND(RIGHT(G57,2)=RIGHT('112'!$M$9,2),B57&lt;'112'!$N$8,$M57='112'!$I$6)),"x",""))</f>
        <v/>
      </c>
      <c r="U57" s="22" t="str">
        <f>IF(AND(B57&gt;='IN-NX'!$P$3,B57&lt;='IN-NX'!$Q$3,'IN-NX'!$D$7=D57,OR(LEFT(L57,2)="15",AND(LEFT(M57,2)&lt;&gt;"15",LEFT(M57,2)&lt;&gt;"33"))),"x","")</f>
        <v/>
      </c>
      <c r="V57" s="22" t="str">
        <f>IF(AND(OR(LEFT(TH!L57,2)="15",LEFT(TH!M57,2)="15"),'152-CT'!$J$8=TH!F57),"x","")</f>
        <v/>
      </c>
      <c r="W57" s="22" t="str">
        <f>IF(AND(OR(LEFT(TH!L57,2)="15",LEFT(TH!M57,2)="15"),TK!$E$7=TH!F57),"x","")</f>
        <v/>
      </c>
      <c r="X57" s="22" t="str">
        <f>IF(OR(TH!L57=TH!$X$7,M57=TH!$X$7),"x","")</f>
        <v/>
      </c>
      <c r="Y57" s="22" t="str">
        <f>IF(AND(B57&lt;=NKC!$N$8,B57&gt;=NKC!$M$8),"x","")</f>
        <v>x</v>
      </c>
      <c r="Z57" s="580">
        <v>3</v>
      </c>
    </row>
    <row r="58" spans="1:31" s="406" customFormat="1" ht="15.75" customHeight="1">
      <c r="A58" s="123" t="str">
        <f>IF(B58&lt;&gt;"",IF(AND(B58&gt;=_TM1,B58&lt;=_TM2,OR(TH!L59="1111",TH!M59="1111")),TH!D59,""),"")</f>
        <v/>
      </c>
      <c r="B58" s="12">
        <f t="shared" si="2"/>
        <v>7</v>
      </c>
      <c r="C58" s="108">
        <f t="shared" si="3"/>
        <v>42566</v>
      </c>
      <c r="D58" s="108" t="s">
        <v>552</v>
      </c>
      <c r="E58" s="113">
        <v>42566</v>
      </c>
      <c r="F58" s="114" t="s">
        <v>493</v>
      </c>
      <c r="G58" s="303" t="s">
        <v>699</v>
      </c>
      <c r="H58" s="17" t="s">
        <v>495</v>
      </c>
      <c r="I58" s="139">
        <v>73</v>
      </c>
      <c r="J58" s="139">
        <v>21849</v>
      </c>
      <c r="K58" s="13">
        <f>ROUND(I58*J58,0)</f>
        <v>1594977</v>
      </c>
      <c r="L58" s="116" t="s">
        <v>252</v>
      </c>
      <c r="M58" s="411" t="s">
        <v>169</v>
      </c>
      <c r="N58" s="22" t="str">
        <f>IF(AND('331-CT'!$E$7=TH!H58,OR(L58="331",M58="331")),"331",IF(AND(OR(L58="131",M58="131"),H58='131-CT'!$E$7),"131",""))</f>
        <v/>
      </c>
      <c r="O58" s="22" t="str">
        <f>IF(AND($B58&gt;='111'!$N$11,$B58&lt;='111'!$O$11,OR($L58=$O$7,$M58=$O$7)),"x","")</f>
        <v/>
      </c>
      <c r="P58" s="22" t="str">
        <f>IF(AND($L58=$O$7,$B58&lt;'111'!$N$11),"x","")</f>
        <v/>
      </c>
      <c r="Q58" s="22" t="str">
        <f>IF(AND($M58=$O$7,$B58&lt;'111'!$N$11),"x","")</f>
        <v/>
      </c>
      <c r="R58" s="22" t="str">
        <f>IF(ISERROR(FIND('112'!$M$9,G58,1)),"",IF((AND(FIND('112'!$M$9,G58,1)&gt;=1,$B58&gt;='112'!$N$8,$B58&lt;='112'!$O$8,OR($L58='112'!$I$6,$M58='112'!$I$6))),"x",""))</f>
        <v/>
      </c>
      <c r="S58" s="22" t="str">
        <f>IF(ISERROR(FIND('112'!$M$9,G58,1)),"",IF((AND(LEFT(G58,2)=LEFT('112'!$M$9,2),B58&lt;'112'!$N$8,$L58='112'!$I$6)),"x",""))</f>
        <v/>
      </c>
      <c r="T58" s="22" t="str">
        <f>IF(ISERROR(FIND('112'!$M$9,G58,1)),"",IF((AND(RIGHT(G58,2)=RIGHT('112'!$M$9,2),B58&lt;'112'!$N$8,$M58='112'!$I$6)),"x",""))</f>
        <v/>
      </c>
      <c r="U58" s="22" t="str">
        <f>IF(AND(B58&gt;='IN-NX'!$P$3,B58&lt;='IN-NX'!$Q$3,'IN-NX'!$D$7=D58,OR(LEFT(L58,2)="15",AND(LEFT(M58,2)&lt;&gt;"15",LEFT(M58,2)&lt;&gt;"33"))),"x","")</f>
        <v/>
      </c>
      <c r="V58" s="22" t="str">
        <f>IF(AND(OR(LEFT(TH!L58,2)="15",LEFT(TH!M58,2)="15"),'152-CT'!$J$8=TH!F58),"x","")</f>
        <v/>
      </c>
      <c r="W58" s="22" t="str">
        <f>IF(AND(OR(LEFT(TH!L58,2)="15",LEFT(TH!M58,2)="15"),TK!$E$7=TH!F58),"x","")</f>
        <v/>
      </c>
      <c r="X58" s="22" t="str">
        <f>IF(OR(TH!L58=TH!$X$7,M58=TH!$X$7),"x","")</f>
        <v/>
      </c>
      <c r="Y58" s="22" t="str">
        <f>IF(AND(B58&lt;=NKC!$N$8,B58&gt;=NKC!$M$8),"x","")</f>
        <v>x</v>
      </c>
      <c r="Z58" s="580"/>
      <c r="AB58" s="130"/>
      <c r="AC58" s="130"/>
      <c r="AD58" s="130"/>
      <c r="AE58" s="130"/>
    </row>
    <row r="59" spans="1:31" s="406" customFormat="1" ht="15.75" customHeight="1">
      <c r="A59" s="123" t="str">
        <f>IF(B59&lt;&gt;"",IF(AND(B59&gt;=_TM1,B59&lt;=_TM2,OR(TH!L60="1111",TH!M60="1111")),TH!D60,""),"")</f>
        <v/>
      </c>
      <c r="B59" s="12">
        <f t="shared" si="2"/>
        <v>7</v>
      </c>
      <c r="C59" s="108">
        <f t="shared" si="3"/>
        <v>42566</v>
      </c>
      <c r="D59" s="108" t="s">
        <v>552</v>
      </c>
      <c r="E59" s="113">
        <v>42566</v>
      </c>
      <c r="F59" s="114" t="s">
        <v>494</v>
      </c>
      <c r="G59" s="303" t="s">
        <v>699</v>
      </c>
      <c r="H59" s="17" t="s">
        <v>495</v>
      </c>
      <c r="I59" s="139"/>
      <c r="J59" s="139"/>
      <c r="K59" s="13">
        <v>159497</v>
      </c>
      <c r="L59" s="116" t="s">
        <v>252</v>
      </c>
      <c r="M59" s="411" t="s">
        <v>352</v>
      </c>
      <c r="N59" s="22" t="str">
        <f>IF(AND('331-CT'!$E$7=TH!H59,OR(L59="331",M59="331")),"331",IF(AND(OR(L59="131",M59="131"),H59='131-CT'!$E$7),"131",""))</f>
        <v/>
      </c>
      <c r="O59" s="22" t="str">
        <f>IF(AND($B59&gt;='111'!$N$11,$B59&lt;='111'!$O$11,OR($L59=$O$7,$M59=$O$7)),"x","")</f>
        <v/>
      </c>
      <c r="P59" s="22" t="str">
        <f>IF(AND($L59=$O$7,$B59&lt;'111'!$N$11),"x","")</f>
        <v/>
      </c>
      <c r="Q59" s="22" t="str">
        <f>IF(AND($M59=$O$7,$B59&lt;'111'!$N$11),"x","")</f>
        <v/>
      </c>
      <c r="R59" s="22" t="str">
        <f>IF(ISERROR(FIND('112'!$M$9,G59,1)),"",IF((AND(FIND('112'!$M$9,G59,1)&gt;=1,$B59&gt;='112'!$N$8,$B59&lt;='112'!$O$8,OR($L59='112'!$I$6,$M59='112'!$I$6))),"x",""))</f>
        <v/>
      </c>
      <c r="S59" s="22" t="str">
        <f>IF(ISERROR(FIND('112'!$M$9,G59,1)),"",IF((AND(LEFT(G59,2)=LEFT('112'!$M$9,2),B59&lt;'112'!$N$8,$L59='112'!$I$6)),"x",""))</f>
        <v/>
      </c>
      <c r="T59" s="22" t="str">
        <f>IF(ISERROR(FIND('112'!$M$9,G59,1)),"",IF((AND(RIGHT(G59,2)=RIGHT('112'!$M$9,2),B59&lt;'112'!$N$8,$M59='112'!$I$6)),"x",""))</f>
        <v/>
      </c>
      <c r="U59" s="22" t="str">
        <f>IF(AND(B59&gt;='IN-NX'!$P$3,B59&lt;='IN-NX'!$Q$3,'IN-NX'!$D$7=D59,OR(LEFT(L59,2)="15",AND(LEFT(M59,2)&lt;&gt;"15",LEFT(M59,2)&lt;&gt;"33"))),"x","")</f>
        <v/>
      </c>
      <c r="V59" s="22" t="str">
        <f>IF(AND(OR(LEFT(TH!L59,2)="15",LEFT(TH!M59,2)="15"),'152-CT'!$J$8=TH!F59),"x","")</f>
        <v/>
      </c>
      <c r="W59" s="22" t="str">
        <f>IF(AND(OR(LEFT(TH!L59,2)="15",LEFT(TH!M59,2)="15"),TK!$E$7=TH!F59),"x","")</f>
        <v/>
      </c>
      <c r="X59" s="22" t="str">
        <f>IF(OR(TH!L59=TH!$X$7,M59=TH!$X$7),"x","")</f>
        <v/>
      </c>
      <c r="Y59" s="22" t="str">
        <f>IF(AND(B59&lt;=NKC!$N$8,B59&gt;=NKC!$M$8),"x","")</f>
        <v>x</v>
      </c>
      <c r="Z59" s="580"/>
      <c r="AC59" s="130"/>
      <c r="AD59" s="130"/>
      <c r="AE59" s="130"/>
    </row>
    <row r="60" spans="1:31" s="406" customFormat="1" ht="15.75" customHeight="1">
      <c r="A60" s="123" t="str">
        <f>IF(B60&lt;&gt;"",IF(AND(B60&gt;=_TM1,B60&lt;=_TM2,OR(TH!L61="1111",TH!M61="1111")),TH!D61,""),"")</f>
        <v/>
      </c>
      <c r="B60" s="12">
        <f t="shared" si="2"/>
        <v>7</v>
      </c>
      <c r="C60" s="108">
        <f t="shared" si="3"/>
        <v>42566</v>
      </c>
      <c r="D60" s="108" t="s">
        <v>344</v>
      </c>
      <c r="E60" s="113">
        <v>42566</v>
      </c>
      <c r="F60" s="114" t="s">
        <v>484</v>
      </c>
      <c r="G60" s="303" t="s">
        <v>699</v>
      </c>
      <c r="H60" s="17" t="s">
        <v>495</v>
      </c>
      <c r="I60" s="139"/>
      <c r="J60" s="139"/>
      <c r="K60" s="13">
        <v>1754474</v>
      </c>
      <c r="L60" s="116" t="s">
        <v>46</v>
      </c>
      <c r="M60" s="411" t="s">
        <v>252</v>
      </c>
      <c r="N60" s="22" t="str">
        <f>IF(AND('331-CT'!$E$7=TH!H60,OR(L60="331",M60="331")),"331",IF(AND(OR(L60="131",M60="131"),H60='131-CT'!$E$7),"131",""))</f>
        <v/>
      </c>
      <c r="O60" s="22" t="str">
        <f>IF(AND($B60&gt;='111'!$N$11,$B60&lt;='111'!$O$11,OR($L60=$O$7,$M60=$O$7)),"x","")</f>
        <v/>
      </c>
      <c r="P60" s="22" t="str">
        <f>IF(AND($L60=$O$7,$B60&lt;'111'!$N$11),"x","")</f>
        <v>x</v>
      </c>
      <c r="Q60" s="22" t="str">
        <f>IF(AND($M60=$O$7,$B60&lt;'111'!$N$11),"x","")</f>
        <v/>
      </c>
      <c r="R60" s="22" t="str">
        <f>IF(ISERROR(FIND('112'!$M$9,G60,1)),"",IF((AND(FIND('112'!$M$9,G60,1)&gt;=1,$B60&gt;='112'!$N$8,$B60&lt;='112'!$O$8,OR($L60='112'!$I$6,$M60='112'!$I$6))),"x",""))</f>
        <v/>
      </c>
      <c r="S60" s="22" t="str">
        <f>IF(ISERROR(FIND('112'!$M$9,G60,1)),"",IF((AND(LEFT(G60,2)=LEFT('112'!$M$9,2),B60&lt;'112'!$N$8,$L60='112'!$I$6)),"x",""))</f>
        <v/>
      </c>
      <c r="T60" s="22" t="str">
        <f>IF(ISERROR(FIND('112'!$M$9,G60,1)),"",IF((AND(RIGHT(G60,2)=RIGHT('112'!$M$9,2),B60&lt;'112'!$N$8,$M60='112'!$I$6)),"x",""))</f>
        <v/>
      </c>
      <c r="U60" s="22" t="str">
        <f>IF(AND(B60&gt;='IN-NX'!$P$3,B60&lt;='IN-NX'!$Q$3,'IN-NX'!$D$7=D60,OR(LEFT(L60,2)="15",AND(LEFT(M60,2)&lt;&gt;"15",LEFT(M60,2)&lt;&gt;"33"))),"x","")</f>
        <v/>
      </c>
      <c r="V60" s="22" t="str">
        <f>IF(AND(OR(LEFT(TH!L60,2)="15",LEFT(TH!M60,2)="15"),'152-CT'!$J$8=TH!F60),"x","")</f>
        <v/>
      </c>
      <c r="W60" s="22" t="str">
        <f>IF(AND(OR(LEFT(TH!L60,2)="15",LEFT(TH!M60,2)="15"),TK!$E$7=TH!F60),"x","")</f>
        <v/>
      </c>
      <c r="X60" s="22" t="str">
        <f>IF(OR(TH!L60=TH!$X$7,M60=TH!$X$7),"x","")</f>
        <v/>
      </c>
      <c r="Y60" s="22" t="str">
        <f>IF(AND(B60&lt;=NKC!$N$8,B60&gt;=NKC!$M$8),"x","")</f>
        <v>x</v>
      </c>
      <c r="Z60" s="580"/>
      <c r="AC60" s="130"/>
      <c r="AD60" s="130"/>
      <c r="AE60" s="130"/>
    </row>
    <row r="61" spans="1:31" s="406" customFormat="1" ht="15.75" customHeight="1">
      <c r="A61" s="123" t="str">
        <f>IF(B61&lt;&gt;"",IF(AND(B61&gt;=_TM1,B61&lt;=_TM2,OR(TH!L62="1111",TH!M62="1111")),TH!D62,""),"")</f>
        <v/>
      </c>
      <c r="B61" s="12">
        <f t="shared" si="2"/>
        <v>7</v>
      </c>
      <c r="C61" s="108">
        <f t="shared" si="3"/>
        <v>42566</v>
      </c>
      <c r="D61" s="108" t="s">
        <v>553</v>
      </c>
      <c r="E61" s="113">
        <v>42566</v>
      </c>
      <c r="F61" s="112" t="s">
        <v>497</v>
      </c>
      <c r="G61" s="303" t="s">
        <v>700</v>
      </c>
      <c r="H61" s="4" t="s">
        <v>369</v>
      </c>
      <c r="I61" s="139">
        <v>100</v>
      </c>
      <c r="J61" s="139">
        <v>10000</v>
      </c>
      <c r="K61" s="13">
        <f>ROUND(I61*J61,0)</f>
        <v>1000000</v>
      </c>
      <c r="L61" s="116" t="s">
        <v>252</v>
      </c>
      <c r="M61" s="411" t="s">
        <v>169</v>
      </c>
      <c r="N61" s="22" t="str">
        <f>IF(AND('331-CT'!$E$7=TH!H61,OR(L61="331",M61="331")),"331",IF(AND(OR(L61="131",M61="131"),H61='131-CT'!$E$7),"131",""))</f>
        <v>131</v>
      </c>
      <c r="O61" s="22" t="str">
        <f>IF(AND($B61&gt;='111'!$N$11,$B61&lt;='111'!$O$11,OR($L61=$O$7,$M61=$O$7)),"x","")</f>
        <v/>
      </c>
      <c r="P61" s="22" t="str">
        <f>IF(AND($L61=$O$7,$B61&lt;'111'!$N$11),"x","")</f>
        <v/>
      </c>
      <c r="Q61" s="22" t="str">
        <f>IF(AND($M61=$O$7,$B61&lt;'111'!$N$11),"x","")</f>
        <v/>
      </c>
      <c r="R61" s="22" t="str">
        <f>IF(ISERROR(FIND('112'!$M$9,G61,1)),"",IF((AND(FIND('112'!$M$9,G61,1)&gt;=1,$B61&gt;='112'!$N$8,$B61&lt;='112'!$O$8,OR($L61='112'!$I$6,$M61='112'!$I$6))),"x",""))</f>
        <v/>
      </c>
      <c r="S61" s="22" t="str">
        <f>IF(ISERROR(FIND('112'!$M$9,G61,1)),"",IF((AND(LEFT(G61,2)=LEFT('112'!$M$9,2),B61&lt;'112'!$N$8,$L61='112'!$I$6)),"x",""))</f>
        <v/>
      </c>
      <c r="T61" s="22" t="str">
        <f>IF(ISERROR(FIND('112'!$M$9,G61,1)),"",IF((AND(RIGHT(G61,2)=RIGHT('112'!$M$9,2),B61&lt;'112'!$N$8,$M61='112'!$I$6)),"x",""))</f>
        <v/>
      </c>
      <c r="U61" s="22" t="str">
        <f>IF(AND(B61&gt;='IN-NX'!$P$3,B61&lt;='IN-NX'!$Q$3,'IN-NX'!$D$7=D61,OR(LEFT(L61,2)="15",AND(LEFT(M61,2)&lt;&gt;"15",LEFT(M61,2)&lt;&gt;"33"))),"x","")</f>
        <v/>
      </c>
      <c r="V61" s="22" t="str">
        <f>IF(AND(OR(LEFT(TH!L61,2)="15",LEFT(TH!M61,2)="15"),'152-CT'!$J$8=TH!F61),"x","")</f>
        <v/>
      </c>
      <c r="W61" s="22" t="str">
        <f>IF(AND(OR(LEFT(TH!L61,2)="15",LEFT(TH!M61,2)="15"),TK!$E$7=TH!F61),"x","")</f>
        <v/>
      </c>
      <c r="X61" s="22" t="str">
        <f>IF(OR(TH!L61=TH!$X$7,M61=TH!$X$7),"x","")</f>
        <v/>
      </c>
      <c r="Y61" s="22" t="str">
        <f>IF(AND(B61&lt;=NKC!$N$8,B61&gt;=NKC!$M$8),"x","")</f>
        <v>x</v>
      </c>
      <c r="Z61" s="580"/>
      <c r="AD61" s="130"/>
      <c r="AE61" s="130"/>
    </row>
    <row r="62" spans="1:31" s="406" customFormat="1" ht="15.75" customHeight="1">
      <c r="A62" s="123" t="str">
        <f>IF(B62&lt;&gt;"",IF(AND(B62&gt;=_TM1,B62&lt;=_TM2,OR(TH!L63="1111",TH!M63="1111")),TH!D63,""),"")</f>
        <v/>
      </c>
      <c r="B62" s="12">
        <f t="shared" si="2"/>
        <v>7</v>
      </c>
      <c r="C62" s="108">
        <f t="shared" si="3"/>
        <v>42566</v>
      </c>
      <c r="D62" s="108" t="s">
        <v>553</v>
      </c>
      <c r="E62" s="113">
        <v>42566</v>
      </c>
      <c r="F62" s="112" t="s">
        <v>498</v>
      </c>
      <c r="G62" s="303" t="s">
        <v>700</v>
      </c>
      <c r="H62" s="4" t="s">
        <v>369</v>
      </c>
      <c r="I62" s="139">
        <v>116</v>
      </c>
      <c r="J62" s="139">
        <v>73100</v>
      </c>
      <c r="K62" s="13">
        <f>ROUND(I62*J62,0)</f>
        <v>8479600</v>
      </c>
      <c r="L62" s="116" t="s">
        <v>252</v>
      </c>
      <c r="M62" s="411" t="s">
        <v>169</v>
      </c>
      <c r="N62" s="22" t="str">
        <f>IF(AND('331-CT'!$E$7=TH!H62,OR(L62="331",M62="331")),"331",IF(AND(OR(L62="131",M62="131"),H62='131-CT'!$E$7),"131",""))</f>
        <v>131</v>
      </c>
      <c r="O62" s="22" t="str">
        <f>IF(AND($B62&gt;='111'!$N$11,$B62&lt;='111'!$O$11,OR($L62=$O$7,$M62=$O$7)),"x","")</f>
        <v/>
      </c>
      <c r="P62" s="22" t="str">
        <f>IF(AND($L62=$O$7,$B62&lt;'111'!$N$11),"x","")</f>
        <v/>
      </c>
      <c r="Q62" s="22" t="str">
        <f>IF(AND($M62=$O$7,$B62&lt;'111'!$N$11),"x","")</f>
        <v/>
      </c>
      <c r="R62" s="22" t="str">
        <f>IF(ISERROR(FIND('112'!$M$9,G62,1)),"",IF((AND(FIND('112'!$M$9,G62,1)&gt;=1,$B62&gt;='112'!$N$8,$B62&lt;='112'!$O$8,OR($L62='112'!$I$6,$M62='112'!$I$6))),"x",""))</f>
        <v/>
      </c>
      <c r="S62" s="22" t="str">
        <f>IF(ISERROR(FIND('112'!$M$9,G62,1)),"",IF((AND(LEFT(G62,2)=LEFT('112'!$M$9,2),B62&lt;'112'!$N$8,$L62='112'!$I$6)),"x",""))</f>
        <v/>
      </c>
      <c r="T62" s="22" t="str">
        <f>IF(ISERROR(FIND('112'!$M$9,G62,1)),"",IF((AND(RIGHT(G62,2)=RIGHT('112'!$M$9,2),B62&lt;'112'!$N$8,$M62='112'!$I$6)),"x",""))</f>
        <v/>
      </c>
      <c r="U62" s="22" t="str">
        <f>IF(AND(B62&gt;='IN-NX'!$P$3,B62&lt;='IN-NX'!$Q$3,'IN-NX'!$D$7=D62,OR(LEFT(L62,2)="15",AND(LEFT(M62,2)&lt;&gt;"15",LEFT(M62,2)&lt;&gt;"33"))),"x","")</f>
        <v/>
      </c>
      <c r="V62" s="22" t="str">
        <f>IF(AND(OR(LEFT(TH!L62,2)="15",LEFT(TH!M62,2)="15"),'152-CT'!$J$8=TH!F62),"x","")</f>
        <v/>
      </c>
      <c r="W62" s="22" t="str">
        <f>IF(AND(OR(LEFT(TH!L62,2)="15",LEFT(TH!M62,2)="15"),TK!$E$7=TH!F62),"x","")</f>
        <v/>
      </c>
      <c r="X62" s="22" t="str">
        <f>IF(OR(TH!L62=TH!$X$7,M62=TH!$X$7),"x","")</f>
        <v/>
      </c>
      <c r="Y62" s="22" t="str">
        <f>IF(AND(B62&lt;=NKC!$N$8,B62&gt;=NKC!$M$8),"x","")</f>
        <v>x</v>
      </c>
      <c r="Z62" s="580"/>
      <c r="AD62" s="130"/>
      <c r="AE62" s="130"/>
    </row>
    <row r="63" spans="1:31" s="406" customFormat="1" ht="15.75" customHeight="1">
      <c r="A63" s="123" t="str">
        <f>IF(B63&lt;&gt;"",IF(AND(B63&gt;=_TM1,B63&lt;=_TM2,OR(TH!L64="1111",TH!M64="1111")),TH!D64,""),"")</f>
        <v/>
      </c>
      <c r="B63" s="12">
        <f t="shared" si="2"/>
        <v>7</v>
      </c>
      <c r="C63" s="108">
        <f t="shared" si="3"/>
        <v>42566</v>
      </c>
      <c r="D63" s="108" t="s">
        <v>553</v>
      </c>
      <c r="E63" s="113">
        <v>42566</v>
      </c>
      <c r="F63" s="112" t="s">
        <v>496</v>
      </c>
      <c r="G63" s="303" t="s">
        <v>700</v>
      </c>
      <c r="H63" s="4" t="s">
        <v>369</v>
      </c>
      <c r="I63" s="139"/>
      <c r="J63" s="139"/>
      <c r="K63" s="13">
        <v>947960</v>
      </c>
      <c r="L63" s="116" t="s">
        <v>252</v>
      </c>
      <c r="M63" s="411" t="s">
        <v>352</v>
      </c>
      <c r="N63" s="22" t="str">
        <f>IF(AND('331-CT'!$E$7=TH!H63,OR(L63="331",M63="331")),"331",IF(AND(OR(L63="131",M63="131"),H63='131-CT'!$E$7),"131",""))</f>
        <v>131</v>
      </c>
      <c r="O63" s="22" t="str">
        <f>IF(AND($B63&gt;='111'!$N$11,$B63&lt;='111'!$O$11,OR($L63=$O$7,$M63=$O$7)),"x","")</f>
        <v/>
      </c>
      <c r="P63" s="22" t="str">
        <f>IF(AND($L63=$O$7,$B63&lt;'111'!$N$11),"x","")</f>
        <v/>
      </c>
      <c r="Q63" s="22" t="str">
        <f>IF(AND($M63=$O$7,$B63&lt;'111'!$N$11),"x","")</f>
        <v/>
      </c>
      <c r="R63" s="22" t="str">
        <f>IF(ISERROR(FIND('112'!$M$9,G63,1)),"",IF((AND(FIND('112'!$M$9,G63,1)&gt;=1,$B63&gt;='112'!$N$8,$B63&lt;='112'!$O$8,OR($L63='112'!$I$6,$M63='112'!$I$6))),"x",""))</f>
        <v/>
      </c>
      <c r="S63" s="22" t="str">
        <f>IF(ISERROR(FIND('112'!$M$9,G63,1)),"",IF((AND(LEFT(G63,2)=LEFT('112'!$M$9,2),B63&lt;'112'!$N$8,$L63='112'!$I$6)),"x",""))</f>
        <v/>
      </c>
      <c r="T63" s="22" t="str">
        <f>IF(ISERROR(FIND('112'!$M$9,G63,1)),"",IF((AND(RIGHT(G63,2)=RIGHT('112'!$M$9,2),B63&lt;'112'!$N$8,$M63='112'!$I$6)),"x",""))</f>
        <v/>
      </c>
      <c r="U63" s="22" t="str">
        <f>IF(AND(B63&gt;='IN-NX'!$P$3,B63&lt;='IN-NX'!$Q$3,'IN-NX'!$D$7=D63,OR(LEFT(L63,2)="15",AND(LEFT(M63,2)&lt;&gt;"15",LEFT(M63,2)&lt;&gt;"33"))),"x","")</f>
        <v/>
      </c>
      <c r="V63" s="22" t="str">
        <f>IF(AND(OR(LEFT(TH!L63,2)="15",LEFT(TH!M63,2)="15"),'152-CT'!$J$8=TH!F63),"x","")</f>
        <v/>
      </c>
      <c r="W63" s="22" t="str">
        <f>IF(AND(OR(LEFT(TH!L63,2)="15",LEFT(TH!M63,2)="15"),TK!$E$7=TH!F63),"x","")</f>
        <v/>
      </c>
      <c r="X63" s="22" t="str">
        <f>IF(OR(TH!L63=TH!$X$7,M63=TH!$X$7),"x","")</f>
        <v/>
      </c>
      <c r="Y63" s="22" t="str">
        <f>IF(AND(B63&lt;=NKC!$N$8,B63&gt;=NKC!$M$8),"x","")</f>
        <v>x</v>
      </c>
      <c r="Z63" s="580"/>
      <c r="AD63" s="130"/>
      <c r="AE63" s="130"/>
    </row>
    <row r="64" spans="1:31" s="406" customFormat="1" ht="15.75" customHeight="1">
      <c r="A64" s="123" t="str">
        <f>IF(B64&lt;&gt;"",IF(AND(B64&gt;=_TM1,B64&lt;=_TM2,OR(TH!L65="1111",TH!M65="1111")),TH!D65,""),"")</f>
        <v/>
      </c>
      <c r="B64" s="12">
        <f t="shared" si="2"/>
        <v>7</v>
      </c>
      <c r="C64" s="108">
        <f t="shared" si="3"/>
        <v>42566</v>
      </c>
      <c r="D64" s="108" t="s">
        <v>345</v>
      </c>
      <c r="E64" s="113">
        <v>42566</v>
      </c>
      <c r="F64" s="114" t="s">
        <v>484</v>
      </c>
      <c r="G64" s="303" t="s">
        <v>700</v>
      </c>
      <c r="H64" s="4" t="s">
        <v>369</v>
      </c>
      <c r="I64" s="139"/>
      <c r="J64" s="139"/>
      <c r="K64" s="13">
        <v>10427560</v>
      </c>
      <c r="L64" s="116" t="s">
        <v>46</v>
      </c>
      <c r="M64" s="411" t="s">
        <v>252</v>
      </c>
      <c r="N64" s="22" t="str">
        <f>IF(AND('331-CT'!$E$7=TH!H64,OR(L64="331",M64="331")),"331",IF(AND(OR(L64="131",M64="131"),H64='131-CT'!$E$7),"131",""))</f>
        <v>131</v>
      </c>
      <c r="O64" s="22" t="str">
        <f>IF(AND($B64&gt;='111'!$N$11,$B64&lt;='111'!$O$11,OR($L64=$O$7,$M64=$O$7)),"x","")</f>
        <v/>
      </c>
      <c r="P64" s="22" t="str">
        <f>IF(AND($L64=$O$7,$B64&lt;'111'!$N$11),"x","")</f>
        <v>x</v>
      </c>
      <c r="Q64" s="22" t="str">
        <f>IF(AND($M64=$O$7,$B64&lt;'111'!$N$11),"x","")</f>
        <v/>
      </c>
      <c r="R64" s="22" t="str">
        <f>IF(ISERROR(FIND('112'!$M$9,G64,1)),"",IF((AND(FIND('112'!$M$9,G64,1)&gt;=1,$B64&gt;='112'!$N$8,$B64&lt;='112'!$O$8,OR($L64='112'!$I$6,$M64='112'!$I$6))),"x",""))</f>
        <v/>
      </c>
      <c r="S64" s="22" t="str">
        <f>IF(ISERROR(FIND('112'!$M$9,G64,1)),"",IF((AND(LEFT(G64,2)=LEFT('112'!$M$9,2),B64&lt;'112'!$N$8,$L64='112'!$I$6)),"x",""))</f>
        <v/>
      </c>
      <c r="T64" s="22" t="str">
        <f>IF(ISERROR(FIND('112'!$M$9,G64,1)),"",IF((AND(RIGHT(G64,2)=RIGHT('112'!$M$9,2),B64&lt;'112'!$N$8,$M64='112'!$I$6)),"x",""))</f>
        <v/>
      </c>
      <c r="U64" s="22" t="str">
        <f>IF(AND(B64&gt;='IN-NX'!$P$3,B64&lt;='IN-NX'!$Q$3,'IN-NX'!$D$7=D64,OR(LEFT(L64,2)="15",AND(LEFT(M64,2)&lt;&gt;"15",LEFT(M64,2)&lt;&gt;"33"))),"x","")</f>
        <v/>
      </c>
      <c r="V64" s="22" t="str">
        <f>IF(AND(OR(LEFT(TH!L64,2)="15",LEFT(TH!M64,2)="15"),'152-CT'!$J$8=TH!F64),"x","")</f>
        <v/>
      </c>
      <c r="W64" s="22" t="str">
        <f>IF(AND(OR(LEFT(TH!L64,2)="15",LEFT(TH!M64,2)="15"),TK!$E$7=TH!F64),"x","")</f>
        <v/>
      </c>
      <c r="X64" s="22" t="str">
        <f>IF(OR(TH!L64=TH!$X$7,M64=TH!$X$7),"x","")</f>
        <v/>
      </c>
      <c r="Y64" s="22" t="str">
        <f>IF(AND(B64&lt;=NKC!$N$8,B64&gt;=NKC!$M$8),"x","")</f>
        <v>x</v>
      </c>
      <c r="Z64" s="580"/>
      <c r="AD64" s="130"/>
      <c r="AE64" s="130"/>
    </row>
    <row r="65" spans="1:31" s="406" customFormat="1" ht="15.75" customHeight="1">
      <c r="A65" s="123" t="str">
        <f>IF(B65&lt;&gt;"",IF(AND(B65&gt;=_TM1,B65&lt;=_TM2,OR(TH!L66="1111",TH!M66="1111")),TH!D66,""),"")</f>
        <v/>
      </c>
      <c r="B65" s="12">
        <f t="shared" si="2"/>
        <v>7</v>
      </c>
      <c r="C65" s="108">
        <f t="shared" si="3"/>
        <v>42566</v>
      </c>
      <c r="D65" s="108" t="s">
        <v>554</v>
      </c>
      <c r="E65" s="113">
        <v>42566</v>
      </c>
      <c r="F65" s="112" t="s">
        <v>499</v>
      </c>
      <c r="G65" s="303" t="s">
        <v>701</v>
      </c>
      <c r="H65" s="4" t="s">
        <v>371</v>
      </c>
      <c r="I65" s="139">
        <v>220</v>
      </c>
      <c r="J65" s="139">
        <v>28000</v>
      </c>
      <c r="K65" s="13">
        <f>ROUND(I65*J65,0)</f>
        <v>6160000</v>
      </c>
      <c r="L65" s="116" t="s">
        <v>252</v>
      </c>
      <c r="M65" s="411" t="s">
        <v>169</v>
      </c>
      <c r="N65" s="22" t="str">
        <f>IF(AND('331-CT'!$E$7=TH!H65,OR(L65="331",M65="331")),"331",IF(AND(OR(L65="131",M65="131"),H65='131-CT'!$E$7),"131",""))</f>
        <v/>
      </c>
      <c r="O65" s="22" t="str">
        <f>IF(AND($B65&gt;='111'!$N$11,$B65&lt;='111'!$O$11,OR($L65=$O$7,$M65=$O$7)),"x","")</f>
        <v/>
      </c>
      <c r="P65" s="22" t="str">
        <f>IF(AND($L65=$O$7,$B65&lt;'111'!$N$11),"x","")</f>
        <v/>
      </c>
      <c r="Q65" s="22" t="str">
        <f>IF(AND($M65=$O$7,$B65&lt;'111'!$N$11),"x","")</f>
        <v/>
      </c>
      <c r="R65" s="22" t="str">
        <f>IF(ISERROR(FIND('112'!$M$9,G65,1)),"",IF((AND(FIND('112'!$M$9,G65,1)&gt;=1,$B65&gt;='112'!$N$8,$B65&lt;='112'!$O$8,OR($L65='112'!$I$6,$M65='112'!$I$6))),"x",""))</f>
        <v/>
      </c>
      <c r="S65" s="22" t="str">
        <f>IF(ISERROR(FIND('112'!$M$9,G65,1)),"",IF((AND(LEFT(G65,2)=LEFT('112'!$M$9,2),B65&lt;'112'!$N$8,$L65='112'!$I$6)),"x",""))</f>
        <v/>
      </c>
      <c r="T65" s="22" t="str">
        <f>IF(ISERROR(FIND('112'!$M$9,G65,1)),"",IF((AND(RIGHT(G65,2)=RIGHT('112'!$M$9,2),B65&lt;'112'!$N$8,$M65='112'!$I$6)),"x",""))</f>
        <v/>
      </c>
      <c r="U65" s="22" t="str">
        <f>IF(AND(B65&gt;='IN-NX'!$P$3,B65&lt;='IN-NX'!$Q$3,'IN-NX'!$D$7=D65,OR(LEFT(L65,2)="15",AND(LEFT(M65,2)&lt;&gt;"15",LEFT(M65,2)&lt;&gt;"33"))),"x","")</f>
        <v/>
      </c>
      <c r="V65" s="22" t="str">
        <f>IF(AND(OR(LEFT(TH!L65,2)="15",LEFT(TH!M65,2)="15"),'152-CT'!$J$8=TH!F65),"x","")</f>
        <v/>
      </c>
      <c r="W65" s="22" t="str">
        <f>IF(AND(OR(LEFT(TH!L65,2)="15",LEFT(TH!M65,2)="15"),TK!$E$7=TH!F65),"x","")</f>
        <v/>
      </c>
      <c r="X65" s="22" t="str">
        <f>IF(OR(TH!L65=TH!$X$7,M65=TH!$X$7),"x","")</f>
        <v/>
      </c>
      <c r="Y65" s="22" t="str">
        <f>IF(AND(B65&lt;=NKC!$N$8,B65&gt;=NKC!$M$8),"x","")</f>
        <v>x</v>
      </c>
      <c r="Z65" s="580"/>
      <c r="AB65" s="130"/>
      <c r="AC65" s="130"/>
      <c r="AD65" s="130"/>
      <c r="AE65" s="130"/>
    </row>
    <row r="66" spans="1:31" s="406" customFormat="1" ht="15.75" customHeight="1">
      <c r="A66" s="123" t="str">
        <f>IF(B66&lt;&gt;"",IF(AND(B66&gt;=_TM1,B66&lt;=_TM2,OR(TH!L67="1111",TH!M67="1111")),TH!D67,""),"")</f>
        <v/>
      </c>
      <c r="B66" s="12">
        <f t="shared" si="2"/>
        <v>7</v>
      </c>
      <c r="C66" s="108">
        <f t="shared" si="3"/>
        <v>42566</v>
      </c>
      <c r="D66" s="108" t="s">
        <v>554</v>
      </c>
      <c r="E66" s="113">
        <v>42566</v>
      </c>
      <c r="F66" s="112" t="s">
        <v>500</v>
      </c>
      <c r="G66" s="303" t="s">
        <v>701</v>
      </c>
      <c r="H66" s="4" t="s">
        <v>371</v>
      </c>
      <c r="I66" s="139">
        <v>357</v>
      </c>
      <c r="J66" s="139">
        <v>9600</v>
      </c>
      <c r="K66" s="13">
        <f>ROUND(I66*J66,0)</f>
        <v>3427200</v>
      </c>
      <c r="L66" s="116" t="s">
        <v>252</v>
      </c>
      <c r="M66" s="411" t="s">
        <v>169</v>
      </c>
      <c r="N66" s="22" t="str">
        <f>IF(AND('331-CT'!$E$7=TH!H66,OR(L66="331",M66="331")),"331",IF(AND(OR(L66="131",M66="131"),H66='131-CT'!$E$7),"131",""))</f>
        <v/>
      </c>
      <c r="O66" s="22" t="str">
        <f>IF(AND($B66&gt;='111'!$N$11,$B66&lt;='111'!$O$11,OR($L66=$O$7,$M66=$O$7)),"x","")</f>
        <v/>
      </c>
      <c r="P66" s="22" t="str">
        <f>IF(AND($L66=$O$7,$B66&lt;'111'!$N$11),"x","")</f>
        <v/>
      </c>
      <c r="Q66" s="22" t="str">
        <f>IF(AND($M66=$O$7,$B66&lt;'111'!$N$11),"x","")</f>
        <v/>
      </c>
      <c r="R66" s="22" t="str">
        <f>IF(ISERROR(FIND('112'!$M$9,G66,1)),"",IF((AND(FIND('112'!$M$9,G66,1)&gt;=1,$B66&gt;='112'!$N$8,$B66&lt;='112'!$O$8,OR($L66='112'!$I$6,$M66='112'!$I$6))),"x",""))</f>
        <v/>
      </c>
      <c r="S66" s="22" t="str">
        <f>IF(ISERROR(FIND('112'!$M$9,G66,1)),"",IF((AND(LEFT(G66,2)=LEFT('112'!$M$9,2),B66&lt;'112'!$N$8,$L66='112'!$I$6)),"x",""))</f>
        <v/>
      </c>
      <c r="T66" s="22" t="str">
        <f>IF(ISERROR(FIND('112'!$M$9,G66,1)),"",IF((AND(RIGHT(G66,2)=RIGHT('112'!$M$9,2),B66&lt;'112'!$N$8,$M66='112'!$I$6)),"x",""))</f>
        <v/>
      </c>
      <c r="U66" s="22" t="str">
        <f>IF(AND(B66&gt;='IN-NX'!$P$3,B66&lt;='IN-NX'!$Q$3,'IN-NX'!$D$7=D66,OR(LEFT(L66,2)="15",AND(LEFT(M66,2)&lt;&gt;"15",LEFT(M66,2)&lt;&gt;"33"))),"x","")</f>
        <v/>
      </c>
      <c r="V66" s="22" t="str">
        <f>IF(AND(OR(LEFT(TH!L66,2)="15",LEFT(TH!M66,2)="15"),'152-CT'!$J$8=TH!F66),"x","")</f>
        <v/>
      </c>
      <c r="W66" s="22" t="str">
        <f>IF(AND(OR(LEFT(TH!L66,2)="15",LEFT(TH!M66,2)="15"),TK!$E$7=TH!F66),"x","")</f>
        <v/>
      </c>
      <c r="X66" s="22" t="str">
        <f>IF(OR(TH!L66=TH!$X$7,M66=TH!$X$7),"x","")</f>
        <v/>
      </c>
      <c r="Y66" s="22" t="str">
        <f>IF(AND(B66&lt;=NKC!$N$8,B66&gt;=NKC!$M$8),"x","")</f>
        <v>x</v>
      </c>
      <c r="Z66" s="580"/>
      <c r="AC66" s="130"/>
      <c r="AD66" s="130"/>
      <c r="AE66" s="130"/>
    </row>
    <row r="67" spans="1:31" s="406" customFormat="1" ht="15.75" customHeight="1">
      <c r="A67" s="123" t="str">
        <f>IF(B67&lt;&gt;"",IF(AND(B67&gt;=_TM1,B67&lt;=_TM2,OR(TH!L68="1111",TH!M68="1111")),TH!D68,""),"")</f>
        <v/>
      </c>
      <c r="B67" s="12">
        <f t="shared" si="2"/>
        <v>7</v>
      </c>
      <c r="C67" s="108">
        <f t="shared" si="3"/>
        <v>42566</v>
      </c>
      <c r="D67" s="108" t="s">
        <v>554</v>
      </c>
      <c r="E67" s="113">
        <v>42566</v>
      </c>
      <c r="F67" s="112" t="s">
        <v>501</v>
      </c>
      <c r="G67" s="303" t="s">
        <v>701</v>
      </c>
      <c r="H67" s="4" t="s">
        <v>371</v>
      </c>
      <c r="I67" s="139">
        <v>70</v>
      </c>
      <c r="J67" s="139">
        <v>14400</v>
      </c>
      <c r="K67" s="13">
        <f>ROUND(I67*J67,0)</f>
        <v>1008000</v>
      </c>
      <c r="L67" s="116" t="s">
        <v>252</v>
      </c>
      <c r="M67" s="411" t="s">
        <v>169</v>
      </c>
      <c r="N67" s="22" t="str">
        <f>IF(AND('331-CT'!$E$7=TH!H67,OR(L67="331",M67="331")),"331",IF(AND(OR(L67="131",M67="131"),H67='131-CT'!$E$7),"131",""))</f>
        <v/>
      </c>
      <c r="O67" s="22" t="str">
        <f>IF(AND($B67&gt;='111'!$N$11,$B67&lt;='111'!$O$11,OR($L67=$O$7,$M67=$O$7)),"x","")</f>
        <v/>
      </c>
      <c r="P67" s="22" t="str">
        <f>IF(AND($L67=$O$7,$B67&lt;'111'!$N$11),"x","")</f>
        <v/>
      </c>
      <c r="Q67" s="22" t="str">
        <f>IF(AND($M67=$O$7,$B67&lt;'111'!$N$11),"x","")</f>
        <v/>
      </c>
      <c r="R67" s="22" t="str">
        <f>IF(ISERROR(FIND('112'!$M$9,G67,1)),"",IF((AND(FIND('112'!$M$9,G67,1)&gt;=1,$B67&gt;='112'!$N$8,$B67&lt;='112'!$O$8,OR($L67='112'!$I$6,$M67='112'!$I$6))),"x",""))</f>
        <v/>
      </c>
      <c r="S67" s="22" t="str">
        <f>IF(ISERROR(FIND('112'!$M$9,G67,1)),"",IF((AND(LEFT(G67,2)=LEFT('112'!$M$9,2),B67&lt;'112'!$N$8,$L67='112'!$I$6)),"x",""))</f>
        <v/>
      </c>
      <c r="T67" s="22" t="str">
        <f>IF(ISERROR(FIND('112'!$M$9,G67,1)),"",IF((AND(RIGHT(G67,2)=RIGHT('112'!$M$9,2),B67&lt;'112'!$N$8,$M67='112'!$I$6)),"x",""))</f>
        <v/>
      </c>
      <c r="U67" s="22" t="str">
        <f>IF(AND(B67&gt;='IN-NX'!$P$3,B67&lt;='IN-NX'!$Q$3,'IN-NX'!$D$7=D67,OR(LEFT(L67,2)="15",AND(LEFT(M67,2)&lt;&gt;"15",LEFT(M67,2)&lt;&gt;"33"))),"x","")</f>
        <v/>
      </c>
      <c r="V67" s="22" t="str">
        <f>IF(AND(OR(LEFT(TH!L67,2)="15",LEFT(TH!M67,2)="15"),'152-CT'!$J$8=TH!F67),"x","")</f>
        <v/>
      </c>
      <c r="W67" s="22" t="str">
        <f>IF(AND(OR(LEFT(TH!L67,2)="15",LEFT(TH!M67,2)="15"),TK!$E$7=TH!F67),"x","")</f>
        <v/>
      </c>
      <c r="X67" s="22" t="str">
        <f>IF(OR(TH!L67=TH!$X$7,M67=TH!$X$7),"x","")</f>
        <v/>
      </c>
      <c r="Y67" s="22" t="str">
        <f>IF(AND(B67&lt;=NKC!$N$8,B67&gt;=NKC!$M$8),"x","")</f>
        <v>x</v>
      </c>
      <c r="Z67" s="580"/>
      <c r="AB67" s="130"/>
      <c r="AC67" s="130"/>
      <c r="AD67" s="130"/>
      <c r="AE67" s="130"/>
    </row>
    <row r="68" spans="1:31" s="130" customFormat="1" ht="15.75" customHeight="1">
      <c r="A68" s="123" t="str">
        <f>IF(B68&lt;&gt;"",IF(AND(B68&gt;=_TM1,B68&lt;=_TM2,OR(TH!L69="1111",TH!M69="1111")),TH!D69,""),"")</f>
        <v/>
      </c>
      <c r="B68" s="12">
        <f t="shared" si="2"/>
        <v>7</v>
      </c>
      <c r="C68" s="108">
        <f t="shared" si="3"/>
        <v>42567</v>
      </c>
      <c r="D68" s="108" t="s">
        <v>554</v>
      </c>
      <c r="E68" s="113">
        <v>42567</v>
      </c>
      <c r="F68" s="112" t="s">
        <v>496</v>
      </c>
      <c r="G68" s="303" t="s">
        <v>701</v>
      </c>
      <c r="H68" s="4" t="s">
        <v>371</v>
      </c>
      <c r="I68" s="139"/>
      <c r="J68" s="139"/>
      <c r="K68" s="13">
        <v>1059520</v>
      </c>
      <c r="L68" s="116" t="s">
        <v>252</v>
      </c>
      <c r="M68" s="411" t="s">
        <v>352</v>
      </c>
      <c r="N68" s="22" t="str">
        <f>IF(AND('331-CT'!$E$7=TH!H68,OR(L68="331",M68="331")),"331",IF(AND(OR(L68="131",M68="131"),H68='131-CT'!$E$7),"131",""))</f>
        <v/>
      </c>
      <c r="O68" s="22" t="str">
        <f>IF(AND($B68&gt;='111'!$N$11,$B68&lt;='111'!$O$11,OR($L68=$O$7,$M68=$O$7)),"x","")</f>
        <v/>
      </c>
      <c r="P68" s="22" t="str">
        <f>IF(AND($L68=$O$7,$B68&lt;'111'!$N$11),"x","")</f>
        <v/>
      </c>
      <c r="Q68" s="22" t="str">
        <f>IF(AND($M68=$O$7,$B68&lt;'111'!$N$11),"x","")</f>
        <v/>
      </c>
      <c r="R68" s="22" t="str">
        <f>IF(ISERROR(FIND('112'!$M$9,G68,1)),"",IF((AND(FIND('112'!$M$9,G68,1)&gt;=1,$B68&gt;='112'!$N$8,$B68&lt;='112'!$O$8,OR($L68='112'!$I$6,$M68='112'!$I$6))),"x",""))</f>
        <v/>
      </c>
      <c r="S68" s="22" t="str">
        <f>IF(ISERROR(FIND('112'!$M$9,G68,1)),"",IF((AND(LEFT(G68,2)=LEFT('112'!$M$9,2),B68&lt;'112'!$N$8,$L68='112'!$I$6)),"x",""))</f>
        <v/>
      </c>
      <c r="T68" s="22" t="str">
        <f>IF(ISERROR(FIND('112'!$M$9,G68,1)),"",IF((AND(RIGHT(G68,2)=RIGHT('112'!$M$9,2),B68&lt;'112'!$N$8,$M68='112'!$I$6)),"x",""))</f>
        <v/>
      </c>
      <c r="U68" s="22" t="str">
        <f>IF(AND(B68&gt;='IN-NX'!$P$3,B68&lt;='IN-NX'!$Q$3,'IN-NX'!$D$7=D68,OR(LEFT(L68,2)="15",AND(LEFT(M68,2)&lt;&gt;"15",LEFT(M68,2)&lt;&gt;"33"))),"x","")</f>
        <v/>
      </c>
      <c r="V68" s="22" t="str">
        <f>IF(AND(OR(LEFT(TH!L68,2)="15",LEFT(TH!M68,2)="15"),'152-CT'!$J$8=TH!F68),"x","")</f>
        <v/>
      </c>
      <c r="W68" s="22" t="str">
        <f>IF(AND(OR(LEFT(TH!L68,2)="15",LEFT(TH!M68,2)="15"),TK!$E$7=TH!F68),"x","")</f>
        <v/>
      </c>
      <c r="X68" s="22" t="str">
        <f>IF(OR(TH!L68=TH!$X$7,M68=TH!$X$7),"x","")</f>
        <v/>
      </c>
      <c r="Y68" s="22" t="str">
        <f>IF(AND(B68&lt;=NKC!$N$8,B68&gt;=NKC!$M$8),"x","")</f>
        <v>x</v>
      </c>
      <c r="Z68" s="580"/>
      <c r="AA68" s="406"/>
      <c r="AB68" s="406"/>
    </row>
    <row r="69" spans="1:31" s="130" customFormat="1" ht="15.75" customHeight="1">
      <c r="A69" s="123" t="str">
        <f>IF(B69&lt;&gt;"",IF(AND(B69&gt;=_TM1,B69&lt;=_TM2,OR(TH!L70="1111",TH!M70="1111")),TH!D70,""),"")</f>
        <v/>
      </c>
      <c r="B69" s="12">
        <f t="shared" si="2"/>
        <v>7</v>
      </c>
      <c r="C69" s="108">
        <f t="shared" si="3"/>
        <v>42567</v>
      </c>
      <c r="D69" s="108" t="s">
        <v>555</v>
      </c>
      <c r="E69" s="113">
        <v>42567</v>
      </c>
      <c r="F69" s="112" t="s">
        <v>502</v>
      </c>
      <c r="G69" s="303" t="s">
        <v>702</v>
      </c>
      <c r="H69" s="4" t="s">
        <v>367</v>
      </c>
      <c r="I69" s="139">
        <v>300</v>
      </c>
      <c r="J69" s="139">
        <v>13400</v>
      </c>
      <c r="K69" s="13">
        <f>ROUND(I69*J69,0)</f>
        <v>4020000</v>
      </c>
      <c r="L69" s="116" t="s">
        <v>252</v>
      </c>
      <c r="M69" s="411" t="s">
        <v>169</v>
      </c>
      <c r="N69" s="22" t="str">
        <f>IF(AND('331-CT'!$E$7=TH!H69,OR(L69="331",M69="331")),"331",IF(AND(OR(L69="131",M69="131"),H69='131-CT'!$E$7),"131",""))</f>
        <v/>
      </c>
      <c r="O69" s="22" t="str">
        <f>IF(AND($B69&gt;='111'!$N$11,$B69&lt;='111'!$O$11,OR($L69=$O$7,$M69=$O$7)),"x","")</f>
        <v/>
      </c>
      <c r="P69" s="22" t="str">
        <f>IF(AND($L69=$O$7,$B69&lt;'111'!$N$11),"x","")</f>
        <v/>
      </c>
      <c r="Q69" s="22" t="str">
        <f>IF(AND($M69=$O$7,$B69&lt;'111'!$N$11),"x","")</f>
        <v/>
      </c>
      <c r="R69" s="22" t="str">
        <f>IF(ISERROR(FIND('112'!$M$9,G69,1)),"",IF((AND(FIND('112'!$M$9,G69,1)&gt;=1,$B69&gt;='112'!$N$8,$B69&lt;='112'!$O$8,OR($L69='112'!$I$6,$M69='112'!$I$6))),"x",""))</f>
        <v/>
      </c>
      <c r="S69" s="22" t="str">
        <f>IF(ISERROR(FIND('112'!$M$9,G69,1)),"",IF((AND(LEFT(G69,2)=LEFT('112'!$M$9,2),B69&lt;'112'!$N$8,$L69='112'!$I$6)),"x",""))</f>
        <v/>
      </c>
      <c r="T69" s="22" t="str">
        <f>IF(ISERROR(FIND('112'!$M$9,G69,1)),"",IF((AND(RIGHT(G69,2)=RIGHT('112'!$M$9,2),B69&lt;'112'!$N$8,$M69='112'!$I$6)),"x",""))</f>
        <v/>
      </c>
      <c r="U69" s="22" t="str">
        <f>IF(AND(B69&gt;='IN-NX'!$P$3,B69&lt;='IN-NX'!$Q$3,'IN-NX'!$D$7=D69,OR(LEFT(L69,2)="15",AND(LEFT(M69,2)&lt;&gt;"15",LEFT(M69,2)&lt;&gt;"33"))),"x","")</f>
        <v/>
      </c>
      <c r="V69" s="22" t="str">
        <f>IF(AND(OR(LEFT(TH!L69,2)="15",LEFT(TH!M69,2)="15"),'152-CT'!$J$8=TH!F69),"x","")</f>
        <v/>
      </c>
      <c r="W69" s="22" t="str">
        <f>IF(AND(OR(LEFT(TH!L69,2)="15",LEFT(TH!M69,2)="15"),TK!$E$7=TH!F69),"x","")</f>
        <v/>
      </c>
      <c r="X69" s="22" t="str">
        <f>IF(OR(TH!L69=TH!$X$7,M69=TH!$X$7),"x","")</f>
        <v/>
      </c>
      <c r="Y69" s="22" t="str">
        <f>IF(AND(B69&lt;=NKC!$N$8,B69&gt;=NKC!$M$8),"x","")</f>
        <v>x</v>
      </c>
      <c r="Z69" s="580"/>
      <c r="AA69" s="406"/>
      <c r="AB69" s="406"/>
    </row>
    <row r="70" spans="1:31" s="406" customFormat="1" ht="15.75" customHeight="1">
      <c r="A70" s="123" t="str">
        <f>IF(B70&lt;&gt;"",IF(AND(B70&gt;=_TM1,B70&lt;=_TM2,OR(TH!L71="1111",TH!M71="1111")),TH!D71,""),"")</f>
        <v/>
      </c>
      <c r="B70" s="12">
        <f t="shared" si="2"/>
        <v>7</v>
      </c>
      <c r="C70" s="108">
        <f t="shared" si="3"/>
        <v>42567</v>
      </c>
      <c r="D70" s="108" t="s">
        <v>555</v>
      </c>
      <c r="E70" s="113">
        <v>42567</v>
      </c>
      <c r="F70" s="112" t="s">
        <v>502</v>
      </c>
      <c r="G70" s="303" t="s">
        <v>702</v>
      </c>
      <c r="H70" s="4" t="s">
        <v>367</v>
      </c>
      <c r="I70" s="139">
        <v>500</v>
      </c>
      <c r="J70" s="139">
        <v>13800</v>
      </c>
      <c r="K70" s="13">
        <f>ROUND(I70*J70,0)</f>
        <v>6900000</v>
      </c>
      <c r="L70" s="116" t="s">
        <v>252</v>
      </c>
      <c r="M70" s="411" t="s">
        <v>169</v>
      </c>
      <c r="N70" s="22" t="str">
        <f>IF(AND('331-CT'!$E$7=TH!H70,OR(L70="331",M70="331")),"331",IF(AND(OR(L70="131",M70="131"),H70='131-CT'!$E$7),"131",""))</f>
        <v/>
      </c>
      <c r="O70" s="22" t="str">
        <f>IF(AND($B70&gt;='111'!$N$11,$B70&lt;='111'!$O$11,OR($L70=$O$7,$M70=$O$7)),"x","")</f>
        <v/>
      </c>
      <c r="P70" s="22" t="str">
        <f>IF(AND($L70=$O$7,$B70&lt;'111'!$N$11),"x","")</f>
        <v/>
      </c>
      <c r="Q70" s="22" t="str">
        <f>IF(AND($M70=$O$7,$B70&lt;'111'!$N$11),"x","")</f>
        <v/>
      </c>
      <c r="R70" s="22" t="str">
        <f>IF(ISERROR(FIND('112'!$M$9,G70,1)),"",IF((AND(FIND('112'!$M$9,G70,1)&gt;=1,$B70&gt;='112'!$N$8,$B70&lt;='112'!$O$8,OR($L70='112'!$I$6,$M70='112'!$I$6))),"x",""))</f>
        <v/>
      </c>
      <c r="S70" s="22" t="str">
        <f>IF(ISERROR(FIND('112'!$M$9,G70,1)),"",IF((AND(LEFT(G70,2)=LEFT('112'!$M$9,2),B70&lt;'112'!$N$8,$L70='112'!$I$6)),"x",""))</f>
        <v/>
      </c>
      <c r="T70" s="22" t="str">
        <f>IF(ISERROR(FIND('112'!$M$9,G70,1)),"",IF((AND(RIGHT(G70,2)=RIGHT('112'!$M$9,2),B70&lt;'112'!$N$8,$M70='112'!$I$6)),"x",""))</f>
        <v/>
      </c>
      <c r="U70" s="22" t="str">
        <f>IF(AND(B70&gt;='IN-NX'!$P$3,B70&lt;='IN-NX'!$Q$3,'IN-NX'!$D$7=D70,OR(LEFT(L70,2)="15",AND(LEFT(M70,2)&lt;&gt;"15",LEFT(M70,2)&lt;&gt;"33"))),"x","")</f>
        <v/>
      </c>
      <c r="V70" s="22" t="str">
        <f>IF(AND(OR(LEFT(TH!L70,2)="15",LEFT(TH!M70,2)="15"),'152-CT'!$J$8=TH!F70),"x","")</f>
        <v/>
      </c>
      <c r="W70" s="22" t="str">
        <f>IF(AND(OR(LEFT(TH!L70,2)="15",LEFT(TH!M70,2)="15"),TK!$E$7=TH!F70),"x","")</f>
        <v/>
      </c>
      <c r="X70" s="22" t="str">
        <f>IF(OR(TH!L70=TH!$X$7,M70=TH!$X$7),"x","")</f>
        <v/>
      </c>
      <c r="Y70" s="22" t="str">
        <f>IF(AND(B70&lt;=NKC!$N$8,B70&gt;=NKC!$M$8),"x","")</f>
        <v>x</v>
      </c>
      <c r="Z70" s="580"/>
      <c r="AB70" s="130"/>
      <c r="AC70" s="130"/>
      <c r="AD70" s="130"/>
      <c r="AE70" s="130"/>
    </row>
    <row r="71" spans="1:31" s="406" customFormat="1" ht="15.75" customHeight="1">
      <c r="A71" s="123" t="str">
        <f>IF(B71&lt;&gt;"",IF(AND(B71&gt;=_TM1,B71&lt;=_TM2,OR(TH!L72="1111",TH!M72="1111")),TH!D72,""),"")</f>
        <v/>
      </c>
      <c r="B71" s="12">
        <f t="shared" si="2"/>
        <v>7</v>
      </c>
      <c r="C71" s="108">
        <f t="shared" si="3"/>
        <v>42567</v>
      </c>
      <c r="D71" s="108" t="s">
        <v>555</v>
      </c>
      <c r="E71" s="113">
        <v>42567</v>
      </c>
      <c r="F71" s="112" t="s">
        <v>377</v>
      </c>
      <c r="G71" s="303" t="s">
        <v>702</v>
      </c>
      <c r="H71" s="4" t="s">
        <v>367</v>
      </c>
      <c r="I71" s="139">
        <v>1600</v>
      </c>
      <c r="J71" s="139">
        <v>1300</v>
      </c>
      <c r="K71" s="13">
        <f>ROUND(I71*J71,0)</f>
        <v>2080000</v>
      </c>
      <c r="L71" s="116" t="s">
        <v>252</v>
      </c>
      <c r="M71" s="411" t="s">
        <v>169</v>
      </c>
      <c r="N71" s="22" t="str">
        <f>IF(AND('331-CT'!$E$7=TH!H71,OR(L71="331",M71="331")),"331",IF(AND(OR(L71="131",M71="131"),H71='131-CT'!$E$7),"131",""))</f>
        <v/>
      </c>
      <c r="O71" s="22" t="str">
        <f>IF(AND($B71&gt;='111'!$N$11,$B71&lt;='111'!$O$11,OR($L71=$O$7,$M71=$O$7)),"x","")</f>
        <v/>
      </c>
      <c r="P71" s="22" t="str">
        <f>IF(AND($L71=$O$7,$B71&lt;'111'!$N$11),"x","")</f>
        <v/>
      </c>
      <c r="Q71" s="22" t="str">
        <f>IF(AND($M71=$O$7,$B71&lt;'111'!$N$11),"x","")</f>
        <v/>
      </c>
      <c r="R71" s="22" t="str">
        <f>IF(ISERROR(FIND('112'!$M$9,G71,1)),"",IF((AND(FIND('112'!$M$9,G71,1)&gt;=1,$B71&gt;='112'!$N$8,$B71&lt;='112'!$O$8,OR($L71='112'!$I$6,$M71='112'!$I$6))),"x",""))</f>
        <v/>
      </c>
      <c r="S71" s="22" t="str">
        <f>IF(ISERROR(FIND('112'!$M$9,G71,1)),"",IF((AND(LEFT(G71,2)=LEFT('112'!$M$9,2),B71&lt;'112'!$N$8,$L71='112'!$I$6)),"x",""))</f>
        <v/>
      </c>
      <c r="T71" s="22" t="str">
        <f>IF(ISERROR(FIND('112'!$M$9,G71,1)),"",IF((AND(RIGHT(G71,2)=RIGHT('112'!$M$9,2),B71&lt;'112'!$N$8,$M71='112'!$I$6)),"x",""))</f>
        <v/>
      </c>
      <c r="U71" s="22" t="str">
        <f>IF(AND(B71&gt;='IN-NX'!$P$3,B71&lt;='IN-NX'!$Q$3,'IN-NX'!$D$7=D71,OR(LEFT(L71,2)="15",AND(LEFT(M71,2)&lt;&gt;"15",LEFT(M71,2)&lt;&gt;"33"))),"x","")</f>
        <v/>
      </c>
      <c r="V71" s="22" t="str">
        <f>IF(AND(OR(LEFT(TH!L71,2)="15",LEFT(TH!M71,2)="15"),'152-CT'!$J$8=TH!F71),"x","")</f>
        <v/>
      </c>
      <c r="W71" s="22" t="str">
        <f>IF(AND(OR(LEFT(TH!L71,2)="15",LEFT(TH!M71,2)="15"),TK!$E$7=TH!F71),"x","")</f>
        <v/>
      </c>
      <c r="X71" s="22" t="str">
        <f>IF(OR(TH!L71=TH!$X$7,M71=TH!$X$7),"x","")</f>
        <v/>
      </c>
      <c r="Y71" s="22" t="str">
        <f>IF(AND(B71&lt;=NKC!$N$8,B71&gt;=NKC!$M$8),"x","")</f>
        <v>x</v>
      </c>
      <c r="Z71" s="580"/>
      <c r="AC71" s="130"/>
      <c r="AD71" s="130"/>
      <c r="AE71" s="130"/>
    </row>
    <row r="72" spans="1:31" s="406" customFormat="1" ht="15.75" customHeight="1">
      <c r="A72" s="123" t="str">
        <f>IF(B72&lt;&gt;"",IF(AND(B72&gt;=_TM1,B72&lt;=_TM2,OR(TH!L73="1111",TH!M73="1111")),TH!D73,""),"")</f>
        <v/>
      </c>
      <c r="B72" s="12">
        <f t="shared" si="2"/>
        <v>7</v>
      </c>
      <c r="C72" s="108">
        <f t="shared" si="3"/>
        <v>42567</v>
      </c>
      <c r="D72" s="108" t="s">
        <v>555</v>
      </c>
      <c r="E72" s="113">
        <v>42567</v>
      </c>
      <c r="F72" s="112" t="s">
        <v>496</v>
      </c>
      <c r="G72" s="303" t="s">
        <v>702</v>
      </c>
      <c r="H72" s="4" t="s">
        <v>367</v>
      </c>
      <c r="I72" s="139"/>
      <c r="J72" s="139"/>
      <c r="K72" s="13">
        <v>1300000</v>
      </c>
      <c r="L72" s="116" t="s">
        <v>252</v>
      </c>
      <c r="M72" s="411" t="s">
        <v>352</v>
      </c>
      <c r="N72" s="22" t="str">
        <f>IF(AND('331-CT'!$E$7=TH!H72,OR(L72="331",M72="331")),"331",IF(AND(OR(L72="131",M72="131"),H72='131-CT'!$E$7),"131",""))</f>
        <v/>
      </c>
      <c r="O72" s="22" t="str">
        <f>IF(AND($B72&gt;='111'!$N$11,$B72&lt;='111'!$O$11,OR($L72=$O$7,$M72=$O$7)),"x","")</f>
        <v/>
      </c>
      <c r="P72" s="22" t="str">
        <f>IF(AND($L72=$O$7,$B72&lt;'111'!$N$11),"x","")</f>
        <v/>
      </c>
      <c r="Q72" s="22" t="str">
        <f>IF(AND($M72=$O$7,$B72&lt;'111'!$N$11),"x","")</f>
        <v/>
      </c>
      <c r="R72" s="22" t="str">
        <f>IF(ISERROR(FIND('112'!$M$9,G72,1)),"",IF((AND(FIND('112'!$M$9,G72,1)&gt;=1,$B72&gt;='112'!$N$8,$B72&lt;='112'!$O$8,OR($L72='112'!$I$6,$M72='112'!$I$6))),"x",""))</f>
        <v/>
      </c>
      <c r="S72" s="22" t="str">
        <f>IF(ISERROR(FIND('112'!$M$9,G72,1)),"",IF((AND(LEFT(G72,2)=LEFT('112'!$M$9,2),B72&lt;'112'!$N$8,$L72='112'!$I$6)),"x",""))</f>
        <v/>
      </c>
      <c r="T72" s="22" t="str">
        <f>IF(ISERROR(FIND('112'!$M$9,G72,1)),"",IF((AND(RIGHT(G72,2)=RIGHT('112'!$M$9,2),B72&lt;'112'!$N$8,$M72='112'!$I$6)),"x",""))</f>
        <v/>
      </c>
      <c r="U72" s="22" t="str">
        <f>IF(AND(B72&gt;='IN-NX'!$P$3,B72&lt;='IN-NX'!$Q$3,'IN-NX'!$D$7=D72,OR(LEFT(L72,2)="15",AND(LEFT(M72,2)&lt;&gt;"15",LEFT(M72,2)&lt;&gt;"33"))),"x","")</f>
        <v/>
      </c>
      <c r="V72" s="22" t="str">
        <f>IF(AND(OR(LEFT(TH!L72,2)="15",LEFT(TH!M72,2)="15"),'152-CT'!$J$8=TH!F72),"x","")</f>
        <v/>
      </c>
      <c r="W72" s="22" t="str">
        <f>IF(AND(OR(LEFT(TH!L72,2)="15",LEFT(TH!M72,2)="15"),TK!$E$7=TH!F72),"x","")</f>
        <v/>
      </c>
      <c r="X72" s="22" t="str">
        <f>IF(OR(TH!L72=TH!$X$7,M72=TH!$X$7),"x","")</f>
        <v/>
      </c>
      <c r="Y72" s="22" t="str">
        <f>IF(AND(B72&lt;=NKC!$N$8,B72&gt;=NKC!$M$8),"x","")</f>
        <v>x</v>
      </c>
      <c r="Z72" s="580"/>
      <c r="AC72" s="130"/>
      <c r="AD72" s="130"/>
      <c r="AE72" s="130"/>
    </row>
    <row r="73" spans="1:31" s="406" customFormat="1" ht="15.75" customHeight="1">
      <c r="A73" s="123" t="str">
        <f>IF(B73&lt;&gt;"",IF(AND(B73&gt;=_TM1,B73&lt;=_TM2,OR(TH!L74="1111",TH!M74="1111")),TH!D74,""),"")</f>
        <v/>
      </c>
      <c r="B73" s="12">
        <f t="shared" si="2"/>
        <v>7</v>
      </c>
      <c r="C73" s="108">
        <f t="shared" si="3"/>
        <v>42567</v>
      </c>
      <c r="D73" s="108" t="s">
        <v>556</v>
      </c>
      <c r="E73" s="113">
        <v>42567</v>
      </c>
      <c r="F73" s="112" t="s">
        <v>503</v>
      </c>
      <c r="G73" s="303" t="s">
        <v>703</v>
      </c>
      <c r="H73" s="4" t="s">
        <v>368</v>
      </c>
      <c r="I73" s="139">
        <v>1005</v>
      </c>
      <c r="J73" s="139">
        <v>11000</v>
      </c>
      <c r="K73" s="13">
        <f>ROUND(I73*J73,0)</f>
        <v>11055000</v>
      </c>
      <c r="L73" s="116" t="s">
        <v>252</v>
      </c>
      <c r="M73" s="411" t="s">
        <v>169</v>
      </c>
      <c r="N73" s="22" t="str">
        <f>IF(AND('331-CT'!$E$7=TH!H73,OR(L73="331",M73="331")),"331",IF(AND(OR(L73="131",M73="131"),H73='131-CT'!$E$7),"131",""))</f>
        <v/>
      </c>
      <c r="O73" s="22" t="str">
        <f>IF(AND($B73&gt;='111'!$N$11,$B73&lt;='111'!$O$11,OR($L73=$O$7,$M73=$O$7)),"x","")</f>
        <v/>
      </c>
      <c r="P73" s="22" t="str">
        <f>IF(AND($L73=$O$7,$B73&lt;'111'!$N$11),"x","")</f>
        <v/>
      </c>
      <c r="Q73" s="22" t="str">
        <f>IF(AND($M73=$O$7,$B73&lt;'111'!$N$11),"x","")</f>
        <v/>
      </c>
      <c r="R73" s="22" t="str">
        <f>IF(ISERROR(FIND('112'!$M$9,G73,1)),"",IF((AND(FIND('112'!$M$9,G73,1)&gt;=1,$B73&gt;='112'!$N$8,$B73&lt;='112'!$O$8,OR($L73='112'!$I$6,$M73='112'!$I$6))),"x",""))</f>
        <v/>
      </c>
      <c r="S73" s="22" t="str">
        <f>IF(ISERROR(FIND('112'!$M$9,G73,1)),"",IF((AND(LEFT(G73,2)=LEFT('112'!$M$9,2),B73&lt;'112'!$N$8,$L73='112'!$I$6)),"x",""))</f>
        <v/>
      </c>
      <c r="T73" s="22" t="str">
        <f>IF(ISERROR(FIND('112'!$M$9,G73,1)),"",IF((AND(RIGHT(G73,2)=RIGHT('112'!$M$9,2),B73&lt;'112'!$N$8,$M73='112'!$I$6)),"x",""))</f>
        <v/>
      </c>
      <c r="U73" s="22" t="str">
        <f>IF(AND(B73&gt;='IN-NX'!$P$3,B73&lt;='IN-NX'!$Q$3,'IN-NX'!$D$7=D73,OR(LEFT(L73,2)="15",AND(LEFT(M73,2)&lt;&gt;"15",LEFT(M73,2)&lt;&gt;"33"))),"x","")</f>
        <v/>
      </c>
      <c r="V73" s="22" t="str">
        <f>IF(AND(OR(LEFT(TH!L73,2)="15",LEFT(TH!M73,2)="15"),'152-CT'!$J$8=TH!F73),"x","")</f>
        <v/>
      </c>
      <c r="W73" s="22" t="str">
        <f>IF(AND(OR(LEFT(TH!L73,2)="15",LEFT(TH!M73,2)="15"),TK!$E$7=TH!F73),"x","")</f>
        <v/>
      </c>
      <c r="X73" s="22" t="str">
        <f>IF(OR(TH!L73=TH!$X$7,M73=TH!$X$7),"x","")</f>
        <v/>
      </c>
      <c r="Y73" s="22" t="str">
        <f>IF(AND(B73&lt;=NKC!$N$8,B73&gt;=NKC!$M$8),"x","")</f>
        <v>x</v>
      </c>
      <c r="Z73" s="580"/>
      <c r="AB73" s="130"/>
      <c r="AC73" s="130"/>
      <c r="AD73" s="130"/>
      <c r="AE73" s="130"/>
    </row>
    <row r="74" spans="1:31" s="406" customFormat="1" ht="15.75" customHeight="1">
      <c r="A74" s="123" t="str">
        <f>IF(B74&lt;&gt;"",IF(AND(B74&gt;=_TM1,B74&lt;=_TM2,OR(TH!L75="1111",TH!M75="1111")),TH!D75,""),"")</f>
        <v/>
      </c>
      <c r="B74" s="12">
        <f t="shared" si="2"/>
        <v>7</v>
      </c>
      <c r="C74" s="108">
        <f t="shared" si="3"/>
        <v>42567</v>
      </c>
      <c r="D74" s="108" t="s">
        <v>556</v>
      </c>
      <c r="E74" s="113">
        <v>42567</v>
      </c>
      <c r="F74" s="112" t="s">
        <v>496</v>
      </c>
      <c r="G74" s="303" t="s">
        <v>703</v>
      </c>
      <c r="H74" s="4" t="s">
        <v>368</v>
      </c>
      <c r="I74" s="139"/>
      <c r="J74" s="139"/>
      <c r="K74" s="13">
        <v>1105500</v>
      </c>
      <c r="L74" s="116" t="s">
        <v>252</v>
      </c>
      <c r="M74" s="411" t="s">
        <v>352</v>
      </c>
      <c r="N74" s="22" t="str">
        <f>IF(AND('331-CT'!$E$7=TH!H74,OR(L74="331",M74="331")),"331",IF(AND(OR(L74="131",M74="131"),H74='131-CT'!$E$7),"131",""))</f>
        <v/>
      </c>
      <c r="O74" s="22" t="str">
        <f>IF(AND($B74&gt;='111'!$N$11,$B74&lt;='111'!$O$11,OR($L74=$O$7,$M74=$O$7)),"x","")</f>
        <v/>
      </c>
      <c r="P74" s="22" t="str">
        <f>IF(AND($L74=$O$7,$B74&lt;'111'!$N$11),"x","")</f>
        <v/>
      </c>
      <c r="Q74" s="22" t="str">
        <f>IF(AND($M74=$O$7,$B74&lt;'111'!$N$11),"x","")</f>
        <v/>
      </c>
      <c r="R74" s="22" t="str">
        <f>IF(ISERROR(FIND('112'!$M$9,G74,1)),"",IF((AND(FIND('112'!$M$9,G74,1)&gt;=1,$B74&gt;='112'!$N$8,$B74&lt;='112'!$O$8,OR($L74='112'!$I$6,$M74='112'!$I$6))),"x",""))</f>
        <v/>
      </c>
      <c r="S74" s="22" t="str">
        <f>IF(ISERROR(FIND('112'!$M$9,G74,1)),"",IF((AND(LEFT(G74,2)=LEFT('112'!$M$9,2),B74&lt;'112'!$N$8,$L74='112'!$I$6)),"x",""))</f>
        <v/>
      </c>
      <c r="T74" s="22" t="str">
        <f>IF(ISERROR(FIND('112'!$M$9,G74,1)),"",IF((AND(RIGHT(G74,2)=RIGHT('112'!$M$9,2),B74&lt;'112'!$N$8,$M74='112'!$I$6)),"x",""))</f>
        <v/>
      </c>
      <c r="U74" s="22" t="str">
        <f>IF(AND(B74&gt;='IN-NX'!$P$3,B74&lt;='IN-NX'!$Q$3,'IN-NX'!$D$7=D74,OR(LEFT(L74,2)="15",AND(LEFT(M74,2)&lt;&gt;"15",LEFT(M74,2)&lt;&gt;"33"))),"x","")</f>
        <v/>
      </c>
      <c r="V74" s="22" t="str">
        <f>IF(AND(OR(LEFT(TH!L74,2)="15",LEFT(TH!M74,2)="15"),'152-CT'!$J$8=TH!F74),"x","")</f>
        <v/>
      </c>
      <c r="W74" s="22" t="str">
        <f>IF(AND(OR(LEFT(TH!L74,2)="15",LEFT(TH!M74,2)="15"),TK!$E$7=TH!F74),"x","")</f>
        <v/>
      </c>
      <c r="X74" s="22" t="str">
        <f>IF(OR(TH!L74=TH!$X$7,M74=TH!$X$7),"x","")</f>
        <v/>
      </c>
      <c r="Y74" s="22" t="str">
        <f>IF(AND(B74&lt;=NKC!$N$8,B74&gt;=NKC!$M$8),"x","")</f>
        <v>x</v>
      </c>
      <c r="Z74" s="580"/>
      <c r="AC74" s="130"/>
      <c r="AD74" s="130"/>
      <c r="AE74" s="130"/>
    </row>
    <row r="75" spans="1:31" s="406" customFormat="1" ht="15.75" customHeight="1">
      <c r="A75" s="123" t="str">
        <f>IF(B75&lt;&gt;"",IF(AND(B75&gt;=_TM1,B75&lt;=_TM2,OR(TH!L76="1111",TH!M76="1111")),TH!D76,""),"")</f>
        <v/>
      </c>
      <c r="B75" s="12">
        <f t="shared" si="2"/>
        <v>7</v>
      </c>
      <c r="C75" s="108">
        <f t="shared" si="3"/>
        <v>42569</v>
      </c>
      <c r="D75" s="108" t="s">
        <v>557</v>
      </c>
      <c r="E75" s="113">
        <v>42569</v>
      </c>
      <c r="F75" s="112" t="s">
        <v>504</v>
      </c>
      <c r="G75" s="303" t="s">
        <v>704</v>
      </c>
      <c r="H75" s="4" t="s">
        <v>617</v>
      </c>
      <c r="I75" s="139">
        <v>254</v>
      </c>
      <c r="J75" s="139">
        <v>10300</v>
      </c>
      <c r="K75" s="13">
        <f>ROUND(I75*J75,0)</f>
        <v>2616200</v>
      </c>
      <c r="L75" s="116" t="s">
        <v>252</v>
      </c>
      <c r="M75" s="411" t="s">
        <v>169</v>
      </c>
      <c r="N75" s="22" t="str">
        <f>IF(AND('331-CT'!$E$7=TH!H75,OR(L75="331",M75="331")),"331",IF(AND(OR(L75="131",M75="131"),H75='131-CT'!$E$7),"131",""))</f>
        <v/>
      </c>
      <c r="O75" s="22" t="str">
        <f>IF(AND($B75&gt;='111'!$N$11,$B75&lt;='111'!$O$11,OR($L75=$O$7,$M75=$O$7)),"x","")</f>
        <v/>
      </c>
      <c r="P75" s="22" t="str">
        <f>IF(AND($L75=$O$7,$B75&lt;'111'!$N$11),"x","")</f>
        <v/>
      </c>
      <c r="Q75" s="22" t="str">
        <f>IF(AND($M75=$O$7,$B75&lt;'111'!$N$11),"x","")</f>
        <v/>
      </c>
      <c r="R75" s="22" t="str">
        <f>IF(ISERROR(FIND('112'!$M$9,G75,1)),"",IF((AND(FIND('112'!$M$9,G75,1)&gt;=1,$B75&gt;='112'!$N$8,$B75&lt;='112'!$O$8,OR($L75='112'!$I$6,$M75='112'!$I$6))),"x",""))</f>
        <v/>
      </c>
      <c r="S75" s="22" t="str">
        <f>IF(ISERROR(FIND('112'!$M$9,G75,1)),"",IF((AND(LEFT(G75,2)=LEFT('112'!$M$9,2),B75&lt;'112'!$N$8,$L75='112'!$I$6)),"x",""))</f>
        <v/>
      </c>
      <c r="T75" s="22" t="str">
        <f>IF(ISERROR(FIND('112'!$M$9,G75,1)),"",IF((AND(RIGHT(G75,2)=RIGHT('112'!$M$9,2),B75&lt;'112'!$N$8,$M75='112'!$I$6)),"x",""))</f>
        <v/>
      </c>
      <c r="U75" s="22" t="str">
        <f>IF(AND(B75&gt;='IN-NX'!$P$3,B75&lt;='IN-NX'!$Q$3,'IN-NX'!$D$7=D75,OR(LEFT(L75,2)="15",AND(LEFT(M75,2)&lt;&gt;"15",LEFT(M75,2)&lt;&gt;"33"))),"x","")</f>
        <v/>
      </c>
      <c r="V75" s="22" t="str">
        <f>IF(AND(OR(LEFT(TH!L75,2)="15",LEFT(TH!M75,2)="15"),'152-CT'!$J$8=TH!F75),"x","")</f>
        <v/>
      </c>
      <c r="W75" s="22" t="str">
        <f>IF(AND(OR(LEFT(TH!L75,2)="15",LEFT(TH!M75,2)="15"),TK!$E$7=TH!F75),"x","")</f>
        <v/>
      </c>
      <c r="X75" s="22" t="str">
        <f>IF(OR(TH!L75=TH!$X$7,M75=TH!$X$7),"x","")</f>
        <v/>
      </c>
      <c r="Y75" s="22" t="str">
        <f>IF(AND(B75&lt;=NKC!$N$8,B75&gt;=NKC!$M$8),"x","")</f>
        <v>x</v>
      </c>
      <c r="Z75" s="580"/>
      <c r="AC75" s="130"/>
      <c r="AD75" s="130"/>
      <c r="AE75" s="130"/>
    </row>
    <row r="76" spans="1:31" s="406" customFormat="1" ht="15.75" customHeight="1">
      <c r="A76" s="123" t="str">
        <f>IF(B76&lt;&gt;"",IF(AND(B76&gt;=_TM1,B76&lt;=_TM2,OR(TH!L77="1111",TH!M77="1111")),TH!D77,""),"")</f>
        <v/>
      </c>
      <c r="B76" s="12">
        <f t="shared" si="2"/>
        <v>7</v>
      </c>
      <c r="C76" s="108">
        <f t="shared" si="3"/>
        <v>42569</v>
      </c>
      <c r="D76" s="108" t="s">
        <v>557</v>
      </c>
      <c r="E76" s="113">
        <v>42569</v>
      </c>
      <c r="F76" s="112" t="s">
        <v>496</v>
      </c>
      <c r="G76" s="303" t="s">
        <v>704</v>
      </c>
      <c r="H76" s="4" t="s">
        <v>617</v>
      </c>
      <c r="I76" s="139"/>
      <c r="J76" s="139"/>
      <c r="K76" s="13">
        <v>261620</v>
      </c>
      <c r="L76" s="116" t="s">
        <v>252</v>
      </c>
      <c r="M76" s="411" t="s">
        <v>352</v>
      </c>
      <c r="N76" s="22" t="str">
        <f>IF(AND('331-CT'!$E$7=TH!H76,OR(L76="331",M76="331")),"331",IF(AND(OR(L76="131",M76="131"),H76='131-CT'!$E$7),"131",""))</f>
        <v/>
      </c>
      <c r="O76" s="22" t="str">
        <f>IF(AND($B76&gt;='111'!$N$11,$B76&lt;='111'!$O$11,OR($L76=$O$7,$M76=$O$7)),"x","")</f>
        <v/>
      </c>
      <c r="P76" s="22" t="str">
        <f>IF(AND($L76=$O$7,$B76&lt;'111'!$N$11),"x","")</f>
        <v/>
      </c>
      <c r="Q76" s="22" t="str">
        <f>IF(AND($M76=$O$7,$B76&lt;'111'!$N$11),"x","")</f>
        <v/>
      </c>
      <c r="R76" s="22" t="str">
        <f>IF(ISERROR(FIND('112'!$M$9,G76,1)),"",IF((AND(FIND('112'!$M$9,G76,1)&gt;=1,$B76&gt;='112'!$N$8,$B76&lt;='112'!$O$8,OR($L76='112'!$I$6,$M76='112'!$I$6))),"x",""))</f>
        <v/>
      </c>
      <c r="S76" s="22" t="str">
        <f>IF(ISERROR(FIND('112'!$M$9,G76,1)),"",IF((AND(LEFT(G76,2)=LEFT('112'!$M$9,2),B76&lt;'112'!$N$8,$L76='112'!$I$6)),"x",""))</f>
        <v/>
      </c>
      <c r="T76" s="22" t="str">
        <f>IF(ISERROR(FIND('112'!$M$9,G76,1)),"",IF((AND(RIGHT(G76,2)=RIGHT('112'!$M$9,2),B76&lt;'112'!$N$8,$M76='112'!$I$6)),"x",""))</f>
        <v/>
      </c>
      <c r="U76" s="22" t="str">
        <f>IF(AND(B76&gt;='IN-NX'!$P$3,B76&lt;='IN-NX'!$Q$3,'IN-NX'!$D$7=D76,OR(LEFT(L76,2)="15",AND(LEFT(M76,2)&lt;&gt;"15",LEFT(M76,2)&lt;&gt;"33"))),"x","")</f>
        <v/>
      </c>
      <c r="V76" s="22" t="str">
        <f>IF(AND(OR(LEFT(TH!L76,2)="15",LEFT(TH!M76,2)="15"),'152-CT'!$J$8=TH!F76),"x","")</f>
        <v/>
      </c>
      <c r="W76" s="22" t="str">
        <f>IF(AND(OR(LEFT(TH!L76,2)="15",LEFT(TH!M76,2)="15"),TK!$E$7=TH!F76),"x","")</f>
        <v/>
      </c>
      <c r="X76" s="22" t="str">
        <f>IF(OR(TH!L76=TH!$X$7,M76=TH!$X$7),"x","")</f>
        <v/>
      </c>
      <c r="Y76" s="22" t="str">
        <f>IF(AND(B76&lt;=NKC!$N$8,B76&gt;=NKC!$M$8),"x","")</f>
        <v>x</v>
      </c>
      <c r="Z76" s="580"/>
      <c r="AC76" s="130"/>
      <c r="AD76" s="130"/>
      <c r="AE76" s="130"/>
    </row>
    <row r="77" spans="1:31" s="406" customFormat="1" ht="15.75" customHeight="1">
      <c r="A77" s="123" t="str">
        <f>IF(B77&lt;&gt;"",IF(AND(B77&gt;=_TM1,B77&lt;=_TM2,OR(TH!L78="1111",TH!M78="1111")),TH!D78,""),"")</f>
        <v/>
      </c>
      <c r="B77" s="12">
        <f t="shared" si="2"/>
        <v>7</v>
      </c>
      <c r="C77" s="108">
        <f t="shared" si="3"/>
        <v>42569</v>
      </c>
      <c r="D77" s="108" t="s">
        <v>349</v>
      </c>
      <c r="E77" s="113">
        <v>42569</v>
      </c>
      <c r="F77" s="114" t="s">
        <v>484</v>
      </c>
      <c r="G77" s="303" t="s">
        <v>704</v>
      </c>
      <c r="H77" s="4" t="s">
        <v>617</v>
      </c>
      <c r="I77" s="139"/>
      <c r="J77" s="139"/>
      <c r="K77" s="13">
        <v>2877820</v>
      </c>
      <c r="L77" s="116" t="s">
        <v>46</v>
      </c>
      <c r="M77" s="411" t="s">
        <v>252</v>
      </c>
      <c r="N77" s="22" t="str">
        <f>IF(AND('331-CT'!$E$7=TH!H77,OR(L77="331",M77="331")),"331",IF(AND(OR(L77="131",M77="131"),H77='131-CT'!$E$7),"131",""))</f>
        <v/>
      </c>
      <c r="O77" s="22" t="str">
        <f>IF(AND($B77&gt;='111'!$N$11,$B77&lt;='111'!$O$11,OR($L77=$O$7,$M77=$O$7)),"x","")</f>
        <v/>
      </c>
      <c r="P77" s="22" t="str">
        <f>IF(AND($L77=$O$7,$B77&lt;'111'!$N$11),"x","")</f>
        <v>x</v>
      </c>
      <c r="Q77" s="22" t="str">
        <f>IF(AND($M77=$O$7,$B77&lt;'111'!$N$11),"x","")</f>
        <v/>
      </c>
      <c r="R77" s="22" t="str">
        <f>IF(ISERROR(FIND('112'!$M$9,G77,1)),"",IF((AND(FIND('112'!$M$9,G77,1)&gt;=1,$B77&gt;='112'!$N$8,$B77&lt;='112'!$O$8,OR($L77='112'!$I$6,$M77='112'!$I$6))),"x",""))</f>
        <v/>
      </c>
      <c r="S77" s="22" t="str">
        <f>IF(ISERROR(FIND('112'!$M$9,G77,1)),"",IF((AND(LEFT(G77,2)=LEFT('112'!$M$9,2),B77&lt;'112'!$N$8,$L77='112'!$I$6)),"x",""))</f>
        <v/>
      </c>
      <c r="T77" s="22" t="str">
        <f>IF(ISERROR(FIND('112'!$M$9,G77,1)),"",IF((AND(RIGHT(G77,2)=RIGHT('112'!$M$9,2),B77&lt;'112'!$N$8,$M77='112'!$I$6)),"x",""))</f>
        <v/>
      </c>
      <c r="U77" s="22" t="str">
        <f>IF(AND(B77&gt;='IN-NX'!$P$3,B77&lt;='IN-NX'!$Q$3,'IN-NX'!$D$7=D77,OR(LEFT(L77,2)="15",AND(LEFT(M77,2)&lt;&gt;"15",LEFT(M77,2)&lt;&gt;"33"))),"x","")</f>
        <v/>
      </c>
      <c r="V77" s="22" t="str">
        <f>IF(AND(OR(LEFT(TH!L77,2)="15",LEFT(TH!M77,2)="15"),'152-CT'!$J$8=TH!F77),"x","")</f>
        <v/>
      </c>
      <c r="W77" s="22" t="str">
        <f>IF(AND(OR(LEFT(TH!L77,2)="15",LEFT(TH!M77,2)="15"),TK!$E$7=TH!F77),"x","")</f>
        <v/>
      </c>
      <c r="X77" s="22" t="str">
        <f>IF(OR(TH!L77=TH!$X$7,M77=TH!$X$7),"x","")</f>
        <v/>
      </c>
      <c r="Y77" s="22" t="str">
        <f>IF(AND(B77&lt;=NKC!$N$8,B77&gt;=NKC!$M$8),"x","")</f>
        <v>x</v>
      </c>
      <c r="Z77" s="580"/>
      <c r="AC77" s="130"/>
      <c r="AD77" s="130"/>
      <c r="AE77" s="130"/>
    </row>
    <row r="78" spans="1:31" s="406" customFormat="1" ht="15.75" customHeight="1">
      <c r="A78" s="123" t="str">
        <f>IF(B78&lt;&gt;"",IF(AND(B78&gt;=_TM1,B78&lt;=_TM2,OR(TH!L79="1111",TH!M79="1111")),TH!D79,""),"")</f>
        <v/>
      </c>
      <c r="B78" s="12">
        <f t="shared" si="2"/>
        <v>7</v>
      </c>
      <c r="C78" s="108">
        <f t="shared" si="3"/>
        <v>42569</v>
      </c>
      <c r="D78" s="108" t="s">
        <v>558</v>
      </c>
      <c r="E78" s="113">
        <v>42569</v>
      </c>
      <c r="F78" s="112" t="s">
        <v>505</v>
      </c>
      <c r="G78" s="303" t="s">
        <v>705</v>
      </c>
      <c r="H78" s="4" t="s">
        <v>617</v>
      </c>
      <c r="I78" s="139">
        <v>75</v>
      </c>
      <c r="J78" s="139">
        <v>10800</v>
      </c>
      <c r="K78" s="13">
        <f>ROUND(I78*J78,0)</f>
        <v>810000</v>
      </c>
      <c r="L78" s="116" t="s">
        <v>252</v>
      </c>
      <c r="M78" s="411" t="s">
        <v>169</v>
      </c>
      <c r="N78" s="22" t="str">
        <f>IF(AND('331-CT'!$E$7=TH!H78,OR(L78="331",M78="331")),"331",IF(AND(OR(L78="131",M78="131"),H78='131-CT'!$E$7),"131",""))</f>
        <v/>
      </c>
      <c r="O78" s="22" t="str">
        <f>IF(AND($B78&gt;='111'!$N$11,$B78&lt;='111'!$O$11,OR($L78=$O$7,$M78=$O$7)),"x","")</f>
        <v/>
      </c>
      <c r="P78" s="22" t="str">
        <f>IF(AND($L78=$O$7,$B78&lt;'111'!$N$11),"x","")</f>
        <v/>
      </c>
      <c r="Q78" s="22" t="str">
        <f>IF(AND($M78=$O$7,$B78&lt;'111'!$N$11),"x","")</f>
        <v/>
      </c>
      <c r="R78" s="22" t="str">
        <f>IF(ISERROR(FIND('112'!$M$9,G78,1)),"",IF((AND(FIND('112'!$M$9,G78,1)&gt;=1,$B78&gt;='112'!$N$8,$B78&lt;='112'!$O$8,OR($L78='112'!$I$6,$M78='112'!$I$6))),"x",""))</f>
        <v/>
      </c>
      <c r="S78" s="22" t="str">
        <f>IF(ISERROR(FIND('112'!$M$9,G78,1)),"",IF((AND(LEFT(G78,2)=LEFT('112'!$M$9,2),B78&lt;'112'!$N$8,$L78='112'!$I$6)),"x",""))</f>
        <v/>
      </c>
      <c r="T78" s="22" t="str">
        <f>IF(ISERROR(FIND('112'!$M$9,G78,1)),"",IF((AND(RIGHT(G78,2)=RIGHT('112'!$M$9,2),B78&lt;'112'!$N$8,$M78='112'!$I$6)),"x",""))</f>
        <v/>
      </c>
      <c r="U78" s="22" t="str">
        <f>IF(AND(B78&gt;='IN-NX'!$P$3,B78&lt;='IN-NX'!$Q$3,'IN-NX'!$D$7=D78,OR(LEFT(L78,2)="15",AND(LEFT(M78,2)&lt;&gt;"15",LEFT(M78,2)&lt;&gt;"33"))),"x","")</f>
        <v/>
      </c>
      <c r="V78" s="22" t="str">
        <f>IF(AND(OR(LEFT(TH!L78,2)="15",LEFT(TH!M78,2)="15"),'152-CT'!$J$8=TH!F78),"x","")</f>
        <v/>
      </c>
      <c r="W78" s="22" t="str">
        <f>IF(AND(OR(LEFT(TH!L78,2)="15",LEFT(TH!M78,2)="15"),TK!$E$7=TH!F78),"x","")</f>
        <v/>
      </c>
      <c r="X78" s="22" t="str">
        <f>IF(OR(TH!L78=TH!$X$7,M78=TH!$X$7),"x","")</f>
        <v/>
      </c>
      <c r="Y78" s="22" t="str">
        <f>IF(AND(B78&lt;=NKC!$N$8,B78&gt;=NKC!$M$8),"x","")</f>
        <v>x</v>
      </c>
      <c r="Z78" s="580"/>
      <c r="AC78" s="130"/>
      <c r="AD78" s="130"/>
      <c r="AE78" s="130"/>
    </row>
    <row r="79" spans="1:31" s="406" customFormat="1" ht="15.75" customHeight="1">
      <c r="A79" s="123" t="str">
        <f>IF(B79&lt;&gt;"",IF(AND(B79&gt;=_TM1,B79&lt;=_TM2,OR(TH!L80="1111",TH!M80="1111")),TH!D80,""),"")</f>
        <v/>
      </c>
      <c r="B79" s="12">
        <f t="shared" si="2"/>
        <v>7</v>
      </c>
      <c r="C79" s="108">
        <f t="shared" si="3"/>
        <v>42569</v>
      </c>
      <c r="D79" s="108" t="s">
        <v>558</v>
      </c>
      <c r="E79" s="113">
        <v>42569</v>
      </c>
      <c r="F79" s="112" t="s">
        <v>496</v>
      </c>
      <c r="G79" s="303" t="s">
        <v>705</v>
      </c>
      <c r="H79" s="4" t="s">
        <v>617</v>
      </c>
      <c r="I79" s="139"/>
      <c r="J79" s="139"/>
      <c r="K79" s="13">
        <v>81000</v>
      </c>
      <c r="L79" s="116" t="s">
        <v>252</v>
      </c>
      <c r="M79" s="411" t="s">
        <v>352</v>
      </c>
      <c r="N79" s="22" t="str">
        <f>IF(AND('331-CT'!$E$7=TH!H79,OR(L79="331",M79="331")),"331",IF(AND(OR(L79="131",M79="131"),H79='131-CT'!$E$7),"131",""))</f>
        <v/>
      </c>
      <c r="O79" s="22" t="str">
        <f>IF(AND($B79&gt;='111'!$N$11,$B79&lt;='111'!$O$11,OR($L79=$O$7,$M79=$O$7)),"x","")</f>
        <v/>
      </c>
      <c r="P79" s="22" t="str">
        <f>IF(AND($L79=$O$7,$B79&lt;'111'!$N$11),"x","")</f>
        <v/>
      </c>
      <c r="Q79" s="22" t="str">
        <f>IF(AND($M79=$O$7,$B79&lt;'111'!$N$11),"x","")</f>
        <v/>
      </c>
      <c r="R79" s="22" t="str">
        <f>IF(ISERROR(FIND('112'!$M$9,G79,1)),"",IF((AND(FIND('112'!$M$9,G79,1)&gt;=1,$B79&gt;='112'!$N$8,$B79&lt;='112'!$O$8,OR($L79='112'!$I$6,$M79='112'!$I$6))),"x",""))</f>
        <v/>
      </c>
      <c r="S79" s="22" t="str">
        <f>IF(ISERROR(FIND('112'!$M$9,G79,1)),"",IF((AND(LEFT(G79,2)=LEFT('112'!$M$9,2),B79&lt;'112'!$N$8,$L79='112'!$I$6)),"x",""))</f>
        <v/>
      </c>
      <c r="T79" s="22" t="str">
        <f>IF(ISERROR(FIND('112'!$M$9,G79,1)),"",IF((AND(RIGHT(G79,2)=RIGHT('112'!$M$9,2),B79&lt;'112'!$N$8,$M79='112'!$I$6)),"x",""))</f>
        <v/>
      </c>
      <c r="U79" s="22" t="str">
        <f>IF(AND(B79&gt;='IN-NX'!$P$3,B79&lt;='IN-NX'!$Q$3,'IN-NX'!$D$7=D79,OR(LEFT(L79,2)="15",AND(LEFT(M79,2)&lt;&gt;"15",LEFT(M79,2)&lt;&gt;"33"))),"x","")</f>
        <v/>
      </c>
      <c r="V79" s="22" t="str">
        <f>IF(AND(OR(LEFT(TH!L79,2)="15",LEFT(TH!M79,2)="15"),'152-CT'!$J$8=TH!F79),"x","")</f>
        <v/>
      </c>
      <c r="W79" s="22" t="str">
        <f>IF(AND(OR(LEFT(TH!L79,2)="15",LEFT(TH!M79,2)="15"),TK!$E$7=TH!F79),"x","")</f>
        <v/>
      </c>
      <c r="X79" s="22" t="str">
        <f>IF(OR(TH!L79=TH!$X$7,M79=TH!$X$7),"x","")</f>
        <v/>
      </c>
      <c r="Y79" s="22" t="str">
        <f>IF(AND(B79&lt;=NKC!$N$8,B79&gt;=NKC!$M$8),"x","")</f>
        <v>x</v>
      </c>
      <c r="Z79" s="580"/>
      <c r="AB79" s="130"/>
      <c r="AC79" s="130"/>
      <c r="AD79" s="130"/>
      <c r="AE79" s="130"/>
    </row>
    <row r="80" spans="1:31" s="406" customFormat="1" ht="15.75" customHeight="1">
      <c r="A80" s="123" t="str">
        <f>IF(B80&lt;&gt;"",IF(AND(B80&gt;=_TM1,B80&lt;=_TM2,OR(TH!L81="1111",TH!M81="1111")),TH!D81,""),"")</f>
        <v/>
      </c>
      <c r="B80" s="12">
        <f t="shared" si="2"/>
        <v>7</v>
      </c>
      <c r="C80" s="108">
        <f t="shared" si="3"/>
        <v>42569</v>
      </c>
      <c r="D80" s="108" t="s">
        <v>643</v>
      </c>
      <c r="E80" s="113">
        <v>42569</v>
      </c>
      <c r="F80" s="114" t="s">
        <v>484</v>
      </c>
      <c r="G80" s="303" t="s">
        <v>705</v>
      </c>
      <c r="H80" s="4" t="s">
        <v>617</v>
      </c>
      <c r="I80" s="139"/>
      <c r="J80" s="139"/>
      <c r="K80" s="13">
        <v>891000</v>
      </c>
      <c r="L80" s="116" t="s">
        <v>46</v>
      </c>
      <c r="M80" s="411" t="s">
        <v>252</v>
      </c>
      <c r="N80" s="22" t="str">
        <f>IF(AND('331-CT'!$E$7=TH!H80,OR(L80="331",M80="331")),"331",IF(AND(OR(L80="131",M80="131"),H80='131-CT'!$E$7),"131",""))</f>
        <v/>
      </c>
      <c r="O80" s="22" t="str">
        <f>IF(AND($B80&gt;='111'!$N$11,$B80&lt;='111'!$O$11,OR($L80=$O$7,$M80=$O$7)),"x","")</f>
        <v/>
      </c>
      <c r="P80" s="22" t="str">
        <f>IF(AND($L80=$O$7,$B80&lt;'111'!$N$11),"x","")</f>
        <v>x</v>
      </c>
      <c r="Q80" s="22" t="str">
        <f>IF(AND($M80=$O$7,$B80&lt;'111'!$N$11),"x","")</f>
        <v/>
      </c>
      <c r="R80" s="22" t="str">
        <f>IF(ISERROR(FIND('112'!$M$9,G80,1)),"",IF((AND(FIND('112'!$M$9,G80,1)&gt;=1,$B80&gt;='112'!$N$8,$B80&lt;='112'!$O$8,OR($L80='112'!$I$6,$M80='112'!$I$6))),"x",""))</f>
        <v/>
      </c>
      <c r="S80" s="22" t="str">
        <f>IF(ISERROR(FIND('112'!$M$9,G80,1)),"",IF((AND(LEFT(G80,2)=LEFT('112'!$M$9,2),B80&lt;'112'!$N$8,$L80='112'!$I$6)),"x",""))</f>
        <v/>
      </c>
      <c r="T80" s="22" t="str">
        <f>IF(ISERROR(FIND('112'!$M$9,G80,1)),"",IF((AND(RIGHT(G80,2)=RIGHT('112'!$M$9,2),B80&lt;'112'!$N$8,$M80='112'!$I$6)),"x",""))</f>
        <v/>
      </c>
      <c r="U80" s="22" t="str">
        <f>IF(AND(B80&gt;='IN-NX'!$P$3,B80&lt;='IN-NX'!$Q$3,'IN-NX'!$D$7=D80,OR(LEFT(L80,2)="15",AND(LEFT(M80,2)&lt;&gt;"15",LEFT(M80,2)&lt;&gt;"33"))),"x","")</f>
        <v/>
      </c>
      <c r="V80" s="22" t="str">
        <f>IF(AND(OR(LEFT(TH!L80,2)="15",LEFT(TH!M80,2)="15"),'152-CT'!$J$8=TH!F80),"x","")</f>
        <v/>
      </c>
      <c r="W80" s="22" t="str">
        <f>IF(AND(OR(LEFT(TH!L80,2)="15",LEFT(TH!M80,2)="15"),TK!$E$7=TH!F80),"x","")</f>
        <v/>
      </c>
      <c r="X80" s="22" t="str">
        <f>IF(OR(TH!L80=TH!$X$7,M80=TH!$X$7),"x","")</f>
        <v/>
      </c>
      <c r="Y80" s="22" t="str">
        <f>IF(AND(B80&lt;=NKC!$N$8,B80&gt;=NKC!$M$8),"x","")</f>
        <v>x</v>
      </c>
      <c r="Z80" s="580"/>
      <c r="AB80" s="130"/>
      <c r="AC80" s="130"/>
      <c r="AD80" s="130"/>
      <c r="AE80" s="130"/>
    </row>
    <row r="81" spans="1:31" s="406" customFormat="1" ht="15.75" customHeight="1">
      <c r="A81" s="123" t="str">
        <f>IF(B81&lt;&gt;"",IF(AND(B81&gt;=_TM1,B81&lt;=_TM2,OR(TH!L82="1111",TH!M82="1111")),TH!D82,""),"")</f>
        <v/>
      </c>
      <c r="B81" s="12">
        <f t="shared" ref="B81:B144" si="4">IF(C81&lt;&gt;"",MONTH(C81),"")</f>
        <v>7</v>
      </c>
      <c r="C81" s="108">
        <f t="shared" si="3"/>
        <v>42571</v>
      </c>
      <c r="D81" s="108" t="s">
        <v>559</v>
      </c>
      <c r="E81" s="113">
        <v>42571</v>
      </c>
      <c r="F81" s="112" t="s">
        <v>508</v>
      </c>
      <c r="G81" s="303" t="s">
        <v>706</v>
      </c>
      <c r="H81" s="4" t="s">
        <v>506</v>
      </c>
      <c r="I81" s="139">
        <v>500</v>
      </c>
      <c r="J81" s="139">
        <v>3200</v>
      </c>
      <c r="K81" s="13">
        <f>ROUND(I81*J81,0)</f>
        <v>1600000</v>
      </c>
      <c r="L81" s="116" t="s">
        <v>252</v>
      </c>
      <c r="M81" s="411" t="s">
        <v>169</v>
      </c>
      <c r="N81" s="22" t="str">
        <f>IF(AND('331-CT'!$E$7=TH!H81,OR(L81="331",M81="331")),"331",IF(AND(OR(L81="131",M81="131"),H81='131-CT'!$E$7),"131",""))</f>
        <v/>
      </c>
      <c r="O81" s="22" t="str">
        <f>IF(AND($B81&gt;='111'!$N$11,$B81&lt;='111'!$O$11,OR($L81=$O$7,$M81=$O$7)),"x","")</f>
        <v/>
      </c>
      <c r="P81" s="22" t="str">
        <f>IF(AND($L81=$O$7,$B81&lt;'111'!$N$11),"x","")</f>
        <v/>
      </c>
      <c r="Q81" s="22" t="str">
        <f>IF(AND($M81=$O$7,$B81&lt;'111'!$N$11),"x","")</f>
        <v/>
      </c>
      <c r="R81" s="22" t="str">
        <f>IF(ISERROR(FIND('112'!$M$9,G81,1)),"",IF((AND(FIND('112'!$M$9,G81,1)&gt;=1,$B81&gt;='112'!$N$8,$B81&lt;='112'!$O$8,OR($L81='112'!$I$6,$M81='112'!$I$6))),"x",""))</f>
        <v/>
      </c>
      <c r="S81" s="22" t="str">
        <f>IF(ISERROR(FIND('112'!$M$9,G81,1)),"",IF((AND(LEFT(G81,2)=LEFT('112'!$M$9,2),B81&lt;'112'!$N$8,$L81='112'!$I$6)),"x",""))</f>
        <v/>
      </c>
      <c r="T81" s="22" t="str">
        <f>IF(ISERROR(FIND('112'!$M$9,G81,1)),"",IF((AND(RIGHT(G81,2)=RIGHT('112'!$M$9,2),B81&lt;'112'!$N$8,$M81='112'!$I$6)),"x",""))</f>
        <v/>
      </c>
      <c r="U81" s="22" t="str">
        <f>IF(AND(B81&gt;='IN-NX'!$P$3,B81&lt;='IN-NX'!$Q$3,'IN-NX'!$D$7=D81,OR(LEFT(L81,2)="15",AND(LEFT(M81,2)&lt;&gt;"15",LEFT(M81,2)&lt;&gt;"33"))),"x","")</f>
        <v/>
      </c>
      <c r="V81" s="22" t="str">
        <f>IF(AND(OR(LEFT(TH!L81,2)="15",LEFT(TH!M81,2)="15"),'152-CT'!$J$8=TH!F81),"x","")</f>
        <v/>
      </c>
      <c r="W81" s="22" t="str">
        <f>IF(AND(OR(LEFT(TH!L81,2)="15",LEFT(TH!M81,2)="15"),TK!$E$7=TH!F81),"x","")</f>
        <v/>
      </c>
      <c r="X81" s="22" t="str">
        <f>IF(OR(TH!L81=TH!$X$7,M81=TH!$X$7),"x","")</f>
        <v/>
      </c>
      <c r="Y81" s="22" t="str">
        <f>IF(AND(B81&lt;=NKC!$N$8,B81&gt;=NKC!$M$8),"x","")</f>
        <v>x</v>
      </c>
      <c r="Z81" s="580"/>
      <c r="AC81" s="130"/>
      <c r="AD81" s="130"/>
      <c r="AE81" s="130"/>
    </row>
    <row r="82" spans="1:31" s="406" customFormat="1" ht="15.75" customHeight="1">
      <c r="A82" s="123" t="str">
        <f>IF(B82&lt;&gt;"",IF(AND(B82&gt;=_TM1,B82&lt;=_TM2,OR(TH!L83="1111",TH!M83="1111")),TH!D83,""),"")</f>
        <v/>
      </c>
      <c r="B82" s="12">
        <f t="shared" si="4"/>
        <v>7</v>
      </c>
      <c r="C82" s="108">
        <f t="shared" si="3"/>
        <v>42571</v>
      </c>
      <c r="D82" s="108" t="s">
        <v>559</v>
      </c>
      <c r="E82" s="113">
        <v>42571</v>
      </c>
      <c r="F82" s="112" t="s">
        <v>509</v>
      </c>
      <c r="G82" s="303" t="s">
        <v>706</v>
      </c>
      <c r="H82" s="4" t="s">
        <v>506</v>
      </c>
      <c r="I82" s="139">
        <v>300</v>
      </c>
      <c r="J82" s="139">
        <v>2200</v>
      </c>
      <c r="K82" s="13">
        <f>ROUND(I82*J82,0)</f>
        <v>660000</v>
      </c>
      <c r="L82" s="116" t="s">
        <v>252</v>
      </c>
      <c r="M82" s="411" t="s">
        <v>169</v>
      </c>
      <c r="N82" s="22" t="str">
        <f>IF(AND('331-CT'!$E$7=TH!H82,OR(L82="331",M82="331")),"331",IF(AND(OR(L82="131",M82="131"),H82='131-CT'!$E$7),"131",""))</f>
        <v/>
      </c>
      <c r="O82" s="22" t="str">
        <f>IF(AND($B82&gt;='111'!$N$11,$B82&lt;='111'!$O$11,OR($L82=$O$7,$M82=$O$7)),"x","")</f>
        <v/>
      </c>
      <c r="P82" s="22" t="str">
        <f>IF(AND($L82=$O$7,$B82&lt;'111'!$N$11),"x","")</f>
        <v/>
      </c>
      <c r="Q82" s="22" t="str">
        <f>IF(AND($M82=$O$7,$B82&lt;'111'!$N$11),"x","")</f>
        <v/>
      </c>
      <c r="R82" s="22" t="str">
        <f>IF(ISERROR(FIND('112'!$M$9,G82,1)),"",IF((AND(FIND('112'!$M$9,G82,1)&gt;=1,$B82&gt;='112'!$N$8,$B82&lt;='112'!$O$8,OR($L82='112'!$I$6,$M82='112'!$I$6))),"x",""))</f>
        <v/>
      </c>
      <c r="S82" s="22" t="str">
        <f>IF(ISERROR(FIND('112'!$M$9,G82,1)),"",IF((AND(LEFT(G82,2)=LEFT('112'!$M$9,2),B82&lt;'112'!$N$8,$L82='112'!$I$6)),"x",""))</f>
        <v/>
      </c>
      <c r="T82" s="22" t="str">
        <f>IF(ISERROR(FIND('112'!$M$9,G82,1)),"",IF((AND(RIGHT(G82,2)=RIGHT('112'!$M$9,2),B82&lt;'112'!$N$8,$M82='112'!$I$6)),"x",""))</f>
        <v/>
      </c>
      <c r="U82" s="22" t="str">
        <f>IF(AND(B82&gt;='IN-NX'!$P$3,B82&lt;='IN-NX'!$Q$3,'IN-NX'!$D$7=D82,OR(LEFT(L82,2)="15",AND(LEFT(M82,2)&lt;&gt;"15",LEFT(M82,2)&lt;&gt;"33"))),"x","")</f>
        <v/>
      </c>
      <c r="V82" s="22" t="str">
        <f>IF(AND(OR(LEFT(TH!L82,2)="15",LEFT(TH!M82,2)="15"),'152-CT'!$J$8=TH!F82),"x","")</f>
        <v/>
      </c>
      <c r="W82" s="22" t="str">
        <f>IF(AND(OR(LEFT(TH!L82,2)="15",LEFT(TH!M82,2)="15"),TK!$E$7=TH!F82),"x","")</f>
        <v/>
      </c>
      <c r="X82" s="22" t="str">
        <f>IF(OR(TH!L82=TH!$X$7,M82=TH!$X$7),"x","")</f>
        <v/>
      </c>
      <c r="Y82" s="22" t="str">
        <f>IF(AND(B82&lt;=NKC!$N$8,B82&gt;=NKC!$M$8),"x","")</f>
        <v>x</v>
      </c>
      <c r="Z82" s="580"/>
      <c r="AB82" s="130"/>
      <c r="AC82" s="130"/>
      <c r="AD82" s="130"/>
      <c r="AE82" s="130"/>
    </row>
    <row r="83" spans="1:31" s="406" customFormat="1" ht="15.75" customHeight="1">
      <c r="A83" s="123" t="str">
        <f>IF(B83&lt;&gt;"",IF(AND(B83&gt;=_TM1,B83&lt;=_TM2,OR(TH!L84="1111",TH!M84="1111")),TH!D84,""),"")</f>
        <v/>
      </c>
      <c r="B83" s="12">
        <f t="shared" si="4"/>
        <v>7</v>
      </c>
      <c r="C83" s="108">
        <f t="shared" si="3"/>
        <v>42571</v>
      </c>
      <c r="D83" s="108" t="s">
        <v>559</v>
      </c>
      <c r="E83" s="113">
        <v>42571</v>
      </c>
      <c r="F83" s="112" t="s">
        <v>507</v>
      </c>
      <c r="G83" s="303" t="s">
        <v>706</v>
      </c>
      <c r="H83" s="4" t="s">
        <v>506</v>
      </c>
      <c r="I83" s="139"/>
      <c r="J83" s="139"/>
      <c r="K83" s="13">
        <v>226000</v>
      </c>
      <c r="L83" s="116" t="s">
        <v>252</v>
      </c>
      <c r="M83" s="411" t="s">
        <v>352</v>
      </c>
      <c r="N83" s="22" t="str">
        <f>IF(AND('331-CT'!$E$7=TH!H83,OR(L83="331",M83="331")),"331",IF(AND(OR(L83="131",M83="131"),H83='131-CT'!$E$7),"131",""))</f>
        <v/>
      </c>
      <c r="O83" s="22" t="str">
        <f>IF(AND($B83&gt;='111'!$N$11,$B83&lt;='111'!$O$11,OR($L83=$O$7,$M83=$O$7)),"x","")</f>
        <v/>
      </c>
      <c r="P83" s="22" t="str">
        <f>IF(AND($L83=$O$7,$B83&lt;'111'!$N$11),"x","")</f>
        <v/>
      </c>
      <c r="Q83" s="22" t="str">
        <f>IF(AND($M83=$O$7,$B83&lt;'111'!$N$11),"x","")</f>
        <v/>
      </c>
      <c r="R83" s="22" t="str">
        <f>IF(ISERROR(FIND('112'!$M$9,G83,1)),"",IF((AND(FIND('112'!$M$9,G83,1)&gt;=1,$B83&gt;='112'!$N$8,$B83&lt;='112'!$O$8,OR($L83='112'!$I$6,$M83='112'!$I$6))),"x",""))</f>
        <v/>
      </c>
      <c r="S83" s="22" t="str">
        <f>IF(ISERROR(FIND('112'!$M$9,G83,1)),"",IF((AND(LEFT(G83,2)=LEFT('112'!$M$9,2),B83&lt;'112'!$N$8,$L83='112'!$I$6)),"x",""))</f>
        <v/>
      </c>
      <c r="T83" s="22" t="str">
        <f>IF(ISERROR(FIND('112'!$M$9,G83,1)),"",IF((AND(RIGHT(G83,2)=RIGHT('112'!$M$9,2),B83&lt;'112'!$N$8,$M83='112'!$I$6)),"x",""))</f>
        <v/>
      </c>
      <c r="U83" s="22" t="str">
        <f>IF(AND(B83&gt;='IN-NX'!$P$3,B83&lt;='IN-NX'!$Q$3,'IN-NX'!$D$7=D83,OR(LEFT(L83,2)="15",AND(LEFT(M83,2)&lt;&gt;"15",LEFT(M83,2)&lt;&gt;"33"))),"x","")</f>
        <v/>
      </c>
      <c r="V83" s="22" t="str">
        <f>IF(AND(OR(LEFT(TH!L83,2)="15",LEFT(TH!M83,2)="15"),'152-CT'!$J$8=TH!F83),"x","")</f>
        <v/>
      </c>
      <c r="W83" s="22" t="str">
        <f>IF(AND(OR(LEFT(TH!L83,2)="15",LEFT(TH!M83,2)="15"),TK!$E$7=TH!F83),"x","")</f>
        <v/>
      </c>
      <c r="X83" s="22" t="str">
        <f>IF(OR(TH!L83=TH!$X$7,M83=TH!$X$7),"x","")</f>
        <v/>
      </c>
      <c r="Y83" s="22" t="str">
        <f>IF(AND(B83&lt;=NKC!$N$8,B83&gt;=NKC!$M$8),"x","")</f>
        <v>x</v>
      </c>
      <c r="Z83" s="580"/>
      <c r="AC83" s="130"/>
      <c r="AD83" s="130"/>
      <c r="AE83" s="130"/>
    </row>
    <row r="84" spans="1:31" s="406" customFormat="1" ht="15.75" customHeight="1">
      <c r="A84" s="123" t="str">
        <f>IF(B84&lt;&gt;"",IF(AND(B84&gt;=_TM1,B84&lt;=_TM2,OR(TH!L85="1111",TH!M85="1111")),TH!D85,""),"")</f>
        <v/>
      </c>
      <c r="B84" s="12">
        <f t="shared" si="4"/>
        <v>7</v>
      </c>
      <c r="C84" s="108">
        <f t="shared" si="3"/>
        <v>42571</v>
      </c>
      <c r="D84" s="108" t="s">
        <v>989</v>
      </c>
      <c r="E84" s="113">
        <v>42571</v>
      </c>
      <c r="F84" s="114" t="s">
        <v>484</v>
      </c>
      <c r="G84" s="303" t="s">
        <v>706</v>
      </c>
      <c r="H84" s="4" t="s">
        <v>506</v>
      </c>
      <c r="I84" s="139"/>
      <c r="J84" s="139"/>
      <c r="K84" s="13">
        <v>2486000</v>
      </c>
      <c r="L84" s="116" t="s">
        <v>46</v>
      </c>
      <c r="M84" s="411" t="s">
        <v>252</v>
      </c>
      <c r="N84" s="22" t="str">
        <f>IF(AND('331-CT'!$E$7=TH!H84,OR(L84="331",M84="331")),"331",IF(AND(OR(L84="131",M84="131"),H84='131-CT'!$E$7),"131",""))</f>
        <v/>
      </c>
      <c r="O84" s="22" t="str">
        <f>IF(AND($B84&gt;='111'!$N$11,$B84&lt;='111'!$O$11,OR($L84=$O$7,$M84=$O$7)),"x","")</f>
        <v/>
      </c>
      <c r="P84" s="22" t="str">
        <f>IF(AND($L84=$O$7,$B84&lt;'111'!$N$11),"x","")</f>
        <v>x</v>
      </c>
      <c r="Q84" s="22" t="str">
        <f>IF(AND($M84=$O$7,$B84&lt;'111'!$N$11),"x","")</f>
        <v/>
      </c>
      <c r="R84" s="22" t="str">
        <f>IF(ISERROR(FIND('112'!$M$9,G84,1)),"",IF((AND(FIND('112'!$M$9,G84,1)&gt;=1,$B84&gt;='112'!$N$8,$B84&lt;='112'!$O$8,OR($L84='112'!$I$6,$M84='112'!$I$6))),"x",""))</f>
        <v/>
      </c>
      <c r="S84" s="22" t="str">
        <f>IF(ISERROR(FIND('112'!$M$9,G84,1)),"",IF((AND(LEFT(G84,2)=LEFT('112'!$M$9,2),B84&lt;'112'!$N$8,$L84='112'!$I$6)),"x",""))</f>
        <v/>
      </c>
      <c r="T84" s="22" t="str">
        <f>IF(ISERROR(FIND('112'!$M$9,G84,1)),"",IF((AND(RIGHT(G84,2)=RIGHT('112'!$M$9,2),B84&lt;'112'!$N$8,$M84='112'!$I$6)),"x",""))</f>
        <v/>
      </c>
      <c r="U84" s="22" t="str">
        <f>IF(AND(B84&gt;='IN-NX'!$P$3,B84&lt;='IN-NX'!$Q$3,'IN-NX'!$D$7=D84,OR(LEFT(L84,2)="15",AND(LEFT(M84,2)&lt;&gt;"15",LEFT(M84,2)&lt;&gt;"33"))),"x","")</f>
        <v/>
      </c>
      <c r="V84" s="22" t="str">
        <f>IF(AND(OR(LEFT(TH!L84,2)="15",LEFT(TH!M84,2)="15"),'152-CT'!$J$8=TH!F84),"x","")</f>
        <v/>
      </c>
      <c r="W84" s="22" t="str">
        <f>IF(AND(OR(LEFT(TH!L84,2)="15",LEFT(TH!M84,2)="15"),TK!$E$7=TH!F84),"x","")</f>
        <v/>
      </c>
      <c r="X84" s="22" t="str">
        <f>IF(OR(TH!L84=TH!$X$7,M84=TH!$X$7),"x","")</f>
        <v/>
      </c>
      <c r="Y84" s="22" t="str">
        <f>IF(AND(B84&lt;=NKC!$N$8,B84&gt;=NKC!$M$8),"x","")</f>
        <v>x</v>
      </c>
      <c r="Z84" s="580"/>
      <c r="AC84" s="130"/>
      <c r="AD84" s="130"/>
      <c r="AE84" s="130"/>
    </row>
    <row r="85" spans="1:31" s="406" customFormat="1" ht="15.75" customHeight="1">
      <c r="A85" s="123" t="str">
        <f>IF(B85&lt;&gt;"",IF(AND(B85&gt;=_TM1,B85&lt;=_TM2,OR(TH!L86="1111",TH!M86="1111")),TH!D86,""),"")</f>
        <v/>
      </c>
      <c r="B85" s="12">
        <f t="shared" si="4"/>
        <v>7</v>
      </c>
      <c r="C85" s="108">
        <f t="shared" si="3"/>
        <v>42571</v>
      </c>
      <c r="D85" s="108" t="s">
        <v>560</v>
      </c>
      <c r="E85" s="113">
        <v>42571</v>
      </c>
      <c r="F85" s="112" t="s">
        <v>510</v>
      </c>
      <c r="G85" s="303" t="s">
        <v>707</v>
      </c>
      <c r="H85" s="4" t="s">
        <v>690</v>
      </c>
      <c r="I85" s="139">
        <v>1559</v>
      </c>
      <c r="J85" s="139">
        <v>5900</v>
      </c>
      <c r="K85" s="13">
        <f>ROUND(I85*J85,0)</f>
        <v>9198100</v>
      </c>
      <c r="L85" s="116" t="s">
        <v>252</v>
      </c>
      <c r="M85" s="411" t="s">
        <v>169</v>
      </c>
      <c r="N85" s="22" t="str">
        <f>IF(AND('331-CT'!$E$7=TH!H85,OR(L85="331",M85="331")),"331",IF(AND(OR(L85="131",M85="131"),H85='131-CT'!$E$7),"131",""))</f>
        <v/>
      </c>
      <c r="O85" s="22" t="str">
        <f>IF(AND($B85&gt;='111'!$N$11,$B85&lt;='111'!$O$11,OR($L85=$O$7,$M85=$O$7)),"x","")</f>
        <v/>
      </c>
      <c r="P85" s="22" t="str">
        <f>IF(AND($L85=$O$7,$B85&lt;'111'!$N$11),"x","")</f>
        <v/>
      </c>
      <c r="Q85" s="22" t="str">
        <f>IF(AND($M85=$O$7,$B85&lt;'111'!$N$11),"x","")</f>
        <v/>
      </c>
      <c r="R85" s="22" t="str">
        <f>IF(ISERROR(FIND('112'!$M$9,G85,1)),"",IF((AND(FIND('112'!$M$9,G85,1)&gt;=1,$B85&gt;='112'!$N$8,$B85&lt;='112'!$O$8,OR($L85='112'!$I$6,$M85='112'!$I$6))),"x",""))</f>
        <v/>
      </c>
      <c r="S85" s="22" t="str">
        <f>IF(ISERROR(FIND('112'!$M$9,G85,1)),"",IF((AND(LEFT(G85,2)=LEFT('112'!$M$9,2),B85&lt;'112'!$N$8,$L85='112'!$I$6)),"x",""))</f>
        <v/>
      </c>
      <c r="T85" s="22" t="str">
        <f>IF(ISERROR(FIND('112'!$M$9,G85,1)),"",IF((AND(RIGHT(G85,2)=RIGHT('112'!$M$9,2),B85&lt;'112'!$N$8,$M85='112'!$I$6)),"x",""))</f>
        <v/>
      </c>
      <c r="U85" s="22" t="str">
        <f>IF(AND(B85&gt;='IN-NX'!$P$3,B85&lt;='IN-NX'!$Q$3,'IN-NX'!$D$7=D85,OR(LEFT(L85,2)="15",AND(LEFT(M85,2)&lt;&gt;"15",LEFT(M85,2)&lt;&gt;"33"))),"x","")</f>
        <v/>
      </c>
      <c r="V85" s="22" t="str">
        <f>IF(AND(OR(LEFT(TH!L85,2)="15",LEFT(TH!M85,2)="15"),'152-CT'!$J$8=TH!F85),"x","")</f>
        <v/>
      </c>
      <c r="W85" s="22" t="str">
        <f>IF(AND(OR(LEFT(TH!L85,2)="15",LEFT(TH!M85,2)="15"),TK!$E$7=TH!F85),"x","")</f>
        <v/>
      </c>
      <c r="X85" s="22" t="str">
        <f>IF(OR(TH!L85=TH!$X$7,M85=TH!$X$7),"x","")</f>
        <v/>
      </c>
      <c r="Y85" s="22" t="str">
        <f>IF(AND(B85&lt;=NKC!$N$8,B85&gt;=NKC!$M$8),"x","")</f>
        <v>x</v>
      </c>
      <c r="Z85" s="580"/>
      <c r="AB85" s="130"/>
      <c r="AC85" s="130"/>
      <c r="AD85" s="130"/>
      <c r="AE85" s="130"/>
    </row>
    <row r="86" spans="1:31" s="406" customFormat="1" ht="15.75" customHeight="1">
      <c r="A86" s="123" t="str">
        <f>IF(B86&lt;&gt;"",IF(AND(B86&gt;=_TM1,B86&lt;=_TM2,OR(TH!L87="1111",TH!M87="1111")),TH!D87,""),"")</f>
        <v/>
      </c>
      <c r="B86" s="12">
        <f t="shared" si="4"/>
        <v>7</v>
      </c>
      <c r="C86" s="108">
        <f t="shared" si="3"/>
        <v>42571</v>
      </c>
      <c r="D86" s="108" t="s">
        <v>560</v>
      </c>
      <c r="E86" s="113">
        <v>42571</v>
      </c>
      <c r="F86" s="112" t="s">
        <v>496</v>
      </c>
      <c r="G86" s="303" t="s">
        <v>707</v>
      </c>
      <c r="H86" s="4" t="s">
        <v>690</v>
      </c>
      <c r="I86" s="139"/>
      <c r="J86" s="139"/>
      <c r="K86" s="13">
        <v>919810</v>
      </c>
      <c r="L86" s="116" t="s">
        <v>252</v>
      </c>
      <c r="M86" s="411" t="s">
        <v>352</v>
      </c>
      <c r="N86" s="22" t="str">
        <f>IF(AND('331-CT'!$E$7=TH!H86,OR(L86="331",M86="331")),"331",IF(AND(OR(L86="131",M86="131"),H86='131-CT'!$E$7),"131",""))</f>
        <v/>
      </c>
      <c r="O86" s="22" t="str">
        <f>IF(AND($B86&gt;='111'!$N$11,$B86&lt;='111'!$O$11,OR($L86=$O$7,$M86=$O$7)),"x","")</f>
        <v/>
      </c>
      <c r="P86" s="22" t="str">
        <f>IF(AND($L86=$O$7,$B86&lt;'111'!$N$11),"x","")</f>
        <v/>
      </c>
      <c r="Q86" s="22" t="str">
        <f>IF(AND($M86=$O$7,$B86&lt;'111'!$N$11),"x","")</f>
        <v/>
      </c>
      <c r="R86" s="22" t="str">
        <f>IF(ISERROR(FIND('112'!$M$9,G86,1)),"",IF((AND(FIND('112'!$M$9,G86,1)&gt;=1,$B86&gt;='112'!$N$8,$B86&lt;='112'!$O$8,OR($L86='112'!$I$6,$M86='112'!$I$6))),"x",""))</f>
        <v/>
      </c>
      <c r="S86" s="22" t="str">
        <f>IF(ISERROR(FIND('112'!$M$9,G86,1)),"",IF((AND(LEFT(G86,2)=LEFT('112'!$M$9,2),B86&lt;'112'!$N$8,$L86='112'!$I$6)),"x",""))</f>
        <v/>
      </c>
      <c r="T86" s="22" t="str">
        <f>IF(ISERROR(FIND('112'!$M$9,G86,1)),"",IF((AND(RIGHT(G86,2)=RIGHT('112'!$M$9,2),B86&lt;'112'!$N$8,$M86='112'!$I$6)),"x",""))</f>
        <v/>
      </c>
      <c r="U86" s="22" t="str">
        <f>IF(AND(B86&gt;='IN-NX'!$P$3,B86&lt;='IN-NX'!$Q$3,'IN-NX'!$D$7=D86,OR(LEFT(L86,2)="15",AND(LEFT(M86,2)&lt;&gt;"15",LEFT(M86,2)&lt;&gt;"33"))),"x","")</f>
        <v/>
      </c>
      <c r="V86" s="22" t="str">
        <f>IF(AND(OR(LEFT(TH!L86,2)="15",LEFT(TH!M86,2)="15"),'152-CT'!$J$8=TH!F86),"x","")</f>
        <v/>
      </c>
      <c r="W86" s="22" t="str">
        <f>IF(AND(OR(LEFT(TH!L86,2)="15",LEFT(TH!M86,2)="15"),TK!$E$7=TH!F86),"x","")</f>
        <v/>
      </c>
      <c r="X86" s="22" t="str">
        <f>IF(OR(TH!L86=TH!$X$7,M86=TH!$X$7),"x","")</f>
        <v/>
      </c>
      <c r="Y86" s="22" t="str">
        <f>IF(AND(B86&lt;=NKC!$N$8,B86&gt;=NKC!$M$8),"x","")</f>
        <v>x</v>
      </c>
      <c r="Z86" s="580"/>
      <c r="AC86" s="130"/>
      <c r="AD86" s="130"/>
      <c r="AE86" s="130"/>
    </row>
    <row r="87" spans="1:31" s="406" customFormat="1" ht="15.75" customHeight="1">
      <c r="A87" s="123" t="str">
        <f>IF(B87&lt;&gt;"",IF(AND(B87&gt;=_TM1,B87&lt;=_TM2,OR(TH!L88="1111",TH!M88="1111")),TH!D88,""),"")</f>
        <v/>
      </c>
      <c r="B87" s="12">
        <f t="shared" si="4"/>
        <v>7</v>
      </c>
      <c r="C87" s="108">
        <f t="shared" si="3"/>
        <v>42572</v>
      </c>
      <c r="D87" s="108" t="s">
        <v>561</v>
      </c>
      <c r="E87" s="113">
        <v>42572</v>
      </c>
      <c r="F87" s="112" t="s">
        <v>512</v>
      </c>
      <c r="G87" s="303" t="s">
        <v>708</v>
      </c>
      <c r="H87" s="4" t="s">
        <v>618</v>
      </c>
      <c r="I87" s="139">
        <v>102</v>
      </c>
      <c r="J87" s="139">
        <v>7900</v>
      </c>
      <c r="K87" s="13">
        <f>ROUND(I87*J87,0)</f>
        <v>805800</v>
      </c>
      <c r="L87" s="116" t="s">
        <v>252</v>
      </c>
      <c r="M87" s="411" t="s">
        <v>169</v>
      </c>
      <c r="N87" s="22" t="str">
        <f>IF(AND('331-CT'!$E$7=TH!H87,OR(L87="331",M87="331")),"331",IF(AND(OR(L87="131",M87="131"),H87='131-CT'!$E$7),"131",""))</f>
        <v/>
      </c>
      <c r="O87" s="22" t="str">
        <f>IF(AND($B87&gt;='111'!$N$11,$B87&lt;='111'!$O$11,OR($L87=$O$7,$M87=$O$7)),"x","")</f>
        <v/>
      </c>
      <c r="P87" s="22" t="str">
        <f>IF(AND($L87=$O$7,$B87&lt;'111'!$N$11),"x","")</f>
        <v/>
      </c>
      <c r="Q87" s="22" t="str">
        <f>IF(AND($M87=$O$7,$B87&lt;'111'!$N$11),"x","")</f>
        <v/>
      </c>
      <c r="R87" s="22" t="str">
        <f>IF(ISERROR(FIND('112'!$M$9,G87,1)),"",IF((AND(FIND('112'!$M$9,G87,1)&gt;=1,$B87&gt;='112'!$N$8,$B87&lt;='112'!$O$8,OR($L87='112'!$I$6,$M87='112'!$I$6))),"x",""))</f>
        <v/>
      </c>
      <c r="S87" s="22" t="str">
        <f>IF(ISERROR(FIND('112'!$M$9,G87,1)),"",IF((AND(LEFT(G87,2)=LEFT('112'!$M$9,2),B87&lt;'112'!$N$8,$L87='112'!$I$6)),"x",""))</f>
        <v/>
      </c>
      <c r="T87" s="22" t="str">
        <f>IF(ISERROR(FIND('112'!$M$9,G87,1)),"",IF((AND(RIGHT(G87,2)=RIGHT('112'!$M$9,2),B87&lt;'112'!$N$8,$M87='112'!$I$6)),"x",""))</f>
        <v/>
      </c>
      <c r="U87" s="22" t="str">
        <f>IF(AND(B87&gt;='IN-NX'!$P$3,B87&lt;='IN-NX'!$Q$3,'IN-NX'!$D$7=D87,OR(LEFT(L87,2)="15",AND(LEFT(M87,2)&lt;&gt;"15",LEFT(M87,2)&lt;&gt;"33"))),"x","")</f>
        <v/>
      </c>
      <c r="V87" s="22" t="str">
        <f>IF(AND(OR(LEFT(TH!L87,2)="15",LEFT(TH!M87,2)="15"),'152-CT'!$J$8=TH!F87),"x","")</f>
        <v/>
      </c>
      <c r="W87" s="22" t="str">
        <f>IF(AND(OR(LEFT(TH!L87,2)="15",LEFT(TH!M87,2)="15"),TK!$E$7=TH!F87),"x","")</f>
        <v/>
      </c>
      <c r="X87" s="22" t="str">
        <f>IF(OR(TH!L87=TH!$X$7,M87=TH!$X$7),"x","")</f>
        <v/>
      </c>
      <c r="Y87" s="22" t="str">
        <f>IF(AND(B87&lt;=NKC!$N$8,B87&gt;=NKC!$M$8),"x","")</f>
        <v>x</v>
      </c>
      <c r="Z87" s="580"/>
      <c r="AD87" s="130"/>
      <c r="AE87" s="130"/>
    </row>
    <row r="88" spans="1:31" s="406" customFormat="1" ht="15.75" customHeight="1">
      <c r="A88" s="123" t="str">
        <f>IF(B88&lt;&gt;"",IF(AND(B88&gt;=_TM1,B88&lt;=_TM2,OR(TH!L89="1111",TH!M89="1111")),TH!D89,""),"")</f>
        <v/>
      </c>
      <c r="B88" s="12">
        <f t="shared" si="4"/>
        <v>7</v>
      </c>
      <c r="C88" s="108">
        <f t="shared" si="3"/>
        <v>42572</v>
      </c>
      <c r="D88" s="108" t="s">
        <v>561</v>
      </c>
      <c r="E88" s="113">
        <v>42572</v>
      </c>
      <c r="F88" s="112" t="s">
        <v>511</v>
      </c>
      <c r="G88" s="303" t="s">
        <v>708</v>
      </c>
      <c r="H88" s="4" t="s">
        <v>618</v>
      </c>
      <c r="I88" s="139">
        <v>103</v>
      </c>
      <c r="J88" s="139">
        <v>12900</v>
      </c>
      <c r="K88" s="13">
        <f>ROUND(I88*J88,0)</f>
        <v>1328700</v>
      </c>
      <c r="L88" s="116" t="s">
        <v>252</v>
      </c>
      <c r="M88" s="411" t="s">
        <v>169</v>
      </c>
      <c r="N88" s="22" t="str">
        <f>IF(AND('331-CT'!$E$7=TH!H88,OR(L88="331",M88="331")),"331",IF(AND(OR(L88="131",M88="131"),H88='131-CT'!$E$7),"131",""))</f>
        <v/>
      </c>
      <c r="O88" s="22" t="str">
        <f>IF(AND($B88&gt;='111'!$N$11,$B88&lt;='111'!$O$11,OR($L88=$O$7,$M88=$O$7)),"x","")</f>
        <v/>
      </c>
      <c r="P88" s="22" t="str">
        <f>IF(AND($L88=$O$7,$B88&lt;'111'!$N$11),"x","")</f>
        <v/>
      </c>
      <c r="Q88" s="22" t="str">
        <f>IF(AND($M88=$O$7,$B88&lt;'111'!$N$11),"x","")</f>
        <v/>
      </c>
      <c r="R88" s="22" t="str">
        <f>IF(ISERROR(FIND('112'!$M$9,G88,1)),"",IF((AND(FIND('112'!$M$9,G88,1)&gt;=1,$B88&gt;='112'!$N$8,$B88&lt;='112'!$O$8,OR($L88='112'!$I$6,$M88='112'!$I$6))),"x",""))</f>
        <v/>
      </c>
      <c r="S88" s="22" t="str">
        <f>IF(ISERROR(FIND('112'!$M$9,G88,1)),"",IF((AND(LEFT(G88,2)=LEFT('112'!$M$9,2),B88&lt;'112'!$N$8,$L88='112'!$I$6)),"x",""))</f>
        <v/>
      </c>
      <c r="T88" s="22" t="str">
        <f>IF(ISERROR(FIND('112'!$M$9,G88,1)),"",IF((AND(RIGHT(G88,2)=RIGHT('112'!$M$9,2),B88&lt;'112'!$N$8,$M88='112'!$I$6)),"x",""))</f>
        <v/>
      </c>
      <c r="U88" s="22" t="str">
        <f>IF(AND(B88&gt;='IN-NX'!$P$3,B88&lt;='IN-NX'!$Q$3,'IN-NX'!$D$7=D88,OR(LEFT(L88,2)="15",AND(LEFT(M88,2)&lt;&gt;"15",LEFT(M88,2)&lt;&gt;"33"))),"x","")</f>
        <v/>
      </c>
      <c r="V88" s="22" t="str">
        <f>IF(AND(OR(LEFT(TH!L88,2)="15",LEFT(TH!M88,2)="15"),'152-CT'!$J$8=TH!F88),"x","")</f>
        <v/>
      </c>
      <c r="W88" s="22" t="str">
        <f>IF(AND(OR(LEFT(TH!L88,2)="15",LEFT(TH!M88,2)="15"),TK!$E$7=TH!F88),"x","")</f>
        <v/>
      </c>
      <c r="X88" s="22" t="str">
        <f>IF(OR(TH!L88=TH!$X$7,M88=TH!$X$7),"x","")</f>
        <v/>
      </c>
      <c r="Y88" s="22" t="str">
        <f>IF(AND(B88&lt;=NKC!$N$8,B88&gt;=NKC!$M$8),"x","")</f>
        <v>x</v>
      </c>
      <c r="Z88" s="580"/>
      <c r="AB88" s="130"/>
      <c r="AC88" s="130"/>
      <c r="AD88" s="130"/>
      <c r="AE88" s="130"/>
    </row>
    <row r="89" spans="1:31" s="406" customFormat="1" ht="15.75" customHeight="1">
      <c r="A89" s="123" t="str">
        <f>IF(B89&lt;&gt;"",IF(AND(B89&gt;=_TM1,B89&lt;=_TM2,OR(TH!L90="1111",TH!M90="1111")),TH!D90,""),"")</f>
        <v/>
      </c>
      <c r="B89" s="12">
        <f t="shared" si="4"/>
        <v>7</v>
      </c>
      <c r="C89" s="108">
        <f t="shared" ref="C89:C152" si="5">E89</f>
        <v>42572</v>
      </c>
      <c r="D89" s="108" t="s">
        <v>561</v>
      </c>
      <c r="E89" s="113">
        <v>42572</v>
      </c>
      <c r="F89" s="112" t="s">
        <v>496</v>
      </c>
      <c r="G89" s="303" t="s">
        <v>708</v>
      </c>
      <c r="H89" s="4" t="s">
        <v>618</v>
      </c>
      <c r="I89" s="139"/>
      <c r="J89" s="139"/>
      <c r="K89" s="13">
        <v>213450</v>
      </c>
      <c r="L89" s="116" t="s">
        <v>252</v>
      </c>
      <c r="M89" s="411" t="s">
        <v>352</v>
      </c>
      <c r="N89" s="22" t="str">
        <f>IF(AND('331-CT'!$E$7=TH!H89,OR(L89="331",M89="331")),"331",IF(AND(OR(L89="131",M89="131"),H89='131-CT'!$E$7),"131",""))</f>
        <v/>
      </c>
      <c r="O89" s="22" t="str">
        <f>IF(AND($B89&gt;='111'!$N$11,$B89&lt;='111'!$O$11,OR($L89=$O$7,$M89=$O$7)),"x","")</f>
        <v/>
      </c>
      <c r="P89" s="22" t="str">
        <f>IF(AND($L89=$O$7,$B89&lt;'111'!$N$11),"x","")</f>
        <v/>
      </c>
      <c r="Q89" s="22" t="str">
        <f>IF(AND($M89=$O$7,$B89&lt;'111'!$N$11),"x","")</f>
        <v/>
      </c>
      <c r="R89" s="22" t="str">
        <f>IF(ISERROR(FIND('112'!$M$9,G89,1)),"",IF((AND(FIND('112'!$M$9,G89,1)&gt;=1,$B89&gt;='112'!$N$8,$B89&lt;='112'!$O$8,OR($L89='112'!$I$6,$M89='112'!$I$6))),"x",""))</f>
        <v/>
      </c>
      <c r="S89" s="22" t="str">
        <f>IF(ISERROR(FIND('112'!$M$9,G89,1)),"",IF((AND(LEFT(G89,2)=LEFT('112'!$M$9,2),B89&lt;'112'!$N$8,$L89='112'!$I$6)),"x",""))</f>
        <v/>
      </c>
      <c r="T89" s="22" t="str">
        <f>IF(ISERROR(FIND('112'!$M$9,G89,1)),"",IF((AND(RIGHT(G89,2)=RIGHT('112'!$M$9,2),B89&lt;'112'!$N$8,$M89='112'!$I$6)),"x",""))</f>
        <v/>
      </c>
      <c r="U89" s="22" t="str">
        <f>IF(AND(B89&gt;='IN-NX'!$P$3,B89&lt;='IN-NX'!$Q$3,'IN-NX'!$D$7=D89,OR(LEFT(L89,2)="15",AND(LEFT(M89,2)&lt;&gt;"15",LEFT(M89,2)&lt;&gt;"33"))),"x","")</f>
        <v/>
      </c>
      <c r="V89" s="22" t="str">
        <f>IF(AND(OR(LEFT(TH!L89,2)="15",LEFT(TH!M89,2)="15"),'152-CT'!$J$8=TH!F89),"x","")</f>
        <v/>
      </c>
      <c r="W89" s="22" t="str">
        <f>IF(AND(OR(LEFT(TH!L89,2)="15",LEFT(TH!M89,2)="15"),TK!$E$7=TH!F89),"x","")</f>
        <v/>
      </c>
      <c r="X89" s="22" t="str">
        <f>IF(OR(TH!L89=TH!$X$7,M89=TH!$X$7),"x","")</f>
        <v/>
      </c>
      <c r="Y89" s="22" t="str">
        <f>IF(AND(B89&lt;=NKC!$N$8,B89&gt;=NKC!$M$8),"x","")</f>
        <v>x</v>
      </c>
      <c r="Z89" s="580"/>
      <c r="AC89" s="130"/>
      <c r="AD89" s="130"/>
      <c r="AE89" s="130"/>
    </row>
    <row r="90" spans="1:31" s="406" customFormat="1" ht="15.75" customHeight="1">
      <c r="A90" s="123" t="str">
        <f>IF(B90&lt;&gt;"",IF(AND(B90&gt;=_TM1,B90&lt;=_TM2,OR(TH!L91="1111",TH!M91="1111")),TH!D91,""),"")</f>
        <v/>
      </c>
      <c r="B90" s="12">
        <f t="shared" si="4"/>
        <v>7</v>
      </c>
      <c r="C90" s="108">
        <f t="shared" si="5"/>
        <v>42573</v>
      </c>
      <c r="D90" s="108" t="s">
        <v>562</v>
      </c>
      <c r="E90" s="113">
        <v>42573</v>
      </c>
      <c r="F90" s="112" t="s">
        <v>646</v>
      </c>
      <c r="G90" s="303" t="s">
        <v>709</v>
      </c>
      <c r="H90" s="4" t="s">
        <v>372</v>
      </c>
      <c r="I90" s="139">
        <v>250</v>
      </c>
      <c r="J90" s="139">
        <v>12400</v>
      </c>
      <c r="K90" s="13">
        <f>ROUND(I90*J90,0)</f>
        <v>3100000</v>
      </c>
      <c r="L90" s="116" t="s">
        <v>252</v>
      </c>
      <c r="M90" s="411" t="s">
        <v>169</v>
      </c>
      <c r="N90" s="22" t="str">
        <f>IF(AND('331-CT'!$E$7=TH!H90,OR(L90="331",M90="331")),"331",IF(AND(OR(L90="131",M90="131"),H90='131-CT'!$E$7),"131",""))</f>
        <v/>
      </c>
      <c r="O90" s="22" t="str">
        <f>IF(AND($B90&gt;='111'!$N$11,$B90&lt;='111'!$O$11,OR($L90=$O$7,$M90=$O$7)),"x","")</f>
        <v/>
      </c>
      <c r="P90" s="22" t="str">
        <f>IF(AND($L90=$O$7,$B90&lt;'111'!$N$11),"x","")</f>
        <v/>
      </c>
      <c r="Q90" s="22" t="str">
        <f>IF(AND($M90=$O$7,$B90&lt;'111'!$N$11),"x","")</f>
        <v/>
      </c>
      <c r="R90" s="22" t="str">
        <f>IF(ISERROR(FIND('112'!$M$9,G90,1)),"",IF((AND(FIND('112'!$M$9,G90,1)&gt;=1,$B90&gt;='112'!$N$8,$B90&lt;='112'!$O$8,OR($L90='112'!$I$6,$M90='112'!$I$6))),"x",""))</f>
        <v/>
      </c>
      <c r="S90" s="22" t="str">
        <f>IF(ISERROR(FIND('112'!$M$9,G90,1)),"",IF((AND(LEFT(G90,2)=LEFT('112'!$M$9,2),B90&lt;'112'!$N$8,$L90='112'!$I$6)),"x",""))</f>
        <v/>
      </c>
      <c r="T90" s="22" t="str">
        <f>IF(ISERROR(FIND('112'!$M$9,G90,1)),"",IF((AND(RIGHT(G90,2)=RIGHT('112'!$M$9,2),B90&lt;'112'!$N$8,$M90='112'!$I$6)),"x",""))</f>
        <v/>
      </c>
      <c r="U90" s="22" t="str">
        <f>IF(AND(B90&gt;='IN-NX'!$P$3,B90&lt;='IN-NX'!$Q$3,'IN-NX'!$D$7=D90,OR(LEFT(L90,2)="15",AND(LEFT(M90,2)&lt;&gt;"15",LEFT(M90,2)&lt;&gt;"33"))),"x","")</f>
        <v/>
      </c>
      <c r="V90" s="22" t="str">
        <f>IF(AND(OR(LEFT(TH!L90,2)="15",LEFT(TH!M90,2)="15"),'152-CT'!$J$8=TH!F90),"x","")</f>
        <v/>
      </c>
      <c r="W90" s="22" t="str">
        <f>IF(AND(OR(LEFT(TH!L90,2)="15",LEFT(TH!M90,2)="15"),TK!$E$7=TH!F90),"x","")</f>
        <v/>
      </c>
      <c r="X90" s="22" t="str">
        <f>IF(OR(TH!L90=TH!$X$7,M90=TH!$X$7),"x","")</f>
        <v/>
      </c>
      <c r="Y90" s="22" t="str">
        <f>IF(AND(B90&lt;=NKC!$N$8,B90&gt;=NKC!$M$8),"x","")</f>
        <v>x</v>
      </c>
      <c r="Z90" s="580"/>
      <c r="AC90" s="130"/>
      <c r="AD90" s="130"/>
      <c r="AE90" s="130"/>
    </row>
    <row r="91" spans="1:31" s="406" customFormat="1" ht="15.75" customHeight="1">
      <c r="A91" s="123" t="str">
        <f>IF(B91&lt;&gt;"",IF(AND(B91&gt;=_TM1,B91&lt;=_TM2,OR(TH!L92="1111",TH!M92="1111")),TH!D92,""),"")</f>
        <v/>
      </c>
      <c r="B91" s="12">
        <f t="shared" si="4"/>
        <v>7</v>
      </c>
      <c r="C91" s="108">
        <f t="shared" si="5"/>
        <v>42573</v>
      </c>
      <c r="D91" s="108" t="s">
        <v>562</v>
      </c>
      <c r="E91" s="113">
        <v>42573</v>
      </c>
      <c r="F91" s="112" t="s">
        <v>647</v>
      </c>
      <c r="G91" s="303" t="s">
        <v>709</v>
      </c>
      <c r="H91" s="4" t="s">
        <v>372</v>
      </c>
      <c r="I91" s="139">
        <v>200</v>
      </c>
      <c r="J91" s="139">
        <v>14200</v>
      </c>
      <c r="K91" s="13">
        <f>ROUND(I91*J91,0)</f>
        <v>2840000</v>
      </c>
      <c r="L91" s="116" t="s">
        <v>252</v>
      </c>
      <c r="M91" s="411" t="s">
        <v>169</v>
      </c>
      <c r="N91" s="22" t="str">
        <f>IF(AND('331-CT'!$E$7=TH!H91,OR(L91="331",M91="331")),"331",IF(AND(OR(L91="131",M91="131"),H91='131-CT'!$E$7),"131",""))</f>
        <v/>
      </c>
      <c r="O91" s="22" t="str">
        <f>IF(AND($B91&gt;='111'!$N$11,$B91&lt;='111'!$O$11,OR($L91=$O$7,$M91=$O$7)),"x","")</f>
        <v/>
      </c>
      <c r="P91" s="22" t="str">
        <f>IF(AND($L91=$O$7,$B91&lt;'111'!$N$11),"x","")</f>
        <v/>
      </c>
      <c r="Q91" s="22" t="str">
        <f>IF(AND($M91=$O$7,$B91&lt;'111'!$N$11),"x","")</f>
        <v/>
      </c>
      <c r="R91" s="22" t="str">
        <f>IF(ISERROR(FIND('112'!$M$9,G91,1)),"",IF((AND(FIND('112'!$M$9,G91,1)&gt;=1,$B91&gt;='112'!$N$8,$B91&lt;='112'!$O$8,OR($L91='112'!$I$6,$M91='112'!$I$6))),"x",""))</f>
        <v/>
      </c>
      <c r="S91" s="22" t="str">
        <f>IF(ISERROR(FIND('112'!$M$9,G91,1)),"",IF((AND(LEFT(G91,2)=LEFT('112'!$M$9,2),B91&lt;'112'!$N$8,$L91='112'!$I$6)),"x",""))</f>
        <v/>
      </c>
      <c r="T91" s="22" t="str">
        <f>IF(ISERROR(FIND('112'!$M$9,G91,1)),"",IF((AND(RIGHT(G91,2)=RIGHT('112'!$M$9,2),B91&lt;'112'!$N$8,$M91='112'!$I$6)),"x",""))</f>
        <v/>
      </c>
      <c r="U91" s="22" t="str">
        <f>IF(AND(B91&gt;='IN-NX'!$P$3,B91&lt;='IN-NX'!$Q$3,'IN-NX'!$D$7=D91,OR(LEFT(L91,2)="15",AND(LEFT(M91,2)&lt;&gt;"15",LEFT(M91,2)&lt;&gt;"33"))),"x","")</f>
        <v/>
      </c>
      <c r="V91" s="22" t="str">
        <f>IF(AND(OR(LEFT(TH!L91,2)="15",LEFT(TH!M91,2)="15"),'152-CT'!$J$8=TH!F91),"x","")</f>
        <v/>
      </c>
      <c r="W91" s="22" t="str">
        <f>IF(AND(OR(LEFT(TH!L91,2)="15",LEFT(TH!M91,2)="15"),TK!$E$7=TH!F91),"x","")</f>
        <v/>
      </c>
      <c r="X91" s="22" t="str">
        <f>IF(OR(TH!L91=TH!$X$7,M91=TH!$X$7),"x","")</f>
        <v/>
      </c>
      <c r="Y91" s="22" t="str">
        <f>IF(AND(B91&lt;=NKC!$N$8,B91&gt;=NKC!$M$8),"x","")</f>
        <v>x</v>
      </c>
      <c r="Z91" s="580"/>
      <c r="AD91" s="130"/>
      <c r="AE91" s="130"/>
    </row>
    <row r="92" spans="1:31" s="406" customFormat="1" ht="15.75" customHeight="1">
      <c r="A92" s="123" t="str">
        <f>IF(B92&lt;&gt;"",IF(AND(B92&gt;=_TM1,B92&lt;=_TM2,OR(TH!L93="1111",TH!M93="1111")),TH!D93,""),"")</f>
        <v/>
      </c>
      <c r="B92" s="12">
        <f t="shared" si="4"/>
        <v>7</v>
      </c>
      <c r="C92" s="108">
        <f t="shared" si="5"/>
        <v>42573</v>
      </c>
      <c r="D92" s="108" t="s">
        <v>562</v>
      </c>
      <c r="E92" s="113">
        <v>42573</v>
      </c>
      <c r="F92" s="112" t="s">
        <v>648</v>
      </c>
      <c r="G92" s="303" t="s">
        <v>709</v>
      </c>
      <c r="H92" s="4" t="s">
        <v>372</v>
      </c>
      <c r="I92" s="139">
        <v>300</v>
      </c>
      <c r="J92" s="139">
        <v>16500</v>
      </c>
      <c r="K92" s="13">
        <f>ROUND(I92*J92,0)</f>
        <v>4950000</v>
      </c>
      <c r="L92" s="116" t="s">
        <v>252</v>
      </c>
      <c r="M92" s="411" t="s">
        <v>169</v>
      </c>
      <c r="N92" s="22" t="str">
        <f>IF(AND('331-CT'!$E$7=TH!H92,OR(L92="331",M92="331")),"331",IF(AND(OR(L92="131",M92="131"),H92='131-CT'!$E$7),"131",""))</f>
        <v/>
      </c>
      <c r="O92" s="22" t="str">
        <f>IF(AND($B92&gt;='111'!$N$11,$B92&lt;='111'!$O$11,OR($L92=$O$7,$M92=$O$7)),"x","")</f>
        <v/>
      </c>
      <c r="P92" s="22" t="str">
        <f>IF(AND($L92=$O$7,$B92&lt;'111'!$N$11),"x","")</f>
        <v/>
      </c>
      <c r="Q92" s="22" t="str">
        <f>IF(AND($M92=$O$7,$B92&lt;'111'!$N$11),"x","")</f>
        <v/>
      </c>
      <c r="R92" s="22" t="str">
        <f>IF(ISERROR(FIND('112'!$M$9,G92,1)),"",IF((AND(FIND('112'!$M$9,G92,1)&gt;=1,$B92&gt;='112'!$N$8,$B92&lt;='112'!$O$8,OR($L92='112'!$I$6,$M92='112'!$I$6))),"x",""))</f>
        <v/>
      </c>
      <c r="S92" s="22" t="str">
        <f>IF(ISERROR(FIND('112'!$M$9,G92,1)),"",IF((AND(LEFT(G92,2)=LEFT('112'!$M$9,2),B92&lt;'112'!$N$8,$L92='112'!$I$6)),"x",""))</f>
        <v/>
      </c>
      <c r="T92" s="22" t="str">
        <f>IF(ISERROR(FIND('112'!$M$9,G92,1)),"",IF((AND(RIGHT(G92,2)=RIGHT('112'!$M$9,2),B92&lt;'112'!$N$8,$M92='112'!$I$6)),"x",""))</f>
        <v/>
      </c>
      <c r="U92" s="22" t="str">
        <f>IF(AND(B92&gt;='IN-NX'!$P$3,B92&lt;='IN-NX'!$Q$3,'IN-NX'!$D$7=D92,OR(LEFT(L92,2)="15",AND(LEFT(M92,2)&lt;&gt;"15",LEFT(M92,2)&lt;&gt;"33"))),"x","")</f>
        <v/>
      </c>
      <c r="V92" s="22" t="str">
        <f>IF(AND(OR(LEFT(TH!L92,2)="15",LEFT(TH!M92,2)="15"),'152-CT'!$J$8=TH!F92),"x","")</f>
        <v/>
      </c>
      <c r="W92" s="22" t="str">
        <f>IF(AND(OR(LEFT(TH!L92,2)="15",LEFT(TH!M92,2)="15"),TK!$E$7=TH!F92),"x","")</f>
        <v/>
      </c>
      <c r="X92" s="22" t="str">
        <f>IF(OR(TH!L92=TH!$X$7,M92=TH!$X$7),"x","")</f>
        <v/>
      </c>
      <c r="Y92" s="22" t="str">
        <f>IF(AND(B92&lt;=NKC!$N$8,B92&gt;=NKC!$M$8),"x","")</f>
        <v>x</v>
      </c>
      <c r="Z92" s="580"/>
      <c r="AC92" s="130"/>
      <c r="AD92" s="130"/>
      <c r="AE92" s="130"/>
    </row>
    <row r="93" spans="1:31" s="406" customFormat="1" ht="15.75" customHeight="1">
      <c r="A93" s="123" t="str">
        <f>IF(B93&lt;&gt;"",IF(AND(B93&gt;=_TM1,B93&lt;=_TM2,OR(TH!L94="1111",TH!M94="1111")),TH!D94,""),"")</f>
        <v/>
      </c>
      <c r="B93" s="12">
        <f t="shared" si="4"/>
        <v>7</v>
      </c>
      <c r="C93" s="108">
        <f t="shared" si="5"/>
        <v>42573</v>
      </c>
      <c r="D93" s="108" t="s">
        <v>562</v>
      </c>
      <c r="E93" s="113">
        <v>42573</v>
      </c>
      <c r="F93" s="112" t="s">
        <v>649</v>
      </c>
      <c r="G93" s="303" t="s">
        <v>709</v>
      </c>
      <c r="H93" s="4" t="s">
        <v>372</v>
      </c>
      <c r="I93" s="139">
        <v>300</v>
      </c>
      <c r="J93" s="139">
        <v>24500</v>
      </c>
      <c r="K93" s="13">
        <f>ROUND(I93*J93,0)</f>
        <v>7350000</v>
      </c>
      <c r="L93" s="116" t="s">
        <v>252</v>
      </c>
      <c r="M93" s="411" t="s">
        <v>169</v>
      </c>
      <c r="N93" s="22" t="str">
        <f>IF(AND('331-CT'!$E$7=TH!H93,OR(L93="331",M93="331")),"331",IF(AND(OR(L93="131",M93="131"),H93='131-CT'!$E$7),"131",""))</f>
        <v/>
      </c>
      <c r="O93" s="22" t="str">
        <f>IF(AND($B93&gt;='111'!$N$11,$B93&lt;='111'!$O$11,OR($L93=$O$7,$M93=$O$7)),"x","")</f>
        <v/>
      </c>
      <c r="P93" s="22" t="str">
        <f>IF(AND($L93=$O$7,$B93&lt;'111'!$N$11),"x","")</f>
        <v/>
      </c>
      <c r="Q93" s="22" t="str">
        <f>IF(AND($M93=$O$7,$B93&lt;'111'!$N$11),"x","")</f>
        <v/>
      </c>
      <c r="R93" s="22" t="str">
        <f>IF(ISERROR(FIND('112'!$M$9,G93,1)),"",IF((AND(FIND('112'!$M$9,G93,1)&gt;=1,$B93&gt;='112'!$N$8,$B93&lt;='112'!$O$8,OR($L93='112'!$I$6,$M93='112'!$I$6))),"x",""))</f>
        <v/>
      </c>
      <c r="S93" s="22" t="str">
        <f>IF(ISERROR(FIND('112'!$M$9,G93,1)),"",IF((AND(LEFT(G93,2)=LEFT('112'!$M$9,2),B93&lt;'112'!$N$8,$L93='112'!$I$6)),"x",""))</f>
        <v/>
      </c>
      <c r="T93" s="22" t="str">
        <f>IF(ISERROR(FIND('112'!$M$9,G93,1)),"",IF((AND(RIGHT(G93,2)=RIGHT('112'!$M$9,2),B93&lt;'112'!$N$8,$M93='112'!$I$6)),"x",""))</f>
        <v/>
      </c>
      <c r="U93" s="22" t="str">
        <f>IF(AND(B93&gt;='IN-NX'!$P$3,B93&lt;='IN-NX'!$Q$3,'IN-NX'!$D$7=D93,OR(LEFT(L93,2)="15",AND(LEFT(M93,2)&lt;&gt;"15",LEFT(M93,2)&lt;&gt;"33"))),"x","")</f>
        <v/>
      </c>
      <c r="V93" s="22" t="str">
        <f>IF(AND(OR(LEFT(TH!L93,2)="15",LEFT(TH!M93,2)="15"),'152-CT'!$J$8=TH!F93),"x","")</f>
        <v/>
      </c>
      <c r="W93" s="22" t="str">
        <f>IF(AND(OR(LEFT(TH!L93,2)="15",LEFT(TH!M93,2)="15"),TK!$E$7=TH!F93),"x","")</f>
        <v/>
      </c>
      <c r="X93" s="22" t="str">
        <f>IF(OR(TH!L93=TH!$X$7,M93=TH!$X$7),"x","")</f>
        <v/>
      </c>
      <c r="Y93" s="22" t="str">
        <f>IF(AND(B93&lt;=NKC!$N$8,B93&gt;=NKC!$M$8),"x","")</f>
        <v>x</v>
      </c>
      <c r="Z93" s="580"/>
      <c r="AB93" s="130"/>
      <c r="AC93" s="130"/>
      <c r="AD93" s="130"/>
      <c r="AE93" s="130"/>
    </row>
    <row r="94" spans="1:31" s="406" customFormat="1" ht="15.75" customHeight="1">
      <c r="A94" s="123" t="str">
        <f>IF(B94&lt;&gt;"",IF(AND(B94&gt;=_TM1,B94&lt;=_TM2,OR(TH!L95="1111",TH!M95="1111")),TH!D95,""),"")</f>
        <v/>
      </c>
      <c r="B94" s="12">
        <f t="shared" si="4"/>
        <v>7</v>
      </c>
      <c r="C94" s="108">
        <f t="shared" si="5"/>
        <v>42573</v>
      </c>
      <c r="D94" s="108" t="s">
        <v>562</v>
      </c>
      <c r="E94" s="113">
        <v>42573</v>
      </c>
      <c r="F94" s="112" t="s">
        <v>819</v>
      </c>
      <c r="G94" s="303" t="s">
        <v>709</v>
      </c>
      <c r="H94" s="4" t="s">
        <v>372</v>
      </c>
      <c r="I94" s="139">
        <v>200</v>
      </c>
      <c r="J94" s="139">
        <v>25500</v>
      </c>
      <c r="K94" s="13">
        <f>ROUND(I94*J94,0)</f>
        <v>5100000</v>
      </c>
      <c r="L94" s="116" t="s">
        <v>252</v>
      </c>
      <c r="M94" s="411" t="s">
        <v>169</v>
      </c>
      <c r="N94" s="22" t="str">
        <f>IF(AND('331-CT'!$E$7=TH!H94,OR(L94="331",M94="331")),"331",IF(AND(OR(L94="131",M94="131"),H94='131-CT'!$E$7),"131",""))</f>
        <v/>
      </c>
      <c r="O94" s="22" t="str">
        <f>IF(AND($B94&gt;='111'!$N$11,$B94&lt;='111'!$O$11,OR($L94=$O$7,$M94=$O$7)),"x","")</f>
        <v/>
      </c>
      <c r="P94" s="22" t="str">
        <f>IF(AND($L94=$O$7,$B94&lt;'111'!$N$11),"x","")</f>
        <v/>
      </c>
      <c r="Q94" s="22" t="str">
        <f>IF(AND($M94=$O$7,$B94&lt;'111'!$N$11),"x","")</f>
        <v/>
      </c>
      <c r="R94" s="22" t="str">
        <f>IF(ISERROR(FIND('112'!$M$9,G94,1)),"",IF((AND(FIND('112'!$M$9,G94,1)&gt;=1,$B94&gt;='112'!$N$8,$B94&lt;='112'!$O$8,OR($L94='112'!$I$6,$M94='112'!$I$6))),"x",""))</f>
        <v/>
      </c>
      <c r="S94" s="22" t="str">
        <f>IF(ISERROR(FIND('112'!$M$9,G94,1)),"",IF((AND(LEFT(G94,2)=LEFT('112'!$M$9,2),B94&lt;'112'!$N$8,$L94='112'!$I$6)),"x",""))</f>
        <v/>
      </c>
      <c r="T94" s="22" t="str">
        <f>IF(ISERROR(FIND('112'!$M$9,G94,1)),"",IF((AND(RIGHT(G94,2)=RIGHT('112'!$M$9,2),B94&lt;'112'!$N$8,$M94='112'!$I$6)),"x",""))</f>
        <v/>
      </c>
      <c r="U94" s="22" t="str">
        <f>IF(AND(B94&gt;='IN-NX'!$P$3,B94&lt;='IN-NX'!$Q$3,'IN-NX'!$D$7=D94,OR(LEFT(L94,2)="15",AND(LEFT(M94,2)&lt;&gt;"15",LEFT(M94,2)&lt;&gt;"33"))),"x","")</f>
        <v/>
      </c>
      <c r="V94" s="22" t="str">
        <f>IF(AND(OR(LEFT(TH!L94,2)="15",LEFT(TH!M94,2)="15"),'152-CT'!$J$8=TH!F94),"x","")</f>
        <v/>
      </c>
      <c r="W94" s="22" t="str">
        <f>IF(AND(OR(LEFT(TH!L94,2)="15",LEFT(TH!M94,2)="15"),TK!$E$7=TH!F94),"x","")</f>
        <v/>
      </c>
      <c r="X94" s="22" t="str">
        <f>IF(OR(TH!L94=TH!$X$7,M94=TH!$X$7),"x","")</f>
        <v/>
      </c>
      <c r="Y94" s="22" t="str">
        <f>IF(AND(B94&lt;=NKC!$N$8,B94&gt;=NKC!$M$8),"x","")</f>
        <v>x</v>
      </c>
      <c r="Z94" s="580"/>
      <c r="AC94" s="130"/>
      <c r="AD94" s="130"/>
      <c r="AE94" s="130"/>
    </row>
    <row r="95" spans="1:31" s="406" customFormat="1" ht="15.75" customHeight="1">
      <c r="A95" s="123" t="str">
        <f>IF(B95&lt;&gt;"",IF(AND(B95&gt;=_TM1,B95&lt;=_TM2,OR(TH!L96="1111",TH!M96="1111")),TH!D96,""),"")</f>
        <v/>
      </c>
      <c r="B95" s="12">
        <f t="shared" si="4"/>
        <v>7</v>
      </c>
      <c r="C95" s="108">
        <f t="shared" si="5"/>
        <v>42573</v>
      </c>
      <c r="D95" s="108" t="s">
        <v>562</v>
      </c>
      <c r="E95" s="113">
        <v>42573</v>
      </c>
      <c r="F95" s="112" t="s">
        <v>496</v>
      </c>
      <c r="G95" s="303" t="s">
        <v>709</v>
      </c>
      <c r="H95" s="4" t="s">
        <v>372</v>
      </c>
      <c r="I95" s="139"/>
      <c r="J95" s="139"/>
      <c r="K95" s="13">
        <v>2334000</v>
      </c>
      <c r="L95" s="116" t="s">
        <v>252</v>
      </c>
      <c r="M95" s="411" t="s">
        <v>352</v>
      </c>
      <c r="N95" s="22" t="str">
        <f>IF(AND('331-CT'!$E$7=TH!H95,OR(L95="331",M95="331")),"331",IF(AND(OR(L95="131",M95="131"),H95='131-CT'!$E$7),"131",""))</f>
        <v/>
      </c>
      <c r="O95" s="22" t="str">
        <f>IF(AND($B95&gt;='111'!$N$11,$B95&lt;='111'!$O$11,OR($L95=$O$7,$M95=$O$7)),"x","")</f>
        <v/>
      </c>
      <c r="P95" s="22" t="str">
        <f>IF(AND($L95=$O$7,$B95&lt;'111'!$N$11),"x","")</f>
        <v/>
      </c>
      <c r="Q95" s="22" t="str">
        <f>IF(AND($M95=$O$7,$B95&lt;'111'!$N$11),"x","")</f>
        <v/>
      </c>
      <c r="R95" s="22" t="str">
        <f>IF(ISERROR(FIND('112'!$M$9,G95,1)),"",IF((AND(FIND('112'!$M$9,G95,1)&gt;=1,$B95&gt;='112'!$N$8,$B95&lt;='112'!$O$8,OR($L95='112'!$I$6,$M95='112'!$I$6))),"x",""))</f>
        <v/>
      </c>
      <c r="S95" s="22" t="str">
        <f>IF(ISERROR(FIND('112'!$M$9,G95,1)),"",IF((AND(LEFT(G95,2)=LEFT('112'!$M$9,2),B95&lt;'112'!$N$8,$L95='112'!$I$6)),"x",""))</f>
        <v/>
      </c>
      <c r="T95" s="22" t="str">
        <f>IF(ISERROR(FIND('112'!$M$9,G95,1)),"",IF((AND(RIGHT(G95,2)=RIGHT('112'!$M$9,2),B95&lt;'112'!$N$8,$M95='112'!$I$6)),"x",""))</f>
        <v/>
      </c>
      <c r="U95" s="22" t="str">
        <f>IF(AND(B95&gt;='IN-NX'!$P$3,B95&lt;='IN-NX'!$Q$3,'IN-NX'!$D$7=D95,OR(LEFT(L95,2)="15",AND(LEFT(M95,2)&lt;&gt;"15",LEFT(M95,2)&lt;&gt;"33"))),"x","")</f>
        <v/>
      </c>
      <c r="V95" s="22" t="str">
        <f>IF(AND(OR(LEFT(TH!L95,2)="15",LEFT(TH!M95,2)="15"),'152-CT'!$J$8=TH!F95),"x","")</f>
        <v/>
      </c>
      <c r="W95" s="22" t="str">
        <f>IF(AND(OR(LEFT(TH!L95,2)="15",LEFT(TH!M95,2)="15"),TK!$E$7=TH!F95),"x","")</f>
        <v/>
      </c>
      <c r="X95" s="22" t="str">
        <f>IF(OR(TH!L95=TH!$X$7,M95=TH!$X$7),"x","")</f>
        <v/>
      </c>
      <c r="Y95" s="22" t="str">
        <f>IF(AND(B95&lt;=NKC!$N$8,B95&gt;=NKC!$M$8),"x","")</f>
        <v>x</v>
      </c>
      <c r="Z95" s="580"/>
      <c r="AC95" s="130"/>
      <c r="AD95" s="130"/>
      <c r="AE95" s="130"/>
    </row>
    <row r="96" spans="1:31" s="406" customFormat="1" ht="15.75" customHeight="1">
      <c r="A96" s="123" t="str">
        <f>IF(B96&lt;&gt;"",IF(AND(B96&gt;=_TM1,B96&lt;=_TM2,OR(TH!L97="1111",TH!M97="1111")),TH!D97,""),"")</f>
        <v/>
      </c>
      <c r="B96" s="12">
        <f t="shared" si="4"/>
        <v>7</v>
      </c>
      <c r="C96" s="108">
        <f t="shared" si="5"/>
        <v>42574</v>
      </c>
      <c r="D96" s="108" t="s">
        <v>563</v>
      </c>
      <c r="E96" s="113">
        <v>42574</v>
      </c>
      <c r="F96" s="112" t="s">
        <v>655</v>
      </c>
      <c r="G96" s="303" t="s">
        <v>710</v>
      </c>
      <c r="H96" s="4" t="s">
        <v>371</v>
      </c>
      <c r="I96" s="139">
        <v>530</v>
      </c>
      <c r="J96" s="139">
        <v>17800</v>
      </c>
      <c r="K96" s="13">
        <f>ROUND(I96*J96,0)</f>
        <v>9434000</v>
      </c>
      <c r="L96" s="116" t="s">
        <v>252</v>
      </c>
      <c r="M96" s="411" t="s">
        <v>169</v>
      </c>
      <c r="N96" s="22" t="str">
        <f>IF(AND('331-CT'!$E$7=TH!H96,OR(L96="331",M96="331")),"331",IF(AND(OR(L96="131",M96="131"),H96='131-CT'!$E$7),"131",""))</f>
        <v/>
      </c>
      <c r="O96" s="22" t="str">
        <f>IF(AND($B96&gt;='111'!$N$11,$B96&lt;='111'!$O$11,OR($L96=$O$7,$M96=$O$7)),"x","")</f>
        <v/>
      </c>
      <c r="P96" s="22" t="str">
        <f>IF(AND($L96=$O$7,$B96&lt;'111'!$N$11),"x","")</f>
        <v/>
      </c>
      <c r="Q96" s="22" t="str">
        <f>IF(AND($M96=$O$7,$B96&lt;'111'!$N$11),"x","")</f>
        <v/>
      </c>
      <c r="R96" s="22" t="str">
        <f>IF(ISERROR(FIND('112'!$M$9,G96,1)),"",IF((AND(FIND('112'!$M$9,G96,1)&gt;=1,$B96&gt;='112'!$N$8,$B96&lt;='112'!$O$8,OR($L96='112'!$I$6,$M96='112'!$I$6))),"x",""))</f>
        <v/>
      </c>
      <c r="S96" s="22" t="str">
        <f>IF(ISERROR(FIND('112'!$M$9,G96,1)),"",IF((AND(LEFT(G96,2)=LEFT('112'!$M$9,2),B96&lt;'112'!$N$8,$L96='112'!$I$6)),"x",""))</f>
        <v/>
      </c>
      <c r="T96" s="22" t="str">
        <f>IF(ISERROR(FIND('112'!$M$9,G96,1)),"",IF((AND(RIGHT(G96,2)=RIGHT('112'!$M$9,2),B96&lt;'112'!$N$8,$M96='112'!$I$6)),"x",""))</f>
        <v/>
      </c>
      <c r="U96" s="22" t="str">
        <f>IF(AND(B96&gt;='IN-NX'!$P$3,B96&lt;='IN-NX'!$Q$3,'IN-NX'!$D$7=D96,OR(LEFT(L96,2)="15",AND(LEFT(M96,2)&lt;&gt;"15",LEFT(M96,2)&lt;&gt;"33"))),"x","")</f>
        <v/>
      </c>
      <c r="V96" s="22" t="str">
        <f>IF(AND(OR(LEFT(TH!L96,2)="15",LEFT(TH!M96,2)="15"),'152-CT'!$J$8=TH!F96),"x","")</f>
        <v/>
      </c>
      <c r="W96" s="22" t="str">
        <f>IF(AND(OR(LEFT(TH!L96,2)="15",LEFT(TH!M96,2)="15"),TK!$E$7=TH!F96),"x","")</f>
        <v/>
      </c>
      <c r="X96" s="22" t="str">
        <f>IF(OR(TH!L96=TH!$X$7,M96=TH!$X$7),"x","")</f>
        <v/>
      </c>
      <c r="Y96" s="22" t="str">
        <f>IF(AND(B96&lt;=NKC!$N$8,B96&gt;=NKC!$M$8),"x","")</f>
        <v>x</v>
      </c>
      <c r="Z96" s="580"/>
      <c r="AB96" s="130"/>
      <c r="AC96" s="130"/>
      <c r="AD96" s="130"/>
      <c r="AE96" s="130"/>
    </row>
    <row r="97" spans="1:31" s="406" customFormat="1" ht="15.75" customHeight="1">
      <c r="A97" s="123" t="str">
        <f>IF(B97&lt;&gt;"",IF(AND(B97&gt;=_TM1,B97&lt;=_TM2,OR(TH!L98="1111",TH!M98="1111")),TH!D98,""),"")</f>
        <v/>
      </c>
      <c r="B97" s="12">
        <f t="shared" si="4"/>
        <v>7</v>
      </c>
      <c r="C97" s="108">
        <f t="shared" si="5"/>
        <v>42574</v>
      </c>
      <c r="D97" s="108" t="s">
        <v>563</v>
      </c>
      <c r="E97" s="113">
        <v>42574</v>
      </c>
      <c r="F97" s="112" t="s">
        <v>500</v>
      </c>
      <c r="G97" s="303" t="s">
        <v>710</v>
      </c>
      <c r="H97" s="4" t="s">
        <v>371</v>
      </c>
      <c r="I97" s="139">
        <v>33</v>
      </c>
      <c r="J97" s="139">
        <v>9600</v>
      </c>
      <c r="K97" s="13">
        <f>ROUND(I97*J97,0)</f>
        <v>316800</v>
      </c>
      <c r="L97" s="116" t="s">
        <v>252</v>
      </c>
      <c r="M97" s="411" t="s">
        <v>169</v>
      </c>
      <c r="N97" s="22" t="str">
        <f>IF(AND('331-CT'!$E$7=TH!H97,OR(L97="331",M97="331")),"331",IF(AND(OR(L97="131",M97="131"),H97='131-CT'!$E$7),"131",""))</f>
        <v/>
      </c>
      <c r="O97" s="22" t="str">
        <f>IF(AND($B97&gt;='111'!$N$11,$B97&lt;='111'!$O$11,OR($L97=$O$7,$M97=$O$7)),"x","")</f>
        <v/>
      </c>
      <c r="P97" s="22" t="str">
        <f>IF(AND($L97=$O$7,$B97&lt;'111'!$N$11),"x","")</f>
        <v/>
      </c>
      <c r="Q97" s="22" t="str">
        <f>IF(AND($M97=$O$7,$B97&lt;'111'!$N$11),"x","")</f>
        <v/>
      </c>
      <c r="R97" s="22" t="str">
        <f>IF(ISERROR(FIND('112'!$M$9,G97,1)),"",IF((AND(FIND('112'!$M$9,G97,1)&gt;=1,$B97&gt;='112'!$N$8,$B97&lt;='112'!$O$8,OR($L97='112'!$I$6,$M97='112'!$I$6))),"x",""))</f>
        <v/>
      </c>
      <c r="S97" s="22" t="str">
        <f>IF(ISERROR(FIND('112'!$M$9,G97,1)),"",IF((AND(LEFT(G97,2)=LEFT('112'!$M$9,2),B97&lt;'112'!$N$8,$L97='112'!$I$6)),"x",""))</f>
        <v/>
      </c>
      <c r="T97" s="22" t="str">
        <f>IF(ISERROR(FIND('112'!$M$9,G97,1)),"",IF((AND(RIGHT(G97,2)=RIGHT('112'!$M$9,2),B97&lt;'112'!$N$8,$M97='112'!$I$6)),"x",""))</f>
        <v/>
      </c>
      <c r="U97" s="22" t="str">
        <f>IF(AND(B97&gt;='IN-NX'!$P$3,B97&lt;='IN-NX'!$Q$3,'IN-NX'!$D$7=D97,OR(LEFT(L97,2)="15",AND(LEFT(M97,2)&lt;&gt;"15",LEFT(M97,2)&lt;&gt;"33"))),"x","")</f>
        <v/>
      </c>
      <c r="V97" s="22" t="str">
        <f>IF(AND(OR(LEFT(TH!L97,2)="15",LEFT(TH!M97,2)="15"),'152-CT'!$J$8=TH!F97),"x","")</f>
        <v/>
      </c>
      <c r="W97" s="22" t="str">
        <f>IF(AND(OR(LEFT(TH!L97,2)="15",LEFT(TH!M97,2)="15"),TK!$E$7=TH!F97),"x","")</f>
        <v/>
      </c>
      <c r="X97" s="22" t="str">
        <f>IF(OR(TH!L97=TH!$X$7,M97=TH!$X$7),"x","")</f>
        <v/>
      </c>
      <c r="Y97" s="22" t="str">
        <f>IF(AND(B97&lt;=NKC!$N$8,B97&gt;=NKC!$M$8),"x","")</f>
        <v>x</v>
      </c>
      <c r="Z97" s="580"/>
      <c r="AC97" s="130"/>
      <c r="AD97" s="130"/>
      <c r="AE97" s="130"/>
    </row>
    <row r="98" spans="1:31" s="406" customFormat="1" ht="15.75" customHeight="1">
      <c r="A98" s="123" t="str">
        <f>IF(B98&lt;&gt;"",IF(AND(B98&gt;=_TM1,B98&lt;=_TM2,OR(TH!L99="1111",TH!M99="1111")),TH!D99,""),"")</f>
        <v/>
      </c>
      <c r="B98" s="12">
        <f t="shared" si="4"/>
        <v>7</v>
      </c>
      <c r="C98" s="108">
        <f t="shared" si="5"/>
        <v>42574</v>
      </c>
      <c r="D98" s="108" t="s">
        <v>563</v>
      </c>
      <c r="E98" s="113">
        <v>42574</v>
      </c>
      <c r="F98" s="112" t="s">
        <v>656</v>
      </c>
      <c r="G98" s="303" t="s">
        <v>710</v>
      </c>
      <c r="H98" s="4" t="s">
        <v>371</v>
      </c>
      <c r="I98" s="139">
        <v>630</v>
      </c>
      <c r="J98" s="139">
        <v>9700</v>
      </c>
      <c r="K98" s="13">
        <f>ROUND(I98*J98,0)</f>
        <v>6111000</v>
      </c>
      <c r="L98" s="116" t="s">
        <v>252</v>
      </c>
      <c r="M98" s="411" t="s">
        <v>169</v>
      </c>
      <c r="N98" s="22" t="str">
        <f>IF(AND('331-CT'!$E$7=TH!H98,OR(L98="331",M98="331")),"331",IF(AND(OR(L98="131",M98="131"),H98='131-CT'!$E$7),"131",""))</f>
        <v/>
      </c>
      <c r="O98" s="22" t="str">
        <f>IF(AND($B98&gt;='111'!$N$11,$B98&lt;='111'!$O$11,OR($L98=$O$7,$M98=$O$7)),"x","")</f>
        <v/>
      </c>
      <c r="P98" s="22" t="str">
        <f>IF(AND($L98=$O$7,$B98&lt;'111'!$N$11),"x","")</f>
        <v/>
      </c>
      <c r="Q98" s="22" t="str">
        <f>IF(AND($M98=$O$7,$B98&lt;'111'!$N$11),"x","")</f>
        <v/>
      </c>
      <c r="R98" s="22" t="str">
        <f>IF(ISERROR(FIND('112'!$M$9,G98,1)),"",IF((AND(FIND('112'!$M$9,G98,1)&gt;=1,$B98&gt;='112'!$N$8,$B98&lt;='112'!$O$8,OR($L98='112'!$I$6,$M98='112'!$I$6))),"x",""))</f>
        <v/>
      </c>
      <c r="S98" s="22" t="str">
        <f>IF(ISERROR(FIND('112'!$M$9,G98,1)),"",IF((AND(LEFT(G98,2)=LEFT('112'!$M$9,2),B98&lt;'112'!$N$8,$L98='112'!$I$6)),"x",""))</f>
        <v/>
      </c>
      <c r="T98" s="22" t="str">
        <f>IF(ISERROR(FIND('112'!$M$9,G98,1)),"",IF((AND(RIGHT(G98,2)=RIGHT('112'!$M$9,2),B98&lt;'112'!$N$8,$M98='112'!$I$6)),"x",""))</f>
        <v/>
      </c>
      <c r="U98" s="22" t="str">
        <f>IF(AND(B98&gt;='IN-NX'!$P$3,B98&lt;='IN-NX'!$Q$3,'IN-NX'!$D$7=D98,OR(LEFT(L98,2)="15",AND(LEFT(M98,2)&lt;&gt;"15",LEFT(M98,2)&lt;&gt;"33"))),"x","")</f>
        <v/>
      </c>
      <c r="V98" s="22" t="str">
        <f>IF(AND(OR(LEFT(TH!L98,2)="15",LEFT(TH!M98,2)="15"),'152-CT'!$J$8=TH!F98),"x","")</f>
        <v/>
      </c>
      <c r="W98" s="22" t="str">
        <f>IF(AND(OR(LEFT(TH!L98,2)="15",LEFT(TH!M98,2)="15"),TK!$E$7=TH!F98),"x","")</f>
        <v/>
      </c>
      <c r="X98" s="22" t="str">
        <f>IF(OR(TH!L98=TH!$X$7,M98=TH!$X$7),"x","")</f>
        <v/>
      </c>
      <c r="Y98" s="22" t="str">
        <f>IF(AND(B98&lt;=NKC!$N$8,B98&gt;=NKC!$M$8),"x","")</f>
        <v>x</v>
      </c>
      <c r="Z98" s="580"/>
      <c r="AC98" s="130"/>
      <c r="AD98" s="130"/>
      <c r="AE98" s="130"/>
    </row>
    <row r="99" spans="1:31" s="406" customFormat="1" ht="15.75" customHeight="1">
      <c r="A99" s="123" t="str">
        <f>IF(B99&lt;&gt;"",IF(AND(B99&gt;=_TM1,B99&lt;=_TM2,OR(TH!L100="1111",TH!M100="1111")),TH!D100,""),"")</f>
        <v/>
      </c>
      <c r="B99" s="12">
        <f t="shared" si="4"/>
        <v>7</v>
      </c>
      <c r="C99" s="108">
        <f t="shared" si="5"/>
        <v>42574</v>
      </c>
      <c r="D99" s="108" t="s">
        <v>563</v>
      </c>
      <c r="E99" s="113">
        <v>42574</v>
      </c>
      <c r="F99" s="112" t="s">
        <v>662</v>
      </c>
      <c r="G99" s="303" t="s">
        <v>710</v>
      </c>
      <c r="H99" s="4" t="s">
        <v>371</v>
      </c>
      <c r="I99" s="139">
        <v>352</v>
      </c>
      <c r="J99" s="139">
        <v>13700</v>
      </c>
      <c r="K99" s="13">
        <f>ROUND(I99*J99,0)</f>
        <v>4822400</v>
      </c>
      <c r="L99" s="116" t="s">
        <v>252</v>
      </c>
      <c r="M99" s="411" t="s">
        <v>169</v>
      </c>
      <c r="N99" s="22" t="str">
        <f>IF(AND('331-CT'!$E$7=TH!H99,OR(L99="331",M99="331")),"331",IF(AND(OR(L99="131",M99="131"),H99='131-CT'!$E$7),"131",""))</f>
        <v/>
      </c>
      <c r="O99" s="22" t="str">
        <f>IF(AND($B99&gt;='111'!$N$11,$B99&lt;='111'!$O$11,OR($L99=$O$7,$M99=$O$7)),"x","")</f>
        <v/>
      </c>
      <c r="P99" s="22" t="str">
        <f>IF(AND($L99=$O$7,$B99&lt;'111'!$N$11),"x","")</f>
        <v/>
      </c>
      <c r="Q99" s="22" t="str">
        <f>IF(AND($M99=$O$7,$B99&lt;'111'!$N$11),"x","")</f>
        <v/>
      </c>
      <c r="R99" s="22" t="str">
        <f>IF(ISERROR(FIND('112'!$M$9,G99,1)),"",IF((AND(FIND('112'!$M$9,G99,1)&gt;=1,$B99&gt;='112'!$N$8,$B99&lt;='112'!$O$8,OR($L99='112'!$I$6,$M99='112'!$I$6))),"x",""))</f>
        <v/>
      </c>
      <c r="S99" s="22" t="str">
        <f>IF(ISERROR(FIND('112'!$M$9,G99,1)),"",IF((AND(LEFT(G99,2)=LEFT('112'!$M$9,2),B99&lt;'112'!$N$8,$L99='112'!$I$6)),"x",""))</f>
        <v/>
      </c>
      <c r="T99" s="22" t="str">
        <f>IF(ISERROR(FIND('112'!$M$9,G99,1)),"",IF((AND(RIGHT(G99,2)=RIGHT('112'!$M$9,2),B99&lt;'112'!$N$8,$M99='112'!$I$6)),"x",""))</f>
        <v/>
      </c>
      <c r="U99" s="22" t="str">
        <f>IF(AND(B99&gt;='IN-NX'!$P$3,B99&lt;='IN-NX'!$Q$3,'IN-NX'!$D$7=D99,OR(LEFT(L99,2)="15",AND(LEFT(M99,2)&lt;&gt;"15",LEFT(M99,2)&lt;&gt;"33"))),"x","")</f>
        <v/>
      </c>
      <c r="V99" s="22" t="str">
        <f>IF(AND(OR(LEFT(TH!L99,2)="15",LEFT(TH!M99,2)="15"),'152-CT'!$J$8=TH!F99),"x","")</f>
        <v/>
      </c>
      <c r="W99" s="22" t="str">
        <f>IF(AND(OR(LEFT(TH!L99,2)="15",LEFT(TH!M99,2)="15"),TK!$E$7=TH!F99),"x","")</f>
        <v/>
      </c>
      <c r="X99" s="22" t="str">
        <f>IF(OR(TH!L99=TH!$X$7,M99=TH!$X$7),"x","")</f>
        <v/>
      </c>
      <c r="Y99" s="22" t="str">
        <f>IF(AND(B99&lt;=NKC!$N$8,B99&gt;=NKC!$M$8),"x","")</f>
        <v>x</v>
      </c>
      <c r="Z99" s="580"/>
      <c r="AC99" s="130"/>
      <c r="AD99" s="130"/>
      <c r="AE99" s="130"/>
    </row>
    <row r="100" spans="1:31" s="406" customFormat="1" ht="15.75" customHeight="1">
      <c r="A100" s="123" t="str">
        <f>IF(B100&lt;&gt;"",IF(AND(B100&gt;=_TM1,B100&lt;=_TM2,OR(TH!L101="1111",TH!M101="1111")),TH!D101,""),"")</f>
        <v/>
      </c>
      <c r="B100" s="12">
        <f t="shared" si="4"/>
        <v>7</v>
      </c>
      <c r="C100" s="108">
        <f t="shared" si="5"/>
        <v>42574</v>
      </c>
      <c r="D100" s="108" t="s">
        <v>563</v>
      </c>
      <c r="E100" s="113">
        <v>42574</v>
      </c>
      <c r="F100" s="112" t="s">
        <v>496</v>
      </c>
      <c r="G100" s="303" t="s">
        <v>710</v>
      </c>
      <c r="H100" s="4" t="s">
        <v>371</v>
      </c>
      <c r="I100" s="139"/>
      <c r="J100" s="139"/>
      <c r="K100" s="13">
        <v>2068420</v>
      </c>
      <c r="L100" s="116" t="s">
        <v>252</v>
      </c>
      <c r="M100" s="411" t="s">
        <v>352</v>
      </c>
      <c r="N100" s="22" t="str">
        <f>IF(AND('331-CT'!$E$7=TH!H100,OR(L100="331",M100="331")),"331",IF(AND(OR(L100="131",M100="131"),H100='131-CT'!$E$7),"131",""))</f>
        <v/>
      </c>
      <c r="O100" s="22" t="str">
        <f>IF(AND($B100&gt;='111'!$N$11,$B100&lt;='111'!$O$11,OR($L100=$O$7,$M100=$O$7)),"x","")</f>
        <v/>
      </c>
      <c r="P100" s="22" t="str">
        <f>IF(AND($L100=$O$7,$B100&lt;'111'!$N$11),"x","")</f>
        <v/>
      </c>
      <c r="Q100" s="22" t="str">
        <f>IF(AND($M100=$O$7,$B100&lt;'111'!$N$11),"x","")</f>
        <v/>
      </c>
      <c r="R100" s="22" t="str">
        <f>IF(ISERROR(FIND('112'!$M$9,G100,1)),"",IF((AND(FIND('112'!$M$9,G100,1)&gt;=1,$B100&gt;='112'!$N$8,$B100&lt;='112'!$O$8,OR($L100='112'!$I$6,$M100='112'!$I$6))),"x",""))</f>
        <v/>
      </c>
      <c r="S100" s="22" t="str">
        <f>IF(ISERROR(FIND('112'!$M$9,G100,1)),"",IF((AND(LEFT(G100,2)=LEFT('112'!$M$9,2),B100&lt;'112'!$N$8,$L100='112'!$I$6)),"x",""))</f>
        <v/>
      </c>
      <c r="T100" s="22" t="str">
        <f>IF(ISERROR(FIND('112'!$M$9,G100,1)),"",IF((AND(RIGHT(G100,2)=RIGHT('112'!$M$9,2),B100&lt;'112'!$N$8,$M100='112'!$I$6)),"x",""))</f>
        <v/>
      </c>
      <c r="U100" s="22" t="str">
        <f>IF(AND(B100&gt;='IN-NX'!$P$3,B100&lt;='IN-NX'!$Q$3,'IN-NX'!$D$7=D100,OR(LEFT(L100,2)="15",AND(LEFT(M100,2)&lt;&gt;"15",LEFT(M100,2)&lt;&gt;"33"))),"x","")</f>
        <v/>
      </c>
      <c r="V100" s="22" t="str">
        <f>IF(AND(OR(LEFT(TH!L100,2)="15",LEFT(TH!M100,2)="15"),'152-CT'!$J$8=TH!F100),"x","")</f>
        <v/>
      </c>
      <c r="W100" s="22" t="str">
        <f>IF(AND(OR(LEFT(TH!L100,2)="15",LEFT(TH!M100,2)="15"),TK!$E$7=TH!F100),"x","")</f>
        <v/>
      </c>
      <c r="X100" s="22" t="str">
        <f>IF(OR(TH!L100=TH!$X$7,M100=TH!$X$7),"x","")</f>
        <v/>
      </c>
      <c r="Y100" s="22" t="str">
        <f>IF(AND(B100&lt;=NKC!$N$8,B100&gt;=NKC!$M$8),"x","")</f>
        <v>x</v>
      </c>
      <c r="Z100" s="580"/>
      <c r="AC100" s="130"/>
      <c r="AD100" s="130"/>
      <c r="AE100" s="130"/>
    </row>
    <row r="101" spans="1:31" s="406" customFormat="1" ht="15.75" customHeight="1">
      <c r="A101" s="123" t="str">
        <f>IF(B101&lt;&gt;"",IF(AND(B101&gt;=_TM1,B101&lt;=_TM2,OR(TH!L102="1111",TH!M102="1111")),TH!D102,""),"")</f>
        <v/>
      </c>
      <c r="B101" s="12">
        <f t="shared" si="4"/>
        <v>7</v>
      </c>
      <c r="C101" s="108">
        <f t="shared" si="5"/>
        <v>42574</v>
      </c>
      <c r="D101" s="108" t="s">
        <v>564</v>
      </c>
      <c r="E101" s="113">
        <v>42574</v>
      </c>
      <c r="F101" s="112" t="s">
        <v>513</v>
      </c>
      <c r="G101" s="303" t="s">
        <v>711</v>
      </c>
      <c r="H101" s="4" t="s">
        <v>619</v>
      </c>
      <c r="I101" s="139">
        <v>350</v>
      </c>
      <c r="J101" s="139">
        <v>13600</v>
      </c>
      <c r="K101" s="13">
        <f>ROUND(I101*J101,0)</f>
        <v>4760000</v>
      </c>
      <c r="L101" s="116" t="s">
        <v>252</v>
      </c>
      <c r="M101" s="411" t="s">
        <v>169</v>
      </c>
      <c r="N101" s="22" t="str">
        <f>IF(AND('331-CT'!$E$7=TH!H101,OR(L101="331",M101="331")),"331",IF(AND(OR(L101="131",M101="131"),H101='131-CT'!$E$7),"131",""))</f>
        <v/>
      </c>
      <c r="O101" s="22" t="str">
        <f>IF(AND($B101&gt;='111'!$N$11,$B101&lt;='111'!$O$11,OR($L101=$O$7,$M101=$O$7)),"x","")</f>
        <v/>
      </c>
      <c r="P101" s="22" t="str">
        <f>IF(AND($L101=$O$7,$B101&lt;'111'!$N$11),"x","")</f>
        <v/>
      </c>
      <c r="Q101" s="22" t="str">
        <f>IF(AND($M101=$O$7,$B101&lt;'111'!$N$11),"x","")</f>
        <v/>
      </c>
      <c r="R101" s="22" t="str">
        <f>IF(ISERROR(FIND('112'!$M$9,G101,1)),"",IF((AND(FIND('112'!$M$9,G101,1)&gt;=1,$B101&gt;='112'!$N$8,$B101&lt;='112'!$O$8,OR($L101='112'!$I$6,$M101='112'!$I$6))),"x",""))</f>
        <v/>
      </c>
      <c r="S101" s="22" t="str">
        <f>IF(ISERROR(FIND('112'!$M$9,G101,1)),"",IF((AND(LEFT(G101,2)=LEFT('112'!$M$9,2),B101&lt;'112'!$N$8,$L101='112'!$I$6)),"x",""))</f>
        <v/>
      </c>
      <c r="T101" s="22" t="str">
        <f>IF(ISERROR(FIND('112'!$M$9,G101,1)),"",IF((AND(RIGHT(G101,2)=RIGHT('112'!$M$9,2),B101&lt;'112'!$N$8,$M101='112'!$I$6)),"x",""))</f>
        <v/>
      </c>
      <c r="U101" s="22" t="str">
        <f>IF(AND(B101&gt;='IN-NX'!$P$3,B101&lt;='IN-NX'!$Q$3,'IN-NX'!$D$7=D101,OR(LEFT(L101,2)="15",AND(LEFT(M101,2)&lt;&gt;"15",LEFT(M101,2)&lt;&gt;"33"))),"x","")</f>
        <v/>
      </c>
      <c r="V101" s="22" t="str">
        <f>IF(AND(OR(LEFT(TH!L101,2)="15",LEFT(TH!M101,2)="15"),'152-CT'!$J$8=TH!F101),"x","")</f>
        <v/>
      </c>
      <c r="W101" s="22" t="str">
        <f>IF(AND(OR(LEFT(TH!L101,2)="15",LEFT(TH!M101,2)="15"),TK!$E$7=TH!F101),"x","")</f>
        <v/>
      </c>
      <c r="X101" s="22" t="str">
        <f>IF(OR(TH!L101=TH!$X$7,M101=TH!$X$7),"x","")</f>
        <v/>
      </c>
      <c r="Y101" s="22" t="str">
        <f>IF(AND(B101&lt;=NKC!$N$8,B101&gt;=NKC!$M$8),"x","")</f>
        <v>x</v>
      </c>
      <c r="Z101" s="580"/>
      <c r="AB101" s="130"/>
      <c r="AC101" s="130"/>
      <c r="AD101" s="130"/>
      <c r="AE101" s="130"/>
    </row>
    <row r="102" spans="1:31" s="406" customFormat="1" ht="15.75" customHeight="1">
      <c r="A102" s="123" t="str">
        <f>IF(B102&lt;&gt;"",IF(AND(B102&gt;=_TM1,B102&lt;=_TM2,OR(TH!L103="1111",TH!M103="1111")),TH!D103,""),"")</f>
        <v/>
      </c>
      <c r="B102" s="12">
        <f t="shared" si="4"/>
        <v>7</v>
      </c>
      <c r="C102" s="108">
        <f t="shared" si="5"/>
        <v>42574</v>
      </c>
      <c r="D102" s="108" t="s">
        <v>564</v>
      </c>
      <c r="E102" s="113">
        <v>42574</v>
      </c>
      <c r="F102" s="112" t="s">
        <v>496</v>
      </c>
      <c r="G102" s="303" t="s">
        <v>711</v>
      </c>
      <c r="H102" s="4" t="s">
        <v>619</v>
      </c>
      <c r="I102" s="139"/>
      <c r="J102" s="139"/>
      <c r="K102" s="13">
        <v>476000</v>
      </c>
      <c r="L102" s="116" t="s">
        <v>252</v>
      </c>
      <c r="M102" s="411" t="s">
        <v>352</v>
      </c>
      <c r="N102" s="22" t="str">
        <f>IF(AND('331-CT'!$E$7=TH!H102,OR(L102="331",M102="331")),"331",IF(AND(OR(L102="131",M102="131"),H102='131-CT'!$E$7),"131",""))</f>
        <v/>
      </c>
      <c r="O102" s="22" t="str">
        <f>IF(AND($B102&gt;='111'!$N$11,$B102&lt;='111'!$O$11,OR($L102=$O$7,$M102=$O$7)),"x","")</f>
        <v/>
      </c>
      <c r="P102" s="22" t="str">
        <f>IF(AND($L102=$O$7,$B102&lt;'111'!$N$11),"x","")</f>
        <v/>
      </c>
      <c r="Q102" s="22" t="str">
        <f>IF(AND($M102=$O$7,$B102&lt;'111'!$N$11),"x","")</f>
        <v/>
      </c>
      <c r="R102" s="22" t="str">
        <f>IF(ISERROR(FIND('112'!$M$9,G102,1)),"",IF((AND(FIND('112'!$M$9,G102,1)&gt;=1,$B102&gt;='112'!$N$8,$B102&lt;='112'!$O$8,OR($L102='112'!$I$6,$M102='112'!$I$6))),"x",""))</f>
        <v/>
      </c>
      <c r="S102" s="22" t="str">
        <f>IF(ISERROR(FIND('112'!$M$9,G102,1)),"",IF((AND(LEFT(G102,2)=LEFT('112'!$M$9,2),B102&lt;'112'!$N$8,$L102='112'!$I$6)),"x",""))</f>
        <v/>
      </c>
      <c r="T102" s="22" t="str">
        <f>IF(ISERROR(FIND('112'!$M$9,G102,1)),"",IF((AND(RIGHT(G102,2)=RIGHT('112'!$M$9,2),B102&lt;'112'!$N$8,$M102='112'!$I$6)),"x",""))</f>
        <v/>
      </c>
      <c r="U102" s="22" t="str">
        <f>IF(AND(B102&gt;='IN-NX'!$P$3,B102&lt;='IN-NX'!$Q$3,'IN-NX'!$D$7=D102,OR(LEFT(L102,2)="15",AND(LEFT(M102,2)&lt;&gt;"15",LEFT(M102,2)&lt;&gt;"33"))),"x","")</f>
        <v/>
      </c>
      <c r="V102" s="22" t="str">
        <f>IF(AND(OR(LEFT(TH!L102,2)="15",LEFT(TH!M102,2)="15"),'152-CT'!$J$8=TH!F102),"x","")</f>
        <v/>
      </c>
      <c r="W102" s="22" t="str">
        <f>IF(AND(OR(LEFT(TH!L102,2)="15",LEFT(TH!M102,2)="15"),TK!$E$7=TH!F102),"x","")</f>
        <v/>
      </c>
      <c r="X102" s="22" t="str">
        <f>IF(OR(TH!L102=TH!$X$7,M102=TH!$X$7),"x","")</f>
        <v/>
      </c>
      <c r="Y102" s="22" t="str">
        <f>IF(AND(B102&lt;=NKC!$N$8,B102&gt;=NKC!$M$8),"x","")</f>
        <v>x</v>
      </c>
      <c r="Z102" s="580"/>
      <c r="AC102" s="130"/>
      <c r="AD102" s="130"/>
      <c r="AE102" s="130"/>
    </row>
    <row r="103" spans="1:31" s="406" customFormat="1" ht="15.75" customHeight="1">
      <c r="A103" s="123" t="str">
        <f>IF(B103&lt;&gt;"",IF(AND(B103&gt;=_TM1,B103&lt;=_TM2,OR(TH!L104="1111",TH!M104="1111")),TH!D104,""),"")</f>
        <v/>
      </c>
      <c r="B103" s="12">
        <f t="shared" si="4"/>
        <v>7</v>
      </c>
      <c r="C103" s="108">
        <f t="shared" si="5"/>
        <v>42574</v>
      </c>
      <c r="D103" s="108" t="s">
        <v>990</v>
      </c>
      <c r="E103" s="113">
        <v>42574</v>
      </c>
      <c r="F103" s="114" t="s">
        <v>484</v>
      </c>
      <c r="G103" s="303" t="s">
        <v>711</v>
      </c>
      <c r="H103" s="4" t="s">
        <v>619</v>
      </c>
      <c r="I103" s="139"/>
      <c r="J103" s="139"/>
      <c r="K103" s="13">
        <v>5236000</v>
      </c>
      <c r="L103" s="116" t="s">
        <v>46</v>
      </c>
      <c r="M103" s="411" t="s">
        <v>252</v>
      </c>
      <c r="N103" s="22" t="str">
        <f>IF(AND('331-CT'!$E$7=TH!H103,OR(L103="331",M103="331")),"331",IF(AND(OR(L103="131",M103="131"),H103='131-CT'!$E$7),"131",""))</f>
        <v/>
      </c>
      <c r="O103" s="22" t="str">
        <f>IF(AND($B103&gt;='111'!$N$11,$B103&lt;='111'!$O$11,OR($L103=$O$7,$M103=$O$7)),"x","")</f>
        <v/>
      </c>
      <c r="P103" s="22" t="str">
        <f>IF(AND($L103=$O$7,$B103&lt;'111'!$N$11),"x","")</f>
        <v>x</v>
      </c>
      <c r="Q103" s="22" t="str">
        <f>IF(AND($M103=$O$7,$B103&lt;'111'!$N$11),"x","")</f>
        <v/>
      </c>
      <c r="R103" s="22" t="str">
        <f>IF(ISERROR(FIND('112'!$M$9,G103,1)),"",IF((AND(FIND('112'!$M$9,G103,1)&gt;=1,$B103&gt;='112'!$N$8,$B103&lt;='112'!$O$8,OR($L103='112'!$I$6,$M103='112'!$I$6))),"x",""))</f>
        <v/>
      </c>
      <c r="S103" s="22" t="str">
        <f>IF(ISERROR(FIND('112'!$M$9,G103,1)),"",IF((AND(LEFT(G103,2)=LEFT('112'!$M$9,2),B103&lt;'112'!$N$8,$L103='112'!$I$6)),"x",""))</f>
        <v/>
      </c>
      <c r="T103" s="22" t="str">
        <f>IF(ISERROR(FIND('112'!$M$9,G103,1)),"",IF((AND(RIGHT(G103,2)=RIGHT('112'!$M$9,2),B103&lt;'112'!$N$8,$M103='112'!$I$6)),"x",""))</f>
        <v/>
      </c>
      <c r="U103" s="22" t="str">
        <f>IF(AND(B103&gt;='IN-NX'!$P$3,B103&lt;='IN-NX'!$Q$3,'IN-NX'!$D$7=D103,OR(LEFT(L103,2)="15",AND(LEFT(M103,2)&lt;&gt;"15",LEFT(M103,2)&lt;&gt;"33"))),"x","")</f>
        <v/>
      </c>
      <c r="V103" s="22" t="str">
        <f>IF(AND(OR(LEFT(TH!L103,2)="15",LEFT(TH!M103,2)="15"),'152-CT'!$J$8=TH!F103),"x","")</f>
        <v/>
      </c>
      <c r="W103" s="22" t="str">
        <f>IF(AND(OR(LEFT(TH!L103,2)="15",LEFT(TH!M103,2)="15"),TK!$E$7=TH!F103),"x","")</f>
        <v/>
      </c>
      <c r="X103" s="22" t="str">
        <f>IF(OR(TH!L103=TH!$X$7,M103=TH!$X$7),"x","")</f>
        <v/>
      </c>
      <c r="Y103" s="22" t="str">
        <f>IF(AND(B103&lt;=NKC!$N$8,B103&gt;=NKC!$M$8),"x","")</f>
        <v>x</v>
      </c>
      <c r="Z103" s="581"/>
      <c r="AD103" s="130"/>
      <c r="AE103" s="130"/>
    </row>
    <row r="104" spans="1:31" s="406" customFormat="1" ht="15.75" customHeight="1">
      <c r="A104" s="123" t="str">
        <f>IF(B104&lt;&gt;"",IF(AND(B104&gt;=_TM1,B104&lt;=_TM2,OR(TH!L105="1111",TH!M105="1111")),TH!D105,""),"")</f>
        <v/>
      </c>
      <c r="B104" s="12">
        <f t="shared" si="4"/>
        <v>7</v>
      </c>
      <c r="C104" s="108">
        <f t="shared" si="5"/>
        <v>42576</v>
      </c>
      <c r="D104" s="108" t="s">
        <v>470</v>
      </c>
      <c r="E104" s="108">
        <v>42576</v>
      </c>
      <c r="F104" s="112" t="s">
        <v>476</v>
      </c>
      <c r="G104" s="303" t="s">
        <v>474</v>
      </c>
      <c r="H104" s="4"/>
      <c r="I104" s="139"/>
      <c r="J104" s="139"/>
      <c r="K104" s="410">
        <v>1428</v>
      </c>
      <c r="L104" s="116" t="s">
        <v>24</v>
      </c>
      <c r="M104" s="116" t="s">
        <v>39</v>
      </c>
      <c r="N104" s="22" t="str">
        <f>IF(AND('331-CT'!$E$7=TH!H104,OR(L104="331",M104="331")),"331",IF(AND(OR(L104="131",M104="131"),H104='131-CT'!$E$7),"131",""))</f>
        <v/>
      </c>
      <c r="O104" s="22" t="str">
        <f>IF(AND($B104&gt;='111'!$N$11,$B104&lt;='111'!$O$11,OR($L104=$O$7,$M104=$O$7)),"x","")</f>
        <v/>
      </c>
      <c r="P104" s="22" t="str">
        <f>IF(AND($L104=$O$7,$B104&lt;'111'!$N$11),"x","")</f>
        <v/>
      </c>
      <c r="Q104" s="22" t="str">
        <f>IF(AND($M104=$O$7,$B104&lt;'111'!$N$11),"x","")</f>
        <v/>
      </c>
      <c r="R104" s="22" t="str">
        <f>IF(ISERROR(FIND('112'!$M$9,G104,1)),"",IF((AND(FIND('112'!$M$9,G104,1)&gt;=1,$B104&gt;='112'!$N$8,$B104&lt;='112'!$O$8,OR($L104='112'!$I$6,$M104='112'!$I$6))),"x",""))</f>
        <v/>
      </c>
      <c r="S104" s="22" t="str">
        <f>IF(ISERROR(FIND('112'!$M$9,G104,1)),"",IF((AND(LEFT(G104,2)=LEFT('112'!$M$9,2),B104&lt;'112'!$N$8,$L104='112'!$I$6)),"x",""))</f>
        <v>x</v>
      </c>
      <c r="T104" s="22" t="str">
        <f>IF(ISERROR(FIND('112'!$M$9,G104,1)),"",IF((AND(RIGHT(G104,2)=RIGHT('112'!$M$9,2),B104&lt;'112'!$N$8,$M104='112'!$I$6)),"x",""))</f>
        <v/>
      </c>
      <c r="U104" s="22" t="str">
        <f>IF(AND(B104&gt;='IN-NX'!$P$3,B104&lt;='IN-NX'!$Q$3,'IN-NX'!$D$7=D104,OR(LEFT(L104,2)="15",AND(LEFT(M104,2)&lt;&gt;"15",LEFT(M104,2)&lt;&gt;"33"))),"x","")</f>
        <v/>
      </c>
      <c r="V104" s="22" t="str">
        <f>IF(AND(OR(LEFT(TH!L104,2)="15",LEFT(TH!M104,2)="15"),'152-CT'!$J$8=TH!F104),"x","")</f>
        <v/>
      </c>
      <c r="W104" s="22" t="str">
        <f>IF(AND(OR(LEFT(TH!L104,2)="15",LEFT(TH!M104,2)="15"),TK!$E$7=TH!F104),"x","")</f>
        <v/>
      </c>
      <c r="X104" s="22" t="str">
        <f>IF(OR(TH!L104=TH!$X$7,M104=TH!$X$7),"x","")</f>
        <v/>
      </c>
      <c r="Y104" s="22" t="str">
        <f>IF(AND(B104&lt;=NKC!$N$8,B104&gt;=NKC!$M$8),"x","")</f>
        <v>x</v>
      </c>
      <c r="Z104" s="580">
        <v>3</v>
      </c>
    </row>
    <row r="105" spans="1:31" s="406" customFormat="1" ht="15.75" customHeight="1">
      <c r="A105" s="123" t="str">
        <f>IF(B105&lt;&gt;"",IF(AND(B105&gt;=_TM1,B105&lt;=_TM2,OR(TH!L106="1111",TH!M106="1111")),TH!D106,""),"")</f>
        <v/>
      </c>
      <c r="B105" s="12">
        <f t="shared" si="4"/>
        <v>7</v>
      </c>
      <c r="C105" s="108">
        <f t="shared" si="5"/>
        <v>42576</v>
      </c>
      <c r="D105" s="108" t="s">
        <v>470</v>
      </c>
      <c r="E105" s="108">
        <v>42576</v>
      </c>
      <c r="F105" s="112" t="s">
        <v>477</v>
      </c>
      <c r="G105" s="303" t="s">
        <v>474</v>
      </c>
      <c r="H105" s="4"/>
      <c r="I105" s="139"/>
      <c r="J105" s="139"/>
      <c r="K105" s="13">
        <v>10000</v>
      </c>
      <c r="L105" s="116" t="s">
        <v>82</v>
      </c>
      <c r="M105" s="116" t="s">
        <v>24</v>
      </c>
      <c r="N105" s="22" t="str">
        <f>IF(AND('331-CT'!$E$7=TH!H105,OR(L105="331",M105="331")),"331",IF(AND(OR(L105="131",M105="131"),H105='131-CT'!$E$7),"131",""))</f>
        <v/>
      </c>
      <c r="O105" s="22" t="str">
        <f>IF(AND($B105&gt;='111'!$N$11,$B105&lt;='111'!$O$11,OR($L105=$O$7,$M105=$O$7)),"x","")</f>
        <v/>
      </c>
      <c r="P105" s="22" t="str">
        <f>IF(AND($L105=$O$7,$B105&lt;'111'!$N$11),"x","")</f>
        <v/>
      </c>
      <c r="Q105" s="22" t="str">
        <f>IF(AND($M105=$O$7,$B105&lt;'111'!$N$11),"x","")</f>
        <v/>
      </c>
      <c r="R105" s="22" t="str">
        <f>IF(ISERROR(FIND('112'!$M$9,G105,1)),"",IF((AND(FIND('112'!$M$9,G105,1)&gt;=1,$B105&gt;='112'!$N$8,$B105&lt;='112'!$O$8,OR($L105='112'!$I$6,$M105='112'!$I$6))),"x",""))</f>
        <v/>
      </c>
      <c r="S105" s="22" t="str">
        <f>IF(ISERROR(FIND('112'!$M$9,G105,1)),"",IF((AND(LEFT(G105,2)=LEFT('112'!$M$9,2),B105&lt;'112'!$N$8,$L105='112'!$I$6)),"x",""))</f>
        <v/>
      </c>
      <c r="T105" s="22" t="str">
        <f>IF(ISERROR(FIND('112'!$M$9,G105,1)),"",IF((AND(RIGHT(G105,2)=RIGHT('112'!$M$9,2),B105&lt;'112'!$N$8,$M105='112'!$I$6)),"x",""))</f>
        <v>x</v>
      </c>
      <c r="U105" s="22" t="str">
        <f>IF(AND(B105&gt;='IN-NX'!$P$3,B105&lt;='IN-NX'!$Q$3,'IN-NX'!$D$7=D105,OR(LEFT(L105,2)="15",AND(LEFT(M105,2)&lt;&gt;"15",LEFT(M105,2)&lt;&gt;"33"))),"x","")</f>
        <v/>
      </c>
      <c r="V105" s="22" t="str">
        <f>IF(AND(OR(LEFT(TH!L105,2)="15",LEFT(TH!M105,2)="15"),'152-CT'!$J$8=TH!F105),"x","")</f>
        <v/>
      </c>
      <c r="W105" s="22" t="str">
        <f>IF(AND(OR(LEFT(TH!L105,2)="15",LEFT(TH!M105,2)="15"),TK!$E$7=TH!F105),"x","")</f>
        <v/>
      </c>
      <c r="X105" s="22" t="str">
        <f>IF(OR(TH!L105=TH!$X$7,M105=TH!$X$7),"x","")</f>
        <v>x</v>
      </c>
      <c r="Y105" s="22" t="str">
        <f>IF(AND(B105&lt;=NKC!$N$8,B105&gt;=NKC!$M$8),"x","")</f>
        <v>x</v>
      </c>
      <c r="Z105" s="580">
        <v>3</v>
      </c>
    </row>
    <row r="106" spans="1:31" s="406" customFormat="1" ht="15.75" customHeight="1">
      <c r="A106" s="123" t="str">
        <f>IF(B106&lt;&gt;"",IF(AND(B106&gt;=_TM1,B106&lt;=_TM2,OR(TH!L107="1111",TH!M107="1111")),TH!D107,""),"")</f>
        <v/>
      </c>
      <c r="B106" s="12">
        <f t="shared" si="4"/>
        <v>7</v>
      </c>
      <c r="C106" s="108">
        <f t="shared" si="5"/>
        <v>42576</v>
      </c>
      <c r="D106" s="108" t="s">
        <v>470</v>
      </c>
      <c r="E106" s="108">
        <v>42576</v>
      </c>
      <c r="F106" s="112" t="s">
        <v>478</v>
      </c>
      <c r="G106" s="303" t="s">
        <v>474</v>
      </c>
      <c r="H106" s="4"/>
      <c r="I106" s="139"/>
      <c r="J106" s="139"/>
      <c r="K106" s="13">
        <v>1000</v>
      </c>
      <c r="L106" s="116" t="s">
        <v>9</v>
      </c>
      <c r="M106" s="116" t="s">
        <v>24</v>
      </c>
      <c r="N106" s="22" t="str">
        <f>IF(AND('331-CT'!$E$7=TH!H106,OR(L106="331",M106="331")),"331",IF(AND(OR(L106="131",M106="131"),H106='131-CT'!$E$7),"131",""))</f>
        <v/>
      </c>
      <c r="O106" s="22" t="str">
        <f>IF(AND($B106&gt;='111'!$N$11,$B106&lt;='111'!$O$11,OR($L106=$O$7,$M106=$O$7)),"x","")</f>
        <v/>
      </c>
      <c r="P106" s="22" t="str">
        <f>IF(AND($L106=$O$7,$B106&lt;'111'!$N$11),"x","")</f>
        <v/>
      </c>
      <c r="Q106" s="22" t="str">
        <f>IF(AND($M106=$O$7,$B106&lt;'111'!$N$11),"x","")</f>
        <v/>
      </c>
      <c r="R106" s="22" t="str">
        <f>IF(ISERROR(FIND('112'!$M$9,G106,1)),"",IF((AND(FIND('112'!$M$9,G106,1)&gt;=1,$B106&gt;='112'!$N$8,$B106&lt;='112'!$O$8,OR($L106='112'!$I$6,$M106='112'!$I$6))),"x",""))</f>
        <v/>
      </c>
      <c r="S106" s="22" t="str">
        <f>IF(ISERROR(FIND('112'!$M$9,G106,1)),"",IF((AND(LEFT(G106,2)=LEFT('112'!$M$9,2),B106&lt;'112'!$N$8,$L106='112'!$I$6)),"x",""))</f>
        <v/>
      </c>
      <c r="T106" s="22" t="str">
        <f>IF(ISERROR(FIND('112'!$M$9,G106,1)),"",IF((AND(RIGHT(G106,2)=RIGHT('112'!$M$9,2),B106&lt;'112'!$N$8,$M106='112'!$I$6)),"x",""))</f>
        <v>x</v>
      </c>
      <c r="U106" s="22" t="str">
        <f>IF(AND(B106&gt;='IN-NX'!$P$3,B106&lt;='IN-NX'!$Q$3,'IN-NX'!$D$7=D106,OR(LEFT(L106,2)="15",AND(LEFT(M106,2)&lt;&gt;"15",LEFT(M106,2)&lt;&gt;"33"))),"x","")</f>
        <v/>
      </c>
      <c r="V106" s="22" t="str">
        <f>IF(AND(OR(LEFT(TH!L106,2)="15",LEFT(TH!M106,2)="15"),'152-CT'!$J$8=TH!F106),"x","")</f>
        <v/>
      </c>
      <c r="W106" s="22" t="str">
        <f>IF(AND(OR(LEFT(TH!L106,2)="15",LEFT(TH!M106,2)="15"),TK!$E$7=TH!F106),"x","")</f>
        <v/>
      </c>
      <c r="X106" s="22" t="str">
        <f>IF(OR(TH!L106=TH!$X$7,M106=TH!$X$7),"x","")</f>
        <v/>
      </c>
      <c r="Y106" s="22" t="str">
        <f>IF(AND(B106&lt;=NKC!$N$8,B106&gt;=NKC!$M$8),"x","")</f>
        <v>x</v>
      </c>
      <c r="Z106" s="580">
        <v>3</v>
      </c>
    </row>
    <row r="107" spans="1:31" s="406" customFormat="1" ht="15.75" customHeight="1">
      <c r="A107" s="123" t="str">
        <f>IF(B107&lt;&gt;"",IF(AND(B107&gt;=_TM1,B107&lt;=_TM2,OR(TH!L108="1111",TH!M108="1111")),TH!D108,""),"")</f>
        <v/>
      </c>
      <c r="B107" s="12">
        <f t="shared" si="4"/>
        <v>7</v>
      </c>
      <c r="C107" s="108">
        <f t="shared" si="5"/>
        <v>42577</v>
      </c>
      <c r="D107" s="108" t="s">
        <v>565</v>
      </c>
      <c r="E107" s="113">
        <v>42577</v>
      </c>
      <c r="F107" s="112" t="s">
        <v>514</v>
      </c>
      <c r="G107" s="303" t="s">
        <v>712</v>
      </c>
      <c r="H107" s="4" t="s">
        <v>366</v>
      </c>
      <c r="I107" s="139">
        <v>473</v>
      </c>
      <c r="J107" s="139">
        <v>13000</v>
      </c>
      <c r="K107" s="13">
        <f>ROUND(I107*J107,0)</f>
        <v>6149000</v>
      </c>
      <c r="L107" s="116" t="s">
        <v>252</v>
      </c>
      <c r="M107" s="411" t="s">
        <v>169</v>
      </c>
      <c r="N107" s="22" t="str">
        <f>IF(AND('331-CT'!$E$7=TH!H107,OR(L107="331",M107="331")),"331",IF(AND(OR(L107="131",M107="131"),H107='131-CT'!$E$7),"131",""))</f>
        <v/>
      </c>
      <c r="O107" s="22" t="str">
        <f>IF(AND($B107&gt;='111'!$N$11,$B107&lt;='111'!$O$11,OR($L107=$O$7,$M107=$O$7)),"x","")</f>
        <v/>
      </c>
      <c r="P107" s="22" t="str">
        <f>IF(AND($L107=$O$7,$B107&lt;'111'!$N$11),"x","")</f>
        <v/>
      </c>
      <c r="Q107" s="22" t="str">
        <f>IF(AND($M107=$O$7,$B107&lt;'111'!$N$11),"x","")</f>
        <v/>
      </c>
      <c r="R107" s="22" t="str">
        <f>IF(ISERROR(FIND('112'!$M$9,G107,1)),"",IF((AND(FIND('112'!$M$9,G107,1)&gt;=1,$B107&gt;='112'!$N$8,$B107&lt;='112'!$O$8,OR($L107='112'!$I$6,$M107='112'!$I$6))),"x",""))</f>
        <v/>
      </c>
      <c r="S107" s="22" t="str">
        <f>IF(ISERROR(FIND('112'!$M$9,G107,1)),"",IF((AND(LEFT(G107,2)=LEFT('112'!$M$9,2),B107&lt;'112'!$N$8,$L107='112'!$I$6)),"x",""))</f>
        <v/>
      </c>
      <c r="T107" s="22" t="str">
        <f>IF(ISERROR(FIND('112'!$M$9,G107,1)),"",IF((AND(RIGHT(G107,2)=RIGHT('112'!$M$9,2),B107&lt;'112'!$N$8,$M107='112'!$I$6)),"x",""))</f>
        <v/>
      </c>
      <c r="U107" s="22" t="str">
        <f>IF(AND(B107&gt;='IN-NX'!$P$3,B107&lt;='IN-NX'!$Q$3,'IN-NX'!$D$7=D107,OR(LEFT(L107,2)="15",AND(LEFT(M107,2)&lt;&gt;"15",LEFT(M107,2)&lt;&gt;"33"))),"x","")</f>
        <v/>
      </c>
      <c r="V107" s="22" t="str">
        <f>IF(AND(OR(LEFT(TH!L107,2)="15",LEFT(TH!M107,2)="15"),'152-CT'!$J$8=TH!F107),"x","")</f>
        <v/>
      </c>
      <c r="W107" s="22" t="str">
        <f>IF(AND(OR(LEFT(TH!L107,2)="15",LEFT(TH!M107,2)="15"),TK!$E$7=TH!F107),"x","")</f>
        <v/>
      </c>
      <c r="X107" s="22" t="str">
        <f>IF(OR(TH!L107=TH!$X$7,M107=TH!$X$7),"x","")</f>
        <v/>
      </c>
      <c r="Y107" s="22" t="str">
        <f>IF(AND(B107&lt;=NKC!$N$8,B107&gt;=NKC!$M$8),"x","")</f>
        <v>x</v>
      </c>
      <c r="Z107" s="580"/>
      <c r="AD107" s="130"/>
      <c r="AE107" s="130"/>
    </row>
    <row r="108" spans="1:31" s="406" customFormat="1" ht="15.75" customHeight="1">
      <c r="A108" s="123" t="str">
        <f>IF(B108&lt;&gt;"",IF(AND(B108&gt;=_TM1,B108&lt;=_TM2,OR(TH!L109="1111",TH!M109="1111")),TH!D109,""),"")</f>
        <v/>
      </c>
      <c r="B108" s="12">
        <f t="shared" si="4"/>
        <v>7</v>
      </c>
      <c r="C108" s="108">
        <f t="shared" si="5"/>
        <v>42577</v>
      </c>
      <c r="D108" s="108" t="s">
        <v>565</v>
      </c>
      <c r="E108" s="113">
        <v>42577</v>
      </c>
      <c r="F108" s="112" t="s">
        <v>496</v>
      </c>
      <c r="G108" s="303" t="s">
        <v>712</v>
      </c>
      <c r="H108" s="4" t="s">
        <v>366</v>
      </c>
      <c r="I108" s="139"/>
      <c r="J108" s="139"/>
      <c r="K108" s="13">
        <v>614900</v>
      </c>
      <c r="L108" s="116" t="s">
        <v>252</v>
      </c>
      <c r="M108" s="411" t="s">
        <v>352</v>
      </c>
      <c r="N108" s="22" t="str">
        <f>IF(AND('331-CT'!$E$7=TH!H108,OR(L108="331",M108="331")),"331",IF(AND(OR(L108="131",M108="131"),H108='131-CT'!$E$7),"131",""))</f>
        <v/>
      </c>
      <c r="O108" s="22" t="str">
        <f>IF(AND($B108&gt;='111'!$N$11,$B108&lt;='111'!$O$11,OR($L108=$O$7,$M108=$O$7)),"x","")</f>
        <v/>
      </c>
      <c r="P108" s="22" t="str">
        <f>IF(AND($L108=$O$7,$B108&lt;'111'!$N$11),"x","")</f>
        <v/>
      </c>
      <c r="Q108" s="22" t="str">
        <f>IF(AND($M108=$O$7,$B108&lt;'111'!$N$11),"x","")</f>
        <v/>
      </c>
      <c r="R108" s="22" t="str">
        <f>IF(ISERROR(FIND('112'!$M$9,G108,1)),"",IF((AND(FIND('112'!$M$9,G108,1)&gt;=1,$B108&gt;='112'!$N$8,$B108&lt;='112'!$O$8,OR($L108='112'!$I$6,$M108='112'!$I$6))),"x",""))</f>
        <v/>
      </c>
      <c r="S108" s="22" t="str">
        <f>IF(ISERROR(FIND('112'!$M$9,G108,1)),"",IF((AND(LEFT(G108,2)=LEFT('112'!$M$9,2),B108&lt;'112'!$N$8,$L108='112'!$I$6)),"x",""))</f>
        <v/>
      </c>
      <c r="T108" s="22" t="str">
        <f>IF(ISERROR(FIND('112'!$M$9,G108,1)),"",IF((AND(RIGHT(G108,2)=RIGHT('112'!$M$9,2),B108&lt;'112'!$N$8,$M108='112'!$I$6)),"x",""))</f>
        <v/>
      </c>
      <c r="U108" s="22" t="str">
        <f>IF(AND(B108&gt;='IN-NX'!$P$3,B108&lt;='IN-NX'!$Q$3,'IN-NX'!$D$7=D108,OR(LEFT(L108,2)="15",AND(LEFT(M108,2)&lt;&gt;"15",LEFT(M108,2)&lt;&gt;"33"))),"x","")</f>
        <v/>
      </c>
      <c r="V108" s="22" t="str">
        <f>IF(AND(OR(LEFT(TH!L108,2)="15",LEFT(TH!M108,2)="15"),'152-CT'!$J$8=TH!F108),"x","")</f>
        <v/>
      </c>
      <c r="W108" s="22" t="str">
        <f>IF(AND(OR(LEFT(TH!L108,2)="15",LEFT(TH!M108,2)="15"),TK!$E$7=TH!F108),"x","")</f>
        <v/>
      </c>
      <c r="X108" s="22" t="str">
        <f>IF(OR(TH!L108=TH!$X$7,M108=TH!$X$7),"x","")</f>
        <v/>
      </c>
      <c r="Y108" s="22" t="str">
        <f>IF(AND(B108&lt;=NKC!$N$8,B108&gt;=NKC!$M$8),"x","")</f>
        <v>x</v>
      </c>
      <c r="Z108" s="580"/>
      <c r="AD108" s="130"/>
      <c r="AE108" s="130"/>
    </row>
    <row r="109" spans="1:31" s="406" customFormat="1" ht="15.75" customHeight="1">
      <c r="A109" s="123" t="str">
        <f>IF(B109&lt;&gt;"",IF(AND(B109&gt;=_TM1,B109&lt;=_TM2,OR(TH!L110="1111",TH!M110="1111")),TH!D110,""),"")</f>
        <v/>
      </c>
      <c r="B109" s="12">
        <f t="shared" si="4"/>
        <v>7</v>
      </c>
      <c r="C109" s="108">
        <f t="shared" si="5"/>
        <v>42579</v>
      </c>
      <c r="D109" s="108" t="s">
        <v>469</v>
      </c>
      <c r="E109" s="108">
        <v>42579</v>
      </c>
      <c r="F109" s="112" t="s">
        <v>484</v>
      </c>
      <c r="G109" s="303" t="s">
        <v>474</v>
      </c>
      <c r="H109" s="4" t="s">
        <v>367</v>
      </c>
      <c r="I109" s="139"/>
      <c r="J109" s="139"/>
      <c r="K109" s="410">
        <v>14300000</v>
      </c>
      <c r="L109" s="411" t="s">
        <v>24</v>
      </c>
      <c r="M109" s="411" t="s">
        <v>252</v>
      </c>
      <c r="N109" s="22" t="str">
        <f>IF(AND('331-CT'!$E$7=TH!H109,OR(L109="331",M109="331")),"331",IF(AND(OR(L109="131",M109="131"),H109='131-CT'!$E$7),"131",""))</f>
        <v/>
      </c>
      <c r="O109" s="22" t="str">
        <f>IF(AND($B109&gt;='111'!$N$11,$B109&lt;='111'!$O$11,OR($L109=$O$7,$M109=$O$7)),"x","")</f>
        <v/>
      </c>
      <c r="P109" s="22" t="str">
        <f>IF(AND($L109=$O$7,$B109&lt;'111'!$N$11),"x","")</f>
        <v/>
      </c>
      <c r="Q109" s="22" t="str">
        <f>IF(AND($M109=$O$7,$B109&lt;'111'!$N$11),"x","")</f>
        <v/>
      </c>
      <c r="R109" s="22" t="str">
        <f>IF(ISERROR(FIND('112'!$M$9,G109,1)),"",IF((AND(FIND('112'!$M$9,G109,1)&gt;=1,$B109&gt;='112'!$N$8,$B109&lt;='112'!$O$8,OR($L109='112'!$I$6,$M109='112'!$I$6))),"x",""))</f>
        <v/>
      </c>
      <c r="S109" s="22" t="str">
        <f>IF(ISERROR(FIND('112'!$M$9,G109,1)),"",IF((AND(LEFT(G109,2)=LEFT('112'!$M$9,2),B109&lt;'112'!$N$8,$L109='112'!$I$6)),"x",""))</f>
        <v>x</v>
      </c>
      <c r="T109" s="22" t="str">
        <f>IF(ISERROR(FIND('112'!$M$9,G109,1)),"",IF((AND(RIGHT(G109,2)=RIGHT('112'!$M$9,2),B109&lt;'112'!$N$8,$M109='112'!$I$6)),"x",""))</f>
        <v/>
      </c>
      <c r="U109" s="22" t="str">
        <f>IF(AND(B109&gt;='IN-NX'!$P$3,B109&lt;='IN-NX'!$Q$3,'IN-NX'!$D$7=D109,OR(LEFT(L109,2)="15",AND(LEFT(M109,2)&lt;&gt;"15",LEFT(M109,2)&lt;&gt;"33"))),"x","")</f>
        <v/>
      </c>
      <c r="V109" s="22" t="str">
        <f>IF(AND(OR(LEFT(TH!L109,2)="15",LEFT(TH!M109,2)="15"),'152-CT'!$J$8=TH!F109),"x","")</f>
        <v/>
      </c>
      <c r="W109" s="22" t="str">
        <f>IF(AND(OR(LEFT(TH!L109,2)="15",LEFT(TH!M109,2)="15"),TK!$E$7=TH!F109),"x","")</f>
        <v/>
      </c>
      <c r="X109" s="22" t="str">
        <f>IF(OR(TH!L109=TH!$X$7,M109=TH!$X$7),"x","")</f>
        <v/>
      </c>
      <c r="Y109" s="22" t="str">
        <f>IF(AND(B109&lt;=NKC!$N$8,B109&gt;=NKC!$M$8),"x","")</f>
        <v>x</v>
      </c>
      <c r="Z109" s="580"/>
    </row>
    <row r="110" spans="1:31" s="406" customFormat="1" ht="15.75" customHeight="1">
      <c r="A110" s="123" t="str">
        <f>IF(B110&lt;&gt;"",IF(AND(B110&gt;=_TM1,B110&lt;=_TM2,OR(TH!L111="1111",TH!M111="1111")),TH!D111,""),"")</f>
        <v/>
      </c>
      <c r="B110" s="12">
        <f t="shared" si="4"/>
        <v>7</v>
      </c>
      <c r="C110" s="108">
        <f t="shared" si="5"/>
        <v>42580</v>
      </c>
      <c r="D110" s="113" t="s">
        <v>403</v>
      </c>
      <c r="E110" s="108">
        <v>42580</v>
      </c>
      <c r="F110" s="112" t="s">
        <v>405</v>
      </c>
      <c r="G110" s="305" t="s">
        <v>448</v>
      </c>
      <c r="H110" s="4" t="s">
        <v>399</v>
      </c>
      <c r="I110" s="139">
        <v>7756</v>
      </c>
      <c r="J110" s="139">
        <v>7600</v>
      </c>
      <c r="K110" s="13">
        <f>ROUND(I110*J110,0)</f>
        <v>58945600</v>
      </c>
      <c r="L110" s="116" t="s">
        <v>154</v>
      </c>
      <c r="M110" s="116" t="s">
        <v>8</v>
      </c>
      <c r="N110" s="22" t="str">
        <f>IF(AND('331-CT'!$E$7=TH!H110,OR(L110="331",M110="331")),"331",IF(AND(OR(L110="131",M110="131"),H110='131-CT'!$E$7),"131",""))</f>
        <v/>
      </c>
      <c r="O110" s="22" t="str">
        <f>IF(AND($B110&gt;='111'!$N$11,$B110&lt;='111'!$O$11,OR($L110=$O$7,$M110=$O$7)),"x","")</f>
        <v/>
      </c>
      <c r="P110" s="22" t="str">
        <f>IF(AND($L110=$O$7,$B110&lt;'111'!$N$11),"x","")</f>
        <v/>
      </c>
      <c r="Q110" s="22" t="str">
        <f>IF(AND($M110=$O$7,$B110&lt;'111'!$N$11),"x","")</f>
        <v/>
      </c>
      <c r="R110" s="22" t="str">
        <f>IF(ISERROR(FIND('112'!$M$9,G110,1)),"",IF((AND(FIND('112'!$M$9,G110,1)&gt;=1,$B110&gt;='112'!$N$8,$B110&lt;='112'!$O$8,OR($L110='112'!$I$6,$M110='112'!$I$6))),"x",""))</f>
        <v/>
      </c>
      <c r="S110" s="22" t="str">
        <f>IF(ISERROR(FIND('112'!$M$9,G110,1)),"",IF((AND(LEFT(G110,2)=LEFT('112'!$M$9,2),B110&lt;'112'!$N$8,$L110='112'!$I$6)),"x",""))</f>
        <v/>
      </c>
      <c r="T110" s="22" t="str">
        <f>IF(ISERROR(FIND('112'!$M$9,G110,1)),"",IF((AND(RIGHT(G110,2)=RIGHT('112'!$M$9,2),B110&lt;'112'!$N$8,$M110='112'!$I$6)),"x",""))</f>
        <v/>
      </c>
      <c r="U110" s="22" t="str">
        <f>IF(AND(B110&gt;='IN-NX'!$P$3,B110&lt;='IN-NX'!$Q$3,'IN-NX'!$D$7=D110,OR(LEFT(L110,2)="15",AND(LEFT(M110,2)&lt;&gt;"15",LEFT(M110,2)&lt;&gt;"33"))),"x","")</f>
        <v/>
      </c>
      <c r="V110" s="22" t="str">
        <f>IF(AND(OR(LEFT(TH!L110,2)="15",LEFT(TH!M110,2)="15"),'152-CT'!$J$8=TH!F110),"x","")</f>
        <v/>
      </c>
      <c r="W110" s="22" t="str">
        <f>IF(AND(OR(LEFT(TH!L110,2)="15",LEFT(TH!M110,2)="15"),TK!$E$7=TH!F110),"x","")</f>
        <v/>
      </c>
      <c r="X110" s="22" t="str">
        <f>IF(OR(TH!L110=TH!$X$7,M110=TH!$X$7),"x","")</f>
        <v/>
      </c>
      <c r="Y110" s="22" t="str">
        <f>IF(AND(B110&lt;=NKC!$N$8,B110&gt;=NKC!$M$8),"x","")</f>
        <v>x</v>
      </c>
      <c r="Z110" s="580">
        <v>3</v>
      </c>
    </row>
    <row r="111" spans="1:31" s="406" customFormat="1" ht="15.75" customHeight="1">
      <c r="A111" s="123" t="str">
        <f>IF(B111&lt;&gt;"",IF(AND(B111&gt;=_TM1,B111&lt;=_TM2,OR(TH!L112="1111",TH!M112="1111")),TH!D112,""),"")</f>
        <v/>
      </c>
      <c r="B111" s="12">
        <f t="shared" si="4"/>
        <v>7</v>
      </c>
      <c r="C111" s="108">
        <f t="shared" si="5"/>
        <v>42580</v>
      </c>
      <c r="D111" s="113" t="s">
        <v>403</v>
      </c>
      <c r="E111" s="108">
        <v>42580</v>
      </c>
      <c r="F111" s="112" t="s">
        <v>449</v>
      </c>
      <c r="G111" s="305" t="s">
        <v>448</v>
      </c>
      <c r="H111" s="4" t="s">
        <v>399</v>
      </c>
      <c r="I111" s="139">
        <v>4223</v>
      </c>
      <c r="J111" s="139">
        <v>8900</v>
      </c>
      <c r="K111" s="13">
        <f>ROUND(I111*J111,0)</f>
        <v>37584700</v>
      </c>
      <c r="L111" s="116" t="s">
        <v>154</v>
      </c>
      <c r="M111" s="116" t="s">
        <v>8</v>
      </c>
      <c r="N111" s="22" t="str">
        <f>IF(AND('331-CT'!$E$7=TH!H111,OR(L111="331",M111="331")),"331",IF(AND(OR(L111="131",M111="131"),H111='131-CT'!$E$7),"131",""))</f>
        <v/>
      </c>
      <c r="O111" s="22" t="str">
        <f>IF(AND($B111&gt;='111'!$N$11,$B111&lt;='111'!$O$11,OR($L111=$O$7,$M111=$O$7)),"x","")</f>
        <v/>
      </c>
      <c r="P111" s="22" t="str">
        <f>IF(AND($L111=$O$7,$B111&lt;'111'!$N$11),"x","")</f>
        <v/>
      </c>
      <c r="Q111" s="22" t="str">
        <f>IF(AND($M111=$O$7,$B111&lt;'111'!$N$11),"x","")</f>
        <v/>
      </c>
      <c r="R111" s="22" t="str">
        <f>IF(ISERROR(FIND('112'!$M$9,G111,1)),"",IF((AND(FIND('112'!$M$9,G111,1)&gt;=1,$B111&gt;='112'!$N$8,$B111&lt;='112'!$O$8,OR($L111='112'!$I$6,$M111='112'!$I$6))),"x",""))</f>
        <v/>
      </c>
      <c r="S111" s="22" t="str">
        <f>IF(ISERROR(FIND('112'!$M$9,G111,1)),"",IF((AND(LEFT(G111,2)=LEFT('112'!$M$9,2),B111&lt;'112'!$N$8,$L111='112'!$I$6)),"x",""))</f>
        <v/>
      </c>
      <c r="T111" s="22" t="str">
        <f>IF(ISERROR(FIND('112'!$M$9,G111,1)),"",IF((AND(RIGHT(G111,2)=RIGHT('112'!$M$9,2),B111&lt;'112'!$N$8,$M111='112'!$I$6)),"x",""))</f>
        <v/>
      </c>
      <c r="U111" s="22" t="str">
        <f>IF(AND(B111&gt;='IN-NX'!$P$3,B111&lt;='IN-NX'!$Q$3,'IN-NX'!$D$7=D111,OR(LEFT(L111,2)="15",AND(LEFT(M111,2)&lt;&gt;"15",LEFT(M111,2)&lt;&gt;"33"))),"x","")</f>
        <v/>
      </c>
      <c r="V111" s="22" t="str">
        <f>IF(AND(OR(LEFT(TH!L111,2)="15",LEFT(TH!M111,2)="15"),'152-CT'!$J$8=TH!F111),"x","")</f>
        <v/>
      </c>
      <c r="W111" s="22" t="str">
        <f>IF(AND(OR(LEFT(TH!L111,2)="15",LEFT(TH!M111,2)="15"),TK!$E$7=TH!F111),"x","")</f>
        <v/>
      </c>
      <c r="X111" s="22" t="str">
        <f>IF(OR(TH!L111=TH!$X$7,M111=TH!$X$7),"x","")</f>
        <v/>
      </c>
      <c r="Y111" s="22" t="str">
        <f>IF(AND(B111&lt;=NKC!$N$8,B111&gt;=NKC!$M$8),"x","")</f>
        <v>x</v>
      </c>
      <c r="Z111" s="580">
        <v>3</v>
      </c>
    </row>
    <row r="112" spans="1:31" s="406" customFormat="1" ht="15.75" customHeight="1">
      <c r="A112" s="123" t="str">
        <f>IF(B112&lt;&gt;"",IF(AND(B112&gt;=_TM1,B112&lt;=_TM2,OR(TH!L113="1111",TH!M113="1111")),TH!D113,""),"")</f>
        <v/>
      </c>
      <c r="B112" s="12">
        <f t="shared" si="4"/>
        <v>7</v>
      </c>
      <c r="C112" s="108">
        <f t="shared" si="5"/>
        <v>42580</v>
      </c>
      <c r="D112" s="113" t="s">
        <v>403</v>
      </c>
      <c r="E112" s="108">
        <v>42580</v>
      </c>
      <c r="F112" s="112" t="s">
        <v>450</v>
      </c>
      <c r="G112" s="305" t="s">
        <v>448</v>
      </c>
      <c r="H112" s="4" t="s">
        <v>399</v>
      </c>
      <c r="I112" s="139">
        <v>6881</v>
      </c>
      <c r="J112" s="139">
        <v>8500</v>
      </c>
      <c r="K112" s="13">
        <f>ROUND(I112*J112,0)</f>
        <v>58488500</v>
      </c>
      <c r="L112" s="116" t="s">
        <v>154</v>
      </c>
      <c r="M112" s="116" t="s">
        <v>8</v>
      </c>
      <c r="N112" s="22" t="str">
        <f>IF(AND('331-CT'!$E$7=TH!H112,OR(L112="331",M112="331")),"331",IF(AND(OR(L112="131",M112="131"),H112='131-CT'!$E$7),"131",""))</f>
        <v/>
      </c>
      <c r="O112" s="22" t="str">
        <f>IF(AND($B112&gt;='111'!$N$11,$B112&lt;='111'!$O$11,OR($L112=$O$7,$M112=$O$7)),"x","")</f>
        <v/>
      </c>
      <c r="P112" s="22" t="str">
        <f>IF(AND($L112=$O$7,$B112&lt;'111'!$N$11),"x","")</f>
        <v/>
      </c>
      <c r="Q112" s="22" t="str">
        <f>IF(AND($M112=$O$7,$B112&lt;'111'!$N$11),"x","")</f>
        <v/>
      </c>
      <c r="R112" s="22" t="str">
        <f>IF(ISERROR(FIND('112'!$M$9,G112,1)),"",IF((AND(FIND('112'!$M$9,G112,1)&gt;=1,$B112&gt;='112'!$N$8,$B112&lt;='112'!$O$8,OR($L112='112'!$I$6,$M112='112'!$I$6))),"x",""))</f>
        <v/>
      </c>
      <c r="S112" s="22" t="str">
        <f>IF(ISERROR(FIND('112'!$M$9,G112,1)),"",IF((AND(LEFT(G112,2)=LEFT('112'!$M$9,2),B112&lt;'112'!$N$8,$L112='112'!$I$6)),"x",""))</f>
        <v/>
      </c>
      <c r="T112" s="22" t="str">
        <f>IF(ISERROR(FIND('112'!$M$9,G112,1)),"",IF((AND(RIGHT(G112,2)=RIGHT('112'!$M$9,2),B112&lt;'112'!$N$8,$M112='112'!$I$6)),"x",""))</f>
        <v/>
      </c>
      <c r="U112" s="22" t="str">
        <f>IF(AND(B112&gt;='IN-NX'!$P$3,B112&lt;='IN-NX'!$Q$3,'IN-NX'!$D$7=D112,OR(LEFT(L112,2)="15",AND(LEFT(M112,2)&lt;&gt;"15",LEFT(M112,2)&lt;&gt;"33"))),"x","")</f>
        <v/>
      </c>
      <c r="V112" s="22" t="str">
        <f>IF(AND(OR(LEFT(TH!L112,2)="15",LEFT(TH!M112,2)="15"),'152-CT'!$J$8=TH!F112),"x","")</f>
        <v/>
      </c>
      <c r="W112" s="22" t="str">
        <f>IF(AND(OR(LEFT(TH!L112,2)="15",LEFT(TH!M112,2)="15"),TK!$E$7=TH!F112),"x","")</f>
        <v/>
      </c>
      <c r="X112" s="22" t="str">
        <f>IF(OR(TH!L112=TH!$X$7,M112=TH!$X$7),"x","")</f>
        <v/>
      </c>
      <c r="Y112" s="22" t="str">
        <f>IF(AND(B112&lt;=NKC!$N$8,B112&gt;=NKC!$M$8),"x","")</f>
        <v>x</v>
      </c>
      <c r="Z112" s="580">
        <v>3</v>
      </c>
    </row>
    <row r="113" spans="1:31" s="406" customFormat="1" ht="15.75" customHeight="1">
      <c r="A113" s="123" t="str">
        <f>IF(B113&lt;&gt;"",IF(AND(B113&gt;=_TM1,B113&lt;=_TM2,OR(TH!L114="1111",TH!M114="1111")),TH!D114,""),"")</f>
        <v/>
      </c>
      <c r="B113" s="12">
        <f t="shared" si="4"/>
        <v>7</v>
      </c>
      <c r="C113" s="108">
        <f t="shared" si="5"/>
        <v>42580</v>
      </c>
      <c r="D113" s="113" t="s">
        <v>456</v>
      </c>
      <c r="E113" s="108">
        <v>42580</v>
      </c>
      <c r="F113" s="112" t="s">
        <v>400</v>
      </c>
      <c r="G113" s="305" t="s">
        <v>448</v>
      </c>
      <c r="H113" s="4" t="s">
        <v>399</v>
      </c>
      <c r="I113" s="139"/>
      <c r="J113" s="139"/>
      <c r="K113" s="410">
        <v>15501880</v>
      </c>
      <c r="L113" s="116" t="s">
        <v>9</v>
      </c>
      <c r="M113" s="116" t="s">
        <v>8</v>
      </c>
      <c r="N113" s="22" t="str">
        <f>IF(AND('331-CT'!$E$7=TH!H113,OR(L113="331",M113="331")),"331",IF(AND(OR(L113="131",M113="131"),H113='131-CT'!$E$7),"131",""))</f>
        <v/>
      </c>
      <c r="O113" s="22" t="str">
        <f>IF(AND($B113&gt;='111'!$N$11,$B113&lt;='111'!$O$11,OR($L113=$O$7,$M113=$O$7)),"x","")</f>
        <v/>
      </c>
      <c r="P113" s="22" t="str">
        <f>IF(AND($L113=$O$7,$B113&lt;'111'!$N$11),"x","")</f>
        <v/>
      </c>
      <c r="Q113" s="22" t="str">
        <f>IF(AND($M113=$O$7,$B113&lt;'111'!$N$11),"x","")</f>
        <v/>
      </c>
      <c r="R113" s="22" t="str">
        <f>IF(ISERROR(FIND('112'!$M$9,G113,1)),"",IF((AND(FIND('112'!$M$9,G113,1)&gt;=1,$B113&gt;='112'!$N$8,$B113&lt;='112'!$O$8,OR($L113='112'!$I$6,$M113='112'!$I$6))),"x",""))</f>
        <v/>
      </c>
      <c r="S113" s="22" t="str">
        <f>IF(ISERROR(FIND('112'!$M$9,G113,1)),"",IF((AND(LEFT(G113,2)=LEFT('112'!$M$9,2),B113&lt;'112'!$N$8,$L113='112'!$I$6)),"x",""))</f>
        <v/>
      </c>
      <c r="T113" s="22" t="str">
        <f>IF(ISERROR(FIND('112'!$M$9,G113,1)),"",IF((AND(RIGHT(G113,2)=RIGHT('112'!$M$9,2),B113&lt;'112'!$N$8,$M113='112'!$I$6)),"x",""))</f>
        <v/>
      </c>
      <c r="U113" s="22" t="str">
        <f>IF(AND(B113&gt;='IN-NX'!$P$3,B113&lt;='IN-NX'!$Q$3,'IN-NX'!$D$7=D113,OR(LEFT(L113,2)="15",AND(LEFT(M113,2)&lt;&gt;"15",LEFT(M113,2)&lt;&gt;"33"))),"x","")</f>
        <v/>
      </c>
      <c r="V113" s="22" t="str">
        <f>IF(AND(OR(LEFT(TH!L113,2)="15",LEFT(TH!M113,2)="15"),'152-CT'!$J$8=TH!F113),"x","")</f>
        <v/>
      </c>
      <c r="W113" s="22" t="str">
        <f>IF(AND(OR(LEFT(TH!L113,2)="15",LEFT(TH!M113,2)="15"),TK!$E$7=TH!F113),"x","")</f>
        <v/>
      </c>
      <c r="X113" s="22" t="str">
        <f>IF(OR(TH!L113=TH!$X$7,M113=TH!$X$7),"x","")</f>
        <v/>
      </c>
      <c r="Y113" s="22" t="str">
        <f>IF(AND(B113&lt;=NKC!$N$8,B113&gt;=NKC!$M$8),"x","")</f>
        <v>x</v>
      </c>
      <c r="Z113" s="580">
        <v>3</v>
      </c>
      <c r="AB113" s="130"/>
    </row>
    <row r="114" spans="1:31" s="406" customFormat="1" ht="15.75" customHeight="1">
      <c r="A114" s="123" t="str">
        <f>IF(B114&lt;&gt;"",IF(AND(B114&gt;=_TM1,B114&lt;=_TM2,OR(TH!L115="1111",TH!M115="1111")),TH!D115,""),"")</f>
        <v/>
      </c>
      <c r="B114" s="12">
        <f t="shared" si="4"/>
        <v>7</v>
      </c>
      <c r="C114" s="108">
        <f t="shared" si="5"/>
        <v>42580</v>
      </c>
      <c r="D114" s="108" t="s">
        <v>991</v>
      </c>
      <c r="E114" s="108">
        <v>42580</v>
      </c>
      <c r="F114" s="112" t="s">
        <v>485</v>
      </c>
      <c r="G114" s="303" t="s">
        <v>474</v>
      </c>
      <c r="H114" s="4" t="s">
        <v>475</v>
      </c>
      <c r="I114" s="139"/>
      <c r="J114" s="139"/>
      <c r="K114" s="410">
        <v>15000000</v>
      </c>
      <c r="L114" s="411" t="s">
        <v>46</v>
      </c>
      <c r="M114" s="411" t="s">
        <v>24</v>
      </c>
      <c r="N114" s="22" t="str">
        <f>IF(AND('331-CT'!$E$7=TH!H114,OR(L114="331",M114="331")),"331",IF(AND(OR(L114="131",M114="131"),H114='131-CT'!$E$7),"131",""))</f>
        <v/>
      </c>
      <c r="O114" s="22" t="str">
        <f>IF(AND($B114&gt;='111'!$N$11,$B114&lt;='111'!$O$11,OR($L114=$O$7,$M114=$O$7)),"x","")</f>
        <v/>
      </c>
      <c r="P114" s="22" t="str">
        <f>IF(AND($L114=$O$7,$B114&lt;'111'!$N$11),"x","")</f>
        <v>x</v>
      </c>
      <c r="Q114" s="22" t="str">
        <f>IF(AND($M114=$O$7,$B114&lt;'111'!$N$11),"x","")</f>
        <v/>
      </c>
      <c r="R114" s="22" t="str">
        <f>IF(ISERROR(FIND('112'!$M$9,G114,1)),"",IF((AND(FIND('112'!$M$9,G114,1)&gt;=1,$B114&gt;='112'!$N$8,$B114&lt;='112'!$O$8,OR($L114='112'!$I$6,$M114='112'!$I$6))),"x",""))</f>
        <v/>
      </c>
      <c r="S114" s="22" t="str">
        <f>IF(ISERROR(FIND('112'!$M$9,G114,1)),"",IF((AND(LEFT(G114,2)=LEFT('112'!$M$9,2),B114&lt;'112'!$N$8,$L114='112'!$I$6)),"x",""))</f>
        <v/>
      </c>
      <c r="T114" s="22" t="str">
        <f>IF(ISERROR(FIND('112'!$M$9,G114,1)),"",IF((AND(RIGHT(G114,2)=RIGHT('112'!$M$9,2),B114&lt;'112'!$N$8,$M114='112'!$I$6)),"x",""))</f>
        <v>x</v>
      </c>
      <c r="U114" s="22" t="str">
        <f>IF(AND(B114&gt;='IN-NX'!$P$3,B114&lt;='IN-NX'!$Q$3,'IN-NX'!$D$7=D114,OR(LEFT(L114,2)="15",AND(LEFT(M114,2)&lt;&gt;"15",LEFT(M114,2)&lt;&gt;"33"))),"x","")</f>
        <v/>
      </c>
      <c r="V114" s="22" t="str">
        <f>IF(AND(OR(LEFT(TH!L114,2)="15",LEFT(TH!M114,2)="15"),'152-CT'!$J$8=TH!F114),"x","")</f>
        <v/>
      </c>
      <c r="W114" s="22" t="str">
        <f>IF(AND(OR(LEFT(TH!L114,2)="15",LEFT(TH!M114,2)="15"),TK!$E$7=TH!F114),"x","")</f>
        <v/>
      </c>
      <c r="X114" s="22" t="str">
        <f>IF(OR(TH!L114=TH!$X$7,M114=TH!$X$7),"x","")</f>
        <v/>
      </c>
      <c r="Y114" s="22" t="str">
        <f>IF(AND(B114&lt;=NKC!$N$8,B114&gt;=NKC!$M$8),"x","")</f>
        <v>x</v>
      </c>
      <c r="Z114" s="580"/>
    </row>
    <row r="115" spans="1:31" s="406" customFormat="1" ht="15.75" customHeight="1">
      <c r="A115" s="123" t="str">
        <f>IF(B115&lt;&gt;"",IF(AND(B115&gt;=_TM1,B115&lt;=_TM2,OR(TH!L116="1111",TH!M116="1111")),TH!D116,""),"")</f>
        <v/>
      </c>
      <c r="B115" s="12">
        <f t="shared" si="4"/>
        <v>7</v>
      </c>
      <c r="C115" s="108">
        <f t="shared" si="5"/>
        <v>42580</v>
      </c>
      <c r="D115" s="108" t="s">
        <v>469</v>
      </c>
      <c r="E115" s="108">
        <v>42580</v>
      </c>
      <c r="F115" s="112" t="s">
        <v>484</v>
      </c>
      <c r="G115" s="303" t="s">
        <v>474</v>
      </c>
      <c r="H115" s="4" t="s">
        <v>372</v>
      </c>
      <c r="I115" s="139"/>
      <c r="J115" s="139"/>
      <c r="K115" s="410">
        <v>25674000</v>
      </c>
      <c r="L115" s="411" t="s">
        <v>24</v>
      </c>
      <c r="M115" s="411" t="s">
        <v>252</v>
      </c>
      <c r="N115" s="22" t="str">
        <f>IF(AND('331-CT'!$E$7=TH!H115,OR(L115="331",M115="331")),"331",IF(AND(OR(L115="131",M115="131"),H115='131-CT'!$E$7),"131",""))</f>
        <v/>
      </c>
      <c r="O115" s="22" t="str">
        <f>IF(AND($B115&gt;='111'!$N$11,$B115&lt;='111'!$O$11,OR($L115=$O$7,$M115=$O$7)),"x","")</f>
        <v/>
      </c>
      <c r="P115" s="22" t="str">
        <f>IF(AND($L115=$O$7,$B115&lt;'111'!$N$11),"x","")</f>
        <v/>
      </c>
      <c r="Q115" s="22" t="str">
        <f>IF(AND($M115=$O$7,$B115&lt;'111'!$N$11),"x","")</f>
        <v/>
      </c>
      <c r="R115" s="22" t="str">
        <f>IF(ISERROR(FIND('112'!$M$9,G115,1)),"",IF((AND(FIND('112'!$M$9,G115,1)&gt;=1,$B115&gt;='112'!$N$8,$B115&lt;='112'!$O$8,OR($L115='112'!$I$6,$M115='112'!$I$6))),"x",""))</f>
        <v/>
      </c>
      <c r="S115" s="22" t="str">
        <f>IF(ISERROR(FIND('112'!$M$9,G115,1)),"",IF((AND(LEFT(G115,2)=LEFT('112'!$M$9,2),B115&lt;'112'!$N$8,$L115='112'!$I$6)),"x",""))</f>
        <v>x</v>
      </c>
      <c r="T115" s="22" t="str">
        <f>IF(ISERROR(FIND('112'!$M$9,G115,1)),"",IF((AND(RIGHT(G115,2)=RIGHT('112'!$M$9,2),B115&lt;'112'!$N$8,$M115='112'!$I$6)),"x",""))</f>
        <v/>
      </c>
      <c r="U115" s="22" t="str">
        <f>IF(AND(B115&gt;='IN-NX'!$P$3,B115&lt;='IN-NX'!$Q$3,'IN-NX'!$D$7=D115,OR(LEFT(L115,2)="15",AND(LEFT(M115,2)&lt;&gt;"15",LEFT(M115,2)&lt;&gt;"33"))),"x","")</f>
        <v/>
      </c>
      <c r="V115" s="22" t="str">
        <f>IF(AND(OR(LEFT(TH!L115,2)="15",LEFT(TH!M115,2)="15"),'152-CT'!$J$8=TH!F115),"x","")</f>
        <v/>
      </c>
      <c r="W115" s="22" t="str">
        <f>IF(AND(OR(LEFT(TH!L115,2)="15",LEFT(TH!M115,2)="15"),TK!$E$7=TH!F115),"x","")</f>
        <v/>
      </c>
      <c r="X115" s="22" t="str">
        <f>IF(OR(TH!L115=TH!$X$7,M115=TH!$X$7),"x","")</f>
        <v/>
      </c>
      <c r="Y115" s="22" t="str">
        <f>IF(AND(B115&lt;=NKC!$N$8,B115&gt;=NKC!$M$8),"x","")</f>
        <v>x</v>
      </c>
      <c r="Z115" s="580"/>
    </row>
    <row r="116" spans="1:31" s="406" customFormat="1" ht="15.75" customHeight="1">
      <c r="A116" s="123" t="str">
        <f>IF(B116&lt;&gt;"",IF(AND(B116&gt;=_TM1,B116&lt;=_TM2,OR(TH!L117="1111",TH!M117="1111")),TH!D117,""),"")</f>
        <v/>
      </c>
      <c r="B116" s="12">
        <f t="shared" si="4"/>
        <v>7</v>
      </c>
      <c r="C116" s="108">
        <f t="shared" si="5"/>
        <v>42580</v>
      </c>
      <c r="D116" s="108" t="s">
        <v>566</v>
      </c>
      <c r="E116" s="113">
        <v>42580</v>
      </c>
      <c r="F116" s="112" t="s">
        <v>515</v>
      </c>
      <c r="G116" s="303" t="s">
        <v>713</v>
      </c>
      <c r="H116" s="4" t="s">
        <v>366</v>
      </c>
      <c r="I116" s="139">
        <v>302</v>
      </c>
      <c r="J116" s="139">
        <v>10500</v>
      </c>
      <c r="K116" s="13">
        <f>ROUND(I116*J116,0)</f>
        <v>3171000</v>
      </c>
      <c r="L116" s="116" t="s">
        <v>252</v>
      </c>
      <c r="M116" s="411" t="s">
        <v>169</v>
      </c>
      <c r="N116" s="22" t="str">
        <f>IF(AND('331-CT'!$E$7=TH!H116,OR(L116="331",M116="331")),"331",IF(AND(OR(L116="131",M116="131"),H116='131-CT'!$E$7),"131",""))</f>
        <v/>
      </c>
      <c r="O116" s="22" t="str">
        <f>IF(AND($B116&gt;='111'!$N$11,$B116&lt;='111'!$O$11,OR($L116=$O$7,$M116=$O$7)),"x","")</f>
        <v/>
      </c>
      <c r="P116" s="22" t="str">
        <f>IF(AND($L116=$O$7,$B116&lt;'111'!$N$11),"x","")</f>
        <v/>
      </c>
      <c r="Q116" s="22" t="str">
        <f>IF(AND($M116=$O$7,$B116&lt;'111'!$N$11),"x","")</f>
        <v/>
      </c>
      <c r="R116" s="22" t="str">
        <f>IF(ISERROR(FIND('112'!$M$9,G116,1)),"",IF((AND(FIND('112'!$M$9,G116,1)&gt;=1,$B116&gt;='112'!$N$8,$B116&lt;='112'!$O$8,OR($L116='112'!$I$6,$M116='112'!$I$6))),"x",""))</f>
        <v/>
      </c>
      <c r="S116" s="22" t="str">
        <f>IF(ISERROR(FIND('112'!$M$9,G116,1)),"",IF((AND(LEFT(G116,2)=LEFT('112'!$M$9,2),B116&lt;'112'!$N$8,$L116='112'!$I$6)),"x",""))</f>
        <v/>
      </c>
      <c r="T116" s="22" t="str">
        <f>IF(ISERROR(FIND('112'!$M$9,G116,1)),"",IF((AND(RIGHT(G116,2)=RIGHT('112'!$M$9,2),B116&lt;'112'!$N$8,$M116='112'!$I$6)),"x",""))</f>
        <v/>
      </c>
      <c r="U116" s="22" t="str">
        <f>IF(AND(B116&gt;='IN-NX'!$P$3,B116&lt;='IN-NX'!$Q$3,'IN-NX'!$D$7=D116,OR(LEFT(L116,2)="15",AND(LEFT(M116,2)&lt;&gt;"15",LEFT(M116,2)&lt;&gt;"33"))),"x","")</f>
        <v/>
      </c>
      <c r="V116" s="22" t="str">
        <f>IF(AND(OR(LEFT(TH!L116,2)="15",LEFT(TH!M116,2)="15"),'152-CT'!$J$8=TH!F116),"x","")</f>
        <v/>
      </c>
      <c r="W116" s="22" t="str">
        <f>IF(AND(OR(LEFT(TH!L116,2)="15",LEFT(TH!M116,2)="15"),TK!$E$7=TH!F116),"x","")</f>
        <v/>
      </c>
      <c r="X116" s="22" t="str">
        <f>IF(OR(TH!L116=TH!$X$7,M116=TH!$X$7),"x","")</f>
        <v/>
      </c>
      <c r="Y116" s="22" t="str">
        <f>IF(AND(B116&lt;=NKC!$N$8,B116&gt;=NKC!$M$8),"x","")</f>
        <v>x</v>
      </c>
      <c r="Z116" s="580"/>
      <c r="AB116" s="130"/>
      <c r="AC116" s="130"/>
      <c r="AD116" s="130"/>
      <c r="AE116" s="130"/>
    </row>
    <row r="117" spans="1:31" s="406" customFormat="1" ht="15.75" customHeight="1">
      <c r="A117" s="123" t="str">
        <f>IF(B117&lt;&gt;"",IF(AND(B117&gt;=_TM1,B117&lt;=_TM2,OR(TH!L118="1111",TH!M118="1111")),TH!D118,""),"")</f>
        <v/>
      </c>
      <c r="B117" s="12">
        <f t="shared" si="4"/>
        <v>7</v>
      </c>
      <c r="C117" s="108">
        <f t="shared" si="5"/>
        <v>42580</v>
      </c>
      <c r="D117" s="108" t="s">
        <v>566</v>
      </c>
      <c r="E117" s="113">
        <v>42580</v>
      </c>
      <c r="F117" s="112" t="s">
        <v>516</v>
      </c>
      <c r="G117" s="303" t="s">
        <v>713</v>
      </c>
      <c r="H117" s="4" t="s">
        <v>366</v>
      </c>
      <c r="I117" s="139">
        <v>527</v>
      </c>
      <c r="J117" s="139">
        <v>10500</v>
      </c>
      <c r="K117" s="13">
        <f>ROUND(I117*J117,0)</f>
        <v>5533500</v>
      </c>
      <c r="L117" s="116" t="s">
        <v>252</v>
      </c>
      <c r="M117" s="411" t="s">
        <v>169</v>
      </c>
      <c r="N117" s="22" t="str">
        <f>IF(AND('331-CT'!$E$7=TH!H117,OR(L117="331",M117="331")),"331",IF(AND(OR(L117="131",M117="131"),H117='131-CT'!$E$7),"131",""))</f>
        <v/>
      </c>
      <c r="O117" s="22" t="str">
        <f>IF(AND($B117&gt;='111'!$N$11,$B117&lt;='111'!$O$11,OR($L117=$O$7,$M117=$O$7)),"x","")</f>
        <v/>
      </c>
      <c r="P117" s="22" t="str">
        <f>IF(AND($L117=$O$7,$B117&lt;'111'!$N$11),"x","")</f>
        <v/>
      </c>
      <c r="Q117" s="22" t="str">
        <f>IF(AND($M117=$O$7,$B117&lt;'111'!$N$11),"x","")</f>
        <v/>
      </c>
      <c r="R117" s="22" t="str">
        <f>IF(ISERROR(FIND('112'!$M$9,G117,1)),"",IF((AND(FIND('112'!$M$9,G117,1)&gt;=1,$B117&gt;='112'!$N$8,$B117&lt;='112'!$O$8,OR($L117='112'!$I$6,$M117='112'!$I$6))),"x",""))</f>
        <v/>
      </c>
      <c r="S117" s="22" t="str">
        <f>IF(ISERROR(FIND('112'!$M$9,G117,1)),"",IF((AND(LEFT(G117,2)=LEFT('112'!$M$9,2),B117&lt;'112'!$N$8,$L117='112'!$I$6)),"x",""))</f>
        <v/>
      </c>
      <c r="T117" s="22" t="str">
        <f>IF(ISERROR(FIND('112'!$M$9,G117,1)),"",IF((AND(RIGHT(G117,2)=RIGHT('112'!$M$9,2),B117&lt;'112'!$N$8,$M117='112'!$I$6)),"x",""))</f>
        <v/>
      </c>
      <c r="U117" s="22" t="str">
        <f>IF(AND(B117&gt;='IN-NX'!$P$3,B117&lt;='IN-NX'!$Q$3,'IN-NX'!$D$7=D117,OR(LEFT(L117,2)="15",AND(LEFT(M117,2)&lt;&gt;"15",LEFT(M117,2)&lt;&gt;"33"))),"x","")</f>
        <v/>
      </c>
      <c r="V117" s="22" t="str">
        <f>IF(AND(OR(LEFT(TH!L117,2)="15",LEFT(TH!M117,2)="15"),'152-CT'!$J$8=TH!F117),"x","")</f>
        <v/>
      </c>
      <c r="W117" s="22" t="str">
        <f>IF(AND(OR(LEFT(TH!L117,2)="15",LEFT(TH!M117,2)="15"),TK!$E$7=TH!F117),"x","")</f>
        <v/>
      </c>
      <c r="X117" s="22" t="str">
        <f>IF(OR(TH!L117=TH!$X$7,M117=TH!$X$7),"x","")</f>
        <v/>
      </c>
      <c r="Y117" s="22" t="str">
        <f>IF(AND(B117&lt;=NKC!$N$8,B117&gt;=NKC!$M$8),"x","")</f>
        <v>x</v>
      </c>
      <c r="Z117" s="580"/>
      <c r="AC117" s="130"/>
      <c r="AD117" s="130"/>
      <c r="AE117" s="130"/>
    </row>
    <row r="118" spans="1:31" s="406" customFormat="1" ht="15.75" customHeight="1">
      <c r="A118" s="123" t="str">
        <f>IF(B118&lt;&gt;"",IF(AND(B118&gt;=_TM1,B118&lt;=_TM2,OR(TH!L119="1111",TH!M119="1111")),TH!D119,""),"")</f>
        <v/>
      </c>
      <c r="B118" s="12">
        <f t="shared" si="4"/>
        <v>7</v>
      </c>
      <c r="C118" s="108">
        <f t="shared" si="5"/>
        <v>42580</v>
      </c>
      <c r="D118" s="108" t="s">
        <v>566</v>
      </c>
      <c r="E118" s="113">
        <v>42580</v>
      </c>
      <c r="F118" s="112" t="s">
        <v>496</v>
      </c>
      <c r="G118" s="303" t="s">
        <v>713</v>
      </c>
      <c r="H118" s="4" t="s">
        <v>366</v>
      </c>
      <c r="I118" s="139"/>
      <c r="J118" s="139"/>
      <c r="K118" s="13">
        <v>870450</v>
      </c>
      <c r="L118" s="116" t="s">
        <v>252</v>
      </c>
      <c r="M118" s="411" t="s">
        <v>352</v>
      </c>
      <c r="N118" s="22" t="str">
        <f>IF(AND('331-CT'!$E$7=TH!H118,OR(L118="331",M118="331")),"331",IF(AND(OR(L118="131",M118="131"),H118='131-CT'!$E$7),"131",""))</f>
        <v/>
      </c>
      <c r="O118" s="22" t="str">
        <f>IF(AND($B118&gt;='111'!$N$11,$B118&lt;='111'!$O$11,OR($L118=$O$7,$M118=$O$7)),"x","")</f>
        <v/>
      </c>
      <c r="P118" s="22" t="str">
        <f>IF(AND($L118=$O$7,$B118&lt;'111'!$N$11),"x","")</f>
        <v/>
      </c>
      <c r="Q118" s="22" t="str">
        <f>IF(AND($M118=$O$7,$B118&lt;'111'!$N$11),"x","")</f>
        <v/>
      </c>
      <c r="R118" s="22" t="str">
        <f>IF(ISERROR(FIND('112'!$M$9,G118,1)),"",IF((AND(FIND('112'!$M$9,G118,1)&gt;=1,$B118&gt;='112'!$N$8,$B118&lt;='112'!$O$8,OR($L118='112'!$I$6,$M118='112'!$I$6))),"x",""))</f>
        <v/>
      </c>
      <c r="S118" s="22" t="str">
        <f>IF(ISERROR(FIND('112'!$M$9,G118,1)),"",IF((AND(LEFT(G118,2)=LEFT('112'!$M$9,2),B118&lt;'112'!$N$8,$L118='112'!$I$6)),"x",""))</f>
        <v/>
      </c>
      <c r="T118" s="22" t="str">
        <f>IF(ISERROR(FIND('112'!$M$9,G118,1)),"",IF((AND(RIGHT(G118,2)=RIGHT('112'!$M$9,2),B118&lt;'112'!$N$8,$M118='112'!$I$6)),"x",""))</f>
        <v/>
      </c>
      <c r="U118" s="22" t="str">
        <f>IF(AND(B118&gt;='IN-NX'!$P$3,B118&lt;='IN-NX'!$Q$3,'IN-NX'!$D$7=D118,OR(LEFT(L118,2)="15",AND(LEFT(M118,2)&lt;&gt;"15",LEFT(M118,2)&lt;&gt;"33"))),"x","")</f>
        <v/>
      </c>
      <c r="V118" s="22" t="str">
        <f>IF(AND(OR(LEFT(TH!L118,2)="15",LEFT(TH!M118,2)="15"),'152-CT'!$J$8=TH!F118),"x","")</f>
        <v/>
      </c>
      <c r="W118" s="22" t="str">
        <f>IF(AND(OR(LEFT(TH!L118,2)="15",LEFT(TH!M118,2)="15"),TK!$E$7=TH!F118),"x","")</f>
        <v/>
      </c>
      <c r="X118" s="22" t="str">
        <f>IF(OR(TH!L118=TH!$X$7,M118=TH!$X$7),"x","")</f>
        <v/>
      </c>
      <c r="Y118" s="22" t="str">
        <f>IF(AND(B118&lt;=NKC!$N$8,B118&gt;=NKC!$M$8),"x","")</f>
        <v>x</v>
      </c>
      <c r="Z118" s="580"/>
      <c r="AC118" s="130"/>
      <c r="AD118" s="130"/>
      <c r="AE118" s="130"/>
    </row>
    <row r="119" spans="1:31" s="406" customFormat="1" ht="15.75" customHeight="1">
      <c r="A119" s="123" t="str">
        <f>IF(B119&lt;&gt;"",IF(AND(B119&gt;=_TM1,B119&lt;=_TM2,OR(TH!L120="1111",TH!M120="1111")),TH!D120,""),"")</f>
        <v/>
      </c>
      <c r="B119" s="12">
        <f t="shared" si="4"/>
        <v>7</v>
      </c>
      <c r="C119" s="108">
        <f t="shared" si="5"/>
        <v>42580</v>
      </c>
      <c r="D119" s="108" t="s">
        <v>567</v>
      </c>
      <c r="E119" s="113">
        <v>42580</v>
      </c>
      <c r="F119" s="112" t="s">
        <v>649</v>
      </c>
      <c r="G119" s="303" t="s">
        <v>714</v>
      </c>
      <c r="H119" s="4" t="s">
        <v>372</v>
      </c>
      <c r="I119" s="139">
        <v>100</v>
      </c>
      <c r="J119" s="139">
        <v>19700</v>
      </c>
      <c r="K119" s="13">
        <f>ROUND(I119*J119,0)</f>
        <v>1970000</v>
      </c>
      <c r="L119" s="116" t="s">
        <v>252</v>
      </c>
      <c r="M119" s="411" t="s">
        <v>169</v>
      </c>
      <c r="N119" s="22" t="str">
        <f>IF(AND('331-CT'!$E$7=TH!H119,OR(L119="331",M119="331")),"331",IF(AND(OR(L119="131",M119="131"),H119='131-CT'!$E$7),"131",""))</f>
        <v/>
      </c>
      <c r="O119" s="22" t="str">
        <f>IF(AND($B119&gt;='111'!$N$11,$B119&lt;='111'!$O$11,OR($L119=$O$7,$M119=$O$7)),"x","")</f>
        <v/>
      </c>
      <c r="P119" s="22" t="str">
        <f>IF(AND($L119=$O$7,$B119&lt;'111'!$N$11),"x","")</f>
        <v/>
      </c>
      <c r="Q119" s="22" t="str">
        <f>IF(AND($M119=$O$7,$B119&lt;'111'!$N$11),"x","")</f>
        <v/>
      </c>
      <c r="R119" s="22" t="str">
        <f>IF(ISERROR(FIND('112'!$M$9,G119,1)),"",IF((AND(FIND('112'!$M$9,G119,1)&gt;=1,$B119&gt;='112'!$N$8,$B119&lt;='112'!$O$8,OR($L119='112'!$I$6,$M119='112'!$I$6))),"x",""))</f>
        <v/>
      </c>
      <c r="S119" s="22" t="str">
        <f>IF(ISERROR(FIND('112'!$M$9,G119,1)),"",IF((AND(LEFT(G119,2)=LEFT('112'!$M$9,2),B119&lt;'112'!$N$8,$L119='112'!$I$6)),"x",""))</f>
        <v/>
      </c>
      <c r="T119" s="22" t="str">
        <f>IF(ISERROR(FIND('112'!$M$9,G119,1)),"",IF((AND(RIGHT(G119,2)=RIGHT('112'!$M$9,2),B119&lt;'112'!$N$8,$M119='112'!$I$6)),"x",""))</f>
        <v/>
      </c>
      <c r="U119" s="22" t="str">
        <f>IF(AND(B119&gt;='IN-NX'!$P$3,B119&lt;='IN-NX'!$Q$3,'IN-NX'!$D$7=D119,OR(LEFT(L119,2)="15",AND(LEFT(M119,2)&lt;&gt;"15",LEFT(M119,2)&lt;&gt;"33"))),"x","")</f>
        <v/>
      </c>
      <c r="V119" s="22" t="str">
        <f>IF(AND(OR(LEFT(TH!L119,2)="15",LEFT(TH!M119,2)="15"),'152-CT'!$J$8=TH!F119),"x","")</f>
        <v/>
      </c>
      <c r="W119" s="22" t="str">
        <f>IF(AND(OR(LEFT(TH!L119,2)="15",LEFT(TH!M119,2)="15"),TK!$E$7=TH!F119),"x","")</f>
        <v/>
      </c>
      <c r="X119" s="22" t="str">
        <f>IF(OR(TH!L119=TH!$X$7,M119=TH!$X$7),"x","")</f>
        <v/>
      </c>
      <c r="Y119" s="22" t="str">
        <f>IF(AND(B119&lt;=NKC!$N$8,B119&gt;=NKC!$M$8),"x","")</f>
        <v>x</v>
      </c>
      <c r="Z119" s="580"/>
      <c r="AC119" s="130"/>
      <c r="AD119" s="130"/>
      <c r="AE119" s="130"/>
    </row>
    <row r="120" spans="1:31" s="406" customFormat="1" ht="15.75" customHeight="1">
      <c r="A120" s="123" t="str">
        <f>IF(B120&lt;&gt;"",IF(AND(B120&gt;=_TM1,B120&lt;=_TM2,OR(TH!L121="1111",TH!M121="1111")),TH!D121,""),"")</f>
        <v/>
      </c>
      <c r="B120" s="12">
        <f t="shared" si="4"/>
        <v>7</v>
      </c>
      <c r="C120" s="108">
        <f t="shared" si="5"/>
        <v>42580</v>
      </c>
      <c r="D120" s="108" t="s">
        <v>567</v>
      </c>
      <c r="E120" s="113">
        <v>42580</v>
      </c>
      <c r="F120" s="112" t="s">
        <v>819</v>
      </c>
      <c r="G120" s="303" t="s">
        <v>714</v>
      </c>
      <c r="H120" s="4" t="s">
        <v>372</v>
      </c>
      <c r="I120" s="139">
        <v>100</v>
      </c>
      <c r="J120" s="139">
        <v>20100</v>
      </c>
      <c r="K120" s="13">
        <f>ROUND(I120*J120,0)</f>
        <v>2010000</v>
      </c>
      <c r="L120" s="116" t="s">
        <v>252</v>
      </c>
      <c r="M120" s="411" t="s">
        <v>169</v>
      </c>
      <c r="N120" s="22" t="str">
        <f>IF(AND('331-CT'!$E$7=TH!H120,OR(L120="331",M120="331")),"331",IF(AND(OR(L120="131",M120="131"),H120='131-CT'!$E$7),"131",""))</f>
        <v/>
      </c>
      <c r="O120" s="22" t="str">
        <f>IF(AND($B120&gt;='111'!$N$11,$B120&lt;='111'!$O$11,OR($L120=$O$7,$M120=$O$7)),"x","")</f>
        <v/>
      </c>
      <c r="P120" s="22" t="str">
        <f>IF(AND($L120=$O$7,$B120&lt;'111'!$N$11),"x","")</f>
        <v/>
      </c>
      <c r="Q120" s="22" t="str">
        <f>IF(AND($M120=$O$7,$B120&lt;'111'!$N$11),"x","")</f>
        <v/>
      </c>
      <c r="R120" s="22" t="str">
        <f>IF(ISERROR(FIND('112'!$M$9,G120,1)),"",IF((AND(FIND('112'!$M$9,G120,1)&gt;=1,$B120&gt;='112'!$N$8,$B120&lt;='112'!$O$8,OR($L120='112'!$I$6,$M120='112'!$I$6))),"x",""))</f>
        <v/>
      </c>
      <c r="S120" s="22" t="str">
        <f>IF(ISERROR(FIND('112'!$M$9,G120,1)),"",IF((AND(LEFT(G120,2)=LEFT('112'!$M$9,2),B120&lt;'112'!$N$8,$L120='112'!$I$6)),"x",""))</f>
        <v/>
      </c>
      <c r="T120" s="22" t="str">
        <f>IF(ISERROR(FIND('112'!$M$9,G120,1)),"",IF((AND(RIGHT(G120,2)=RIGHT('112'!$M$9,2),B120&lt;'112'!$N$8,$M120='112'!$I$6)),"x",""))</f>
        <v/>
      </c>
      <c r="U120" s="22" t="str">
        <f>IF(AND(B120&gt;='IN-NX'!$P$3,B120&lt;='IN-NX'!$Q$3,'IN-NX'!$D$7=D120,OR(LEFT(L120,2)="15",AND(LEFT(M120,2)&lt;&gt;"15",LEFT(M120,2)&lt;&gt;"33"))),"x","")</f>
        <v/>
      </c>
      <c r="V120" s="22" t="str">
        <f>IF(AND(OR(LEFT(TH!L120,2)="15",LEFT(TH!M120,2)="15"),'152-CT'!$J$8=TH!F120),"x","")</f>
        <v/>
      </c>
      <c r="W120" s="22" t="str">
        <f>IF(AND(OR(LEFT(TH!L120,2)="15",LEFT(TH!M120,2)="15"),TK!$E$7=TH!F120),"x","")</f>
        <v/>
      </c>
      <c r="X120" s="22" t="str">
        <f>IF(OR(TH!L120=TH!$X$7,M120=TH!$X$7),"x","")</f>
        <v/>
      </c>
      <c r="Y120" s="22" t="str">
        <f>IF(AND(B120&lt;=NKC!$N$8,B120&gt;=NKC!$M$8),"x","")</f>
        <v>x</v>
      </c>
      <c r="Z120" s="580"/>
      <c r="AC120" s="130"/>
      <c r="AD120" s="130"/>
      <c r="AE120" s="130"/>
    </row>
    <row r="121" spans="1:31" s="406" customFormat="1" ht="15.75" customHeight="1">
      <c r="A121" s="123" t="str">
        <f>IF(B121&lt;&gt;"",IF(AND(B121&gt;=_TM1,B121&lt;=_TM2,OR(TH!L122="1111",TH!M122="1111")),TH!D122,""),"")</f>
        <v/>
      </c>
      <c r="B121" s="12">
        <f t="shared" si="4"/>
        <v>7</v>
      </c>
      <c r="C121" s="108">
        <f t="shared" si="5"/>
        <v>42580</v>
      </c>
      <c r="D121" s="108" t="s">
        <v>567</v>
      </c>
      <c r="E121" s="113">
        <v>42580</v>
      </c>
      <c r="F121" s="112" t="s">
        <v>496</v>
      </c>
      <c r="G121" s="303" t="s">
        <v>714</v>
      </c>
      <c r="H121" s="4" t="s">
        <v>372</v>
      </c>
      <c r="I121" s="139"/>
      <c r="J121" s="139"/>
      <c r="K121" s="13">
        <v>398000</v>
      </c>
      <c r="L121" s="116" t="s">
        <v>252</v>
      </c>
      <c r="M121" s="411" t="s">
        <v>352</v>
      </c>
      <c r="N121" s="22" t="str">
        <f>IF(AND('331-CT'!$E$7=TH!H121,OR(L121="331",M121="331")),"331",IF(AND(OR(L121="131",M121="131"),H121='131-CT'!$E$7),"131",""))</f>
        <v/>
      </c>
      <c r="O121" s="22" t="str">
        <f>IF(AND($B121&gt;='111'!$N$11,$B121&lt;='111'!$O$11,OR($L121=$O$7,$M121=$O$7)),"x","")</f>
        <v/>
      </c>
      <c r="P121" s="22" t="str">
        <f>IF(AND($L121=$O$7,$B121&lt;'111'!$N$11),"x","")</f>
        <v/>
      </c>
      <c r="Q121" s="22" t="str">
        <f>IF(AND($M121=$O$7,$B121&lt;'111'!$N$11),"x","")</f>
        <v/>
      </c>
      <c r="R121" s="22" t="str">
        <f>IF(ISERROR(FIND('112'!$M$9,G121,1)),"",IF((AND(FIND('112'!$M$9,G121,1)&gt;=1,$B121&gt;='112'!$N$8,$B121&lt;='112'!$O$8,OR($L121='112'!$I$6,$M121='112'!$I$6))),"x",""))</f>
        <v/>
      </c>
      <c r="S121" s="22" t="str">
        <f>IF(ISERROR(FIND('112'!$M$9,G121,1)),"",IF((AND(LEFT(G121,2)=LEFT('112'!$M$9,2),B121&lt;'112'!$N$8,$L121='112'!$I$6)),"x",""))</f>
        <v/>
      </c>
      <c r="T121" s="22" t="str">
        <f>IF(ISERROR(FIND('112'!$M$9,G121,1)),"",IF((AND(RIGHT(G121,2)=RIGHT('112'!$M$9,2),B121&lt;'112'!$N$8,$M121='112'!$I$6)),"x",""))</f>
        <v/>
      </c>
      <c r="U121" s="22" t="str">
        <f>IF(AND(B121&gt;='IN-NX'!$P$3,B121&lt;='IN-NX'!$Q$3,'IN-NX'!$D$7=D121,OR(LEFT(L121,2)="15",AND(LEFT(M121,2)&lt;&gt;"15",LEFT(M121,2)&lt;&gt;"33"))),"x","")</f>
        <v/>
      </c>
      <c r="V121" s="22" t="str">
        <f>IF(AND(OR(LEFT(TH!L121,2)="15",LEFT(TH!M121,2)="15"),'152-CT'!$J$8=TH!F121),"x","")</f>
        <v/>
      </c>
      <c r="W121" s="22" t="str">
        <f>IF(AND(OR(LEFT(TH!L121,2)="15",LEFT(TH!M121,2)="15"),TK!$E$7=TH!F121),"x","")</f>
        <v/>
      </c>
      <c r="X121" s="22" t="str">
        <f>IF(OR(TH!L121=TH!$X$7,M121=TH!$X$7),"x","")</f>
        <v/>
      </c>
      <c r="Y121" s="22" t="str">
        <f>IF(AND(B121&lt;=NKC!$N$8,B121&gt;=NKC!$M$8),"x","")</f>
        <v>x</v>
      </c>
      <c r="Z121" s="580"/>
      <c r="AB121" s="130"/>
      <c r="AC121" s="130"/>
      <c r="AD121" s="130"/>
      <c r="AE121" s="130"/>
    </row>
    <row r="122" spans="1:31" s="406" customFormat="1" ht="15.75" customHeight="1">
      <c r="A122" s="123" t="str">
        <f>IF(B122&lt;&gt;"",IF(AND(B122&gt;=_TM1,B122&lt;=_TM2,OR(TH!L123="1111",TH!M123="1111")),TH!D123,""),"")</f>
        <v/>
      </c>
      <c r="B122" s="12">
        <f t="shared" si="4"/>
        <v>7</v>
      </c>
      <c r="C122" s="108">
        <f t="shared" si="5"/>
        <v>42581</v>
      </c>
      <c r="D122" s="113" t="s">
        <v>454</v>
      </c>
      <c r="E122" s="108">
        <v>42581</v>
      </c>
      <c r="F122" s="112" t="s">
        <v>355</v>
      </c>
      <c r="G122" s="303" t="s">
        <v>424</v>
      </c>
      <c r="H122" s="115" t="s">
        <v>423</v>
      </c>
      <c r="I122" s="139"/>
      <c r="J122" s="139"/>
      <c r="K122" s="410">
        <v>6290000</v>
      </c>
      <c r="L122" s="411" t="s">
        <v>160</v>
      </c>
      <c r="M122" s="411" t="s">
        <v>46</v>
      </c>
      <c r="N122" s="22" t="str">
        <f>IF(AND('331-CT'!$E$7=TH!H122,OR(L122="331",M122="331")),"331",IF(AND(OR(L122="131",M122="131"),H122='131-CT'!$E$7),"131",""))</f>
        <v/>
      </c>
      <c r="O122" s="22" t="str">
        <f>IF(AND($B122&gt;='111'!$N$11,$B122&lt;='111'!$O$11,OR($L122=$O$7,$M122=$O$7)),"x","")</f>
        <v/>
      </c>
      <c r="P122" s="22" t="str">
        <f>IF(AND($L122=$O$7,$B122&lt;'111'!$N$11),"x","")</f>
        <v/>
      </c>
      <c r="Q122" s="22" t="str">
        <f>IF(AND($M122=$O$7,$B122&lt;'111'!$N$11),"x","")</f>
        <v>x</v>
      </c>
      <c r="R122" s="22" t="str">
        <f>IF(ISERROR(FIND('112'!$M$9,G122,1)),"",IF((AND(FIND('112'!$M$9,G122,1)&gt;=1,$B122&gt;='112'!$N$8,$B122&lt;='112'!$O$8,OR($L122='112'!$I$6,$M122='112'!$I$6))),"x",""))</f>
        <v/>
      </c>
      <c r="S122" s="22" t="str">
        <f>IF(ISERROR(FIND('112'!$M$9,G122,1)),"",IF((AND(LEFT(G122,2)=LEFT('112'!$M$9,2),B122&lt;'112'!$N$8,$L122='112'!$I$6)),"x",""))</f>
        <v/>
      </c>
      <c r="T122" s="22" t="str">
        <f>IF(ISERROR(FIND('112'!$M$9,G122,1)),"",IF((AND(RIGHT(G122,2)=RIGHT('112'!$M$9,2),B122&lt;'112'!$N$8,$M122='112'!$I$6)),"x",""))</f>
        <v/>
      </c>
      <c r="U122" s="22" t="str">
        <f>IF(AND(B122&gt;='IN-NX'!$P$3,B122&lt;='IN-NX'!$Q$3,'IN-NX'!$D$7=D122,OR(LEFT(L122,2)="15",AND(LEFT(M122,2)&lt;&gt;"15",LEFT(M122,2)&lt;&gt;"33"))),"x","")</f>
        <v/>
      </c>
      <c r="V122" s="22" t="str">
        <f>IF(AND(OR(LEFT(TH!L122,2)="15",LEFT(TH!M122,2)="15"),'152-CT'!$J$8=TH!F122),"x","")</f>
        <v/>
      </c>
      <c r="W122" s="22" t="str">
        <f>IF(AND(OR(LEFT(TH!L122,2)="15",LEFT(TH!M122,2)="15"),TK!$E$7=TH!F122),"x","")</f>
        <v/>
      </c>
      <c r="X122" s="22" t="str">
        <f>IF(OR(TH!L122=TH!$X$7,M122=TH!$X$7),"x","")</f>
        <v/>
      </c>
      <c r="Y122" s="22" t="str">
        <f>IF(AND(B122&lt;=NKC!$N$8,B122&gt;=NKC!$M$8),"x","")</f>
        <v>x</v>
      </c>
      <c r="Z122" s="580">
        <v>3</v>
      </c>
    </row>
    <row r="123" spans="1:31" s="406" customFormat="1" ht="15.75" customHeight="1">
      <c r="A123" s="123" t="str">
        <f>IF(B123&lt;&gt;"",IF(AND(B123&gt;=_TM1,B123&lt;=_TM2,OR(TH!L124="1111",TH!M124="1111")),TH!D124,""),"")</f>
        <v/>
      </c>
      <c r="B123" s="12">
        <f t="shared" si="4"/>
        <v>7</v>
      </c>
      <c r="C123" s="108">
        <f t="shared" si="5"/>
        <v>42581</v>
      </c>
      <c r="D123" s="113" t="s">
        <v>454</v>
      </c>
      <c r="E123" s="108">
        <v>42581</v>
      </c>
      <c r="F123" s="112" t="s">
        <v>425</v>
      </c>
      <c r="G123" s="303" t="s">
        <v>424</v>
      </c>
      <c r="H123" s="115" t="s">
        <v>423</v>
      </c>
      <c r="I123" s="139"/>
      <c r="J123" s="139"/>
      <c r="K123" s="410">
        <v>629000</v>
      </c>
      <c r="L123" s="411" t="s">
        <v>9</v>
      </c>
      <c r="M123" s="411" t="s">
        <v>46</v>
      </c>
      <c r="N123" s="22" t="str">
        <f>IF(AND('331-CT'!$E$7=TH!H123,OR(L123="331",M123="331")),"331",IF(AND(OR(L123="131",M123="131"),H123='131-CT'!$E$7),"131",""))</f>
        <v/>
      </c>
      <c r="O123" s="22" t="str">
        <f>IF(AND($B123&gt;='111'!$N$11,$B123&lt;='111'!$O$11,OR($L123=$O$7,$M123=$O$7)),"x","")</f>
        <v/>
      </c>
      <c r="P123" s="22" t="str">
        <f>IF(AND($L123=$O$7,$B123&lt;'111'!$N$11),"x","")</f>
        <v/>
      </c>
      <c r="Q123" s="22" t="str">
        <f>IF(AND($M123=$O$7,$B123&lt;'111'!$N$11),"x","")</f>
        <v>x</v>
      </c>
      <c r="R123" s="22" t="str">
        <f>IF(ISERROR(FIND('112'!$M$9,G123,1)),"",IF((AND(FIND('112'!$M$9,G123,1)&gt;=1,$B123&gt;='112'!$N$8,$B123&lt;='112'!$O$8,OR($L123='112'!$I$6,$M123='112'!$I$6))),"x",""))</f>
        <v/>
      </c>
      <c r="S123" s="22" t="str">
        <f>IF(ISERROR(FIND('112'!$M$9,G123,1)),"",IF((AND(LEFT(G123,2)=LEFT('112'!$M$9,2),B123&lt;'112'!$N$8,$L123='112'!$I$6)),"x",""))</f>
        <v/>
      </c>
      <c r="T123" s="22" t="str">
        <f>IF(ISERROR(FIND('112'!$M$9,G123,1)),"",IF((AND(RIGHT(G123,2)=RIGHT('112'!$M$9,2),B123&lt;'112'!$N$8,$M123='112'!$I$6)),"x",""))</f>
        <v/>
      </c>
      <c r="U123" s="22" t="str">
        <f>IF(AND(B123&gt;='IN-NX'!$P$3,B123&lt;='IN-NX'!$Q$3,'IN-NX'!$D$7=D123,OR(LEFT(L123,2)="15",AND(LEFT(M123,2)&lt;&gt;"15",LEFT(M123,2)&lt;&gt;"33"))),"x","")</f>
        <v/>
      </c>
      <c r="V123" s="22" t="str">
        <f>IF(AND(OR(LEFT(TH!L123,2)="15",LEFT(TH!M123,2)="15"),'152-CT'!$J$8=TH!F123),"x","")</f>
        <v/>
      </c>
      <c r="W123" s="22" t="str">
        <f>IF(AND(OR(LEFT(TH!L123,2)="15",LEFT(TH!M123,2)="15"),TK!$E$7=TH!F123),"x","")</f>
        <v/>
      </c>
      <c r="X123" s="22" t="str">
        <f>IF(OR(TH!L123=TH!$X$7,M123=TH!$X$7),"x","")</f>
        <v/>
      </c>
      <c r="Y123" s="22" t="str">
        <f>IF(AND(B123&lt;=NKC!$N$8,B123&gt;=NKC!$M$8),"x","")</f>
        <v>x</v>
      </c>
      <c r="Z123" s="580">
        <v>3</v>
      </c>
    </row>
    <row r="124" spans="1:31" s="406" customFormat="1" ht="15.75" customHeight="1">
      <c r="A124" s="123" t="str">
        <f>IF(B124&lt;&gt;"",IF(AND(B124&gt;=_TM1,B124&lt;=_TM2,OR(TH!L125="1111",TH!M125="1111")),TH!D125,""),"")</f>
        <v/>
      </c>
      <c r="B124" s="12">
        <f t="shared" si="4"/>
        <v>7</v>
      </c>
      <c r="C124" s="108">
        <f t="shared" si="5"/>
        <v>42581</v>
      </c>
      <c r="D124" s="113" t="s">
        <v>457</v>
      </c>
      <c r="E124" s="108">
        <v>42581</v>
      </c>
      <c r="F124" s="112" t="s">
        <v>411</v>
      </c>
      <c r="G124" s="303" t="s">
        <v>430</v>
      </c>
      <c r="H124" s="115" t="s">
        <v>428</v>
      </c>
      <c r="I124" s="139"/>
      <c r="J124" s="139"/>
      <c r="K124" s="410">
        <v>2011090</v>
      </c>
      <c r="L124" s="411" t="s">
        <v>254</v>
      </c>
      <c r="M124" s="411" t="s">
        <v>46</v>
      </c>
      <c r="N124" s="22" t="str">
        <f>IF(AND('331-CT'!$E$7=TH!H124,OR(L124="331",M124="331")),"331",IF(AND(OR(L124="131",M124="131"),H124='131-CT'!$E$7),"131",""))</f>
        <v/>
      </c>
      <c r="O124" s="22" t="str">
        <f>IF(AND($B124&gt;='111'!$N$11,$B124&lt;='111'!$O$11,OR($L124=$O$7,$M124=$O$7)),"x","")</f>
        <v/>
      </c>
      <c r="P124" s="22" t="str">
        <f>IF(AND($L124=$O$7,$B124&lt;'111'!$N$11),"x","")</f>
        <v/>
      </c>
      <c r="Q124" s="22" t="str">
        <f>IF(AND($M124=$O$7,$B124&lt;'111'!$N$11),"x","")</f>
        <v>x</v>
      </c>
      <c r="R124" s="22" t="str">
        <f>IF(ISERROR(FIND('112'!$M$9,G124,1)),"",IF((AND(FIND('112'!$M$9,G124,1)&gt;=1,$B124&gt;='112'!$N$8,$B124&lt;='112'!$O$8,OR($L124='112'!$I$6,$M124='112'!$I$6))),"x",""))</f>
        <v/>
      </c>
      <c r="S124" s="22" t="str">
        <f>IF(ISERROR(FIND('112'!$M$9,G124,1)),"",IF((AND(LEFT(G124,2)=LEFT('112'!$M$9,2),B124&lt;'112'!$N$8,$L124='112'!$I$6)),"x",""))</f>
        <v/>
      </c>
      <c r="T124" s="22" t="str">
        <f>IF(ISERROR(FIND('112'!$M$9,G124,1)),"",IF((AND(RIGHT(G124,2)=RIGHT('112'!$M$9,2),B124&lt;'112'!$N$8,$M124='112'!$I$6)),"x",""))</f>
        <v/>
      </c>
      <c r="U124" s="22" t="str">
        <f>IF(AND(B124&gt;='IN-NX'!$P$3,B124&lt;='IN-NX'!$Q$3,'IN-NX'!$D$7=D124,OR(LEFT(L124,2)="15",AND(LEFT(M124,2)&lt;&gt;"15",LEFT(M124,2)&lt;&gt;"33"))),"x","")</f>
        <v/>
      </c>
      <c r="V124" s="22" t="str">
        <f>IF(AND(OR(LEFT(TH!L124,2)="15",LEFT(TH!M124,2)="15"),'152-CT'!$J$8=TH!F124),"x","")</f>
        <v/>
      </c>
      <c r="W124" s="22" t="str">
        <f>IF(AND(OR(LEFT(TH!L124,2)="15",LEFT(TH!M124,2)="15"),TK!$E$7=TH!F124),"x","")</f>
        <v/>
      </c>
      <c r="X124" s="22" t="str">
        <f>IF(OR(TH!L124=TH!$X$7,M124=TH!$X$7),"x","")</f>
        <v/>
      </c>
      <c r="Y124" s="22" t="str">
        <f>IF(AND(B124&lt;=NKC!$N$8,B124&gt;=NKC!$M$8),"x","")</f>
        <v>x</v>
      </c>
      <c r="Z124" s="580">
        <v>3</v>
      </c>
      <c r="AD124" s="130"/>
      <c r="AE124" s="130"/>
    </row>
    <row r="125" spans="1:31" s="406" customFormat="1" ht="15.75" customHeight="1">
      <c r="A125" s="123" t="str">
        <f>IF(B125&lt;&gt;"",IF(AND(B125&gt;=_TM1,B125&lt;=_TM2,OR(TH!L126="1111",TH!M126="1111")),TH!D126,""),"")</f>
        <v/>
      </c>
      <c r="B125" s="12">
        <f t="shared" si="4"/>
        <v>7</v>
      </c>
      <c r="C125" s="108">
        <f t="shared" si="5"/>
        <v>42581</v>
      </c>
      <c r="D125" s="113" t="s">
        <v>457</v>
      </c>
      <c r="E125" s="108">
        <v>42581</v>
      </c>
      <c r="F125" s="112" t="s">
        <v>412</v>
      </c>
      <c r="G125" s="303" t="s">
        <v>430</v>
      </c>
      <c r="H125" s="115" t="s">
        <v>428</v>
      </c>
      <c r="I125" s="139"/>
      <c r="J125" s="139"/>
      <c r="K125" s="410">
        <v>201110</v>
      </c>
      <c r="L125" s="411" t="s">
        <v>9</v>
      </c>
      <c r="M125" s="411" t="s">
        <v>46</v>
      </c>
      <c r="N125" s="22" t="str">
        <f>IF(AND('331-CT'!$E$7=TH!H125,OR(L125="331",M125="331")),"331",IF(AND(OR(L125="131",M125="131"),H125='131-CT'!$E$7),"131",""))</f>
        <v/>
      </c>
      <c r="O125" s="22" t="str">
        <f>IF(AND($B125&gt;='111'!$N$11,$B125&lt;='111'!$O$11,OR($L125=$O$7,$M125=$O$7)),"x","")</f>
        <v/>
      </c>
      <c r="P125" s="22" t="str">
        <f>IF(AND($L125=$O$7,$B125&lt;'111'!$N$11),"x","")</f>
        <v/>
      </c>
      <c r="Q125" s="22" t="str">
        <f>IF(AND($M125=$O$7,$B125&lt;'111'!$N$11),"x","")</f>
        <v>x</v>
      </c>
      <c r="R125" s="22" t="str">
        <f>IF(ISERROR(FIND('112'!$M$9,G125,1)),"",IF((AND(FIND('112'!$M$9,G125,1)&gt;=1,$B125&gt;='112'!$N$8,$B125&lt;='112'!$O$8,OR($L125='112'!$I$6,$M125='112'!$I$6))),"x",""))</f>
        <v/>
      </c>
      <c r="S125" s="22" t="str">
        <f>IF(ISERROR(FIND('112'!$M$9,G125,1)),"",IF((AND(LEFT(G125,2)=LEFT('112'!$M$9,2),B125&lt;'112'!$N$8,$L125='112'!$I$6)),"x",""))</f>
        <v/>
      </c>
      <c r="T125" s="22" t="str">
        <f>IF(ISERROR(FIND('112'!$M$9,G125,1)),"",IF((AND(RIGHT(G125,2)=RIGHT('112'!$M$9,2),B125&lt;'112'!$N$8,$M125='112'!$I$6)),"x",""))</f>
        <v/>
      </c>
      <c r="U125" s="22" t="str">
        <f>IF(AND(B125&gt;='IN-NX'!$P$3,B125&lt;='IN-NX'!$Q$3,'IN-NX'!$D$7=D125,OR(LEFT(L125,2)="15",AND(LEFT(M125,2)&lt;&gt;"15",LEFT(M125,2)&lt;&gt;"33"))),"x","")</f>
        <v/>
      </c>
      <c r="V125" s="22" t="str">
        <f>IF(AND(OR(LEFT(TH!L125,2)="15",LEFT(TH!M125,2)="15"),'152-CT'!$J$8=TH!F125),"x","")</f>
        <v/>
      </c>
      <c r="W125" s="22" t="str">
        <f>IF(AND(OR(LEFT(TH!L125,2)="15",LEFT(TH!M125,2)="15"),TK!$E$7=TH!F125),"x","")</f>
        <v/>
      </c>
      <c r="X125" s="22" t="str">
        <f>IF(OR(TH!L125=TH!$X$7,M125=TH!$X$7),"x","")</f>
        <v/>
      </c>
      <c r="Y125" s="22" t="str">
        <f>IF(AND(B125&lt;=NKC!$N$8,B125&gt;=NKC!$M$8),"x","")</f>
        <v>x</v>
      </c>
      <c r="Z125" s="580">
        <v>3</v>
      </c>
      <c r="AD125" s="130"/>
      <c r="AE125" s="130"/>
    </row>
    <row r="126" spans="1:31" s="406" customFormat="1" ht="15.75" customHeight="1">
      <c r="A126" s="123" t="str">
        <f>IF(B126&lt;&gt;"",IF(AND(B126&gt;=_TM1,B126&lt;=_TM2,OR(TH!L127="1111",TH!M127="1111")),TH!D127,""),"")</f>
        <v/>
      </c>
      <c r="B126" s="12">
        <f t="shared" si="4"/>
        <v>7</v>
      </c>
      <c r="C126" s="108">
        <f t="shared" si="5"/>
        <v>42581</v>
      </c>
      <c r="D126" s="113" t="s">
        <v>458</v>
      </c>
      <c r="E126" s="108">
        <v>42581</v>
      </c>
      <c r="F126" s="112" t="s">
        <v>626</v>
      </c>
      <c r="G126" s="303"/>
      <c r="H126" s="115" t="s">
        <v>488</v>
      </c>
      <c r="I126" s="139"/>
      <c r="J126" s="139"/>
      <c r="K126" s="410">
        <f>ROUND((4*10000+20*15000+1*25000)/1.1,0)</f>
        <v>331818</v>
      </c>
      <c r="L126" s="411" t="s">
        <v>254</v>
      </c>
      <c r="M126" s="411" t="s">
        <v>46</v>
      </c>
      <c r="N126" s="22" t="str">
        <f>IF(AND('331-CT'!$E$7=TH!H126,OR(L126="331",M126="331")),"331",IF(AND(OR(L126="131",M126="131"),H126='131-CT'!$E$7),"131",""))</f>
        <v/>
      </c>
      <c r="O126" s="22" t="str">
        <f>IF(AND($B126&gt;='111'!$N$11,$B126&lt;='111'!$O$11,OR($L126=$O$7,$M126=$O$7)),"x","")</f>
        <v/>
      </c>
      <c r="P126" s="22" t="str">
        <f>IF(AND($L126=$O$7,$B126&lt;'111'!$N$11),"x","")</f>
        <v/>
      </c>
      <c r="Q126" s="22" t="str">
        <f>IF(AND($M126=$O$7,$B126&lt;'111'!$N$11),"x","")</f>
        <v>x</v>
      </c>
      <c r="R126" s="22" t="str">
        <f>IF(ISERROR(FIND('112'!$M$9,G126,1)),"",IF((AND(FIND('112'!$M$9,G126,1)&gt;=1,$B126&gt;='112'!$N$8,$B126&lt;='112'!$O$8,OR($L126='112'!$I$6,$M126='112'!$I$6))),"x",""))</f>
        <v/>
      </c>
      <c r="S126" s="22" t="str">
        <f>IF(ISERROR(FIND('112'!$M$9,G126,1)),"",IF((AND(LEFT(G126,2)=LEFT('112'!$M$9,2),B126&lt;'112'!$N$8,$L126='112'!$I$6)),"x",""))</f>
        <v/>
      </c>
      <c r="T126" s="22" t="str">
        <f>IF(ISERROR(FIND('112'!$M$9,G126,1)),"",IF((AND(RIGHT(G126,2)=RIGHT('112'!$M$9,2),B126&lt;'112'!$N$8,$M126='112'!$I$6)),"x",""))</f>
        <v/>
      </c>
      <c r="U126" s="22" t="str">
        <f>IF(AND(B126&gt;='IN-NX'!$P$3,B126&lt;='IN-NX'!$Q$3,'IN-NX'!$D$7=D126,OR(LEFT(L126,2)="15",AND(LEFT(M126,2)&lt;&gt;"15",LEFT(M126,2)&lt;&gt;"33"))),"x","")</f>
        <v/>
      </c>
      <c r="V126" s="22" t="str">
        <f>IF(AND(OR(LEFT(TH!L126,2)="15",LEFT(TH!M126,2)="15"),'152-CT'!$J$8=TH!F126),"x","")</f>
        <v/>
      </c>
      <c r="W126" s="22" t="str">
        <f>IF(AND(OR(LEFT(TH!L126,2)="15",LEFT(TH!M126,2)="15"),TK!$E$7=TH!F126),"x","")</f>
        <v/>
      </c>
      <c r="X126" s="22" t="str">
        <f>IF(OR(TH!L126=TH!$X$7,M126=TH!$X$7),"x","")</f>
        <v/>
      </c>
      <c r="Y126" s="22" t="str">
        <f>IF(AND(B126&lt;=NKC!$N$8,B126&gt;=NKC!$M$8),"x","")</f>
        <v>x</v>
      </c>
      <c r="Z126" s="580">
        <v>3</v>
      </c>
      <c r="AD126" s="130"/>
      <c r="AE126" s="130"/>
    </row>
    <row r="127" spans="1:31" s="406" customFormat="1" ht="15.75" customHeight="1">
      <c r="A127" s="123" t="str">
        <f>IF(B127&lt;&gt;"",IF(AND(B127&gt;=_TM1,B127&lt;=_TM2,OR(TH!L128="1111",TH!M128="1111")),TH!D128,""),"")</f>
        <v/>
      </c>
      <c r="B127" s="12">
        <f t="shared" si="4"/>
        <v>7</v>
      </c>
      <c r="C127" s="108">
        <f t="shared" si="5"/>
        <v>42581</v>
      </c>
      <c r="D127" s="113" t="s">
        <v>458</v>
      </c>
      <c r="E127" s="108">
        <v>42581</v>
      </c>
      <c r="F127" s="112" t="s">
        <v>627</v>
      </c>
      <c r="G127" s="303"/>
      <c r="H127" s="115" t="s">
        <v>488</v>
      </c>
      <c r="I127" s="139"/>
      <c r="J127" s="139"/>
      <c r="K127" s="410">
        <v>33182</v>
      </c>
      <c r="L127" s="411" t="s">
        <v>9</v>
      </c>
      <c r="M127" s="411" t="s">
        <v>46</v>
      </c>
      <c r="N127" s="22" t="str">
        <f>IF(AND('331-CT'!$E$7=TH!H127,OR(L127="331",M127="331")),"331",IF(AND(OR(L127="131",M127="131"),H127='131-CT'!$E$7),"131",""))</f>
        <v/>
      </c>
      <c r="O127" s="22" t="str">
        <f>IF(AND($B127&gt;='111'!$N$11,$B127&lt;='111'!$O$11,OR($L127=$O$7,$M127=$O$7)),"x","")</f>
        <v/>
      </c>
      <c r="P127" s="22" t="str">
        <f>IF(AND($L127=$O$7,$B127&lt;'111'!$N$11),"x","")</f>
        <v/>
      </c>
      <c r="Q127" s="22" t="str">
        <f>IF(AND($M127=$O$7,$B127&lt;'111'!$N$11),"x","")</f>
        <v>x</v>
      </c>
      <c r="R127" s="22" t="str">
        <f>IF(ISERROR(FIND('112'!$M$9,G127,1)),"",IF((AND(FIND('112'!$M$9,G127,1)&gt;=1,$B127&gt;='112'!$N$8,$B127&lt;='112'!$O$8,OR($L127='112'!$I$6,$M127='112'!$I$6))),"x",""))</f>
        <v/>
      </c>
      <c r="S127" s="22" t="str">
        <f>IF(ISERROR(FIND('112'!$M$9,G127,1)),"",IF((AND(LEFT(G127,2)=LEFT('112'!$M$9,2),B127&lt;'112'!$N$8,$L127='112'!$I$6)),"x",""))</f>
        <v/>
      </c>
      <c r="T127" s="22" t="str">
        <f>IF(ISERROR(FIND('112'!$M$9,G127,1)),"",IF((AND(RIGHT(G127,2)=RIGHT('112'!$M$9,2),B127&lt;'112'!$N$8,$M127='112'!$I$6)),"x",""))</f>
        <v/>
      </c>
      <c r="U127" s="22" t="str">
        <f>IF(AND(B127&gt;='IN-NX'!$P$3,B127&lt;='IN-NX'!$Q$3,'IN-NX'!$D$7=D127,OR(LEFT(L127,2)="15",AND(LEFT(M127,2)&lt;&gt;"15",LEFT(M127,2)&lt;&gt;"33"))),"x","")</f>
        <v/>
      </c>
      <c r="V127" s="22" t="str">
        <f>IF(AND(OR(LEFT(TH!L127,2)="15",LEFT(TH!M127,2)="15"),'152-CT'!$J$8=TH!F127),"x","")</f>
        <v/>
      </c>
      <c r="W127" s="22" t="str">
        <f>IF(AND(OR(LEFT(TH!L127,2)="15",LEFT(TH!M127,2)="15"),TK!$E$7=TH!F127),"x","")</f>
        <v/>
      </c>
      <c r="X127" s="22" t="str">
        <f>IF(OR(TH!L127=TH!$X$7,M127=TH!$X$7),"x","")</f>
        <v/>
      </c>
      <c r="Y127" s="22" t="str">
        <f>IF(AND(B127&lt;=NKC!$N$8,B127&gt;=NKC!$M$8),"x","")</f>
        <v>x</v>
      </c>
      <c r="Z127" s="580">
        <v>3</v>
      </c>
      <c r="AD127" s="130"/>
      <c r="AE127" s="130"/>
    </row>
    <row r="128" spans="1:31" s="406" customFormat="1" ht="15.75" customHeight="1">
      <c r="A128" s="123" t="str">
        <f>IF(B128&lt;&gt;"",IF(AND(B128&gt;=_TM1,B128&lt;=_TM2,OR(TH!L129="1111",TH!M129="1111")),TH!D129,""),"")</f>
        <v/>
      </c>
      <c r="B128" s="599">
        <f t="shared" si="4"/>
        <v>7</v>
      </c>
      <c r="C128" s="574">
        <f t="shared" si="5"/>
        <v>42582</v>
      </c>
      <c r="D128" s="574" t="s">
        <v>324</v>
      </c>
      <c r="E128" s="574">
        <v>42582</v>
      </c>
      <c r="F128" s="577" t="s">
        <v>821</v>
      </c>
      <c r="G128" s="595"/>
      <c r="H128" s="596"/>
      <c r="I128" s="576"/>
      <c r="J128" s="576"/>
      <c r="K128" s="579">
        <v>4390000</v>
      </c>
      <c r="L128" s="597" t="s">
        <v>82</v>
      </c>
      <c r="M128" s="597" t="s">
        <v>255</v>
      </c>
      <c r="N128" s="22" t="str">
        <f>IF(AND('331-CT'!$E$7=TH!H128,OR(L128="331",M128="331")),"331",IF(AND(OR(L128="131",M128="131"),H128='131-CT'!$E$7),"131",""))</f>
        <v/>
      </c>
      <c r="O128" s="22" t="str">
        <f>IF(AND($B128&gt;='111'!$N$11,$B128&lt;='111'!$O$11,OR($L128=$O$7,$M128=$O$7)),"x","")</f>
        <v/>
      </c>
      <c r="P128" s="22" t="str">
        <f>IF(AND($L128=$O$7,$B128&lt;'111'!$N$11),"x","")</f>
        <v/>
      </c>
      <c r="Q128" s="22" t="str">
        <f>IF(AND($M128=$O$7,$B128&lt;'111'!$N$11),"x","")</f>
        <v/>
      </c>
      <c r="R128" s="22" t="str">
        <f>IF(ISERROR(FIND('112'!$M$9,G128,1)),"",IF((AND(FIND('112'!$M$9,G128,1)&gt;=1,$B128&gt;='112'!$N$8,$B128&lt;='112'!$O$8,OR($L128='112'!$I$6,$M128='112'!$I$6))),"x",""))</f>
        <v/>
      </c>
      <c r="S128" s="22" t="str">
        <f>IF(ISERROR(FIND('112'!$M$9,G128,1)),"",IF((AND(LEFT(G128,2)=LEFT('112'!$M$9,2),B128&lt;'112'!$N$8,$L128='112'!$I$6)),"x",""))</f>
        <v/>
      </c>
      <c r="T128" s="22" t="str">
        <f>IF(ISERROR(FIND('112'!$M$9,G128,1)),"",IF((AND(RIGHT(G128,2)=RIGHT('112'!$M$9,2),B128&lt;'112'!$N$8,$M128='112'!$I$6)),"x",""))</f>
        <v/>
      </c>
      <c r="U128" s="22" t="str">
        <f>IF(AND(B128&gt;='IN-NX'!$P$3,B128&lt;='IN-NX'!$Q$3,'IN-NX'!$D$7=D128,OR(LEFT(L128,2)="15",AND(LEFT(M128,2)&lt;&gt;"15",LEFT(M128,2)&lt;&gt;"33"))),"x","")</f>
        <v/>
      </c>
      <c r="V128" s="22" t="str">
        <f>IF(AND(OR(LEFT(TH!L128,2)="15",LEFT(TH!M128,2)="15"),'152-CT'!$J$8=TH!F128),"x","")</f>
        <v/>
      </c>
      <c r="W128" s="22" t="str">
        <f>IF(AND(OR(LEFT(TH!L128,2)="15",LEFT(TH!M128,2)="15"),TK!$E$7=TH!F128),"x","")</f>
        <v/>
      </c>
      <c r="X128" s="22" t="str">
        <f>IF(OR(TH!L128=TH!$X$7,M128=TH!$X$7),"x","")</f>
        <v>x</v>
      </c>
      <c r="Y128" s="22" t="str">
        <f>IF(AND(B128&lt;=NKC!$N$8,B128&gt;=NKC!$M$8),"x","")</f>
        <v>x</v>
      </c>
      <c r="Z128" s="598"/>
      <c r="AA128" s="598"/>
      <c r="AB128" s="598"/>
      <c r="AC128" s="598"/>
      <c r="AD128" s="598"/>
      <c r="AE128" s="598"/>
    </row>
    <row r="129" spans="1:31" s="406" customFormat="1" ht="15.75" customHeight="1">
      <c r="A129" s="123" t="str">
        <f>IF(B129&lt;&gt;"",IF(AND(B129&gt;=_TM1,B129&lt;=_TM2,OR(TH!L130="1111",TH!M130="1111")),TH!D130,""),"")</f>
        <v/>
      </c>
      <c r="B129" s="599">
        <f t="shared" si="4"/>
        <v>7</v>
      </c>
      <c r="C129" s="574">
        <f t="shared" si="5"/>
        <v>42582</v>
      </c>
      <c r="D129" s="574" t="s">
        <v>324</v>
      </c>
      <c r="E129" s="574">
        <v>42582</v>
      </c>
      <c r="F129" s="577" t="s">
        <v>822</v>
      </c>
      <c r="G129" s="595"/>
      <c r="H129" s="596"/>
      <c r="I129" s="576"/>
      <c r="J129" s="576"/>
      <c r="K129" s="579">
        <v>13960000</v>
      </c>
      <c r="L129" s="597" t="s">
        <v>160</v>
      </c>
      <c r="M129" s="597" t="s">
        <v>255</v>
      </c>
      <c r="N129" s="22" t="str">
        <f>IF(AND('331-CT'!$E$7=TH!H129,OR(L129="331",M129="331")),"331",IF(AND(OR(L129="131",M129="131"),H129='131-CT'!$E$7),"131",""))</f>
        <v/>
      </c>
      <c r="O129" s="22" t="str">
        <f>IF(AND($B129&gt;='111'!$N$11,$B129&lt;='111'!$O$11,OR($L129=$O$7,$M129=$O$7)),"x","")</f>
        <v/>
      </c>
      <c r="P129" s="22" t="str">
        <f>IF(AND($L129=$O$7,$B129&lt;'111'!$N$11),"x","")</f>
        <v/>
      </c>
      <c r="Q129" s="22" t="str">
        <f>IF(AND($M129=$O$7,$B129&lt;'111'!$N$11),"x","")</f>
        <v/>
      </c>
      <c r="R129" s="22" t="str">
        <f>IF(ISERROR(FIND('112'!$M$9,G129,1)),"",IF((AND(FIND('112'!$M$9,G129,1)&gt;=1,$B129&gt;='112'!$N$8,$B129&lt;='112'!$O$8,OR($L129='112'!$I$6,$M129='112'!$I$6))),"x",""))</f>
        <v/>
      </c>
      <c r="S129" s="22" t="str">
        <f>IF(ISERROR(FIND('112'!$M$9,G129,1)),"",IF((AND(LEFT(G129,2)=LEFT('112'!$M$9,2),B129&lt;'112'!$N$8,$L129='112'!$I$6)),"x",""))</f>
        <v/>
      </c>
      <c r="T129" s="22" t="str">
        <f>IF(ISERROR(FIND('112'!$M$9,G129,1)),"",IF((AND(RIGHT(G129,2)=RIGHT('112'!$M$9,2),B129&lt;'112'!$N$8,$M129='112'!$I$6)),"x",""))</f>
        <v/>
      </c>
      <c r="U129" s="22" t="str">
        <f>IF(AND(B129&gt;='IN-NX'!$P$3,B129&lt;='IN-NX'!$Q$3,'IN-NX'!$D$7=D129,OR(LEFT(L129,2)="15",AND(LEFT(M129,2)&lt;&gt;"15",LEFT(M129,2)&lt;&gt;"33"))),"x","")</f>
        <v/>
      </c>
      <c r="V129" s="22" t="str">
        <f>IF(AND(OR(LEFT(TH!L129,2)="15",LEFT(TH!M129,2)="15"),'152-CT'!$J$8=TH!F129),"x","")</f>
        <v/>
      </c>
      <c r="W129" s="22" t="str">
        <f>IF(AND(OR(LEFT(TH!L129,2)="15",LEFT(TH!M129,2)="15"),TK!$E$7=TH!F129),"x","")</f>
        <v/>
      </c>
      <c r="X129" s="22" t="str">
        <f>IF(OR(TH!L129=TH!$X$7,M129=TH!$X$7),"x","")</f>
        <v/>
      </c>
      <c r="Y129" s="22" t="str">
        <f>IF(AND(B129&lt;=NKC!$N$8,B129&gt;=NKC!$M$8),"x","")</f>
        <v>x</v>
      </c>
      <c r="Z129" s="598"/>
      <c r="AA129" s="598"/>
      <c r="AB129" s="598"/>
      <c r="AC129" s="598"/>
      <c r="AD129" s="598"/>
      <c r="AE129" s="598"/>
    </row>
    <row r="130" spans="1:31" s="406" customFormat="1" ht="15.75" customHeight="1">
      <c r="A130" s="123" t="str">
        <f>IF(B130&lt;&gt;"",IF(AND(B130&gt;=_TM1,B130&lt;=_TM2,OR(TH!L131="1111",TH!M131="1111")),TH!D131,""),"")</f>
        <v/>
      </c>
      <c r="B130" s="599">
        <f t="shared" si="4"/>
        <v>7</v>
      </c>
      <c r="C130" s="574">
        <f t="shared" si="5"/>
        <v>42582</v>
      </c>
      <c r="D130" s="574" t="s">
        <v>459</v>
      </c>
      <c r="E130" s="574">
        <v>42582</v>
      </c>
      <c r="F130" s="577" t="str">
        <f>"Thanh toán tiền lương tháng "&amp;MONTH(E130)&amp;"/"&amp;YEAR(E130)</f>
        <v>Thanh toán tiền lương tháng 7/2016</v>
      </c>
      <c r="G130" s="595"/>
      <c r="H130" s="596" t="s">
        <v>796</v>
      </c>
      <c r="I130" s="576"/>
      <c r="J130" s="576"/>
      <c r="K130" s="579">
        <f>K128+K129</f>
        <v>18350000</v>
      </c>
      <c r="L130" s="597" t="s">
        <v>255</v>
      </c>
      <c r="M130" s="597" t="s">
        <v>46</v>
      </c>
      <c r="N130" s="22" t="str">
        <f>IF(AND('331-CT'!$E$7=TH!H130,OR(L130="331",M130="331")),"331",IF(AND(OR(L130="131",M130="131"),H130='131-CT'!$E$7),"131",""))</f>
        <v/>
      </c>
      <c r="O130" s="22" t="str">
        <f>IF(AND($B130&gt;='111'!$N$11,$B130&lt;='111'!$O$11,OR($L130=$O$7,$M130=$O$7)),"x","")</f>
        <v/>
      </c>
      <c r="P130" s="22" t="str">
        <f>IF(AND($L130=$O$7,$B130&lt;'111'!$N$11),"x","")</f>
        <v/>
      </c>
      <c r="Q130" s="22" t="str">
        <f>IF(AND($M130=$O$7,$B130&lt;'111'!$N$11),"x","")</f>
        <v>x</v>
      </c>
      <c r="R130" s="22" t="str">
        <f>IF(ISERROR(FIND('112'!$M$9,G130,1)),"",IF((AND(FIND('112'!$M$9,G130,1)&gt;=1,$B130&gt;='112'!$N$8,$B130&lt;='112'!$O$8,OR($L130='112'!$I$6,$M130='112'!$I$6))),"x",""))</f>
        <v/>
      </c>
      <c r="S130" s="22" t="str">
        <f>IF(ISERROR(FIND('112'!$M$9,G130,1)),"",IF((AND(LEFT(G130,2)=LEFT('112'!$M$9,2),B130&lt;'112'!$N$8,$L130='112'!$I$6)),"x",""))</f>
        <v/>
      </c>
      <c r="T130" s="22" t="str">
        <f>IF(ISERROR(FIND('112'!$M$9,G130,1)),"",IF((AND(RIGHT(G130,2)=RIGHT('112'!$M$9,2),B130&lt;'112'!$N$8,$M130='112'!$I$6)),"x",""))</f>
        <v/>
      </c>
      <c r="U130" s="22" t="str">
        <f>IF(AND(B130&gt;='IN-NX'!$P$3,B130&lt;='IN-NX'!$Q$3,'IN-NX'!$D$7=D130,OR(LEFT(L130,2)="15",AND(LEFT(M130,2)&lt;&gt;"15",LEFT(M130,2)&lt;&gt;"33"))),"x","")</f>
        <v/>
      </c>
      <c r="V130" s="22" t="str">
        <f>IF(AND(OR(LEFT(TH!L130,2)="15",LEFT(TH!M130,2)="15"),'152-CT'!$J$8=TH!F130),"x","")</f>
        <v/>
      </c>
      <c r="W130" s="22" t="str">
        <f>IF(AND(OR(LEFT(TH!L130,2)="15",LEFT(TH!M130,2)="15"),TK!$E$7=TH!F130),"x","")</f>
        <v/>
      </c>
      <c r="X130" s="22" t="str">
        <f>IF(OR(TH!L130=TH!$X$7,M130=TH!$X$7),"x","")</f>
        <v/>
      </c>
      <c r="Y130" s="22" t="str">
        <f>IF(AND(B130&lt;=NKC!$N$8,B130&gt;=NKC!$M$8),"x","")</f>
        <v>x</v>
      </c>
      <c r="Z130" s="598"/>
      <c r="AA130" s="598"/>
      <c r="AB130" s="598"/>
      <c r="AC130" s="598"/>
      <c r="AD130" s="598"/>
      <c r="AE130" s="598"/>
    </row>
    <row r="131" spans="1:31" s="406" customFormat="1" ht="15.75" customHeight="1">
      <c r="A131" s="123" t="str">
        <f>IF(B131&lt;&gt;"",IF(AND(B131&gt;=_TM1,B131&lt;=_TM2,OR(TH!L132="1111",TH!M132="1111")),TH!D132,""),"")</f>
        <v/>
      </c>
      <c r="B131" s="12">
        <f t="shared" si="4"/>
        <v>8</v>
      </c>
      <c r="C131" s="108">
        <f t="shared" si="5"/>
        <v>42583</v>
      </c>
      <c r="D131" s="108" t="s">
        <v>470</v>
      </c>
      <c r="E131" s="108">
        <v>42583</v>
      </c>
      <c r="F131" s="112" t="s">
        <v>465</v>
      </c>
      <c r="G131" s="303" t="s">
        <v>474</v>
      </c>
      <c r="H131" s="4" t="s">
        <v>399</v>
      </c>
      <c r="I131" s="139"/>
      <c r="J131" s="139"/>
      <c r="K131" s="410">
        <v>26000000</v>
      </c>
      <c r="L131" s="116" t="s">
        <v>8</v>
      </c>
      <c r="M131" s="116" t="s">
        <v>24</v>
      </c>
      <c r="N131" s="22" t="str">
        <f>IF(AND('331-CT'!$E$7=TH!H131,OR(L131="331",M131="331")),"331",IF(AND(OR(L131="131",M131="131"),H131='131-CT'!$E$7),"131",""))</f>
        <v/>
      </c>
      <c r="O131" s="22" t="str">
        <f>IF(AND($B131&gt;='111'!$N$11,$B131&lt;='111'!$O$11,OR($L131=$O$7,$M131=$O$7)),"x","")</f>
        <v/>
      </c>
      <c r="P131" s="22" t="str">
        <f>IF(AND($L131=$O$7,$B131&lt;'111'!$N$11),"x","")</f>
        <v/>
      </c>
      <c r="Q131" s="22" t="str">
        <f>IF(AND($M131=$O$7,$B131&lt;'111'!$N$11),"x","")</f>
        <v/>
      </c>
      <c r="R131" s="22" t="str">
        <f>IF(ISERROR(FIND('112'!$M$9,G131,1)),"",IF((AND(FIND('112'!$M$9,G131,1)&gt;=1,$B131&gt;='112'!$N$8,$B131&lt;='112'!$O$8,OR($L131='112'!$I$6,$M131='112'!$I$6))),"x",""))</f>
        <v/>
      </c>
      <c r="S131" s="22" t="str">
        <f>IF(ISERROR(FIND('112'!$M$9,G131,1)),"",IF((AND(LEFT(G131,2)=LEFT('112'!$M$9,2),B131&lt;'112'!$N$8,$L131='112'!$I$6)),"x",""))</f>
        <v/>
      </c>
      <c r="T131" s="22" t="str">
        <f>IF(ISERROR(FIND('112'!$M$9,G131,1)),"",IF((AND(RIGHT(G131,2)=RIGHT('112'!$M$9,2),B131&lt;'112'!$N$8,$M131='112'!$I$6)),"x",""))</f>
        <v>x</v>
      </c>
      <c r="U131" s="22" t="str">
        <f>IF(AND(B131&gt;='IN-NX'!$P$3,B131&lt;='IN-NX'!$Q$3,'IN-NX'!$D$7=D131,OR(LEFT(L131,2)="15",AND(LEFT(M131,2)&lt;&gt;"15",LEFT(M131,2)&lt;&gt;"33"))),"x","")</f>
        <v/>
      </c>
      <c r="V131" s="22" t="str">
        <f>IF(AND(OR(LEFT(TH!L131,2)="15",LEFT(TH!M131,2)="15"),'152-CT'!$J$8=TH!F131),"x","")</f>
        <v/>
      </c>
      <c r="W131" s="22" t="str">
        <f>IF(AND(OR(LEFT(TH!L131,2)="15",LEFT(TH!M131,2)="15"),TK!$E$7=TH!F131),"x","")</f>
        <v/>
      </c>
      <c r="X131" s="22" t="str">
        <f>IF(OR(TH!L131=TH!$X$7,M131=TH!$X$7),"x","")</f>
        <v/>
      </c>
      <c r="Y131" s="22" t="str">
        <f>IF(AND(B131&lt;=NKC!$N$8,B131&gt;=NKC!$M$8),"x","")</f>
        <v>x</v>
      </c>
      <c r="Z131" s="580"/>
    </row>
    <row r="132" spans="1:31" s="406" customFormat="1" ht="15.75" customHeight="1">
      <c r="A132" s="123" t="str">
        <f>IF(B132&lt;&gt;"",IF(AND(B132&gt;=_TM1,B132&lt;=_TM2,OR(TH!L133="1111",TH!M133="1111")),TH!D133,""),"")</f>
        <v/>
      </c>
      <c r="B132" s="12">
        <f t="shared" si="4"/>
        <v>8</v>
      </c>
      <c r="C132" s="108">
        <f t="shared" si="5"/>
        <v>42583</v>
      </c>
      <c r="D132" s="108" t="s">
        <v>568</v>
      </c>
      <c r="E132" s="113">
        <v>42583</v>
      </c>
      <c r="F132" s="112" t="s">
        <v>510</v>
      </c>
      <c r="G132" s="303" t="s">
        <v>715</v>
      </c>
      <c r="H132" s="4" t="s">
        <v>690</v>
      </c>
      <c r="I132" s="4">
        <v>500</v>
      </c>
      <c r="J132" s="139">
        <v>5900</v>
      </c>
      <c r="K132" s="13">
        <f>ROUND(I132*J132,0)</f>
        <v>2950000</v>
      </c>
      <c r="L132" s="116" t="s">
        <v>252</v>
      </c>
      <c r="M132" s="411" t="s">
        <v>169</v>
      </c>
      <c r="N132" s="22" t="str">
        <f>IF(AND('331-CT'!$E$7=TH!H132,OR(L132="331",M132="331")),"331",IF(AND(OR(L132="131",M132="131"),H132='131-CT'!$E$7),"131",""))</f>
        <v/>
      </c>
      <c r="O132" s="22" t="str">
        <f>IF(AND($B132&gt;='111'!$N$11,$B132&lt;='111'!$O$11,OR($L132=$O$7,$M132=$O$7)),"x","")</f>
        <v/>
      </c>
      <c r="P132" s="22" t="str">
        <f>IF(AND($L132=$O$7,$B132&lt;'111'!$N$11),"x","")</f>
        <v/>
      </c>
      <c r="Q132" s="22" t="str">
        <f>IF(AND($M132=$O$7,$B132&lt;'111'!$N$11),"x","")</f>
        <v/>
      </c>
      <c r="R132" s="22" t="str">
        <f>IF(ISERROR(FIND('112'!$M$9,G132,1)),"",IF((AND(FIND('112'!$M$9,G132,1)&gt;=1,$B132&gt;='112'!$N$8,$B132&lt;='112'!$O$8,OR($L132='112'!$I$6,$M132='112'!$I$6))),"x",""))</f>
        <v/>
      </c>
      <c r="S132" s="22" t="str">
        <f>IF(ISERROR(FIND('112'!$M$9,G132,1)),"",IF((AND(LEFT(G132,2)=LEFT('112'!$M$9,2),B132&lt;'112'!$N$8,$L132='112'!$I$6)),"x",""))</f>
        <v/>
      </c>
      <c r="T132" s="22" t="str">
        <f>IF(ISERROR(FIND('112'!$M$9,G132,1)),"",IF((AND(RIGHT(G132,2)=RIGHT('112'!$M$9,2),B132&lt;'112'!$N$8,$M132='112'!$I$6)),"x",""))</f>
        <v/>
      </c>
      <c r="U132" s="22" t="str">
        <f>IF(AND(B132&gt;='IN-NX'!$P$3,B132&lt;='IN-NX'!$Q$3,'IN-NX'!$D$7=D132,OR(LEFT(L132,2)="15",AND(LEFT(M132,2)&lt;&gt;"15",LEFT(M132,2)&lt;&gt;"33"))),"x","")</f>
        <v/>
      </c>
      <c r="V132" s="22" t="str">
        <f>IF(AND(OR(LEFT(TH!L132,2)="15",LEFT(TH!M132,2)="15"),'152-CT'!$J$8=TH!F132),"x","")</f>
        <v/>
      </c>
      <c r="W132" s="22" t="str">
        <f>IF(AND(OR(LEFT(TH!L132,2)="15",LEFT(TH!M132,2)="15"),TK!$E$7=TH!F132),"x","")</f>
        <v/>
      </c>
      <c r="X132" s="22" t="str">
        <f>IF(OR(TH!L132=TH!$X$7,M132=TH!$X$7),"x","")</f>
        <v/>
      </c>
      <c r="Y132" s="22" t="str">
        <f>IF(AND(B132&lt;=NKC!$N$8,B132&gt;=NKC!$M$8),"x","")</f>
        <v>x</v>
      </c>
      <c r="Z132" s="580"/>
      <c r="AC132" s="130"/>
      <c r="AD132" s="130"/>
      <c r="AE132" s="130"/>
    </row>
    <row r="133" spans="1:31" s="406" customFormat="1" ht="15.75" customHeight="1">
      <c r="A133" s="123" t="str">
        <f>IF(B133&lt;&gt;"",IF(AND(B133&gt;=_TM1,B133&lt;=_TM2,OR(TH!L134="1111",TH!M134="1111")),TH!D134,""),"")</f>
        <v/>
      </c>
      <c r="B133" s="12">
        <f t="shared" si="4"/>
        <v>8</v>
      </c>
      <c r="C133" s="108">
        <f t="shared" si="5"/>
        <v>42583</v>
      </c>
      <c r="D133" s="108" t="s">
        <v>568</v>
      </c>
      <c r="E133" s="113">
        <v>42583</v>
      </c>
      <c r="F133" s="112" t="s">
        <v>496</v>
      </c>
      <c r="G133" s="303" t="s">
        <v>715</v>
      </c>
      <c r="H133" s="4" t="s">
        <v>690</v>
      </c>
      <c r="I133" s="139"/>
      <c r="J133" s="139"/>
      <c r="K133" s="13">
        <v>295000</v>
      </c>
      <c r="L133" s="116" t="s">
        <v>252</v>
      </c>
      <c r="M133" s="411" t="s">
        <v>352</v>
      </c>
      <c r="N133" s="22" t="str">
        <f>IF(AND('331-CT'!$E$7=TH!H133,OR(L133="331",M133="331")),"331",IF(AND(OR(L133="131",M133="131"),H133='131-CT'!$E$7),"131",""))</f>
        <v/>
      </c>
      <c r="O133" s="22" t="str">
        <f>IF(AND($B133&gt;='111'!$N$11,$B133&lt;='111'!$O$11,OR($L133=$O$7,$M133=$O$7)),"x","")</f>
        <v/>
      </c>
      <c r="P133" s="22" t="str">
        <f>IF(AND($L133=$O$7,$B133&lt;'111'!$N$11),"x","")</f>
        <v/>
      </c>
      <c r="Q133" s="22" t="str">
        <f>IF(AND($M133=$O$7,$B133&lt;'111'!$N$11),"x","")</f>
        <v/>
      </c>
      <c r="R133" s="22" t="str">
        <f>IF(ISERROR(FIND('112'!$M$9,G133,1)),"",IF((AND(FIND('112'!$M$9,G133,1)&gt;=1,$B133&gt;='112'!$N$8,$B133&lt;='112'!$O$8,OR($L133='112'!$I$6,$M133='112'!$I$6))),"x",""))</f>
        <v/>
      </c>
      <c r="S133" s="22" t="str">
        <f>IF(ISERROR(FIND('112'!$M$9,G133,1)),"",IF((AND(LEFT(G133,2)=LEFT('112'!$M$9,2),B133&lt;'112'!$N$8,$L133='112'!$I$6)),"x",""))</f>
        <v/>
      </c>
      <c r="T133" s="22" t="str">
        <f>IF(ISERROR(FIND('112'!$M$9,G133,1)),"",IF((AND(RIGHT(G133,2)=RIGHT('112'!$M$9,2),B133&lt;'112'!$N$8,$M133='112'!$I$6)),"x",""))</f>
        <v/>
      </c>
      <c r="U133" s="22" t="str">
        <f>IF(AND(B133&gt;='IN-NX'!$P$3,B133&lt;='IN-NX'!$Q$3,'IN-NX'!$D$7=D133,OR(LEFT(L133,2)="15",AND(LEFT(M133,2)&lt;&gt;"15",LEFT(M133,2)&lt;&gt;"33"))),"x","")</f>
        <v/>
      </c>
      <c r="V133" s="22" t="str">
        <f>IF(AND(OR(LEFT(TH!L133,2)="15",LEFT(TH!M133,2)="15"),'152-CT'!$J$8=TH!F133),"x","")</f>
        <v/>
      </c>
      <c r="W133" s="22" t="str">
        <f>IF(AND(OR(LEFT(TH!L133,2)="15",LEFT(TH!M133,2)="15"),TK!$E$7=TH!F133),"x","")</f>
        <v/>
      </c>
      <c r="X133" s="22" t="str">
        <f>IF(OR(TH!L133=TH!$X$7,M133=TH!$X$7),"x","")</f>
        <v/>
      </c>
      <c r="Y133" s="22" t="str">
        <f>IF(AND(B133&lt;=NKC!$N$8,B133&gt;=NKC!$M$8),"x","")</f>
        <v>x</v>
      </c>
      <c r="Z133" s="580"/>
      <c r="AC133" s="130"/>
      <c r="AD133" s="130"/>
      <c r="AE133" s="130"/>
    </row>
    <row r="134" spans="1:31" s="406" customFormat="1" ht="15.75" customHeight="1">
      <c r="A134" s="123" t="str">
        <f>IF(B134&lt;&gt;"",IF(AND(B134&gt;=_TM1,B134&lt;=_TM2,OR(TH!L135="1111",TH!M135="1111")),TH!D135,""),"")</f>
        <v/>
      </c>
      <c r="B134" s="12">
        <f t="shared" si="4"/>
        <v>8</v>
      </c>
      <c r="C134" s="108">
        <f t="shared" si="5"/>
        <v>42584</v>
      </c>
      <c r="D134" s="108" t="s">
        <v>569</v>
      </c>
      <c r="E134" s="113">
        <v>42584</v>
      </c>
      <c r="F134" s="112" t="s">
        <v>517</v>
      </c>
      <c r="G134" s="303" t="s">
        <v>716</v>
      </c>
      <c r="H134" s="4" t="s">
        <v>374</v>
      </c>
      <c r="I134" s="139">
        <v>606</v>
      </c>
      <c r="J134" s="139">
        <v>6000</v>
      </c>
      <c r="K134" s="13">
        <f>ROUND(I134*J134,0)</f>
        <v>3636000</v>
      </c>
      <c r="L134" s="116" t="s">
        <v>252</v>
      </c>
      <c r="M134" s="411" t="s">
        <v>169</v>
      </c>
      <c r="N134" s="22" t="str">
        <f>IF(AND('331-CT'!$E$7=TH!H134,OR(L134="331",M134="331")),"331",IF(AND(OR(L134="131",M134="131"),H134='131-CT'!$E$7),"131",""))</f>
        <v/>
      </c>
      <c r="O134" s="22" t="str">
        <f>IF(AND($B134&gt;='111'!$N$11,$B134&lt;='111'!$O$11,OR($L134=$O$7,$M134=$O$7)),"x","")</f>
        <v/>
      </c>
      <c r="P134" s="22" t="str">
        <f>IF(AND($L134=$O$7,$B134&lt;'111'!$N$11),"x","")</f>
        <v/>
      </c>
      <c r="Q134" s="22" t="str">
        <f>IF(AND($M134=$O$7,$B134&lt;'111'!$N$11),"x","")</f>
        <v/>
      </c>
      <c r="R134" s="22" t="str">
        <f>IF(ISERROR(FIND('112'!$M$9,G134,1)),"",IF((AND(FIND('112'!$M$9,G134,1)&gt;=1,$B134&gt;='112'!$N$8,$B134&lt;='112'!$O$8,OR($L134='112'!$I$6,$M134='112'!$I$6))),"x",""))</f>
        <v/>
      </c>
      <c r="S134" s="22" t="str">
        <f>IF(ISERROR(FIND('112'!$M$9,G134,1)),"",IF((AND(LEFT(G134,2)=LEFT('112'!$M$9,2),B134&lt;'112'!$N$8,$L134='112'!$I$6)),"x",""))</f>
        <v/>
      </c>
      <c r="T134" s="22" t="str">
        <f>IF(ISERROR(FIND('112'!$M$9,G134,1)),"",IF((AND(RIGHT(G134,2)=RIGHT('112'!$M$9,2),B134&lt;'112'!$N$8,$M134='112'!$I$6)),"x",""))</f>
        <v/>
      </c>
      <c r="U134" s="22" t="str">
        <f>IF(AND(B134&gt;='IN-NX'!$P$3,B134&lt;='IN-NX'!$Q$3,'IN-NX'!$D$7=D134,OR(LEFT(L134,2)="15",AND(LEFT(M134,2)&lt;&gt;"15",LEFT(M134,2)&lt;&gt;"33"))),"x","")</f>
        <v/>
      </c>
      <c r="V134" s="22" t="str">
        <f>IF(AND(OR(LEFT(TH!L134,2)="15",LEFT(TH!M134,2)="15"),'152-CT'!$J$8=TH!F134),"x","")</f>
        <v/>
      </c>
      <c r="W134" s="22" t="str">
        <f>IF(AND(OR(LEFT(TH!L134,2)="15",LEFT(TH!M134,2)="15"),TK!$E$7=TH!F134),"x","")</f>
        <v/>
      </c>
      <c r="X134" s="22" t="str">
        <f>IF(OR(TH!L134=TH!$X$7,M134=TH!$X$7),"x","")</f>
        <v/>
      </c>
      <c r="Y134" s="22" t="str">
        <f>IF(AND(B134&lt;=NKC!$N$8,B134&gt;=NKC!$M$8),"x","")</f>
        <v>x</v>
      </c>
      <c r="Z134" s="580"/>
      <c r="AC134" s="130"/>
      <c r="AD134" s="130"/>
      <c r="AE134" s="130"/>
    </row>
    <row r="135" spans="1:31" s="406" customFormat="1" ht="15.75" customHeight="1">
      <c r="A135" s="123" t="str">
        <f>IF(B135&lt;&gt;"",IF(AND(B135&gt;=_TM1,B135&lt;=_TM2,OR(TH!L136="1111",TH!M136="1111")),TH!D136,""),"")</f>
        <v/>
      </c>
      <c r="B135" s="12">
        <f t="shared" si="4"/>
        <v>8</v>
      </c>
      <c r="C135" s="108">
        <f t="shared" si="5"/>
        <v>42584</v>
      </c>
      <c r="D135" s="108" t="s">
        <v>569</v>
      </c>
      <c r="E135" s="113">
        <v>42584</v>
      </c>
      <c r="F135" s="112" t="s">
        <v>518</v>
      </c>
      <c r="G135" s="303" t="s">
        <v>716</v>
      </c>
      <c r="H135" s="4" t="s">
        <v>374</v>
      </c>
      <c r="I135" s="139">
        <v>404</v>
      </c>
      <c r="J135" s="139">
        <v>8600</v>
      </c>
      <c r="K135" s="13">
        <f>ROUND(I135*J135,0)</f>
        <v>3474400</v>
      </c>
      <c r="L135" s="116" t="s">
        <v>252</v>
      </c>
      <c r="M135" s="411" t="s">
        <v>169</v>
      </c>
      <c r="N135" s="22" t="str">
        <f>IF(AND('331-CT'!$E$7=TH!H135,OR(L135="331",M135="331")),"331",IF(AND(OR(L135="131",M135="131"),H135='131-CT'!$E$7),"131",""))</f>
        <v/>
      </c>
      <c r="O135" s="22" t="str">
        <f>IF(AND($B135&gt;='111'!$N$11,$B135&lt;='111'!$O$11,OR($L135=$O$7,$M135=$O$7)),"x","")</f>
        <v/>
      </c>
      <c r="P135" s="22" t="str">
        <f>IF(AND($L135=$O$7,$B135&lt;'111'!$N$11),"x","")</f>
        <v/>
      </c>
      <c r="Q135" s="22" t="str">
        <f>IF(AND($M135=$O$7,$B135&lt;'111'!$N$11),"x","")</f>
        <v/>
      </c>
      <c r="R135" s="22" t="str">
        <f>IF(ISERROR(FIND('112'!$M$9,G135,1)),"",IF((AND(FIND('112'!$M$9,G135,1)&gt;=1,$B135&gt;='112'!$N$8,$B135&lt;='112'!$O$8,OR($L135='112'!$I$6,$M135='112'!$I$6))),"x",""))</f>
        <v/>
      </c>
      <c r="S135" s="22" t="str">
        <f>IF(ISERROR(FIND('112'!$M$9,G135,1)),"",IF((AND(LEFT(G135,2)=LEFT('112'!$M$9,2),B135&lt;'112'!$N$8,$L135='112'!$I$6)),"x",""))</f>
        <v/>
      </c>
      <c r="T135" s="22" t="str">
        <f>IF(ISERROR(FIND('112'!$M$9,G135,1)),"",IF((AND(RIGHT(G135,2)=RIGHT('112'!$M$9,2),B135&lt;'112'!$N$8,$M135='112'!$I$6)),"x",""))</f>
        <v/>
      </c>
      <c r="U135" s="22" t="str">
        <f>IF(AND(B135&gt;='IN-NX'!$P$3,B135&lt;='IN-NX'!$Q$3,'IN-NX'!$D$7=D135,OR(LEFT(L135,2)="15",AND(LEFT(M135,2)&lt;&gt;"15",LEFT(M135,2)&lt;&gt;"33"))),"x","")</f>
        <v/>
      </c>
      <c r="V135" s="22" t="str">
        <f>IF(AND(OR(LEFT(TH!L135,2)="15",LEFT(TH!M135,2)="15"),'152-CT'!$J$8=TH!F135),"x","")</f>
        <v/>
      </c>
      <c r="W135" s="22" t="str">
        <f>IF(AND(OR(LEFT(TH!L135,2)="15",LEFT(TH!M135,2)="15"),TK!$E$7=TH!F135),"x","")</f>
        <v/>
      </c>
      <c r="X135" s="22" t="str">
        <f>IF(OR(TH!L135=TH!$X$7,M135=TH!$X$7),"x","")</f>
        <v/>
      </c>
      <c r="Y135" s="22" t="str">
        <f>IF(AND(B135&lt;=NKC!$N$8,B135&gt;=NKC!$M$8),"x","")</f>
        <v>x</v>
      </c>
      <c r="Z135" s="580"/>
      <c r="AC135" s="130"/>
      <c r="AD135" s="130"/>
      <c r="AE135" s="130"/>
    </row>
    <row r="136" spans="1:31" s="406" customFormat="1" ht="15.75" customHeight="1">
      <c r="A136" s="123" t="str">
        <f>IF(B136&lt;&gt;"",IF(AND(B136&gt;=_TM1,B136&lt;=_TM2,OR(TH!L137="1111",TH!M137="1111")),TH!D137,""),"")</f>
        <v/>
      </c>
      <c r="B136" s="12">
        <f t="shared" si="4"/>
        <v>8</v>
      </c>
      <c r="C136" s="108">
        <f t="shared" si="5"/>
        <v>42584</v>
      </c>
      <c r="D136" s="108" t="s">
        <v>569</v>
      </c>
      <c r="E136" s="113">
        <v>42584</v>
      </c>
      <c r="F136" s="112" t="s">
        <v>519</v>
      </c>
      <c r="G136" s="303" t="s">
        <v>716</v>
      </c>
      <c r="H136" s="4" t="s">
        <v>374</v>
      </c>
      <c r="I136" s="139">
        <v>304</v>
      </c>
      <c r="J136" s="139">
        <v>14200</v>
      </c>
      <c r="K136" s="13">
        <f>ROUND(I136*J136,0)</f>
        <v>4316800</v>
      </c>
      <c r="L136" s="116" t="s">
        <v>252</v>
      </c>
      <c r="M136" s="411" t="s">
        <v>169</v>
      </c>
      <c r="N136" s="22" t="str">
        <f>IF(AND('331-CT'!$E$7=TH!H136,OR(L136="331",M136="331")),"331",IF(AND(OR(L136="131",M136="131"),H136='131-CT'!$E$7),"131",""))</f>
        <v/>
      </c>
      <c r="O136" s="22" t="str">
        <f>IF(AND($B136&gt;='111'!$N$11,$B136&lt;='111'!$O$11,OR($L136=$O$7,$M136=$O$7)),"x","")</f>
        <v/>
      </c>
      <c r="P136" s="22" t="str">
        <f>IF(AND($L136=$O$7,$B136&lt;'111'!$N$11),"x","")</f>
        <v/>
      </c>
      <c r="Q136" s="22" t="str">
        <f>IF(AND($M136=$O$7,$B136&lt;'111'!$N$11),"x","")</f>
        <v/>
      </c>
      <c r="R136" s="22" t="str">
        <f>IF(ISERROR(FIND('112'!$M$9,G136,1)),"",IF((AND(FIND('112'!$M$9,G136,1)&gt;=1,$B136&gt;='112'!$N$8,$B136&lt;='112'!$O$8,OR($L136='112'!$I$6,$M136='112'!$I$6))),"x",""))</f>
        <v/>
      </c>
      <c r="S136" s="22" t="str">
        <f>IF(ISERROR(FIND('112'!$M$9,G136,1)),"",IF((AND(LEFT(G136,2)=LEFT('112'!$M$9,2),B136&lt;'112'!$N$8,$L136='112'!$I$6)),"x",""))</f>
        <v/>
      </c>
      <c r="T136" s="22" t="str">
        <f>IF(ISERROR(FIND('112'!$M$9,G136,1)),"",IF((AND(RIGHT(G136,2)=RIGHT('112'!$M$9,2),B136&lt;'112'!$N$8,$M136='112'!$I$6)),"x",""))</f>
        <v/>
      </c>
      <c r="U136" s="22" t="str">
        <f>IF(AND(B136&gt;='IN-NX'!$P$3,B136&lt;='IN-NX'!$Q$3,'IN-NX'!$D$7=D136,OR(LEFT(L136,2)="15",AND(LEFT(M136,2)&lt;&gt;"15",LEFT(M136,2)&lt;&gt;"33"))),"x","")</f>
        <v/>
      </c>
      <c r="V136" s="22" t="str">
        <f>IF(AND(OR(LEFT(TH!L136,2)="15",LEFT(TH!M136,2)="15"),'152-CT'!$J$8=TH!F136),"x","")</f>
        <v/>
      </c>
      <c r="W136" s="22" t="str">
        <f>IF(AND(OR(LEFT(TH!L136,2)="15",LEFT(TH!M136,2)="15"),TK!$E$7=TH!F136),"x","")</f>
        <v/>
      </c>
      <c r="X136" s="22" t="str">
        <f>IF(OR(TH!L136=TH!$X$7,M136=TH!$X$7),"x","")</f>
        <v/>
      </c>
      <c r="Y136" s="22" t="str">
        <f>IF(AND(B136&lt;=NKC!$N$8,B136&gt;=NKC!$M$8),"x","")</f>
        <v>x</v>
      </c>
      <c r="Z136" s="580"/>
      <c r="AB136" s="130"/>
      <c r="AC136" s="130"/>
      <c r="AD136" s="130"/>
      <c r="AE136" s="130"/>
    </row>
    <row r="137" spans="1:31" s="406" customFormat="1" ht="15.75" customHeight="1">
      <c r="A137" s="123" t="str">
        <f>IF(B137&lt;&gt;"",IF(AND(B137&gt;=_TM1,B137&lt;=_TM2,OR(TH!L138="1111",TH!M138="1111")),TH!D138,""),"")</f>
        <v/>
      </c>
      <c r="B137" s="12">
        <f t="shared" si="4"/>
        <v>8</v>
      </c>
      <c r="C137" s="108">
        <f t="shared" si="5"/>
        <v>42584</v>
      </c>
      <c r="D137" s="108" t="s">
        <v>569</v>
      </c>
      <c r="E137" s="113">
        <v>42584</v>
      </c>
      <c r="F137" s="112" t="s">
        <v>496</v>
      </c>
      <c r="G137" s="303" t="s">
        <v>716</v>
      </c>
      <c r="H137" s="4" t="s">
        <v>374</v>
      </c>
      <c r="I137" s="139"/>
      <c r="J137" s="139"/>
      <c r="K137" s="13">
        <v>1142720</v>
      </c>
      <c r="L137" s="116" t="s">
        <v>252</v>
      </c>
      <c r="M137" s="411" t="s">
        <v>352</v>
      </c>
      <c r="N137" s="22" t="str">
        <f>IF(AND('331-CT'!$E$7=TH!H137,OR(L137="331",M137="331")),"331",IF(AND(OR(L137="131",M137="131"),H137='131-CT'!$E$7),"131",""))</f>
        <v/>
      </c>
      <c r="O137" s="22" t="str">
        <f>IF(AND($B137&gt;='111'!$N$11,$B137&lt;='111'!$O$11,OR($L137=$O$7,$M137=$O$7)),"x","")</f>
        <v/>
      </c>
      <c r="P137" s="22" t="str">
        <f>IF(AND($L137=$O$7,$B137&lt;'111'!$N$11),"x","")</f>
        <v/>
      </c>
      <c r="Q137" s="22" t="str">
        <f>IF(AND($M137=$O$7,$B137&lt;'111'!$N$11),"x","")</f>
        <v/>
      </c>
      <c r="R137" s="22" t="str">
        <f>IF(ISERROR(FIND('112'!$M$9,G137,1)),"",IF((AND(FIND('112'!$M$9,G137,1)&gt;=1,$B137&gt;='112'!$N$8,$B137&lt;='112'!$O$8,OR($L137='112'!$I$6,$M137='112'!$I$6))),"x",""))</f>
        <v/>
      </c>
      <c r="S137" s="22" t="str">
        <f>IF(ISERROR(FIND('112'!$M$9,G137,1)),"",IF((AND(LEFT(G137,2)=LEFT('112'!$M$9,2),B137&lt;'112'!$N$8,$L137='112'!$I$6)),"x",""))</f>
        <v/>
      </c>
      <c r="T137" s="22" t="str">
        <f>IF(ISERROR(FIND('112'!$M$9,G137,1)),"",IF((AND(RIGHT(G137,2)=RIGHT('112'!$M$9,2),B137&lt;'112'!$N$8,$M137='112'!$I$6)),"x",""))</f>
        <v/>
      </c>
      <c r="U137" s="22" t="str">
        <f>IF(AND(B137&gt;='IN-NX'!$P$3,B137&lt;='IN-NX'!$Q$3,'IN-NX'!$D$7=D137,OR(LEFT(L137,2)="15",AND(LEFT(M137,2)&lt;&gt;"15",LEFT(M137,2)&lt;&gt;"33"))),"x","")</f>
        <v/>
      </c>
      <c r="V137" s="22" t="str">
        <f>IF(AND(OR(LEFT(TH!L137,2)="15",LEFT(TH!M137,2)="15"),'152-CT'!$J$8=TH!F137),"x","")</f>
        <v/>
      </c>
      <c r="W137" s="22" t="str">
        <f>IF(AND(OR(LEFT(TH!L137,2)="15",LEFT(TH!M137,2)="15"),TK!$E$7=TH!F137),"x","")</f>
        <v/>
      </c>
      <c r="X137" s="22" t="str">
        <f>IF(OR(TH!L137=TH!$X$7,M137=TH!$X$7),"x","")</f>
        <v/>
      </c>
      <c r="Y137" s="22" t="str">
        <f>IF(AND(B137&lt;=NKC!$N$8,B137&gt;=NKC!$M$8),"x","")</f>
        <v>x</v>
      </c>
      <c r="Z137" s="580"/>
      <c r="AC137" s="130"/>
      <c r="AD137" s="130"/>
      <c r="AE137" s="130"/>
    </row>
    <row r="138" spans="1:31" s="406" customFormat="1" ht="15.75" customHeight="1">
      <c r="A138" s="123" t="str">
        <f>IF(B138&lt;&gt;"",IF(AND(B138&gt;=_TM1,B138&lt;=_TM2,OR(TH!L139="1111",TH!M139="1111")),TH!D139,""),"")</f>
        <v/>
      </c>
      <c r="B138" s="12">
        <f t="shared" si="4"/>
        <v>8</v>
      </c>
      <c r="C138" s="108">
        <f t="shared" si="5"/>
        <v>42584</v>
      </c>
      <c r="D138" s="108" t="s">
        <v>570</v>
      </c>
      <c r="E138" s="113">
        <v>42584</v>
      </c>
      <c r="F138" s="112" t="s">
        <v>520</v>
      </c>
      <c r="G138" s="303" t="s">
        <v>717</v>
      </c>
      <c r="H138" s="4" t="s">
        <v>365</v>
      </c>
      <c r="I138" s="139">
        <v>1335</v>
      </c>
      <c r="J138" s="139">
        <v>5000</v>
      </c>
      <c r="K138" s="13">
        <f>ROUND(I138*J138,0)</f>
        <v>6675000</v>
      </c>
      <c r="L138" s="116" t="s">
        <v>252</v>
      </c>
      <c r="M138" s="411" t="s">
        <v>169</v>
      </c>
      <c r="N138" s="22" t="str">
        <f>IF(AND('331-CT'!$E$7=TH!H138,OR(L138="331",M138="331")),"331",IF(AND(OR(L138="131",M138="131"),H138='131-CT'!$E$7),"131",""))</f>
        <v/>
      </c>
      <c r="O138" s="22" t="str">
        <f>IF(AND($B138&gt;='111'!$N$11,$B138&lt;='111'!$O$11,OR($L138=$O$7,$M138=$O$7)),"x","")</f>
        <v/>
      </c>
      <c r="P138" s="22" t="str">
        <f>IF(AND($L138=$O$7,$B138&lt;'111'!$N$11),"x","")</f>
        <v/>
      </c>
      <c r="Q138" s="22" t="str">
        <f>IF(AND($M138=$O$7,$B138&lt;'111'!$N$11),"x","")</f>
        <v/>
      </c>
      <c r="R138" s="22" t="str">
        <f>IF(ISERROR(FIND('112'!$M$9,G138,1)),"",IF((AND(FIND('112'!$M$9,G138,1)&gt;=1,$B138&gt;='112'!$N$8,$B138&lt;='112'!$O$8,OR($L138='112'!$I$6,$M138='112'!$I$6))),"x",""))</f>
        <v/>
      </c>
      <c r="S138" s="22" t="str">
        <f>IF(ISERROR(FIND('112'!$M$9,G138,1)),"",IF((AND(LEFT(G138,2)=LEFT('112'!$M$9,2),B138&lt;'112'!$N$8,$L138='112'!$I$6)),"x",""))</f>
        <v/>
      </c>
      <c r="T138" s="22" t="str">
        <f>IF(ISERROR(FIND('112'!$M$9,G138,1)),"",IF((AND(RIGHT(G138,2)=RIGHT('112'!$M$9,2),B138&lt;'112'!$N$8,$M138='112'!$I$6)),"x",""))</f>
        <v/>
      </c>
      <c r="U138" s="22" t="str">
        <f>IF(AND(B138&gt;='IN-NX'!$P$3,B138&lt;='IN-NX'!$Q$3,'IN-NX'!$D$7=D138,OR(LEFT(L138,2)="15",AND(LEFT(M138,2)&lt;&gt;"15",LEFT(M138,2)&lt;&gt;"33"))),"x","")</f>
        <v/>
      </c>
      <c r="V138" s="22" t="str">
        <f>IF(AND(OR(LEFT(TH!L138,2)="15",LEFT(TH!M138,2)="15"),'152-CT'!$J$8=TH!F138),"x","")</f>
        <v/>
      </c>
      <c r="W138" s="22" t="str">
        <f>IF(AND(OR(LEFT(TH!L138,2)="15",LEFT(TH!M138,2)="15"),TK!$E$7=TH!F138),"x","")</f>
        <v/>
      </c>
      <c r="X138" s="22" t="str">
        <f>IF(OR(TH!L138=TH!$X$7,M138=TH!$X$7),"x","")</f>
        <v/>
      </c>
      <c r="Y138" s="22" t="str">
        <f>IF(AND(B138&lt;=NKC!$N$8,B138&gt;=NKC!$M$8),"x","")</f>
        <v>x</v>
      </c>
      <c r="Z138" s="580"/>
      <c r="AC138" s="130"/>
      <c r="AD138" s="130"/>
      <c r="AE138" s="130"/>
    </row>
    <row r="139" spans="1:31" s="406" customFormat="1" ht="15.75" customHeight="1">
      <c r="A139" s="123" t="str">
        <f>IF(B139&lt;&gt;"",IF(AND(B139&gt;=_TM1,B139&lt;=_TM2,OR(TH!L140="1111",TH!M140="1111")),TH!D140,""),"")</f>
        <v/>
      </c>
      <c r="B139" s="12">
        <f t="shared" si="4"/>
        <v>8</v>
      </c>
      <c r="C139" s="108">
        <f t="shared" si="5"/>
        <v>42584</v>
      </c>
      <c r="D139" s="108" t="s">
        <v>570</v>
      </c>
      <c r="E139" s="113">
        <v>42584</v>
      </c>
      <c r="F139" s="112" t="s">
        <v>521</v>
      </c>
      <c r="G139" s="303" t="s">
        <v>717</v>
      </c>
      <c r="H139" s="4" t="s">
        <v>365</v>
      </c>
      <c r="I139" s="139">
        <v>302</v>
      </c>
      <c r="J139" s="139">
        <v>5100</v>
      </c>
      <c r="K139" s="13">
        <f>ROUND(I139*J139,0)</f>
        <v>1540200</v>
      </c>
      <c r="L139" s="116" t="s">
        <v>252</v>
      </c>
      <c r="M139" s="411" t="s">
        <v>169</v>
      </c>
      <c r="N139" s="22" t="str">
        <f>IF(AND('331-CT'!$E$7=TH!H139,OR(L139="331",M139="331")),"331",IF(AND(OR(L139="131",M139="131"),H139='131-CT'!$E$7),"131",""))</f>
        <v/>
      </c>
      <c r="O139" s="22" t="str">
        <f>IF(AND($B139&gt;='111'!$N$11,$B139&lt;='111'!$O$11,OR($L139=$O$7,$M139=$O$7)),"x","")</f>
        <v/>
      </c>
      <c r="P139" s="22" t="str">
        <f>IF(AND($L139=$O$7,$B139&lt;'111'!$N$11),"x","")</f>
        <v/>
      </c>
      <c r="Q139" s="22" t="str">
        <f>IF(AND($M139=$O$7,$B139&lt;'111'!$N$11),"x","")</f>
        <v/>
      </c>
      <c r="R139" s="22" t="str">
        <f>IF(ISERROR(FIND('112'!$M$9,G139,1)),"",IF((AND(FIND('112'!$M$9,G139,1)&gt;=1,$B139&gt;='112'!$N$8,$B139&lt;='112'!$O$8,OR($L139='112'!$I$6,$M139='112'!$I$6))),"x",""))</f>
        <v/>
      </c>
      <c r="S139" s="22" t="str">
        <f>IF(ISERROR(FIND('112'!$M$9,G139,1)),"",IF((AND(LEFT(G139,2)=LEFT('112'!$M$9,2),B139&lt;'112'!$N$8,$L139='112'!$I$6)),"x",""))</f>
        <v/>
      </c>
      <c r="T139" s="22" t="str">
        <f>IF(ISERROR(FIND('112'!$M$9,G139,1)),"",IF((AND(RIGHT(G139,2)=RIGHT('112'!$M$9,2),B139&lt;'112'!$N$8,$M139='112'!$I$6)),"x",""))</f>
        <v/>
      </c>
      <c r="U139" s="22" t="str">
        <f>IF(AND(B139&gt;='IN-NX'!$P$3,B139&lt;='IN-NX'!$Q$3,'IN-NX'!$D$7=D139,OR(LEFT(L139,2)="15",AND(LEFT(M139,2)&lt;&gt;"15",LEFT(M139,2)&lt;&gt;"33"))),"x","")</f>
        <v/>
      </c>
      <c r="V139" s="22" t="str">
        <f>IF(AND(OR(LEFT(TH!L139,2)="15",LEFT(TH!M139,2)="15"),'152-CT'!$J$8=TH!F139),"x","")</f>
        <v/>
      </c>
      <c r="W139" s="22" t="str">
        <f>IF(AND(OR(LEFT(TH!L139,2)="15",LEFT(TH!M139,2)="15"),TK!$E$7=TH!F139),"x","")</f>
        <v/>
      </c>
      <c r="X139" s="22" t="str">
        <f>IF(OR(TH!L139=TH!$X$7,M139=TH!$X$7),"x","")</f>
        <v/>
      </c>
      <c r="Y139" s="22" t="str">
        <f>IF(AND(B139&lt;=NKC!$N$8,B139&gt;=NKC!$M$8),"x","")</f>
        <v>x</v>
      </c>
      <c r="Z139" s="580"/>
      <c r="AC139" s="130"/>
      <c r="AD139" s="130"/>
      <c r="AE139" s="130"/>
    </row>
    <row r="140" spans="1:31" s="406" customFormat="1" ht="15.75" customHeight="1">
      <c r="A140" s="123" t="str">
        <f>IF(B140&lt;&gt;"",IF(AND(B140&gt;=_TM1,B140&lt;=_TM2,OR(TH!L141="1111",TH!M141="1111")),TH!D141,""),"")</f>
        <v/>
      </c>
      <c r="B140" s="12">
        <f t="shared" si="4"/>
        <v>8</v>
      </c>
      <c r="C140" s="108">
        <f t="shared" si="5"/>
        <v>42584</v>
      </c>
      <c r="D140" s="108" t="s">
        <v>570</v>
      </c>
      <c r="E140" s="113">
        <v>42584</v>
      </c>
      <c r="F140" s="112" t="s">
        <v>522</v>
      </c>
      <c r="G140" s="303" t="s">
        <v>717</v>
      </c>
      <c r="H140" s="4" t="s">
        <v>365</v>
      </c>
      <c r="I140" s="139">
        <v>420</v>
      </c>
      <c r="J140" s="139">
        <v>9700</v>
      </c>
      <c r="K140" s="13">
        <f>ROUND(I140*J140,0)</f>
        <v>4074000</v>
      </c>
      <c r="L140" s="116" t="s">
        <v>252</v>
      </c>
      <c r="M140" s="411" t="s">
        <v>169</v>
      </c>
      <c r="N140" s="22" t="str">
        <f>IF(AND('331-CT'!$E$7=TH!H140,OR(L140="331",M140="331")),"331",IF(AND(OR(L140="131",M140="131"),H140='131-CT'!$E$7),"131",""))</f>
        <v/>
      </c>
      <c r="O140" s="22" t="str">
        <f>IF(AND($B140&gt;='111'!$N$11,$B140&lt;='111'!$O$11,OR($L140=$O$7,$M140=$O$7)),"x","")</f>
        <v/>
      </c>
      <c r="P140" s="22" t="str">
        <f>IF(AND($L140=$O$7,$B140&lt;'111'!$N$11),"x","")</f>
        <v/>
      </c>
      <c r="Q140" s="22" t="str">
        <f>IF(AND($M140=$O$7,$B140&lt;'111'!$N$11),"x","")</f>
        <v/>
      </c>
      <c r="R140" s="22" t="str">
        <f>IF(ISERROR(FIND('112'!$M$9,G140,1)),"",IF((AND(FIND('112'!$M$9,G140,1)&gt;=1,$B140&gt;='112'!$N$8,$B140&lt;='112'!$O$8,OR($L140='112'!$I$6,$M140='112'!$I$6))),"x",""))</f>
        <v/>
      </c>
      <c r="S140" s="22" t="str">
        <f>IF(ISERROR(FIND('112'!$M$9,G140,1)),"",IF((AND(LEFT(G140,2)=LEFT('112'!$M$9,2),B140&lt;'112'!$N$8,$L140='112'!$I$6)),"x",""))</f>
        <v/>
      </c>
      <c r="T140" s="22" t="str">
        <f>IF(ISERROR(FIND('112'!$M$9,G140,1)),"",IF((AND(RIGHT(G140,2)=RIGHT('112'!$M$9,2),B140&lt;'112'!$N$8,$M140='112'!$I$6)),"x",""))</f>
        <v/>
      </c>
      <c r="U140" s="22" t="str">
        <f>IF(AND(B140&gt;='IN-NX'!$P$3,B140&lt;='IN-NX'!$Q$3,'IN-NX'!$D$7=D140,OR(LEFT(L140,2)="15",AND(LEFT(M140,2)&lt;&gt;"15",LEFT(M140,2)&lt;&gt;"33"))),"x","")</f>
        <v/>
      </c>
      <c r="V140" s="22" t="str">
        <f>IF(AND(OR(LEFT(TH!L140,2)="15",LEFT(TH!M140,2)="15"),'152-CT'!$J$8=TH!F140),"x","")</f>
        <v/>
      </c>
      <c r="W140" s="22" t="str">
        <f>IF(AND(OR(LEFT(TH!L140,2)="15",LEFT(TH!M140,2)="15"),TK!$E$7=TH!F140),"x","")</f>
        <v/>
      </c>
      <c r="X140" s="22" t="str">
        <f>IF(OR(TH!L140=TH!$X$7,M140=TH!$X$7),"x","")</f>
        <v/>
      </c>
      <c r="Y140" s="22" t="str">
        <f>IF(AND(B140&lt;=NKC!$N$8,B140&gt;=NKC!$M$8),"x","")</f>
        <v>x</v>
      </c>
      <c r="Z140" s="580"/>
      <c r="AC140" s="130"/>
      <c r="AD140" s="130"/>
      <c r="AE140" s="130"/>
    </row>
    <row r="141" spans="1:31" s="130" customFormat="1" ht="15.75" customHeight="1">
      <c r="A141" s="123" t="str">
        <f>IF(B141&lt;&gt;"",IF(AND(B141&gt;=_TM1,B141&lt;=_TM2,OR(TH!L142="1111",TH!M142="1111")),TH!D142,""),"")</f>
        <v/>
      </c>
      <c r="B141" s="12">
        <f t="shared" si="4"/>
        <v>8</v>
      </c>
      <c r="C141" s="108">
        <f t="shared" si="5"/>
        <v>42584</v>
      </c>
      <c r="D141" s="108" t="s">
        <v>570</v>
      </c>
      <c r="E141" s="113">
        <v>42584</v>
      </c>
      <c r="F141" s="112" t="s">
        <v>496</v>
      </c>
      <c r="G141" s="303" t="s">
        <v>717</v>
      </c>
      <c r="H141" s="4" t="s">
        <v>365</v>
      </c>
      <c r="I141" s="139"/>
      <c r="J141" s="139"/>
      <c r="K141" s="13">
        <v>1228920</v>
      </c>
      <c r="L141" s="116" t="s">
        <v>252</v>
      </c>
      <c r="M141" s="411" t="s">
        <v>352</v>
      </c>
      <c r="N141" s="22" t="str">
        <f>IF(AND('331-CT'!$E$7=TH!H141,OR(L141="331",M141="331")),"331",IF(AND(OR(L141="131",M141="131"),H141='131-CT'!$E$7),"131",""))</f>
        <v/>
      </c>
      <c r="O141" s="22" t="str">
        <f>IF(AND($B141&gt;='111'!$N$11,$B141&lt;='111'!$O$11,OR($L141=$O$7,$M141=$O$7)),"x","")</f>
        <v/>
      </c>
      <c r="P141" s="22" t="str">
        <f>IF(AND($L141=$O$7,$B141&lt;'111'!$N$11),"x","")</f>
        <v/>
      </c>
      <c r="Q141" s="22" t="str">
        <f>IF(AND($M141=$O$7,$B141&lt;'111'!$N$11),"x","")</f>
        <v/>
      </c>
      <c r="R141" s="22" t="str">
        <f>IF(ISERROR(FIND('112'!$M$9,G141,1)),"",IF((AND(FIND('112'!$M$9,G141,1)&gt;=1,$B141&gt;='112'!$N$8,$B141&lt;='112'!$O$8,OR($L141='112'!$I$6,$M141='112'!$I$6))),"x",""))</f>
        <v/>
      </c>
      <c r="S141" s="22" t="str">
        <f>IF(ISERROR(FIND('112'!$M$9,G141,1)),"",IF((AND(LEFT(G141,2)=LEFT('112'!$M$9,2),B141&lt;'112'!$N$8,$L141='112'!$I$6)),"x",""))</f>
        <v/>
      </c>
      <c r="T141" s="22" t="str">
        <f>IF(ISERROR(FIND('112'!$M$9,G141,1)),"",IF((AND(RIGHT(G141,2)=RIGHT('112'!$M$9,2),B141&lt;'112'!$N$8,$M141='112'!$I$6)),"x",""))</f>
        <v/>
      </c>
      <c r="U141" s="22" t="str">
        <f>IF(AND(B141&gt;='IN-NX'!$P$3,B141&lt;='IN-NX'!$Q$3,'IN-NX'!$D$7=D141,OR(LEFT(L141,2)="15",AND(LEFT(M141,2)&lt;&gt;"15",LEFT(M141,2)&lt;&gt;"33"))),"x","")</f>
        <v/>
      </c>
      <c r="V141" s="22" t="str">
        <f>IF(AND(OR(LEFT(TH!L141,2)="15",LEFT(TH!M141,2)="15"),'152-CT'!$J$8=TH!F141),"x","")</f>
        <v/>
      </c>
      <c r="W141" s="22" t="str">
        <f>IF(AND(OR(LEFT(TH!L141,2)="15",LEFT(TH!M141,2)="15"),TK!$E$7=TH!F141),"x","")</f>
        <v/>
      </c>
      <c r="X141" s="22" t="str">
        <f>IF(OR(TH!L141=TH!$X$7,M141=TH!$X$7),"x","")</f>
        <v/>
      </c>
      <c r="Y141" s="22" t="str">
        <f>IF(AND(B141&lt;=NKC!$N$8,B141&gt;=NKC!$M$8),"x","")</f>
        <v>x</v>
      </c>
      <c r="Z141" s="580"/>
      <c r="AA141" s="406"/>
      <c r="AB141" s="406"/>
    </row>
    <row r="142" spans="1:31" s="130" customFormat="1" ht="15.75" customHeight="1">
      <c r="A142" s="123" t="str">
        <f>IF(B142&lt;&gt;"",IF(AND(B142&gt;=_TM1,B142&lt;=_TM2,OR(TH!L143="1111",TH!M143="1111")),TH!D143,""),"")</f>
        <v/>
      </c>
      <c r="B142" s="12">
        <f t="shared" si="4"/>
        <v>8</v>
      </c>
      <c r="C142" s="108">
        <f t="shared" si="5"/>
        <v>42585</v>
      </c>
      <c r="D142" s="108" t="s">
        <v>992</v>
      </c>
      <c r="E142" s="113">
        <v>42585</v>
      </c>
      <c r="F142" s="114" t="s">
        <v>484</v>
      </c>
      <c r="G142" s="303" t="s">
        <v>1025</v>
      </c>
      <c r="H142" s="4" t="s">
        <v>366</v>
      </c>
      <c r="I142" s="139"/>
      <c r="J142" s="139"/>
      <c r="K142" s="13">
        <f>9574950+6763900</f>
        <v>16338850</v>
      </c>
      <c r="L142" s="116" t="s">
        <v>46</v>
      </c>
      <c r="M142" s="411" t="s">
        <v>252</v>
      </c>
      <c r="N142" s="22" t="str">
        <f>IF(AND('331-CT'!$E$7=TH!H142,OR(L142="331",M142="331")),"331",IF(AND(OR(L142="131",M142="131"),H142='131-CT'!$E$7),"131",""))</f>
        <v/>
      </c>
      <c r="O142" s="22" t="str">
        <f>IF(AND($B142&gt;='111'!$N$11,$B142&lt;='111'!$O$11,OR($L142=$O$7,$M142=$O$7)),"x","")</f>
        <v/>
      </c>
      <c r="P142" s="22" t="str">
        <f>IF(AND($L142=$O$7,$B142&lt;'111'!$N$11),"x","")</f>
        <v>x</v>
      </c>
      <c r="Q142" s="22" t="str">
        <f>IF(AND($M142=$O$7,$B142&lt;'111'!$N$11),"x","")</f>
        <v/>
      </c>
      <c r="R142" s="22" t="str">
        <f>IF(ISERROR(FIND('112'!$M$9,G142,1)),"",IF((AND(FIND('112'!$M$9,G142,1)&gt;=1,$B142&gt;='112'!$N$8,$B142&lt;='112'!$O$8,OR($L142='112'!$I$6,$M142='112'!$I$6))),"x",""))</f>
        <v/>
      </c>
      <c r="S142" s="22" t="str">
        <f>IF(ISERROR(FIND('112'!$M$9,G142,1)),"",IF((AND(LEFT(G142,2)=LEFT('112'!$M$9,2),B142&lt;'112'!$N$8,$L142='112'!$I$6)),"x",""))</f>
        <v/>
      </c>
      <c r="T142" s="22" t="str">
        <f>IF(ISERROR(FIND('112'!$M$9,G142,1)),"",IF((AND(RIGHT(G142,2)=RIGHT('112'!$M$9,2),B142&lt;'112'!$N$8,$M142='112'!$I$6)),"x",""))</f>
        <v/>
      </c>
      <c r="U142" s="22" t="str">
        <f>IF(AND(B142&gt;='IN-NX'!$P$3,B142&lt;='IN-NX'!$Q$3,'IN-NX'!$D$7=D142,OR(LEFT(L142,2)="15",AND(LEFT(M142,2)&lt;&gt;"15",LEFT(M142,2)&lt;&gt;"33"))),"x","")</f>
        <v/>
      </c>
      <c r="V142" s="22" t="str">
        <f>IF(AND(OR(LEFT(TH!L142,2)="15",LEFT(TH!M142,2)="15"),'152-CT'!$J$8=TH!F142),"x","")</f>
        <v/>
      </c>
      <c r="W142" s="22" t="str">
        <f>IF(AND(OR(LEFT(TH!L142,2)="15",LEFT(TH!M142,2)="15"),TK!$E$7=TH!F142),"x","")</f>
        <v/>
      </c>
      <c r="X142" s="22" t="str">
        <f>IF(OR(TH!L142=TH!$X$7,M142=TH!$X$7),"x","")</f>
        <v/>
      </c>
      <c r="Y142" s="22" t="str">
        <f>IF(AND(B142&lt;=NKC!$N$8,B142&gt;=NKC!$M$8),"x","")</f>
        <v>x</v>
      </c>
      <c r="Z142" s="580"/>
      <c r="AA142" s="406"/>
      <c r="AB142" s="406"/>
    </row>
    <row r="143" spans="1:31" s="130" customFormat="1" ht="15.75" customHeight="1">
      <c r="A143" s="123" t="str">
        <f>IF(B143&lt;&gt;"",IF(AND(B143&gt;=_TM1,B143&lt;=_TM2,OR(TH!L144="1111",TH!M144="1111")),TH!D144,""),"")</f>
        <v/>
      </c>
      <c r="B143" s="12">
        <f t="shared" si="4"/>
        <v>8</v>
      </c>
      <c r="C143" s="108">
        <f t="shared" si="5"/>
        <v>42585</v>
      </c>
      <c r="D143" s="108" t="s">
        <v>571</v>
      </c>
      <c r="E143" s="113">
        <v>42585</v>
      </c>
      <c r="F143" s="112" t="s">
        <v>523</v>
      </c>
      <c r="G143" s="303" t="s">
        <v>718</v>
      </c>
      <c r="H143" s="4" t="s">
        <v>366</v>
      </c>
      <c r="I143" s="139">
        <v>427</v>
      </c>
      <c r="J143" s="139">
        <v>10200</v>
      </c>
      <c r="K143" s="13">
        <f>ROUND(I143*J143,0)</f>
        <v>4355400</v>
      </c>
      <c r="L143" s="116" t="s">
        <v>252</v>
      </c>
      <c r="M143" s="411" t="s">
        <v>169</v>
      </c>
      <c r="N143" s="22" t="str">
        <f>IF(AND('331-CT'!$E$7=TH!H143,OR(L143="331",M143="331")),"331",IF(AND(OR(L143="131",M143="131"),H143='131-CT'!$E$7),"131",""))</f>
        <v/>
      </c>
      <c r="O143" s="22" t="str">
        <f>IF(AND($B143&gt;='111'!$N$11,$B143&lt;='111'!$O$11,OR($L143=$O$7,$M143=$O$7)),"x","")</f>
        <v/>
      </c>
      <c r="P143" s="22" t="str">
        <f>IF(AND($L143=$O$7,$B143&lt;'111'!$N$11),"x","")</f>
        <v/>
      </c>
      <c r="Q143" s="22" t="str">
        <f>IF(AND($M143=$O$7,$B143&lt;'111'!$N$11),"x","")</f>
        <v/>
      </c>
      <c r="R143" s="22" t="str">
        <f>IF(ISERROR(FIND('112'!$M$9,G143,1)),"",IF((AND(FIND('112'!$M$9,G143,1)&gt;=1,$B143&gt;='112'!$N$8,$B143&lt;='112'!$O$8,OR($L143='112'!$I$6,$M143='112'!$I$6))),"x",""))</f>
        <v/>
      </c>
      <c r="S143" s="22" t="str">
        <f>IF(ISERROR(FIND('112'!$M$9,G143,1)),"",IF((AND(LEFT(G143,2)=LEFT('112'!$M$9,2),B143&lt;'112'!$N$8,$L143='112'!$I$6)),"x",""))</f>
        <v/>
      </c>
      <c r="T143" s="22" t="str">
        <f>IF(ISERROR(FIND('112'!$M$9,G143,1)),"",IF((AND(RIGHT(G143,2)=RIGHT('112'!$M$9,2),B143&lt;'112'!$N$8,$M143='112'!$I$6)),"x",""))</f>
        <v/>
      </c>
      <c r="U143" s="22" t="str">
        <f>IF(AND(B143&gt;='IN-NX'!$P$3,B143&lt;='IN-NX'!$Q$3,'IN-NX'!$D$7=D143,OR(LEFT(L143,2)="15",AND(LEFT(M143,2)&lt;&gt;"15",LEFT(M143,2)&lt;&gt;"33"))),"x","")</f>
        <v/>
      </c>
      <c r="V143" s="22" t="str">
        <f>IF(AND(OR(LEFT(TH!L143,2)="15",LEFT(TH!M143,2)="15"),'152-CT'!$J$8=TH!F143),"x","")</f>
        <v/>
      </c>
      <c r="W143" s="22" t="str">
        <f>IF(AND(OR(LEFT(TH!L143,2)="15",LEFT(TH!M143,2)="15"),TK!$E$7=TH!F143),"x","")</f>
        <v/>
      </c>
      <c r="X143" s="22" t="str">
        <f>IF(OR(TH!L143=TH!$X$7,M143=TH!$X$7),"x","")</f>
        <v/>
      </c>
      <c r="Y143" s="22" t="str">
        <f>IF(AND(B143&lt;=NKC!$N$8,B143&gt;=NKC!$M$8),"x","")</f>
        <v>x</v>
      </c>
      <c r="Z143" s="580"/>
      <c r="AA143" s="406"/>
      <c r="AB143" s="406"/>
    </row>
    <row r="144" spans="1:31" s="130" customFormat="1" ht="15.75" customHeight="1">
      <c r="A144" s="123" t="str">
        <f>IF(B144&lt;&gt;"",IF(AND(B144&gt;=_TM1,B144&lt;=_TM2,OR(TH!L145="1111",TH!M145="1111")),TH!D145,""),"")</f>
        <v/>
      </c>
      <c r="B144" s="12">
        <f t="shared" si="4"/>
        <v>8</v>
      </c>
      <c r="C144" s="108">
        <f t="shared" si="5"/>
        <v>42585</v>
      </c>
      <c r="D144" s="108" t="s">
        <v>571</v>
      </c>
      <c r="E144" s="113">
        <v>42585</v>
      </c>
      <c r="F144" s="112" t="s">
        <v>496</v>
      </c>
      <c r="G144" s="303" t="s">
        <v>718</v>
      </c>
      <c r="H144" s="4" t="s">
        <v>366</v>
      </c>
      <c r="I144" s="139"/>
      <c r="J144" s="139"/>
      <c r="K144" s="13">
        <v>435540</v>
      </c>
      <c r="L144" s="116" t="s">
        <v>252</v>
      </c>
      <c r="M144" s="411" t="s">
        <v>352</v>
      </c>
      <c r="N144" s="22" t="str">
        <f>IF(AND('331-CT'!$E$7=TH!H144,OR(L144="331",M144="331")),"331",IF(AND(OR(L144="131",M144="131"),H144='131-CT'!$E$7),"131",""))</f>
        <v/>
      </c>
      <c r="O144" s="22" t="str">
        <f>IF(AND($B144&gt;='111'!$N$11,$B144&lt;='111'!$O$11,OR($L144=$O$7,$M144=$O$7)),"x","")</f>
        <v/>
      </c>
      <c r="P144" s="22" t="str">
        <f>IF(AND($L144=$O$7,$B144&lt;'111'!$N$11),"x","")</f>
        <v/>
      </c>
      <c r="Q144" s="22" t="str">
        <f>IF(AND($M144=$O$7,$B144&lt;'111'!$N$11),"x","")</f>
        <v/>
      </c>
      <c r="R144" s="22" t="str">
        <f>IF(ISERROR(FIND('112'!$M$9,G144,1)),"",IF((AND(FIND('112'!$M$9,G144,1)&gt;=1,$B144&gt;='112'!$N$8,$B144&lt;='112'!$O$8,OR($L144='112'!$I$6,$M144='112'!$I$6))),"x",""))</f>
        <v/>
      </c>
      <c r="S144" s="22" t="str">
        <f>IF(ISERROR(FIND('112'!$M$9,G144,1)),"",IF((AND(LEFT(G144,2)=LEFT('112'!$M$9,2),B144&lt;'112'!$N$8,$L144='112'!$I$6)),"x",""))</f>
        <v/>
      </c>
      <c r="T144" s="22" t="str">
        <f>IF(ISERROR(FIND('112'!$M$9,G144,1)),"",IF((AND(RIGHT(G144,2)=RIGHT('112'!$M$9,2),B144&lt;'112'!$N$8,$M144='112'!$I$6)),"x",""))</f>
        <v/>
      </c>
      <c r="U144" s="22" t="str">
        <f>IF(AND(B144&gt;='IN-NX'!$P$3,B144&lt;='IN-NX'!$Q$3,'IN-NX'!$D$7=D144,OR(LEFT(L144,2)="15",AND(LEFT(M144,2)&lt;&gt;"15",LEFT(M144,2)&lt;&gt;"33"))),"x","")</f>
        <v/>
      </c>
      <c r="V144" s="22" t="str">
        <f>IF(AND(OR(LEFT(TH!L144,2)="15",LEFT(TH!M144,2)="15"),'152-CT'!$J$8=TH!F144),"x","")</f>
        <v/>
      </c>
      <c r="W144" s="22" t="str">
        <f>IF(AND(OR(LEFT(TH!L144,2)="15",LEFT(TH!M144,2)="15"),TK!$E$7=TH!F144),"x","")</f>
        <v/>
      </c>
      <c r="X144" s="22" t="str">
        <f>IF(OR(TH!L144=TH!$X$7,M144=TH!$X$7),"x","")</f>
        <v/>
      </c>
      <c r="Y144" s="22" t="str">
        <f>IF(AND(B144&lt;=NKC!$N$8,B144&gt;=NKC!$M$8),"x","")</f>
        <v>x</v>
      </c>
      <c r="Z144" s="580"/>
      <c r="AA144" s="406"/>
    </row>
    <row r="145" spans="1:31" s="130" customFormat="1" ht="15.75" customHeight="1">
      <c r="A145" s="123" t="str">
        <f>IF(B145&lt;&gt;"",IF(AND(B145&gt;=_TM1,B145&lt;=_TM2,OR(TH!L146="1111",TH!M146="1111")),TH!D146,""),"")</f>
        <v/>
      </c>
      <c r="B145" s="12">
        <f t="shared" ref="B145:B208" si="6">IF(C145&lt;&gt;"",MONTH(C145),"")</f>
        <v>8</v>
      </c>
      <c r="C145" s="108">
        <f t="shared" si="5"/>
        <v>42588</v>
      </c>
      <c r="D145" s="108" t="s">
        <v>572</v>
      </c>
      <c r="E145" s="113">
        <v>42588</v>
      </c>
      <c r="F145" s="112" t="s">
        <v>538</v>
      </c>
      <c r="G145" s="303" t="s">
        <v>719</v>
      </c>
      <c r="H145" s="4" t="s">
        <v>618</v>
      </c>
      <c r="I145" s="139">
        <v>108</v>
      </c>
      <c r="J145" s="139">
        <v>6400</v>
      </c>
      <c r="K145" s="13">
        <f>ROUND(I145*J145,0)</f>
        <v>691200</v>
      </c>
      <c r="L145" s="116" t="s">
        <v>252</v>
      </c>
      <c r="M145" s="411" t="s">
        <v>169</v>
      </c>
      <c r="N145" s="22" t="str">
        <f>IF(AND('331-CT'!$E$7=TH!H145,OR(L145="331",M145="331")),"331",IF(AND(OR(L145="131",M145="131"),H145='131-CT'!$E$7),"131",""))</f>
        <v/>
      </c>
      <c r="O145" s="22" t="str">
        <f>IF(AND($B145&gt;='111'!$N$11,$B145&lt;='111'!$O$11,OR($L145=$O$7,$M145=$O$7)),"x","")</f>
        <v/>
      </c>
      <c r="P145" s="22" t="str">
        <f>IF(AND($L145=$O$7,$B145&lt;'111'!$N$11),"x","")</f>
        <v/>
      </c>
      <c r="Q145" s="22" t="str">
        <f>IF(AND($M145=$O$7,$B145&lt;'111'!$N$11),"x","")</f>
        <v/>
      </c>
      <c r="R145" s="22" t="str">
        <f>IF(ISERROR(FIND('112'!$M$9,G145,1)),"",IF((AND(FIND('112'!$M$9,G145,1)&gt;=1,$B145&gt;='112'!$N$8,$B145&lt;='112'!$O$8,OR($L145='112'!$I$6,$M145='112'!$I$6))),"x",""))</f>
        <v/>
      </c>
      <c r="S145" s="22" t="str">
        <f>IF(ISERROR(FIND('112'!$M$9,G145,1)),"",IF((AND(LEFT(G145,2)=LEFT('112'!$M$9,2),B145&lt;'112'!$N$8,$L145='112'!$I$6)),"x",""))</f>
        <v/>
      </c>
      <c r="T145" s="22" t="str">
        <f>IF(ISERROR(FIND('112'!$M$9,G145,1)),"",IF((AND(RIGHT(G145,2)=RIGHT('112'!$M$9,2),B145&lt;'112'!$N$8,$M145='112'!$I$6)),"x",""))</f>
        <v/>
      </c>
      <c r="U145" s="22" t="str">
        <f>IF(AND(B145&gt;='IN-NX'!$P$3,B145&lt;='IN-NX'!$Q$3,'IN-NX'!$D$7=D145,OR(LEFT(L145,2)="15",AND(LEFT(M145,2)&lt;&gt;"15",LEFT(M145,2)&lt;&gt;"33"))),"x","")</f>
        <v/>
      </c>
      <c r="V145" s="22" t="str">
        <f>IF(AND(OR(LEFT(TH!L145,2)="15",LEFT(TH!M145,2)="15"),'152-CT'!$J$8=TH!F145),"x","")</f>
        <v/>
      </c>
      <c r="W145" s="22" t="str">
        <f>IF(AND(OR(LEFT(TH!L145,2)="15",LEFT(TH!M145,2)="15"),TK!$E$7=TH!F145),"x","")</f>
        <v/>
      </c>
      <c r="X145" s="22" t="str">
        <f>IF(OR(TH!L145=TH!$X$7,M145=TH!$X$7),"x","")</f>
        <v/>
      </c>
      <c r="Y145" s="22" t="str">
        <f>IF(AND(B145&lt;=NKC!$N$8,B145&gt;=NKC!$M$8),"x","")</f>
        <v>x</v>
      </c>
      <c r="Z145" s="580"/>
      <c r="AA145" s="406"/>
      <c r="AB145" s="406"/>
    </row>
    <row r="146" spans="1:31" s="130" customFormat="1" ht="15.75" customHeight="1">
      <c r="A146" s="123" t="str">
        <f>IF(B146&lt;&gt;"",IF(AND(B146&gt;=_TM1,B146&lt;=_TM2,OR(TH!L147="1111",TH!M147="1111")),TH!D147,""),"")</f>
        <v/>
      </c>
      <c r="B146" s="12">
        <f t="shared" si="6"/>
        <v>8</v>
      </c>
      <c r="C146" s="108">
        <f t="shared" si="5"/>
        <v>42588</v>
      </c>
      <c r="D146" s="108" t="s">
        <v>572</v>
      </c>
      <c r="E146" s="113">
        <v>42588</v>
      </c>
      <c r="F146" s="112" t="s">
        <v>664</v>
      </c>
      <c r="G146" s="303" t="s">
        <v>719</v>
      </c>
      <c r="H146" s="4" t="s">
        <v>618</v>
      </c>
      <c r="I146" s="139">
        <v>103</v>
      </c>
      <c r="J146" s="139">
        <v>9400</v>
      </c>
      <c r="K146" s="13">
        <f>ROUND(I146*J146,0)</f>
        <v>968200</v>
      </c>
      <c r="L146" s="116" t="s">
        <v>252</v>
      </c>
      <c r="M146" s="411" t="s">
        <v>169</v>
      </c>
      <c r="N146" s="22" t="str">
        <f>IF(AND('331-CT'!$E$7=TH!H146,OR(L146="331",M146="331")),"331",IF(AND(OR(L146="131",M146="131"),H146='131-CT'!$E$7),"131",""))</f>
        <v/>
      </c>
      <c r="O146" s="22" t="str">
        <f>IF(AND($B146&gt;='111'!$N$11,$B146&lt;='111'!$O$11,OR($L146=$O$7,$M146=$O$7)),"x","")</f>
        <v/>
      </c>
      <c r="P146" s="22" t="str">
        <f>IF(AND($L146=$O$7,$B146&lt;'111'!$N$11),"x","")</f>
        <v/>
      </c>
      <c r="Q146" s="22" t="str">
        <f>IF(AND($M146=$O$7,$B146&lt;'111'!$N$11),"x","")</f>
        <v/>
      </c>
      <c r="R146" s="22" t="str">
        <f>IF(ISERROR(FIND('112'!$M$9,G146,1)),"",IF((AND(FIND('112'!$M$9,G146,1)&gt;=1,$B146&gt;='112'!$N$8,$B146&lt;='112'!$O$8,OR($L146='112'!$I$6,$M146='112'!$I$6))),"x",""))</f>
        <v/>
      </c>
      <c r="S146" s="22" t="str">
        <f>IF(ISERROR(FIND('112'!$M$9,G146,1)),"",IF((AND(LEFT(G146,2)=LEFT('112'!$M$9,2),B146&lt;'112'!$N$8,$L146='112'!$I$6)),"x",""))</f>
        <v/>
      </c>
      <c r="T146" s="22" t="str">
        <f>IF(ISERROR(FIND('112'!$M$9,G146,1)),"",IF((AND(RIGHT(G146,2)=RIGHT('112'!$M$9,2),B146&lt;'112'!$N$8,$M146='112'!$I$6)),"x",""))</f>
        <v/>
      </c>
      <c r="U146" s="22" t="str">
        <f>IF(AND(B146&gt;='IN-NX'!$P$3,B146&lt;='IN-NX'!$Q$3,'IN-NX'!$D$7=D146,OR(LEFT(L146,2)="15",AND(LEFT(M146,2)&lt;&gt;"15",LEFT(M146,2)&lt;&gt;"33"))),"x","")</f>
        <v/>
      </c>
      <c r="V146" s="22" t="str">
        <f>IF(AND(OR(LEFT(TH!L146,2)="15",LEFT(TH!M146,2)="15"),'152-CT'!$J$8=TH!F146),"x","")</f>
        <v/>
      </c>
      <c r="W146" s="22" t="str">
        <f>IF(AND(OR(LEFT(TH!L146,2)="15",LEFT(TH!M146,2)="15"),TK!$E$7=TH!F146),"x","")</f>
        <v/>
      </c>
      <c r="X146" s="22" t="str">
        <f>IF(OR(TH!L146=TH!$X$7,M146=TH!$X$7),"x","")</f>
        <v/>
      </c>
      <c r="Y146" s="22" t="str">
        <f>IF(AND(B146&lt;=NKC!$N$8,B146&gt;=NKC!$M$8),"x","")</f>
        <v>x</v>
      </c>
      <c r="Z146" s="580"/>
      <c r="AA146" s="406"/>
      <c r="AB146" s="406"/>
    </row>
    <row r="147" spans="1:31" s="406" customFormat="1" ht="15.75" customHeight="1">
      <c r="A147" s="123" t="str">
        <f>IF(B147&lt;&gt;"",IF(AND(B147&gt;=_TM1,B147&lt;=_TM2,OR(TH!L148="1111",TH!M148="1111")),TH!D148,""),"")</f>
        <v/>
      </c>
      <c r="B147" s="12">
        <f t="shared" si="6"/>
        <v>8</v>
      </c>
      <c r="C147" s="108">
        <f t="shared" si="5"/>
        <v>42588</v>
      </c>
      <c r="D147" s="108" t="s">
        <v>572</v>
      </c>
      <c r="E147" s="113">
        <v>42588</v>
      </c>
      <c r="F147" s="112" t="s">
        <v>496</v>
      </c>
      <c r="G147" s="303" t="s">
        <v>719</v>
      </c>
      <c r="H147" s="4" t="s">
        <v>618</v>
      </c>
      <c r="I147" s="139"/>
      <c r="J147" s="139"/>
      <c r="K147" s="13">
        <v>165940</v>
      </c>
      <c r="L147" s="116" t="s">
        <v>252</v>
      </c>
      <c r="M147" s="411" t="s">
        <v>352</v>
      </c>
      <c r="N147" s="22" t="str">
        <f>IF(AND('331-CT'!$E$7=TH!H147,OR(L147="331",M147="331")),"331",IF(AND(OR(L147="131",M147="131"),H147='131-CT'!$E$7),"131",""))</f>
        <v/>
      </c>
      <c r="O147" s="22" t="str">
        <f>IF(AND($B147&gt;='111'!$N$11,$B147&lt;='111'!$O$11,OR($L147=$O$7,$M147=$O$7)),"x","")</f>
        <v/>
      </c>
      <c r="P147" s="22" t="str">
        <f>IF(AND($L147=$O$7,$B147&lt;'111'!$N$11),"x","")</f>
        <v/>
      </c>
      <c r="Q147" s="22" t="str">
        <f>IF(AND($M147=$O$7,$B147&lt;'111'!$N$11),"x","")</f>
        <v/>
      </c>
      <c r="R147" s="22" t="str">
        <f>IF(ISERROR(FIND('112'!$M$9,G147,1)),"",IF((AND(FIND('112'!$M$9,G147,1)&gt;=1,$B147&gt;='112'!$N$8,$B147&lt;='112'!$O$8,OR($L147='112'!$I$6,$M147='112'!$I$6))),"x",""))</f>
        <v/>
      </c>
      <c r="S147" s="22" t="str">
        <f>IF(ISERROR(FIND('112'!$M$9,G147,1)),"",IF((AND(LEFT(G147,2)=LEFT('112'!$M$9,2),B147&lt;'112'!$N$8,$L147='112'!$I$6)),"x",""))</f>
        <v/>
      </c>
      <c r="T147" s="22" t="str">
        <f>IF(ISERROR(FIND('112'!$M$9,G147,1)),"",IF((AND(RIGHT(G147,2)=RIGHT('112'!$M$9,2),B147&lt;'112'!$N$8,$M147='112'!$I$6)),"x",""))</f>
        <v/>
      </c>
      <c r="U147" s="22" t="str">
        <f>IF(AND(B147&gt;='IN-NX'!$P$3,B147&lt;='IN-NX'!$Q$3,'IN-NX'!$D$7=D147,OR(LEFT(L147,2)="15",AND(LEFT(M147,2)&lt;&gt;"15",LEFT(M147,2)&lt;&gt;"33"))),"x","")</f>
        <v/>
      </c>
      <c r="V147" s="22" t="str">
        <f>IF(AND(OR(LEFT(TH!L147,2)="15",LEFT(TH!M147,2)="15"),'152-CT'!$J$8=TH!F147),"x","")</f>
        <v/>
      </c>
      <c r="W147" s="22" t="str">
        <f>IF(AND(OR(LEFT(TH!L147,2)="15",LEFT(TH!M147,2)="15"),TK!$E$7=TH!F147),"x","")</f>
        <v/>
      </c>
      <c r="X147" s="22" t="str">
        <f>IF(OR(TH!L147=TH!$X$7,M147=TH!$X$7),"x","")</f>
        <v/>
      </c>
      <c r="Y147" s="22" t="str">
        <f>IF(AND(B147&lt;=NKC!$N$8,B147&gt;=NKC!$M$8),"x","")</f>
        <v>x</v>
      </c>
      <c r="Z147" s="580"/>
      <c r="AC147" s="130"/>
      <c r="AD147" s="130"/>
      <c r="AE147" s="130"/>
    </row>
    <row r="148" spans="1:31" s="406" customFormat="1" ht="15.75" customHeight="1">
      <c r="A148" s="123" t="str">
        <f>IF(B148&lt;&gt;"",IF(AND(B148&gt;=_TM1,B148&lt;=_TM2,OR(TH!L149="1111",TH!M149="1111")),TH!D149,""),"")</f>
        <v/>
      </c>
      <c r="B148" s="12">
        <f t="shared" si="6"/>
        <v>8</v>
      </c>
      <c r="C148" s="108">
        <f t="shared" si="5"/>
        <v>42590</v>
      </c>
      <c r="D148" s="113" t="s">
        <v>462</v>
      </c>
      <c r="E148" s="108">
        <v>42590</v>
      </c>
      <c r="F148" s="112" t="s">
        <v>439</v>
      </c>
      <c r="G148" s="303" t="s">
        <v>438</v>
      </c>
      <c r="H148" s="115" t="s">
        <v>437</v>
      </c>
      <c r="I148" s="139"/>
      <c r="J148" s="139"/>
      <c r="K148" s="410">
        <v>1400000</v>
      </c>
      <c r="L148" s="411" t="s">
        <v>82</v>
      </c>
      <c r="M148" s="411" t="s">
        <v>46</v>
      </c>
      <c r="N148" s="22" t="str">
        <f>IF(AND('331-CT'!$E$7=TH!H148,OR(L148="331",M148="331")),"331",IF(AND(OR(L148="131",M148="131"),H148='131-CT'!$E$7),"131",""))</f>
        <v/>
      </c>
      <c r="O148" s="22" t="str">
        <f>IF(AND($B148&gt;='111'!$N$11,$B148&lt;='111'!$O$11,OR($L148=$O$7,$M148=$O$7)),"x","")</f>
        <v/>
      </c>
      <c r="P148" s="22" t="str">
        <f>IF(AND($L148=$O$7,$B148&lt;'111'!$N$11),"x","")</f>
        <v/>
      </c>
      <c r="Q148" s="22" t="str">
        <f>IF(AND($M148=$O$7,$B148&lt;'111'!$N$11),"x","")</f>
        <v>x</v>
      </c>
      <c r="R148" s="22" t="str">
        <f>IF(ISERROR(FIND('112'!$M$9,G148,1)),"",IF((AND(FIND('112'!$M$9,G148,1)&gt;=1,$B148&gt;='112'!$N$8,$B148&lt;='112'!$O$8,OR($L148='112'!$I$6,$M148='112'!$I$6))),"x",""))</f>
        <v/>
      </c>
      <c r="S148" s="22" t="str">
        <f>IF(ISERROR(FIND('112'!$M$9,G148,1)),"",IF((AND(LEFT(G148,2)=LEFT('112'!$M$9,2),B148&lt;'112'!$N$8,$L148='112'!$I$6)),"x",""))</f>
        <v/>
      </c>
      <c r="T148" s="22" t="str">
        <f>IF(ISERROR(FIND('112'!$M$9,G148,1)),"",IF((AND(RIGHT(G148,2)=RIGHT('112'!$M$9,2),B148&lt;'112'!$N$8,$M148='112'!$I$6)),"x",""))</f>
        <v/>
      </c>
      <c r="U148" s="22" t="str">
        <f>IF(AND(B148&gt;='IN-NX'!$P$3,B148&lt;='IN-NX'!$Q$3,'IN-NX'!$D$7=D148,OR(LEFT(L148,2)="15",AND(LEFT(M148,2)&lt;&gt;"15",LEFT(M148,2)&lt;&gt;"33"))),"x","")</f>
        <v/>
      </c>
      <c r="V148" s="22" t="str">
        <f>IF(AND(OR(LEFT(TH!L148,2)="15",LEFT(TH!M148,2)="15"),'152-CT'!$J$8=TH!F148),"x","")</f>
        <v/>
      </c>
      <c r="W148" s="22" t="str">
        <f>IF(AND(OR(LEFT(TH!L148,2)="15",LEFT(TH!M148,2)="15"),TK!$E$7=TH!F148),"x","")</f>
        <v/>
      </c>
      <c r="X148" s="22" t="str">
        <f>IF(OR(TH!L148=TH!$X$7,M148=TH!$X$7),"x","")</f>
        <v>x</v>
      </c>
      <c r="Y148" s="22" t="str">
        <f>IF(AND(B148&lt;=NKC!$N$8,B148&gt;=NKC!$M$8),"x","")</f>
        <v>x</v>
      </c>
      <c r="Z148" s="580">
        <v>3</v>
      </c>
    </row>
    <row r="149" spans="1:31" s="406" customFormat="1" ht="15.75" customHeight="1">
      <c r="A149" s="123" t="str">
        <f>IF(B149&lt;&gt;"",IF(AND(B149&gt;=_TM1,B149&lt;=_TM2,OR(TH!L150="1111",TH!M150="1111")),TH!D150,""),"")</f>
        <v/>
      </c>
      <c r="B149" s="12">
        <f t="shared" si="6"/>
        <v>8</v>
      </c>
      <c r="C149" s="108">
        <f t="shared" si="5"/>
        <v>42590</v>
      </c>
      <c r="D149" s="113" t="s">
        <v>462</v>
      </c>
      <c r="E149" s="108">
        <v>42590</v>
      </c>
      <c r="F149" s="112" t="s">
        <v>440</v>
      </c>
      <c r="G149" s="303" t="s">
        <v>438</v>
      </c>
      <c r="H149" s="115" t="s">
        <v>437</v>
      </c>
      <c r="I149" s="139"/>
      <c r="J149" s="139"/>
      <c r="K149" s="410">
        <v>140000</v>
      </c>
      <c r="L149" s="411" t="s">
        <v>9</v>
      </c>
      <c r="M149" s="411" t="s">
        <v>46</v>
      </c>
      <c r="N149" s="22" t="str">
        <f>IF(AND('331-CT'!$E$7=TH!H149,OR(L149="331",M149="331")),"331",IF(AND(OR(L149="131",M149="131"),H149='131-CT'!$E$7),"131",""))</f>
        <v/>
      </c>
      <c r="O149" s="22" t="str">
        <f>IF(AND($B149&gt;='111'!$N$11,$B149&lt;='111'!$O$11,OR($L149=$O$7,$M149=$O$7)),"x","")</f>
        <v/>
      </c>
      <c r="P149" s="22" t="str">
        <f>IF(AND($L149=$O$7,$B149&lt;'111'!$N$11),"x","")</f>
        <v/>
      </c>
      <c r="Q149" s="22" t="str">
        <f>IF(AND($M149=$O$7,$B149&lt;'111'!$N$11),"x","")</f>
        <v>x</v>
      </c>
      <c r="R149" s="22" t="str">
        <f>IF(ISERROR(FIND('112'!$M$9,G149,1)),"",IF((AND(FIND('112'!$M$9,G149,1)&gt;=1,$B149&gt;='112'!$N$8,$B149&lt;='112'!$O$8,OR($L149='112'!$I$6,$M149='112'!$I$6))),"x",""))</f>
        <v/>
      </c>
      <c r="S149" s="22" t="str">
        <f>IF(ISERROR(FIND('112'!$M$9,G149,1)),"",IF((AND(LEFT(G149,2)=LEFT('112'!$M$9,2),B149&lt;'112'!$N$8,$L149='112'!$I$6)),"x",""))</f>
        <v/>
      </c>
      <c r="T149" s="22" t="str">
        <f>IF(ISERROR(FIND('112'!$M$9,G149,1)),"",IF((AND(RIGHT(G149,2)=RIGHT('112'!$M$9,2),B149&lt;'112'!$N$8,$M149='112'!$I$6)),"x",""))</f>
        <v/>
      </c>
      <c r="U149" s="22" t="str">
        <f>IF(AND(B149&gt;='IN-NX'!$P$3,B149&lt;='IN-NX'!$Q$3,'IN-NX'!$D$7=D149,OR(LEFT(L149,2)="15",AND(LEFT(M149,2)&lt;&gt;"15",LEFT(M149,2)&lt;&gt;"33"))),"x","")</f>
        <v/>
      </c>
      <c r="V149" s="22" t="str">
        <f>IF(AND(OR(LEFT(TH!L149,2)="15",LEFT(TH!M149,2)="15"),'152-CT'!$J$8=TH!F149),"x","")</f>
        <v/>
      </c>
      <c r="W149" s="22" t="str">
        <f>IF(AND(OR(LEFT(TH!L149,2)="15",LEFT(TH!M149,2)="15"),TK!$E$7=TH!F149),"x","")</f>
        <v/>
      </c>
      <c r="X149" s="22" t="str">
        <f>IF(OR(TH!L149=TH!$X$7,M149=TH!$X$7),"x","")</f>
        <v/>
      </c>
      <c r="Y149" s="22" t="str">
        <f>IF(AND(B149&lt;=NKC!$N$8,B149&gt;=NKC!$M$8),"x","")</f>
        <v>x</v>
      </c>
      <c r="Z149" s="580">
        <v>3</v>
      </c>
    </row>
    <row r="150" spans="1:31" s="406" customFormat="1" ht="15.75" customHeight="1">
      <c r="A150" s="123" t="str">
        <f>IF(B150&lt;&gt;"",IF(AND(B150&gt;=_TM1,B150&lt;=_TM2,OR(TH!L151="1111",TH!M151="1111")),TH!D151,""),"")</f>
        <v/>
      </c>
      <c r="B150" s="12">
        <f t="shared" si="6"/>
        <v>8</v>
      </c>
      <c r="C150" s="108">
        <f t="shared" si="5"/>
        <v>42591</v>
      </c>
      <c r="D150" s="108" t="s">
        <v>573</v>
      </c>
      <c r="E150" s="113">
        <v>42591</v>
      </c>
      <c r="F150" s="112" t="s">
        <v>524</v>
      </c>
      <c r="G150" s="303" t="s">
        <v>720</v>
      </c>
      <c r="H150" s="115" t="s">
        <v>616</v>
      </c>
      <c r="I150" s="139">
        <v>490</v>
      </c>
      <c r="J150" s="139">
        <v>11000</v>
      </c>
      <c r="K150" s="13">
        <f>ROUND(I150*J150,0)</f>
        <v>5390000</v>
      </c>
      <c r="L150" s="116" t="s">
        <v>252</v>
      </c>
      <c r="M150" s="411" t="s">
        <v>169</v>
      </c>
      <c r="N150" s="22" t="str">
        <f>IF(AND('331-CT'!$E$7=TH!H150,OR(L150="331",M150="331")),"331",IF(AND(OR(L150="131",M150="131"),H150='131-CT'!$E$7),"131",""))</f>
        <v/>
      </c>
      <c r="O150" s="22" t="str">
        <f>IF(AND($B150&gt;='111'!$N$11,$B150&lt;='111'!$O$11,OR($L150=$O$7,$M150=$O$7)),"x","")</f>
        <v/>
      </c>
      <c r="P150" s="22" t="str">
        <f>IF(AND($L150=$O$7,$B150&lt;'111'!$N$11),"x","")</f>
        <v/>
      </c>
      <c r="Q150" s="22" t="str">
        <f>IF(AND($M150=$O$7,$B150&lt;'111'!$N$11),"x","")</f>
        <v/>
      </c>
      <c r="R150" s="22" t="str">
        <f>IF(ISERROR(FIND('112'!$M$9,G150,1)),"",IF((AND(FIND('112'!$M$9,G150,1)&gt;=1,$B150&gt;='112'!$N$8,$B150&lt;='112'!$O$8,OR($L150='112'!$I$6,$M150='112'!$I$6))),"x",""))</f>
        <v/>
      </c>
      <c r="S150" s="22" t="str">
        <f>IF(ISERROR(FIND('112'!$M$9,G150,1)),"",IF((AND(LEFT(G150,2)=LEFT('112'!$M$9,2),B150&lt;'112'!$N$8,$L150='112'!$I$6)),"x",""))</f>
        <v/>
      </c>
      <c r="T150" s="22" t="str">
        <f>IF(ISERROR(FIND('112'!$M$9,G150,1)),"",IF((AND(RIGHT(G150,2)=RIGHT('112'!$M$9,2),B150&lt;'112'!$N$8,$M150='112'!$I$6)),"x",""))</f>
        <v/>
      </c>
      <c r="U150" s="22" t="str">
        <f>IF(AND(B150&gt;='IN-NX'!$P$3,B150&lt;='IN-NX'!$Q$3,'IN-NX'!$D$7=D150,OR(LEFT(L150,2)="15",AND(LEFT(M150,2)&lt;&gt;"15",LEFT(M150,2)&lt;&gt;"33"))),"x","")</f>
        <v/>
      </c>
      <c r="V150" s="22" t="str">
        <f>IF(AND(OR(LEFT(TH!L150,2)="15",LEFT(TH!M150,2)="15"),'152-CT'!$J$8=TH!F150),"x","")</f>
        <v/>
      </c>
      <c r="W150" s="22" t="str">
        <f>IF(AND(OR(LEFT(TH!L150,2)="15",LEFT(TH!M150,2)="15"),TK!$E$7=TH!F150),"x","")</f>
        <v/>
      </c>
      <c r="X150" s="22" t="str">
        <f>IF(OR(TH!L150=TH!$X$7,M150=TH!$X$7),"x","")</f>
        <v/>
      </c>
      <c r="Y150" s="22" t="str">
        <f>IF(AND(B150&lt;=NKC!$N$8,B150&gt;=NKC!$M$8),"x","")</f>
        <v>x</v>
      </c>
      <c r="Z150" s="580"/>
      <c r="AC150" s="130"/>
      <c r="AD150" s="130"/>
      <c r="AE150" s="130"/>
    </row>
    <row r="151" spans="1:31" s="406" customFormat="1" ht="15.75" customHeight="1">
      <c r="A151" s="123" t="str">
        <f>IF(B151&lt;&gt;"",IF(AND(B151&gt;=_TM1,B151&lt;=_TM2,OR(TH!L152="1111",TH!M152="1111")),TH!D152,""),"")</f>
        <v/>
      </c>
      <c r="B151" s="12">
        <f t="shared" si="6"/>
        <v>8</v>
      </c>
      <c r="C151" s="108">
        <f t="shared" si="5"/>
        <v>42591</v>
      </c>
      <c r="D151" s="108" t="s">
        <v>573</v>
      </c>
      <c r="E151" s="113">
        <v>42591</v>
      </c>
      <c r="F151" s="112" t="s">
        <v>496</v>
      </c>
      <c r="G151" s="303" t="s">
        <v>720</v>
      </c>
      <c r="H151" s="115" t="s">
        <v>616</v>
      </c>
      <c r="I151" s="139"/>
      <c r="J151" s="139"/>
      <c r="K151" s="13">
        <v>539000</v>
      </c>
      <c r="L151" s="116" t="s">
        <v>252</v>
      </c>
      <c r="M151" s="411" t="s">
        <v>352</v>
      </c>
      <c r="N151" s="22" t="str">
        <f>IF(AND('331-CT'!$E$7=TH!H151,OR(L151="331",M151="331")),"331",IF(AND(OR(L151="131",M151="131"),H151='131-CT'!$E$7),"131",""))</f>
        <v/>
      </c>
      <c r="O151" s="22" t="str">
        <f>IF(AND($B151&gt;='111'!$N$11,$B151&lt;='111'!$O$11,OR($L151=$O$7,$M151=$O$7)),"x","")</f>
        <v/>
      </c>
      <c r="P151" s="22" t="str">
        <f>IF(AND($L151=$O$7,$B151&lt;'111'!$N$11),"x","")</f>
        <v/>
      </c>
      <c r="Q151" s="22" t="str">
        <f>IF(AND($M151=$O$7,$B151&lt;'111'!$N$11),"x","")</f>
        <v/>
      </c>
      <c r="R151" s="22" t="str">
        <f>IF(ISERROR(FIND('112'!$M$9,G151,1)),"",IF((AND(FIND('112'!$M$9,G151,1)&gt;=1,$B151&gt;='112'!$N$8,$B151&lt;='112'!$O$8,OR($L151='112'!$I$6,$M151='112'!$I$6))),"x",""))</f>
        <v/>
      </c>
      <c r="S151" s="22" t="str">
        <f>IF(ISERROR(FIND('112'!$M$9,G151,1)),"",IF((AND(LEFT(G151,2)=LEFT('112'!$M$9,2),B151&lt;'112'!$N$8,$L151='112'!$I$6)),"x",""))</f>
        <v/>
      </c>
      <c r="T151" s="22" t="str">
        <f>IF(ISERROR(FIND('112'!$M$9,G151,1)),"",IF((AND(RIGHT(G151,2)=RIGHT('112'!$M$9,2),B151&lt;'112'!$N$8,$M151='112'!$I$6)),"x",""))</f>
        <v/>
      </c>
      <c r="U151" s="22" t="str">
        <f>IF(AND(B151&gt;='IN-NX'!$P$3,B151&lt;='IN-NX'!$Q$3,'IN-NX'!$D$7=D151,OR(LEFT(L151,2)="15",AND(LEFT(M151,2)&lt;&gt;"15",LEFT(M151,2)&lt;&gt;"33"))),"x","")</f>
        <v/>
      </c>
      <c r="V151" s="22" t="str">
        <f>IF(AND(OR(LEFT(TH!L151,2)="15",LEFT(TH!M151,2)="15"),'152-CT'!$J$8=TH!F151),"x","")</f>
        <v/>
      </c>
      <c r="W151" s="22" t="str">
        <f>IF(AND(OR(LEFT(TH!L151,2)="15",LEFT(TH!M151,2)="15"),TK!$E$7=TH!F151),"x","")</f>
        <v/>
      </c>
      <c r="X151" s="22" t="str">
        <f>IF(OR(TH!L151=TH!$X$7,M151=TH!$X$7),"x","")</f>
        <v/>
      </c>
      <c r="Y151" s="22" t="str">
        <f>IF(AND(B151&lt;=NKC!$N$8,B151&gt;=NKC!$M$8),"x","")</f>
        <v>x</v>
      </c>
      <c r="Z151" s="580"/>
      <c r="AD151" s="130"/>
      <c r="AE151" s="130"/>
    </row>
    <row r="152" spans="1:31" s="406" customFormat="1" ht="15.75" customHeight="1">
      <c r="A152" s="123" t="str">
        <f>IF(B152&lt;&gt;"",IF(AND(B152&gt;=_TM1,B152&lt;=_TM2,OR(TH!L153="1111",TH!M153="1111")),TH!D153,""),"")</f>
        <v/>
      </c>
      <c r="B152" s="12">
        <f t="shared" si="6"/>
        <v>8</v>
      </c>
      <c r="C152" s="108">
        <f t="shared" si="5"/>
        <v>42591</v>
      </c>
      <c r="D152" s="108" t="s">
        <v>993</v>
      </c>
      <c r="E152" s="113">
        <v>42591</v>
      </c>
      <c r="F152" s="114" t="s">
        <v>484</v>
      </c>
      <c r="G152" s="303" t="s">
        <v>720</v>
      </c>
      <c r="H152" s="115" t="s">
        <v>616</v>
      </c>
      <c r="I152" s="139"/>
      <c r="J152" s="139"/>
      <c r="K152" s="13">
        <v>5929000</v>
      </c>
      <c r="L152" s="116" t="s">
        <v>46</v>
      </c>
      <c r="M152" s="411" t="s">
        <v>252</v>
      </c>
      <c r="N152" s="22" t="str">
        <f>IF(AND('331-CT'!$E$7=TH!H152,OR(L152="331",M152="331")),"331",IF(AND(OR(L152="131",M152="131"),H152='131-CT'!$E$7),"131",""))</f>
        <v/>
      </c>
      <c r="O152" s="22" t="str">
        <f>IF(AND($B152&gt;='111'!$N$11,$B152&lt;='111'!$O$11,OR($L152=$O$7,$M152=$O$7)),"x","")</f>
        <v/>
      </c>
      <c r="P152" s="22" t="str">
        <f>IF(AND($L152=$O$7,$B152&lt;'111'!$N$11),"x","")</f>
        <v>x</v>
      </c>
      <c r="Q152" s="22" t="str">
        <f>IF(AND($M152=$O$7,$B152&lt;'111'!$N$11),"x","")</f>
        <v/>
      </c>
      <c r="R152" s="22" t="str">
        <f>IF(ISERROR(FIND('112'!$M$9,G152,1)),"",IF((AND(FIND('112'!$M$9,G152,1)&gt;=1,$B152&gt;='112'!$N$8,$B152&lt;='112'!$O$8,OR($L152='112'!$I$6,$M152='112'!$I$6))),"x",""))</f>
        <v/>
      </c>
      <c r="S152" s="22" t="str">
        <f>IF(ISERROR(FIND('112'!$M$9,G152,1)),"",IF((AND(LEFT(G152,2)=LEFT('112'!$M$9,2),B152&lt;'112'!$N$8,$L152='112'!$I$6)),"x",""))</f>
        <v/>
      </c>
      <c r="T152" s="22" t="str">
        <f>IF(ISERROR(FIND('112'!$M$9,G152,1)),"",IF((AND(RIGHT(G152,2)=RIGHT('112'!$M$9,2),B152&lt;'112'!$N$8,$M152='112'!$I$6)),"x",""))</f>
        <v/>
      </c>
      <c r="U152" s="22" t="str">
        <f>IF(AND(B152&gt;='IN-NX'!$P$3,B152&lt;='IN-NX'!$Q$3,'IN-NX'!$D$7=D152,OR(LEFT(L152,2)="15",AND(LEFT(M152,2)&lt;&gt;"15",LEFT(M152,2)&lt;&gt;"33"))),"x","")</f>
        <v/>
      </c>
      <c r="V152" s="22" t="str">
        <f>IF(AND(OR(LEFT(TH!L152,2)="15",LEFT(TH!M152,2)="15"),'152-CT'!$J$8=TH!F152),"x","")</f>
        <v/>
      </c>
      <c r="W152" s="22" t="str">
        <f>IF(AND(OR(LEFT(TH!L152,2)="15",LEFT(TH!M152,2)="15"),TK!$E$7=TH!F152),"x","")</f>
        <v/>
      </c>
      <c r="X152" s="22" t="str">
        <f>IF(OR(TH!L152=TH!$X$7,M152=TH!$X$7),"x","")</f>
        <v/>
      </c>
      <c r="Y152" s="22" t="str">
        <f>IF(AND(B152&lt;=NKC!$N$8,B152&gt;=NKC!$M$8),"x","")</f>
        <v>x</v>
      </c>
      <c r="Z152" s="580"/>
      <c r="AD152" s="130"/>
      <c r="AE152" s="130"/>
    </row>
    <row r="153" spans="1:31" s="406" customFormat="1" ht="15.75" customHeight="1">
      <c r="A153" s="123" t="str">
        <f>IF(B153&lt;&gt;"",IF(AND(B153&gt;=_TM1,B153&lt;=_TM2,OR(TH!L154="1111",TH!M154="1111")),TH!D154,""),"")</f>
        <v/>
      </c>
      <c r="B153" s="12">
        <f t="shared" si="6"/>
        <v>8</v>
      </c>
      <c r="C153" s="108">
        <f t="shared" ref="C153:C216" si="7">E153</f>
        <v>42592</v>
      </c>
      <c r="D153" s="108" t="s">
        <v>574</v>
      </c>
      <c r="E153" s="113">
        <v>42592</v>
      </c>
      <c r="F153" s="112" t="s">
        <v>526</v>
      </c>
      <c r="G153" s="303" t="s">
        <v>721</v>
      </c>
      <c r="H153" s="115" t="s">
        <v>525</v>
      </c>
      <c r="I153" s="139">
        <v>403</v>
      </c>
      <c r="J153" s="139">
        <v>20000</v>
      </c>
      <c r="K153" s="13">
        <f>ROUND(I153*J153,0)</f>
        <v>8060000</v>
      </c>
      <c r="L153" s="116" t="s">
        <v>252</v>
      </c>
      <c r="M153" s="411" t="s">
        <v>169</v>
      </c>
      <c r="N153" s="22" t="str">
        <f>IF(AND('331-CT'!$E$7=TH!H153,OR(L153="331",M153="331")),"331",IF(AND(OR(L153="131",M153="131"),H153='131-CT'!$E$7),"131",""))</f>
        <v/>
      </c>
      <c r="O153" s="22" t="str">
        <f>IF(AND($B153&gt;='111'!$N$11,$B153&lt;='111'!$O$11,OR($L153=$O$7,$M153=$O$7)),"x","")</f>
        <v/>
      </c>
      <c r="P153" s="22" t="str">
        <f>IF(AND($L153=$O$7,$B153&lt;'111'!$N$11),"x","")</f>
        <v/>
      </c>
      <c r="Q153" s="22" t="str">
        <f>IF(AND($M153=$O$7,$B153&lt;'111'!$N$11),"x","")</f>
        <v/>
      </c>
      <c r="R153" s="22" t="str">
        <f>IF(ISERROR(FIND('112'!$M$9,G153,1)),"",IF((AND(FIND('112'!$M$9,G153,1)&gt;=1,$B153&gt;='112'!$N$8,$B153&lt;='112'!$O$8,OR($L153='112'!$I$6,$M153='112'!$I$6))),"x",""))</f>
        <v/>
      </c>
      <c r="S153" s="22" t="str">
        <f>IF(ISERROR(FIND('112'!$M$9,G153,1)),"",IF((AND(LEFT(G153,2)=LEFT('112'!$M$9,2),B153&lt;'112'!$N$8,$L153='112'!$I$6)),"x",""))</f>
        <v/>
      </c>
      <c r="T153" s="22" t="str">
        <f>IF(ISERROR(FIND('112'!$M$9,G153,1)),"",IF((AND(RIGHT(G153,2)=RIGHT('112'!$M$9,2),B153&lt;'112'!$N$8,$M153='112'!$I$6)),"x",""))</f>
        <v/>
      </c>
      <c r="U153" s="22" t="str">
        <f>IF(AND(B153&gt;='IN-NX'!$P$3,B153&lt;='IN-NX'!$Q$3,'IN-NX'!$D$7=D153,OR(LEFT(L153,2)="15",AND(LEFT(M153,2)&lt;&gt;"15",LEFT(M153,2)&lt;&gt;"33"))),"x","")</f>
        <v/>
      </c>
      <c r="V153" s="22" t="str">
        <f>IF(AND(OR(LEFT(TH!L153,2)="15",LEFT(TH!M153,2)="15"),'152-CT'!$J$8=TH!F153),"x","")</f>
        <v/>
      </c>
      <c r="W153" s="22" t="str">
        <f>IF(AND(OR(LEFT(TH!L153,2)="15",LEFT(TH!M153,2)="15"),TK!$E$7=TH!F153),"x","")</f>
        <v/>
      </c>
      <c r="X153" s="22" t="str">
        <f>IF(OR(TH!L153=TH!$X$7,M153=TH!$X$7),"x","")</f>
        <v/>
      </c>
      <c r="Y153" s="22" t="str">
        <f>IF(AND(B153&lt;=NKC!$N$8,B153&gt;=NKC!$M$8),"x","")</f>
        <v>x</v>
      </c>
      <c r="Z153" s="580"/>
      <c r="AD153" s="130"/>
      <c r="AE153" s="130"/>
    </row>
    <row r="154" spans="1:31" s="406" customFormat="1" ht="15.75" customHeight="1">
      <c r="A154" s="123" t="str">
        <f>IF(B154&lt;&gt;"",IF(AND(B154&gt;=_TM1,B154&lt;=_TM2,OR(TH!L155="1111",TH!M155="1111")),TH!D155,""),"")</f>
        <v/>
      </c>
      <c r="B154" s="12">
        <f t="shared" si="6"/>
        <v>8</v>
      </c>
      <c r="C154" s="108">
        <f t="shared" si="7"/>
        <v>42592</v>
      </c>
      <c r="D154" s="108" t="s">
        <v>574</v>
      </c>
      <c r="E154" s="113">
        <v>42592</v>
      </c>
      <c r="F154" s="112" t="s">
        <v>496</v>
      </c>
      <c r="G154" s="303" t="s">
        <v>721</v>
      </c>
      <c r="H154" s="115" t="s">
        <v>525</v>
      </c>
      <c r="I154" s="139"/>
      <c r="J154" s="139"/>
      <c r="K154" s="13">
        <v>806000</v>
      </c>
      <c r="L154" s="116" t="s">
        <v>252</v>
      </c>
      <c r="M154" s="411" t="s">
        <v>352</v>
      </c>
      <c r="N154" s="22" t="str">
        <f>IF(AND('331-CT'!$E$7=TH!H154,OR(L154="331",M154="331")),"331",IF(AND(OR(L154="131",M154="131"),H154='131-CT'!$E$7),"131",""))</f>
        <v/>
      </c>
      <c r="O154" s="22" t="str">
        <f>IF(AND($B154&gt;='111'!$N$11,$B154&lt;='111'!$O$11,OR($L154=$O$7,$M154=$O$7)),"x","")</f>
        <v/>
      </c>
      <c r="P154" s="22" t="str">
        <f>IF(AND($L154=$O$7,$B154&lt;'111'!$N$11),"x","")</f>
        <v/>
      </c>
      <c r="Q154" s="22" t="str">
        <f>IF(AND($M154=$O$7,$B154&lt;'111'!$N$11),"x","")</f>
        <v/>
      </c>
      <c r="R154" s="22" t="str">
        <f>IF(ISERROR(FIND('112'!$M$9,G154,1)),"",IF((AND(FIND('112'!$M$9,G154,1)&gt;=1,$B154&gt;='112'!$N$8,$B154&lt;='112'!$O$8,OR($L154='112'!$I$6,$M154='112'!$I$6))),"x",""))</f>
        <v/>
      </c>
      <c r="S154" s="22" t="str">
        <f>IF(ISERROR(FIND('112'!$M$9,G154,1)),"",IF((AND(LEFT(G154,2)=LEFT('112'!$M$9,2),B154&lt;'112'!$N$8,$L154='112'!$I$6)),"x",""))</f>
        <v/>
      </c>
      <c r="T154" s="22" t="str">
        <f>IF(ISERROR(FIND('112'!$M$9,G154,1)),"",IF((AND(RIGHT(G154,2)=RIGHT('112'!$M$9,2),B154&lt;'112'!$N$8,$M154='112'!$I$6)),"x",""))</f>
        <v/>
      </c>
      <c r="U154" s="22" t="str">
        <f>IF(AND(B154&gt;='IN-NX'!$P$3,B154&lt;='IN-NX'!$Q$3,'IN-NX'!$D$7=D154,OR(LEFT(L154,2)="15",AND(LEFT(M154,2)&lt;&gt;"15",LEFT(M154,2)&lt;&gt;"33"))),"x","")</f>
        <v/>
      </c>
      <c r="V154" s="22" t="str">
        <f>IF(AND(OR(LEFT(TH!L154,2)="15",LEFT(TH!M154,2)="15"),'152-CT'!$J$8=TH!F154),"x","")</f>
        <v/>
      </c>
      <c r="W154" s="22" t="str">
        <f>IF(AND(OR(LEFT(TH!L154,2)="15",LEFT(TH!M154,2)="15"),TK!$E$7=TH!F154),"x","")</f>
        <v/>
      </c>
      <c r="X154" s="22" t="str">
        <f>IF(OR(TH!L154=TH!$X$7,M154=TH!$X$7),"x","")</f>
        <v/>
      </c>
      <c r="Y154" s="22" t="str">
        <f>IF(AND(B154&lt;=NKC!$N$8,B154&gt;=NKC!$M$8),"x","")</f>
        <v>x</v>
      </c>
      <c r="Z154" s="580"/>
      <c r="AD154" s="130"/>
      <c r="AE154" s="130"/>
    </row>
    <row r="155" spans="1:31" s="406" customFormat="1" ht="15.75" customHeight="1">
      <c r="A155" s="123" t="str">
        <f>IF(B155&lt;&gt;"",IF(AND(B155&gt;=_TM1,B155&lt;=_TM2,OR(TH!L156="1111",TH!M156="1111")),TH!D156,""),"")</f>
        <v/>
      </c>
      <c r="B155" s="12">
        <f t="shared" si="6"/>
        <v>8</v>
      </c>
      <c r="C155" s="108">
        <f t="shared" si="7"/>
        <v>42592</v>
      </c>
      <c r="D155" s="108" t="s">
        <v>575</v>
      </c>
      <c r="E155" s="113">
        <v>42592</v>
      </c>
      <c r="F155" s="112" t="s">
        <v>647</v>
      </c>
      <c r="G155" s="303" t="s">
        <v>722</v>
      </c>
      <c r="H155" s="4" t="s">
        <v>372</v>
      </c>
      <c r="I155" s="139">
        <v>30</v>
      </c>
      <c r="J155" s="139">
        <v>14200</v>
      </c>
      <c r="K155" s="13">
        <f>ROUND(I155*J155,0)</f>
        <v>426000</v>
      </c>
      <c r="L155" s="116" t="s">
        <v>252</v>
      </c>
      <c r="M155" s="411" t="s">
        <v>169</v>
      </c>
      <c r="N155" s="22" t="str">
        <f>IF(AND('331-CT'!$E$7=TH!H155,OR(L155="331",M155="331")),"331",IF(AND(OR(L155="131",M155="131"),H155='131-CT'!$E$7),"131",""))</f>
        <v/>
      </c>
      <c r="O155" s="22" t="str">
        <f>IF(AND($B155&gt;='111'!$N$11,$B155&lt;='111'!$O$11,OR($L155=$O$7,$M155=$O$7)),"x","")</f>
        <v/>
      </c>
      <c r="P155" s="22" t="str">
        <f>IF(AND($L155=$O$7,$B155&lt;'111'!$N$11),"x","")</f>
        <v/>
      </c>
      <c r="Q155" s="22" t="str">
        <f>IF(AND($M155=$O$7,$B155&lt;'111'!$N$11),"x","")</f>
        <v/>
      </c>
      <c r="R155" s="22" t="str">
        <f>IF(ISERROR(FIND('112'!$M$9,G155,1)),"",IF((AND(FIND('112'!$M$9,G155,1)&gt;=1,$B155&gt;='112'!$N$8,$B155&lt;='112'!$O$8,OR($L155='112'!$I$6,$M155='112'!$I$6))),"x",""))</f>
        <v/>
      </c>
      <c r="S155" s="22" t="str">
        <f>IF(ISERROR(FIND('112'!$M$9,G155,1)),"",IF((AND(LEFT(G155,2)=LEFT('112'!$M$9,2),B155&lt;'112'!$N$8,$L155='112'!$I$6)),"x",""))</f>
        <v/>
      </c>
      <c r="T155" s="22" t="str">
        <f>IF(ISERROR(FIND('112'!$M$9,G155,1)),"",IF((AND(RIGHT(G155,2)=RIGHT('112'!$M$9,2),B155&lt;'112'!$N$8,$M155='112'!$I$6)),"x",""))</f>
        <v/>
      </c>
      <c r="U155" s="22" t="str">
        <f>IF(AND(B155&gt;='IN-NX'!$P$3,B155&lt;='IN-NX'!$Q$3,'IN-NX'!$D$7=D155,OR(LEFT(L155,2)="15",AND(LEFT(M155,2)&lt;&gt;"15",LEFT(M155,2)&lt;&gt;"33"))),"x","")</f>
        <v/>
      </c>
      <c r="V155" s="22" t="str">
        <f>IF(AND(OR(LEFT(TH!L155,2)="15",LEFT(TH!M155,2)="15"),'152-CT'!$J$8=TH!F155),"x","")</f>
        <v/>
      </c>
      <c r="W155" s="22" t="str">
        <f>IF(AND(OR(LEFT(TH!L155,2)="15",LEFT(TH!M155,2)="15"),TK!$E$7=TH!F155),"x","")</f>
        <v/>
      </c>
      <c r="X155" s="22" t="str">
        <f>IF(OR(TH!L155=TH!$X$7,M155=TH!$X$7),"x","")</f>
        <v/>
      </c>
      <c r="Y155" s="22" t="str">
        <f>IF(AND(B155&lt;=NKC!$N$8,B155&gt;=NKC!$M$8),"x","")</f>
        <v>x</v>
      </c>
      <c r="Z155" s="580"/>
      <c r="AD155" s="130"/>
      <c r="AE155" s="130"/>
    </row>
    <row r="156" spans="1:31" s="406" customFormat="1" ht="15.75" customHeight="1">
      <c r="A156" s="123" t="str">
        <f>IF(B156&lt;&gt;"",IF(AND(B156&gt;=_TM1,B156&lt;=_TM2,OR(TH!L157="1111",TH!M157="1111")),TH!D157,""),"")</f>
        <v/>
      </c>
      <c r="B156" s="12">
        <f t="shared" si="6"/>
        <v>8</v>
      </c>
      <c r="C156" s="108">
        <f t="shared" si="7"/>
        <v>42592</v>
      </c>
      <c r="D156" s="108" t="s">
        <v>575</v>
      </c>
      <c r="E156" s="113">
        <v>42592</v>
      </c>
      <c r="F156" s="112" t="s">
        <v>650</v>
      </c>
      <c r="G156" s="303" t="s">
        <v>722</v>
      </c>
      <c r="H156" s="4" t="s">
        <v>372</v>
      </c>
      <c r="I156" s="139">
        <v>30</v>
      </c>
      <c r="J156" s="139">
        <v>15300</v>
      </c>
      <c r="K156" s="13">
        <f>ROUND(I156*J156,0)</f>
        <v>459000</v>
      </c>
      <c r="L156" s="116" t="s">
        <v>252</v>
      </c>
      <c r="M156" s="411" t="s">
        <v>169</v>
      </c>
      <c r="N156" s="22" t="str">
        <f>IF(AND('331-CT'!$E$7=TH!H156,OR(L156="331",M156="331")),"331",IF(AND(OR(L156="131",M156="131"),H156='131-CT'!$E$7),"131",""))</f>
        <v/>
      </c>
      <c r="O156" s="22" t="str">
        <f>IF(AND($B156&gt;='111'!$N$11,$B156&lt;='111'!$O$11,OR($L156=$O$7,$M156=$O$7)),"x","")</f>
        <v/>
      </c>
      <c r="P156" s="22" t="str">
        <f>IF(AND($L156=$O$7,$B156&lt;'111'!$N$11),"x","")</f>
        <v/>
      </c>
      <c r="Q156" s="22" t="str">
        <f>IF(AND($M156=$O$7,$B156&lt;'111'!$N$11),"x","")</f>
        <v/>
      </c>
      <c r="R156" s="22" t="str">
        <f>IF(ISERROR(FIND('112'!$M$9,G156,1)),"",IF((AND(FIND('112'!$M$9,G156,1)&gt;=1,$B156&gt;='112'!$N$8,$B156&lt;='112'!$O$8,OR($L156='112'!$I$6,$M156='112'!$I$6))),"x",""))</f>
        <v/>
      </c>
      <c r="S156" s="22" t="str">
        <f>IF(ISERROR(FIND('112'!$M$9,G156,1)),"",IF((AND(LEFT(G156,2)=LEFT('112'!$M$9,2),B156&lt;'112'!$N$8,$L156='112'!$I$6)),"x",""))</f>
        <v/>
      </c>
      <c r="T156" s="22" t="str">
        <f>IF(ISERROR(FIND('112'!$M$9,G156,1)),"",IF((AND(RIGHT(G156,2)=RIGHT('112'!$M$9,2),B156&lt;'112'!$N$8,$M156='112'!$I$6)),"x",""))</f>
        <v/>
      </c>
      <c r="U156" s="22" t="str">
        <f>IF(AND(B156&gt;='IN-NX'!$P$3,B156&lt;='IN-NX'!$Q$3,'IN-NX'!$D$7=D156,OR(LEFT(L156,2)="15",AND(LEFT(M156,2)&lt;&gt;"15",LEFT(M156,2)&lt;&gt;"33"))),"x","")</f>
        <v/>
      </c>
      <c r="V156" s="22" t="str">
        <f>IF(AND(OR(LEFT(TH!L156,2)="15",LEFT(TH!M156,2)="15"),'152-CT'!$J$8=TH!F156),"x","")</f>
        <v/>
      </c>
      <c r="W156" s="22" t="str">
        <f>IF(AND(OR(LEFT(TH!L156,2)="15",LEFT(TH!M156,2)="15"),TK!$E$7=TH!F156),"x","")</f>
        <v/>
      </c>
      <c r="X156" s="22" t="str">
        <f>IF(OR(TH!L156=TH!$X$7,M156=TH!$X$7),"x","")</f>
        <v/>
      </c>
      <c r="Y156" s="22" t="str">
        <f>IF(AND(B156&lt;=NKC!$N$8,B156&gt;=NKC!$M$8),"x","")</f>
        <v>x</v>
      </c>
      <c r="Z156" s="580"/>
      <c r="AD156" s="130"/>
      <c r="AE156" s="130"/>
    </row>
    <row r="157" spans="1:31" s="406" customFormat="1" ht="15.75" customHeight="1">
      <c r="A157" s="123" t="str">
        <f>IF(B157&lt;&gt;"",IF(AND(B157&gt;=_TM1,B157&lt;=_TM2,OR(TH!L158="1111",TH!M158="1111")),TH!D158,""),"")</f>
        <v/>
      </c>
      <c r="B157" s="12">
        <f t="shared" si="6"/>
        <v>8</v>
      </c>
      <c r="C157" s="108">
        <f t="shared" si="7"/>
        <v>42592</v>
      </c>
      <c r="D157" s="108" t="s">
        <v>575</v>
      </c>
      <c r="E157" s="113">
        <v>42592</v>
      </c>
      <c r="F157" s="112" t="s">
        <v>648</v>
      </c>
      <c r="G157" s="303" t="s">
        <v>722</v>
      </c>
      <c r="H157" s="4" t="s">
        <v>372</v>
      </c>
      <c r="I157" s="139">
        <v>30</v>
      </c>
      <c r="J157" s="139">
        <v>16500</v>
      </c>
      <c r="K157" s="13">
        <f>ROUND(I157*J157,0)</f>
        <v>495000</v>
      </c>
      <c r="L157" s="116" t="s">
        <v>252</v>
      </c>
      <c r="M157" s="411" t="s">
        <v>169</v>
      </c>
      <c r="N157" s="22" t="str">
        <f>IF(AND('331-CT'!$E$7=TH!H157,OR(L157="331",M157="331")),"331",IF(AND(OR(L157="131",M157="131"),H157='131-CT'!$E$7),"131",""))</f>
        <v/>
      </c>
      <c r="O157" s="22" t="str">
        <f>IF(AND($B157&gt;='111'!$N$11,$B157&lt;='111'!$O$11,OR($L157=$O$7,$M157=$O$7)),"x","")</f>
        <v/>
      </c>
      <c r="P157" s="22" t="str">
        <f>IF(AND($L157=$O$7,$B157&lt;'111'!$N$11),"x","")</f>
        <v/>
      </c>
      <c r="Q157" s="22" t="str">
        <f>IF(AND($M157=$O$7,$B157&lt;'111'!$N$11),"x","")</f>
        <v/>
      </c>
      <c r="R157" s="22" t="str">
        <f>IF(ISERROR(FIND('112'!$M$9,G157,1)),"",IF((AND(FIND('112'!$M$9,G157,1)&gt;=1,$B157&gt;='112'!$N$8,$B157&lt;='112'!$O$8,OR($L157='112'!$I$6,$M157='112'!$I$6))),"x",""))</f>
        <v/>
      </c>
      <c r="S157" s="22" t="str">
        <f>IF(ISERROR(FIND('112'!$M$9,G157,1)),"",IF((AND(LEFT(G157,2)=LEFT('112'!$M$9,2),B157&lt;'112'!$N$8,$L157='112'!$I$6)),"x",""))</f>
        <v/>
      </c>
      <c r="T157" s="22" t="str">
        <f>IF(ISERROR(FIND('112'!$M$9,G157,1)),"",IF((AND(RIGHT(G157,2)=RIGHT('112'!$M$9,2),B157&lt;'112'!$N$8,$M157='112'!$I$6)),"x",""))</f>
        <v/>
      </c>
      <c r="U157" s="22" t="str">
        <f>IF(AND(B157&gt;='IN-NX'!$P$3,B157&lt;='IN-NX'!$Q$3,'IN-NX'!$D$7=D157,OR(LEFT(L157,2)="15",AND(LEFT(M157,2)&lt;&gt;"15",LEFT(M157,2)&lt;&gt;"33"))),"x","")</f>
        <v/>
      </c>
      <c r="V157" s="22" t="str">
        <f>IF(AND(OR(LEFT(TH!L157,2)="15",LEFT(TH!M157,2)="15"),'152-CT'!$J$8=TH!F157),"x","")</f>
        <v/>
      </c>
      <c r="W157" s="22" t="str">
        <f>IF(AND(OR(LEFT(TH!L157,2)="15",LEFT(TH!M157,2)="15"),TK!$E$7=TH!F157),"x","")</f>
        <v/>
      </c>
      <c r="X157" s="22" t="str">
        <f>IF(OR(TH!L157=TH!$X$7,M157=TH!$X$7),"x","")</f>
        <v/>
      </c>
      <c r="Y157" s="22" t="str">
        <f>IF(AND(B157&lt;=NKC!$N$8,B157&gt;=NKC!$M$8),"x","")</f>
        <v>x</v>
      </c>
      <c r="Z157" s="580"/>
      <c r="AD157" s="130"/>
      <c r="AE157" s="130"/>
    </row>
    <row r="158" spans="1:31" s="406" customFormat="1" ht="15.75" customHeight="1">
      <c r="A158" s="123" t="str">
        <f>IF(B158&lt;&gt;"",IF(AND(B158&gt;=_TM1,B158&lt;=_TM2,OR(TH!L159="1111",TH!M159="1111")),TH!D159,""),"")</f>
        <v/>
      </c>
      <c r="B158" s="12">
        <f t="shared" si="6"/>
        <v>8</v>
      </c>
      <c r="C158" s="108">
        <f t="shared" si="7"/>
        <v>42592</v>
      </c>
      <c r="D158" s="108" t="s">
        <v>575</v>
      </c>
      <c r="E158" s="113">
        <v>42592</v>
      </c>
      <c r="F158" s="112" t="s">
        <v>649</v>
      </c>
      <c r="G158" s="303" t="s">
        <v>722</v>
      </c>
      <c r="H158" s="4" t="s">
        <v>372</v>
      </c>
      <c r="I158" s="139">
        <v>100</v>
      </c>
      <c r="J158" s="139">
        <v>19700</v>
      </c>
      <c r="K158" s="13">
        <f>ROUND(I158*J158,0)</f>
        <v>1970000</v>
      </c>
      <c r="L158" s="116" t="s">
        <v>252</v>
      </c>
      <c r="M158" s="411" t="s">
        <v>169</v>
      </c>
      <c r="N158" s="22" t="str">
        <f>IF(AND('331-CT'!$E$7=TH!H158,OR(L158="331",M158="331")),"331",IF(AND(OR(L158="131",M158="131"),H158='131-CT'!$E$7),"131",""))</f>
        <v/>
      </c>
      <c r="O158" s="22" t="str">
        <f>IF(AND($B158&gt;='111'!$N$11,$B158&lt;='111'!$O$11,OR($L158=$O$7,$M158=$O$7)),"x","")</f>
        <v/>
      </c>
      <c r="P158" s="22" t="str">
        <f>IF(AND($L158=$O$7,$B158&lt;'111'!$N$11),"x","")</f>
        <v/>
      </c>
      <c r="Q158" s="22" t="str">
        <f>IF(AND($M158=$O$7,$B158&lt;'111'!$N$11),"x","")</f>
        <v/>
      </c>
      <c r="R158" s="22" t="str">
        <f>IF(ISERROR(FIND('112'!$M$9,G158,1)),"",IF((AND(FIND('112'!$M$9,G158,1)&gt;=1,$B158&gt;='112'!$N$8,$B158&lt;='112'!$O$8,OR($L158='112'!$I$6,$M158='112'!$I$6))),"x",""))</f>
        <v/>
      </c>
      <c r="S158" s="22" t="str">
        <f>IF(ISERROR(FIND('112'!$M$9,G158,1)),"",IF((AND(LEFT(G158,2)=LEFT('112'!$M$9,2),B158&lt;'112'!$N$8,$L158='112'!$I$6)),"x",""))</f>
        <v/>
      </c>
      <c r="T158" s="22" t="str">
        <f>IF(ISERROR(FIND('112'!$M$9,G158,1)),"",IF((AND(RIGHT(G158,2)=RIGHT('112'!$M$9,2),B158&lt;'112'!$N$8,$M158='112'!$I$6)),"x",""))</f>
        <v/>
      </c>
      <c r="U158" s="22" t="str">
        <f>IF(AND(B158&gt;='IN-NX'!$P$3,B158&lt;='IN-NX'!$Q$3,'IN-NX'!$D$7=D158,OR(LEFT(L158,2)="15",AND(LEFT(M158,2)&lt;&gt;"15",LEFT(M158,2)&lt;&gt;"33"))),"x","")</f>
        <v/>
      </c>
      <c r="V158" s="22" t="str">
        <f>IF(AND(OR(LEFT(TH!L158,2)="15",LEFT(TH!M158,2)="15"),'152-CT'!$J$8=TH!F158),"x","")</f>
        <v/>
      </c>
      <c r="W158" s="22" t="str">
        <f>IF(AND(OR(LEFT(TH!L158,2)="15",LEFT(TH!M158,2)="15"),TK!$E$7=TH!F158),"x","")</f>
        <v/>
      </c>
      <c r="X158" s="22" t="str">
        <f>IF(OR(TH!L158=TH!$X$7,M158=TH!$X$7),"x","")</f>
        <v/>
      </c>
      <c r="Y158" s="22" t="str">
        <f>IF(AND(B158&lt;=NKC!$N$8,B158&gt;=NKC!$M$8),"x","")</f>
        <v>x</v>
      </c>
      <c r="Z158" s="580"/>
      <c r="AD158" s="130"/>
      <c r="AE158" s="130"/>
    </row>
    <row r="159" spans="1:31" s="406" customFormat="1" ht="15.75" customHeight="1">
      <c r="A159" s="123" t="str">
        <f>IF(B159&lt;&gt;"",IF(AND(B159&gt;=_TM1,B159&lt;=_TM2,OR(TH!L160="1111",TH!M160="1111")),TH!D160,""),"")</f>
        <v/>
      </c>
      <c r="B159" s="12">
        <f t="shared" si="6"/>
        <v>8</v>
      </c>
      <c r="C159" s="108">
        <f t="shared" si="7"/>
        <v>42592</v>
      </c>
      <c r="D159" s="108" t="s">
        <v>575</v>
      </c>
      <c r="E159" s="113">
        <v>42592</v>
      </c>
      <c r="F159" s="112" t="s">
        <v>819</v>
      </c>
      <c r="G159" s="303" t="s">
        <v>722</v>
      </c>
      <c r="H159" s="4" t="s">
        <v>372</v>
      </c>
      <c r="I159" s="139">
        <v>60</v>
      </c>
      <c r="J159" s="139">
        <v>20100</v>
      </c>
      <c r="K159" s="13">
        <f>ROUND(I159*J159,0)</f>
        <v>1206000</v>
      </c>
      <c r="L159" s="116" t="s">
        <v>252</v>
      </c>
      <c r="M159" s="411" t="s">
        <v>169</v>
      </c>
      <c r="N159" s="22" t="str">
        <f>IF(AND('331-CT'!$E$7=TH!H159,OR(L159="331",M159="331")),"331",IF(AND(OR(L159="131",M159="131"),H159='131-CT'!$E$7),"131",""))</f>
        <v/>
      </c>
      <c r="O159" s="22" t="str">
        <f>IF(AND($B159&gt;='111'!$N$11,$B159&lt;='111'!$O$11,OR($L159=$O$7,$M159=$O$7)),"x","")</f>
        <v/>
      </c>
      <c r="P159" s="22" t="str">
        <f>IF(AND($L159=$O$7,$B159&lt;'111'!$N$11),"x","")</f>
        <v/>
      </c>
      <c r="Q159" s="22" t="str">
        <f>IF(AND($M159=$O$7,$B159&lt;'111'!$N$11),"x","")</f>
        <v/>
      </c>
      <c r="R159" s="22" t="str">
        <f>IF(ISERROR(FIND('112'!$M$9,G159,1)),"",IF((AND(FIND('112'!$M$9,G159,1)&gt;=1,$B159&gt;='112'!$N$8,$B159&lt;='112'!$O$8,OR($L159='112'!$I$6,$M159='112'!$I$6))),"x",""))</f>
        <v/>
      </c>
      <c r="S159" s="22" t="str">
        <f>IF(ISERROR(FIND('112'!$M$9,G159,1)),"",IF((AND(LEFT(G159,2)=LEFT('112'!$M$9,2),B159&lt;'112'!$N$8,$L159='112'!$I$6)),"x",""))</f>
        <v/>
      </c>
      <c r="T159" s="22" t="str">
        <f>IF(ISERROR(FIND('112'!$M$9,G159,1)),"",IF((AND(RIGHT(G159,2)=RIGHT('112'!$M$9,2),B159&lt;'112'!$N$8,$M159='112'!$I$6)),"x",""))</f>
        <v/>
      </c>
      <c r="U159" s="22" t="str">
        <f>IF(AND(B159&gt;='IN-NX'!$P$3,B159&lt;='IN-NX'!$Q$3,'IN-NX'!$D$7=D159,OR(LEFT(L159,2)="15",AND(LEFT(M159,2)&lt;&gt;"15",LEFT(M159,2)&lt;&gt;"33"))),"x","")</f>
        <v/>
      </c>
      <c r="V159" s="22" t="str">
        <f>IF(AND(OR(LEFT(TH!L159,2)="15",LEFT(TH!M159,2)="15"),'152-CT'!$J$8=TH!F159),"x","")</f>
        <v/>
      </c>
      <c r="W159" s="22" t="str">
        <f>IF(AND(OR(LEFT(TH!L159,2)="15",LEFT(TH!M159,2)="15"),TK!$E$7=TH!F159),"x","")</f>
        <v/>
      </c>
      <c r="X159" s="22" t="str">
        <f>IF(OR(TH!L159=TH!$X$7,M159=TH!$X$7),"x","")</f>
        <v/>
      </c>
      <c r="Y159" s="22" t="str">
        <f>IF(AND(B159&lt;=NKC!$N$8,B159&gt;=NKC!$M$8),"x","")</f>
        <v>x</v>
      </c>
      <c r="Z159" s="580"/>
      <c r="AD159" s="130"/>
      <c r="AE159" s="130"/>
    </row>
    <row r="160" spans="1:31" s="406" customFormat="1" ht="15.75" customHeight="1">
      <c r="A160" s="123" t="str">
        <f>IF(B160&lt;&gt;"",IF(AND(B160&gt;=_TM1,B160&lt;=_TM2,OR(TH!L161="1111",TH!M161="1111")),TH!D161,""),"")</f>
        <v/>
      </c>
      <c r="B160" s="12">
        <f t="shared" si="6"/>
        <v>8</v>
      </c>
      <c r="C160" s="108">
        <f t="shared" si="7"/>
        <v>42592</v>
      </c>
      <c r="D160" s="108" t="s">
        <v>575</v>
      </c>
      <c r="E160" s="113">
        <v>42592</v>
      </c>
      <c r="F160" s="112" t="s">
        <v>496</v>
      </c>
      <c r="G160" s="303" t="s">
        <v>722</v>
      </c>
      <c r="H160" s="4" t="s">
        <v>372</v>
      </c>
      <c r="I160" s="139"/>
      <c r="J160" s="139"/>
      <c r="K160" s="13">
        <v>455600</v>
      </c>
      <c r="L160" s="116" t="s">
        <v>252</v>
      </c>
      <c r="M160" s="411" t="s">
        <v>352</v>
      </c>
      <c r="N160" s="22" t="str">
        <f>IF(AND('331-CT'!$E$7=TH!H160,OR(L160="331",M160="331")),"331",IF(AND(OR(L160="131",M160="131"),H160='131-CT'!$E$7),"131",""))</f>
        <v/>
      </c>
      <c r="O160" s="22" t="str">
        <f>IF(AND($B160&gt;='111'!$N$11,$B160&lt;='111'!$O$11,OR($L160=$O$7,$M160=$O$7)),"x","")</f>
        <v/>
      </c>
      <c r="P160" s="22" t="str">
        <f>IF(AND($L160=$O$7,$B160&lt;'111'!$N$11),"x","")</f>
        <v/>
      </c>
      <c r="Q160" s="22" t="str">
        <f>IF(AND($M160=$O$7,$B160&lt;'111'!$N$11),"x","")</f>
        <v/>
      </c>
      <c r="R160" s="22" t="str">
        <f>IF(ISERROR(FIND('112'!$M$9,G160,1)),"",IF((AND(FIND('112'!$M$9,G160,1)&gt;=1,$B160&gt;='112'!$N$8,$B160&lt;='112'!$O$8,OR($L160='112'!$I$6,$M160='112'!$I$6))),"x",""))</f>
        <v/>
      </c>
      <c r="S160" s="22" t="str">
        <f>IF(ISERROR(FIND('112'!$M$9,G160,1)),"",IF((AND(LEFT(G160,2)=LEFT('112'!$M$9,2),B160&lt;'112'!$N$8,$L160='112'!$I$6)),"x",""))</f>
        <v/>
      </c>
      <c r="T160" s="22" t="str">
        <f>IF(ISERROR(FIND('112'!$M$9,G160,1)),"",IF((AND(RIGHT(G160,2)=RIGHT('112'!$M$9,2),B160&lt;'112'!$N$8,$M160='112'!$I$6)),"x",""))</f>
        <v/>
      </c>
      <c r="U160" s="22" t="str">
        <f>IF(AND(B160&gt;='IN-NX'!$P$3,B160&lt;='IN-NX'!$Q$3,'IN-NX'!$D$7=D160,OR(LEFT(L160,2)="15",AND(LEFT(M160,2)&lt;&gt;"15",LEFT(M160,2)&lt;&gt;"33"))),"x","")</f>
        <v/>
      </c>
      <c r="V160" s="22" t="str">
        <f>IF(AND(OR(LEFT(TH!L160,2)="15",LEFT(TH!M160,2)="15"),'152-CT'!$J$8=TH!F160),"x","")</f>
        <v/>
      </c>
      <c r="W160" s="22" t="str">
        <f>IF(AND(OR(LEFT(TH!L160,2)="15",LEFT(TH!M160,2)="15"),TK!$E$7=TH!F160),"x","")</f>
        <v/>
      </c>
      <c r="X160" s="22" t="str">
        <f>IF(OR(TH!L160=TH!$X$7,M160=TH!$X$7),"x","")</f>
        <v/>
      </c>
      <c r="Y160" s="22" t="str">
        <f>IF(AND(B160&lt;=NKC!$N$8,B160&gt;=NKC!$M$8),"x","")</f>
        <v>x</v>
      </c>
      <c r="Z160" s="580"/>
      <c r="AD160" s="130"/>
      <c r="AE160" s="130"/>
    </row>
    <row r="161" spans="1:31" s="406" customFormat="1" ht="15.75" customHeight="1">
      <c r="A161" s="123" t="str">
        <f>IF(B161&lt;&gt;"",IF(AND(B161&gt;=_TM1,B161&lt;=_TM2,OR(TH!L162="1111",TH!M162="1111")),TH!D162,""),"")</f>
        <v/>
      </c>
      <c r="B161" s="12">
        <f t="shared" si="6"/>
        <v>8</v>
      </c>
      <c r="C161" s="108">
        <f t="shared" si="7"/>
        <v>42592</v>
      </c>
      <c r="D161" s="108" t="s">
        <v>576</v>
      </c>
      <c r="E161" s="113">
        <v>42592</v>
      </c>
      <c r="F161" s="112" t="s">
        <v>526</v>
      </c>
      <c r="G161" s="303" t="s">
        <v>723</v>
      </c>
      <c r="H161" s="115" t="s">
        <v>525</v>
      </c>
      <c r="I161" s="139">
        <v>403</v>
      </c>
      <c r="J161" s="139">
        <v>20000</v>
      </c>
      <c r="K161" s="13">
        <f>ROUND(I161*J161,0)</f>
        <v>8060000</v>
      </c>
      <c r="L161" s="116" t="s">
        <v>252</v>
      </c>
      <c r="M161" s="411" t="s">
        <v>169</v>
      </c>
      <c r="N161" s="22" t="str">
        <f>IF(AND('331-CT'!$E$7=TH!H161,OR(L161="331",M161="331")),"331",IF(AND(OR(L161="131",M161="131"),H161='131-CT'!$E$7),"131",""))</f>
        <v/>
      </c>
      <c r="O161" s="22" t="str">
        <f>IF(AND($B161&gt;='111'!$N$11,$B161&lt;='111'!$O$11,OR($L161=$O$7,$M161=$O$7)),"x","")</f>
        <v/>
      </c>
      <c r="P161" s="22" t="str">
        <f>IF(AND($L161=$O$7,$B161&lt;'111'!$N$11),"x","")</f>
        <v/>
      </c>
      <c r="Q161" s="22" t="str">
        <f>IF(AND($M161=$O$7,$B161&lt;'111'!$N$11),"x","")</f>
        <v/>
      </c>
      <c r="R161" s="22" t="str">
        <f>IF(ISERROR(FIND('112'!$M$9,G161,1)),"",IF((AND(FIND('112'!$M$9,G161,1)&gt;=1,$B161&gt;='112'!$N$8,$B161&lt;='112'!$O$8,OR($L161='112'!$I$6,$M161='112'!$I$6))),"x",""))</f>
        <v/>
      </c>
      <c r="S161" s="22" t="str">
        <f>IF(ISERROR(FIND('112'!$M$9,G161,1)),"",IF((AND(LEFT(G161,2)=LEFT('112'!$M$9,2),B161&lt;'112'!$N$8,$L161='112'!$I$6)),"x",""))</f>
        <v/>
      </c>
      <c r="T161" s="22" t="str">
        <f>IF(ISERROR(FIND('112'!$M$9,G161,1)),"",IF((AND(RIGHT(G161,2)=RIGHT('112'!$M$9,2),B161&lt;'112'!$N$8,$M161='112'!$I$6)),"x",""))</f>
        <v/>
      </c>
      <c r="U161" s="22" t="str">
        <f>IF(AND(B161&gt;='IN-NX'!$P$3,B161&lt;='IN-NX'!$Q$3,'IN-NX'!$D$7=D161,OR(LEFT(L161,2)="15",AND(LEFT(M161,2)&lt;&gt;"15",LEFT(M161,2)&lt;&gt;"33"))),"x","")</f>
        <v/>
      </c>
      <c r="V161" s="22" t="str">
        <f>IF(AND(OR(LEFT(TH!L161,2)="15",LEFT(TH!M161,2)="15"),'152-CT'!$J$8=TH!F161),"x","")</f>
        <v/>
      </c>
      <c r="W161" s="22" t="str">
        <f>IF(AND(OR(LEFT(TH!L161,2)="15",LEFT(TH!M161,2)="15"),TK!$E$7=TH!F161),"x","")</f>
        <v/>
      </c>
      <c r="X161" s="22" t="str">
        <f>IF(OR(TH!L161=TH!$X$7,M161=TH!$X$7),"x","")</f>
        <v/>
      </c>
      <c r="Y161" s="22" t="str">
        <f>IF(AND(B161&lt;=NKC!$N$8,B161&gt;=NKC!$M$8),"x","")</f>
        <v>x</v>
      </c>
      <c r="Z161" s="580"/>
      <c r="AD161" s="130"/>
      <c r="AE161" s="130"/>
    </row>
    <row r="162" spans="1:31" s="406" customFormat="1" ht="15.75" customHeight="1">
      <c r="A162" s="123" t="str">
        <f>IF(B162&lt;&gt;"",IF(AND(B162&gt;=_TM1,B162&lt;=_TM2,OR(TH!L163="1111",TH!M163="1111")),TH!D163,""),"")</f>
        <v/>
      </c>
      <c r="B162" s="12">
        <f t="shared" si="6"/>
        <v>8</v>
      </c>
      <c r="C162" s="108">
        <f t="shared" si="7"/>
        <v>42592</v>
      </c>
      <c r="D162" s="108" t="s">
        <v>576</v>
      </c>
      <c r="E162" s="113">
        <v>42592</v>
      </c>
      <c r="F162" s="112" t="s">
        <v>496</v>
      </c>
      <c r="G162" s="303" t="s">
        <v>723</v>
      </c>
      <c r="H162" s="115" t="s">
        <v>525</v>
      </c>
      <c r="I162" s="139"/>
      <c r="J162" s="139"/>
      <c r="K162" s="13">
        <v>806000</v>
      </c>
      <c r="L162" s="116" t="s">
        <v>252</v>
      </c>
      <c r="M162" s="411" t="s">
        <v>352</v>
      </c>
      <c r="N162" s="22" t="str">
        <f>IF(AND('331-CT'!$E$7=TH!H162,OR(L162="331",M162="331")),"331",IF(AND(OR(L162="131",M162="131"),H162='131-CT'!$E$7),"131",""))</f>
        <v/>
      </c>
      <c r="O162" s="22" t="str">
        <f>IF(AND($B162&gt;='111'!$N$11,$B162&lt;='111'!$O$11,OR($L162=$O$7,$M162=$O$7)),"x","")</f>
        <v/>
      </c>
      <c r="P162" s="22" t="str">
        <f>IF(AND($L162=$O$7,$B162&lt;'111'!$N$11),"x","")</f>
        <v/>
      </c>
      <c r="Q162" s="22" t="str">
        <f>IF(AND($M162=$O$7,$B162&lt;'111'!$N$11),"x","")</f>
        <v/>
      </c>
      <c r="R162" s="22" t="str">
        <f>IF(ISERROR(FIND('112'!$M$9,G162,1)),"",IF((AND(FIND('112'!$M$9,G162,1)&gt;=1,$B162&gt;='112'!$N$8,$B162&lt;='112'!$O$8,OR($L162='112'!$I$6,$M162='112'!$I$6))),"x",""))</f>
        <v/>
      </c>
      <c r="S162" s="22" t="str">
        <f>IF(ISERROR(FIND('112'!$M$9,G162,1)),"",IF((AND(LEFT(G162,2)=LEFT('112'!$M$9,2),B162&lt;'112'!$N$8,$L162='112'!$I$6)),"x",""))</f>
        <v/>
      </c>
      <c r="T162" s="22" t="str">
        <f>IF(ISERROR(FIND('112'!$M$9,G162,1)),"",IF((AND(RIGHT(G162,2)=RIGHT('112'!$M$9,2),B162&lt;'112'!$N$8,$M162='112'!$I$6)),"x",""))</f>
        <v/>
      </c>
      <c r="U162" s="22" t="str">
        <f>IF(AND(B162&gt;='IN-NX'!$P$3,B162&lt;='IN-NX'!$Q$3,'IN-NX'!$D$7=D162,OR(LEFT(L162,2)="15",AND(LEFT(M162,2)&lt;&gt;"15",LEFT(M162,2)&lt;&gt;"33"))),"x","")</f>
        <v/>
      </c>
      <c r="V162" s="22" t="str">
        <f>IF(AND(OR(LEFT(TH!L162,2)="15",LEFT(TH!M162,2)="15"),'152-CT'!$J$8=TH!F162),"x","")</f>
        <v/>
      </c>
      <c r="W162" s="22" t="str">
        <f>IF(AND(OR(LEFT(TH!L162,2)="15",LEFT(TH!M162,2)="15"),TK!$E$7=TH!F162),"x","")</f>
        <v/>
      </c>
      <c r="X162" s="22" t="str">
        <f>IF(OR(TH!L162=TH!$X$7,M162=TH!$X$7),"x","")</f>
        <v/>
      </c>
      <c r="Y162" s="22" t="str">
        <f>IF(AND(B162&lt;=NKC!$N$8,B162&gt;=NKC!$M$8),"x","")</f>
        <v>x</v>
      </c>
      <c r="Z162" s="580"/>
      <c r="AD162" s="130"/>
      <c r="AE162" s="130"/>
    </row>
    <row r="163" spans="1:31" s="406" customFormat="1" ht="15.75" customHeight="1">
      <c r="A163" s="123" t="str">
        <f>IF(B163&lt;&gt;"",IF(AND(B163&gt;=_TM1,B163&lt;=_TM2,OR(TH!L164="1111",TH!M164="1111")),TH!D164,""),"")</f>
        <v/>
      </c>
      <c r="B163" s="12">
        <f t="shared" si="6"/>
        <v>8</v>
      </c>
      <c r="C163" s="108">
        <f t="shared" si="7"/>
        <v>42592</v>
      </c>
      <c r="D163" s="108" t="s">
        <v>994</v>
      </c>
      <c r="E163" s="113">
        <v>42592</v>
      </c>
      <c r="F163" s="114" t="s">
        <v>484</v>
      </c>
      <c r="G163" s="303" t="s">
        <v>1029</v>
      </c>
      <c r="H163" s="115" t="s">
        <v>525</v>
      </c>
      <c r="I163" s="139"/>
      <c r="J163" s="139"/>
      <c r="K163" s="13">
        <f>8866000+8866000</f>
        <v>17732000</v>
      </c>
      <c r="L163" s="116" t="s">
        <v>46</v>
      </c>
      <c r="M163" s="411" t="s">
        <v>252</v>
      </c>
      <c r="N163" s="22" t="str">
        <f>IF(AND('331-CT'!$E$7=TH!H163,OR(L163="331",M163="331")),"331",IF(AND(OR(L163="131",M163="131"),H163='131-CT'!$E$7),"131",""))</f>
        <v/>
      </c>
      <c r="O163" s="22" t="str">
        <f>IF(AND($B163&gt;='111'!$N$11,$B163&lt;='111'!$O$11,OR($L163=$O$7,$M163=$O$7)),"x","")</f>
        <v/>
      </c>
      <c r="P163" s="22" t="str">
        <f>IF(AND($L163=$O$7,$B163&lt;'111'!$N$11),"x","")</f>
        <v>x</v>
      </c>
      <c r="Q163" s="22" t="str">
        <f>IF(AND($M163=$O$7,$B163&lt;'111'!$N$11),"x","")</f>
        <v/>
      </c>
      <c r="R163" s="22" t="str">
        <f>IF(ISERROR(FIND('112'!$M$9,G163,1)),"",IF((AND(FIND('112'!$M$9,G163,1)&gt;=1,$B163&gt;='112'!$N$8,$B163&lt;='112'!$O$8,OR($L163='112'!$I$6,$M163='112'!$I$6))),"x",""))</f>
        <v/>
      </c>
      <c r="S163" s="22" t="str">
        <f>IF(ISERROR(FIND('112'!$M$9,G163,1)),"",IF((AND(LEFT(G163,2)=LEFT('112'!$M$9,2),B163&lt;'112'!$N$8,$L163='112'!$I$6)),"x",""))</f>
        <v/>
      </c>
      <c r="T163" s="22" t="str">
        <f>IF(ISERROR(FIND('112'!$M$9,G163,1)),"",IF((AND(RIGHT(G163,2)=RIGHT('112'!$M$9,2),B163&lt;'112'!$N$8,$M163='112'!$I$6)),"x",""))</f>
        <v/>
      </c>
      <c r="U163" s="22" t="str">
        <f>IF(AND(B163&gt;='IN-NX'!$P$3,B163&lt;='IN-NX'!$Q$3,'IN-NX'!$D$7=D163,OR(LEFT(L163,2)="15",AND(LEFT(M163,2)&lt;&gt;"15",LEFT(M163,2)&lt;&gt;"33"))),"x","")</f>
        <v/>
      </c>
      <c r="V163" s="22" t="str">
        <f>IF(AND(OR(LEFT(TH!L163,2)="15",LEFT(TH!M163,2)="15"),'152-CT'!$J$8=TH!F163),"x","")</f>
        <v/>
      </c>
      <c r="W163" s="22" t="str">
        <f>IF(AND(OR(LEFT(TH!L163,2)="15",LEFT(TH!M163,2)="15"),TK!$E$7=TH!F163),"x","")</f>
        <v/>
      </c>
      <c r="X163" s="22" t="str">
        <f>IF(OR(TH!L163=TH!$X$7,M163=TH!$X$7),"x","")</f>
        <v/>
      </c>
      <c r="Y163" s="22" t="str">
        <f>IF(AND(B163&lt;=NKC!$N$8,B163&gt;=NKC!$M$8),"x","")</f>
        <v>x</v>
      </c>
      <c r="Z163" s="580"/>
      <c r="AD163" s="130"/>
      <c r="AE163" s="130"/>
    </row>
    <row r="164" spans="1:31" s="406" customFormat="1" ht="15.75" customHeight="1">
      <c r="A164" s="123" t="str">
        <f>IF(B164&lt;&gt;"",IF(AND(B164&gt;=_TM1,B164&lt;=_TM2,OR(TH!L165="1111",TH!M165="1111")),TH!D165,""),"")</f>
        <v/>
      </c>
      <c r="B164" s="12">
        <f t="shared" si="6"/>
        <v>8</v>
      </c>
      <c r="C164" s="108">
        <f t="shared" si="7"/>
        <v>42594</v>
      </c>
      <c r="D164" s="108" t="s">
        <v>577</v>
      </c>
      <c r="E164" s="113">
        <v>42594</v>
      </c>
      <c r="F164" s="578" t="s">
        <v>657</v>
      </c>
      <c r="G164" s="303" t="s">
        <v>724</v>
      </c>
      <c r="H164" s="4" t="s">
        <v>371</v>
      </c>
      <c r="I164" s="139">
        <v>1330</v>
      </c>
      <c r="J164" s="139">
        <v>9360</v>
      </c>
      <c r="K164" s="13">
        <f t="shared" ref="K164:K169" si="8">ROUND(I164*J164,0)</f>
        <v>12448800</v>
      </c>
      <c r="L164" s="116" t="s">
        <v>252</v>
      </c>
      <c r="M164" s="411" t="s">
        <v>169</v>
      </c>
      <c r="N164" s="22" t="str">
        <f>IF(AND('331-CT'!$E$7=TH!H164,OR(L164="331",M164="331")),"331",IF(AND(OR(L164="131",M164="131"),H164='131-CT'!$E$7),"131",""))</f>
        <v/>
      </c>
      <c r="O164" s="22" t="str">
        <f>IF(AND($B164&gt;='111'!$N$11,$B164&lt;='111'!$O$11,OR($L164=$O$7,$M164=$O$7)),"x","")</f>
        <v/>
      </c>
      <c r="P164" s="22" t="str">
        <f>IF(AND($L164=$O$7,$B164&lt;'111'!$N$11),"x","")</f>
        <v/>
      </c>
      <c r="Q164" s="22" t="str">
        <f>IF(AND($M164=$O$7,$B164&lt;'111'!$N$11),"x","")</f>
        <v/>
      </c>
      <c r="R164" s="22" t="str">
        <f>IF(ISERROR(FIND('112'!$M$9,G164,1)),"",IF((AND(FIND('112'!$M$9,G164,1)&gt;=1,$B164&gt;='112'!$N$8,$B164&lt;='112'!$O$8,OR($L164='112'!$I$6,$M164='112'!$I$6))),"x",""))</f>
        <v/>
      </c>
      <c r="S164" s="22" t="str">
        <f>IF(ISERROR(FIND('112'!$M$9,G164,1)),"",IF((AND(LEFT(G164,2)=LEFT('112'!$M$9,2),B164&lt;'112'!$N$8,$L164='112'!$I$6)),"x",""))</f>
        <v/>
      </c>
      <c r="T164" s="22" t="str">
        <f>IF(ISERROR(FIND('112'!$M$9,G164,1)),"",IF((AND(RIGHT(G164,2)=RIGHT('112'!$M$9,2),B164&lt;'112'!$N$8,$M164='112'!$I$6)),"x",""))</f>
        <v/>
      </c>
      <c r="U164" s="22" t="str">
        <f>IF(AND(B164&gt;='IN-NX'!$P$3,B164&lt;='IN-NX'!$Q$3,'IN-NX'!$D$7=D164,OR(LEFT(L164,2)="15",AND(LEFT(M164,2)&lt;&gt;"15",LEFT(M164,2)&lt;&gt;"33"))),"x","")</f>
        <v/>
      </c>
      <c r="V164" s="22" t="str">
        <f>IF(AND(OR(LEFT(TH!L164,2)="15",LEFT(TH!M164,2)="15"),'152-CT'!$J$8=TH!F164),"x","")</f>
        <v/>
      </c>
      <c r="W164" s="22" t="str">
        <f>IF(AND(OR(LEFT(TH!L164,2)="15",LEFT(TH!M164,2)="15"),TK!$E$7=TH!F164),"x","")</f>
        <v/>
      </c>
      <c r="X164" s="22" t="str">
        <f>IF(OR(TH!L164=TH!$X$7,M164=TH!$X$7),"x","")</f>
        <v/>
      </c>
      <c r="Y164" s="22" t="str">
        <f>IF(AND(B164&lt;=NKC!$N$8,B164&gt;=NKC!$M$8),"x","")</f>
        <v>x</v>
      </c>
      <c r="Z164" s="580"/>
      <c r="AD164" s="130"/>
      <c r="AE164" s="130"/>
    </row>
    <row r="165" spans="1:31" s="130" customFormat="1" ht="15.75" customHeight="1">
      <c r="A165" s="123" t="str">
        <f>IF(B165&lt;&gt;"",IF(AND(B165&gt;=_TM1,B165&lt;=_TM2,OR(TH!L166="1111",TH!M166="1111")),TH!D166,""),"")</f>
        <v/>
      </c>
      <c r="B165" s="12">
        <f t="shared" si="6"/>
        <v>8</v>
      </c>
      <c r="C165" s="108">
        <f t="shared" si="7"/>
        <v>42594</v>
      </c>
      <c r="D165" s="108" t="s">
        <v>577</v>
      </c>
      <c r="E165" s="113">
        <v>42594</v>
      </c>
      <c r="F165" s="112" t="s">
        <v>657</v>
      </c>
      <c r="G165" s="303" t="s">
        <v>724</v>
      </c>
      <c r="H165" s="4" t="s">
        <v>371</v>
      </c>
      <c r="I165" s="139">
        <v>80</v>
      </c>
      <c r="J165" s="139">
        <v>9200</v>
      </c>
      <c r="K165" s="13">
        <f t="shared" si="8"/>
        <v>736000</v>
      </c>
      <c r="L165" s="116" t="s">
        <v>252</v>
      </c>
      <c r="M165" s="411" t="s">
        <v>169</v>
      </c>
      <c r="N165" s="22" t="str">
        <f>IF(AND('331-CT'!$E$7=TH!H165,OR(L165="331",M165="331")),"331",IF(AND(OR(L165="131",M165="131"),H165='131-CT'!$E$7),"131",""))</f>
        <v/>
      </c>
      <c r="O165" s="22" t="str">
        <f>IF(AND($B165&gt;='111'!$N$11,$B165&lt;='111'!$O$11,OR($L165=$O$7,$M165=$O$7)),"x","")</f>
        <v/>
      </c>
      <c r="P165" s="22" t="str">
        <f>IF(AND($L165=$O$7,$B165&lt;'111'!$N$11),"x","")</f>
        <v/>
      </c>
      <c r="Q165" s="22" t="str">
        <f>IF(AND($M165=$O$7,$B165&lt;'111'!$N$11),"x","")</f>
        <v/>
      </c>
      <c r="R165" s="22" t="str">
        <f>IF(ISERROR(FIND('112'!$M$9,G165,1)),"",IF((AND(FIND('112'!$M$9,G165,1)&gt;=1,$B165&gt;='112'!$N$8,$B165&lt;='112'!$O$8,OR($L165='112'!$I$6,$M165='112'!$I$6))),"x",""))</f>
        <v/>
      </c>
      <c r="S165" s="22" t="str">
        <f>IF(ISERROR(FIND('112'!$M$9,G165,1)),"",IF((AND(LEFT(G165,2)=LEFT('112'!$M$9,2),B165&lt;'112'!$N$8,$L165='112'!$I$6)),"x",""))</f>
        <v/>
      </c>
      <c r="T165" s="22" t="str">
        <f>IF(ISERROR(FIND('112'!$M$9,G165,1)),"",IF((AND(RIGHT(G165,2)=RIGHT('112'!$M$9,2),B165&lt;'112'!$N$8,$M165='112'!$I$6)),"x",""))</f>
        <v/>
      </c>
      <c r="U165" s="22" t="str">
        <f>IF(AND(B165&gt;='IN-NX'!$P$3,B165&lt;='IN-NX'!$Q$3,'IN-NX'!$D$7=D165,OR(LEFT(L165,2)="15",AND(LEFT(M165,2)&lt;&gt;"15",LEFT(M165,2)&lt;&gt;"33"))),"x","")</f>
        <v/>
      </c>
      <c r="V165" s="22" t="str">
        <f>IF(AND(OR(LEFT(TH!L165,2)="15",LEFT(TH!M165,2)="15"),'152-CT'!$J$8=TH!F165),"x","")</f>
        <v/>
      </c>
      <c r="W165" s="22" t="str">
        <f>IF(AND(OR(LEFT(TH!L165,2)="15",LEFT(TH!M165,2)="15"),TK!$E$7=TH!F165),"x","")</f>
        <v/>
      </c>
      <c r="X165" s="22" t="str">
        <f>IF(OR(TH!L165=TH!$X$7,M165=TH!$X$7),"x","")</f>
        <v/>
      </c>
      <c r="Y165" s="22" t="str">
        <f>IF(AND(B165&lt;=NKC!$N$8,B165&gt;=NKC!$M$8),"x","")</f>
        <v>x</v>
      </c>
      <c r="Z165" s="580"/>
      <c r="AA165" s="406"/>
      <c r="AB165" s="406"/>
      <c r="AC165" s="406"/>
    </row>
    <row r="166" spans="1:31" s="130" customFormat="1" ht="15.75" customHeight="1">
      <c r="A166" s="123" t="str">
        <f>IF(B166&lt;&gt;"",IF(AND(B166&gt;=_TM1,B166&lt;=_TM2,OR(TH!L167="1111",TH!M167="1111")),TH!D167,""),"")</f>
        <v/>
      </c>
      <c r="B166" s="12">
        <f t="shared" si="6"/>
        <v>8</v>
      </c>
      <c r="C166" s="108">
        <f t="shared" si="7"/>
        <v>42594</v>
      </c>
      <c r="D166" s="108" t="s">
        <v>577</v>
      </c>
      <c r="E166" s="113">
        <v>42594</v>
      </c>
      <c r="F166" s="114" t="s">
        <v>658</v>
      </c>
      <c r="G166" s="303" t="s">
        <v>724</v>
      </c>
      <c r="H166" s="4" t="s">
        <v>371</v>
      </c>
      <c r="I166" s="139">
        <v>35</v>
      </c>
      <c r="J166" s="139">
        <v>9300</v>
      </c>
      <c r="K166" s="13">
        <f t="shared" si="8"/>
        <v>325500</v>
      </c>
      <c r="L166" s="116" t="s">
        <v>252</v>
      </c>
      <c r="M166" s="411" t="s">
        <v>169</v>
      </c>
      <c r="N166" s="22" t="str">
        <f>IF(AND('331-CT'!$E$7=TH!H166,OR(L166="331",M166="331")),"331",IF(AND(OR(L166="131",M166="131"),H166='131-CT'!$E$7),"131",""))</f>
        <v/>
      </c>
      <c r="O166" s="22" t="str">
        <f>IF(AND($B166&gt;='111'!$N$11,$B166&lt;='111'!$O$11,OR($L166=$O$7,$M166=$O$7)),"x","")</f>
        <v/>
      </c>
      <c r="P166" s="22" t="str">
        <f>IF(AND($L166=$O$7,$B166&lt;'111'!$N$11),"x","")</f>
        <v/>
      </c>
      <c r="Q166" s="22" t="str">
        <f>IF(AND($M166=$O$7,$B166&lt;'111'!$N$11),"x","")</f>
        <v/>
      </c>
      <c r="R166" s="22" t="str">
        <f>IF(ISERROR(FIND('112'!$M$9,G166,1)),"",IF((AND(FIND('112'!$M$9,G166,1)&gt;=1,$B166&gt;='112'!$N$8,$B166&lt;='112'!$O$8,OR($L166='112'!$I$6,$M166='112'!$I$6))),"x",""))</f>
        <v/>
      </c>
      <c r="S166" s="22" t="str">
        <f>IF(ISERROR(FIND('112'!$M$9,G166,1)),"",IF((AND(LEFT(G166,2)=LEFT('112'!$M$9,2),B166&lt;'112'!$N$8,$L166='112'!$I$6)),"x",""))</f>
        <v/>
      </c>
      <c r="T166" s="22" t="str">
        <f>IF(ISERROR(FIND('112'!$M$9,G166,1)),"",IF((AND(RIGHT(G166,2)=RIGHT('112'!$M$9,2),B166&lt;'112'!$N$8,$M166='112'!$I$6)),"x",""))</f>
        <v/>
      </c>
      <c r="U166" s="22" t="str">
        <f>IF(AND(B166&gt;='IN-NX'!$P$3,B166&lt;='IN-NX'!$Q$3,'IN-NX'!$D$7=D166,OR(LEFT(L166,2)="15",AND(LEFT(M166,2)&lt;&gt;"15",LEFT(M166,2)&lt;&gt;"33"))),"x","")</f>
        <v/>
      </c>
      <c r="V166" s="22" t="str">
        <f>IF(AND(OR(LEFT(TH!L166,2)="15",LEFT(TH!M166,2)="15"),'152-CT'!$J$8=TH!F166),"x","")</f>
        <v/>
      </c>
      <c r="W166" s="22" t="str">
        <f>IF(AND(OR(LEFT(TH!L166,2)="15",LEFT(TH!M166,2)="15"),TK!$E$7=TH!F166),"x","")</f>
        <v/>
      </c>
      <c r="X166" s="22" t="str">
        <f>IF(OR(TH!L166=TH!$X$7,M166=TH!$X$7),"x","")</f>
        <v/>
      </c>
      <c r="Y166" s="22" t="str">
        <f>IF(AND(B166&lt;=NKC!$N$8,B166&gt;=NKC!$M$8),"x","")</f>
        <v>x</v>
      </c>
      <c r="Z166" s="580"/>
      <c r="AA166" s="406"/>
      <c r="AB166" s="406"/>
    </row>
    <row r="167" spans="1:31" s="406" customFormat="1" ht="15.75" customHeight="1">
      <c r="A167" s="123" t="str">
        <f>IF(B167&lt;&gt;"",IF(AND(B167&gt;=_TM1,B167&lt;=_TM2,OR(TH!L168="1111",TH!M168="1111")),TH!D168,""),"")</f>
        <v/>
      </c>
      <c r="B167" s="12">
        <f t="shared" si="6"/>
        <v>8</v>
      </c>
      <c r="C167" s="108">
        <f t="shared" si="7"/>
        <v>42594</v>
      </c>
      <c r="D167" s="108" t="s">
        <v>577</v>
      </c>
      <c r="E167" s="113">
        <v>42594</v>
      </c>
      <c r="F167" s="112" t="s">
        <v>659</v>
      </c>
      <c r="G167" s="303" t="s">
        <v>724</v>
      </c>
      <c r="H167" s="4" t="s">
        <v>371</v>
      </c>
      <c r="I167" s="139">
        <v>90</v>
      </c>
      <c r="J167" s="139">
        <v>7500</v>
      </c>
      <c r="K167" s="13">
        <f t="shared" si="8"/>
        <v>675000</v>
      </c>
      <c r="L167" s="116" t="s">
        <v>252</v>
      </c>
      <c r="M167" s="411" t="s">
        <v>169</v>
      </c>
      <c r="N167" s="22" t="str">
        <f>IF(AND('331-CT'!$E$7=TH!H167,OR(L167="331",M167="331")),"331",IF(AND(OR(L167="131",M167="131"),H167='131-CT'!$E$7),"131",""))</f>
        <v/>
      </c>
      <c r="O167" s="22" t="str">
        <f>IF(AND($B167&gt;='111'!$N$11,$B167&lt;='111'!$O$11,OR($L167=$O$7,$M167=$O$7)),"x","")</f>
        <v/>
      </c>
      <c r="P167" s="22" t="str">
        <f>IF(AND($L167=$O$7,$B167&lt;'111'!$N$11),"x","")</f>
        <v/>
      </c>
      <c r="Q167" s="22" t="str">
        <f>IF(AND($M167=$O$7,$B167&lt;'111'!$N$11),"x","")</f>
        <v/>
      </c>
      <c r="R167" s="22" t="str">
        <f>IF(ISERROR(FIND('112'!$M$9,G167,1)),"",IF((AND(FIND('112'!$M$9,G167,1)&gt;=1,$B167&gt;='112'!$N$8,$B167&lt;='112'!$O$8,OR($L167='112'!$I$6,$M167='112'!$I$6))),"x",""))</f>
        <v/>
      </c>
      <c r="S167" s="22" t="str">
        <f>IF(ISERROR(FIND('112'!$M$9,G167,1)),"",IF((AND(LEFT(G167,2)=LEFT('112'!$M$9,2),B167&lt;'112'!$N$8,$L167='112'!$I$6)),"x",""))</f>
        <v/>
      </c>
      <c r="T167" s="22" t="str">
        <f>IF(ISERROR(FIND('112'!$M$9,G167,1)),"",IF((AND(RIGHT(G167,2)=RIGHT('112'!$M$9,2),B167&lt;'112'!$N$8,$M167='112'!$I$6)),"x",""))</f>
        <v/>
      </c>
      <c r="U167" s="22" t="str">
        <f>IF(AND(B167&gt;='IN-NX'!$P$3,B167&lt;='IN-NX'!$Q$3,'IN-NX'!$D$7=D167,OR(LEFT(L167,2)="15",AND(LEFT(M167,2)&lt;&gt;"15",LEFT(M167,2)&lt;&gt;"33"))),"x","")</f>
        <v/>
      </c>
      <c r="V167" s="22" t="str">
        <f>IF(AND(OR(LEFT(TH!L167,2)="15",LEFT(TH!M167,2)="15"),'152-CT'!$J$8=TH!F167),"x","")</f>
        <v/>
      </c>
      <c r="W167" s="22" t="str">
        <f>IF(AND(OR(LEFT(TH!L167,2)="15",LEFT(TH!M167,2)="15"),TK!$E$7=TH!F167),"x","")</f>
        <v/>
      </c>
      <c r="X167" s="22" t="str">
        <f>IF(OR(TH!L167=TH!$X$7,M167=TH!$X$7),"x","")</f>
        <v/>
      </c>
      <c r="Y167" s="22" t="str">
        <f>IF(AND(B167&lt;=NKC!$N$8,B167&gt;=NKC!$M$8),"x","")</f>
        <v>x</v>
      </c>
      <c r="Z167" s="580"/>
      <c r="AC167" s="130"/>
      <c r="AD167" s="130"/>
      <c r="AE167" s="130"/>
    </row>
    <row r="168" spans="1:31" s="406" customFormat="1" ht="15.75" customHeight="1">
      <c r="A168" s="123" t="str">
        <f>IF(B168&lt;&gt;"",IF(AND(B168&gt;=_TM1,B168&lt;=_TM2,OR(TH!L169="1111",TH!M169="1111")),TH!D169,""),"")</f>
        <v/>
      </c>
      <c r="B168" s="12">
        <f t="shared" si="6"/>
        <v>8</v>
      </c>
      <c r="C168" s="108">
        <f t="shared" si="7"/>
        <v>42594</v>
      </c>
      <c r="D168" s="108" t="s">
        <v>577</v>
      </c>
      <c r="E168" s="113">
        <v>42594</v>
      </c>
      <c r="F168" s="114" t="s">
        <v>660</v>
      </c>
      <c r="G168" s="303" t="s">
        <v>724</v>
      </c>
      <c r="H168" s="4" t="s">
        <v>371</v>
      </c>
      <c r="I168" s="139">
        <v>650</v>
      </c>
      <c r="J168" s="139">
        <v>6200</v>
      </c>
      <c r="K168" s="13">
        <f t="shared" si="8"/>
        <v>4030000</v>
      </c>
      <c r="L168" s="116" t="s">
        <v>252</v>
      </c>
      <c r="M168" s="411" t="s">
        <v>169</v>
      </c>
      <c r="N168" s="22" t="str">
        <f>IF(AND('331-CT'!$E$7=TH!H168,OR(L168="331",M168="331")),"331",IF(AND(OR(L168="131",M168="131"),H168='131-CT'!$E$7),"131",""))</f>
        <v/>
      </c>
      <c r="O168" s="22" t="str">
        <f>IF(AND($B168&gt;='111'!$N$11,$B168&lt;='111'!$O$11,OR($L168=$O$7,$M168=$O$7)),"x","")</f>
        <v/>
      </c>
      <c r="P168" s="22" t="str">
        <f>IF(AND($L168=$O$7,$B168&lt;'111'!$N$11),"x","")</f>
        <v/>
      </c>
      <c r="Q168" s="22" t="str">
        <f>IF(AND($M168=$O$7,$B168&lt;'111'!$N$11),"x","")</f>
        <v/>
      </c>
      <c r="R168" s="22" t="str">
        <f>IF(ISERROR(FIND('112'!$M$9,G168,1)),"",IF((AND(FIND('112'!$M$9,G168,1)&gt;=1,$B168&gt;='112'!$N$8,$B168&lt;='112'!$O$8,OR($L168='112'!$I$6,$M168='112'!$I$6))),"x",""))</f>
        <v/>
      </c>
      <c r="S168" s="22" t="str">
        <f>IF(ISERROR(FIND('112'!$M$9,G168,1)),"",IF((AND(LEFT(G168,2)=LEFT('112'!$M$9,2),B168&lt;'112'!$N$8,$L168='112'!$I$6)),"x",""))</f>
        <v/>
      </c>
      <c r="T168" s="22" t="str">
        <f>IF(ISERROR(FIND('112'!$M$9,G168,1)),"",IF((AND(RIGHT(G168,2)=RIGHT('112'!$M$9,2),B168&lt;'112'!$N$8,$M168='112'!$I$6)),"x",""))</f>
        <v/>
      </c>
      <c r="U168" s="22" t="str">
        <f>IF(AND(B168&gt;='IN-NX'!$P$3,B168&lt;='IN-NX'!$Q$3,'IN-NX'!$D$7=D168,OR(LEFT(L168,2)="15",AND(LEFT(M168,2)&lt;&gt;"15",LEFT(M168,2)&lt;&gt;"33"))),"x","")</f>
        <v/>
      </c>
      <c r="V168" s="22" t="str">
        <f>IF(AND(OR(LEFT(TH!L168,2)="15",LEFT(TH!M168,2)="15"),'152-CT'!$J$8=TH!F168),"x","")</f>
        <v/>
      </c>
      <c r="W168" s="22" t="str">
        <f>IF(AND(OR(LEFT(TH!L168,2)="15",LEFT(TH!M168,2)="15"),TK!$E$7=TH!F168),"x","")</f>
        <v/>
      </c>
      <c r="X168" s="22" t="str">
        <f>IF(OR(TH!L168=TH!$X$7,M168=TH!$X$7),"x","")</f>
        <v/>
      </c>
      <c r="Y168" s="22" t="str">
        <f>IF(AND(B168&lt;=NKC!$N$8,B168&gt;=NKC!$M$8),"x","")</f>
        <v>x</v>
      </c>
      <c r="Z168" s="580"/>
      <c r="AC168" s="130"/>
      <c r="AD168" s="130"/>
      <c r="AE168" s="130"/>
    </row>
    <row r="169" spans="1:31" s="406" customFormat="1" ht="15.75" customHeight="1">
      <c r="A169" s="123" t="str">
        <f>IF(B169&lt;&gt;"",IF(AND(B169&gt;=_TM1,B169&lt;=_TM2,OR(TH!L170="1111",TH!M170="1111")),TH!D170,""),"")</f>
        <v/>
      </c>
      <c r="B169" s="12">
        <f t="shared" si="6"/>
        <v>8</v>
      </c>
      <c r="C169" s="108">
        <f t="shared" si="7"/>
        <v>42594</v>
      </c>
      <c r="D169" s="108" t="s">
        <v>577</v>
      </c>
      <c r="E169" s="113">
        <v>42594</v>
      </c>
      <c r="F169" s="112" t="s">
        <v>661</v>
      </c>
      <c r="G169" s="303" t="s">
        <v>724</v>
      </c>
      <c r="H169" s="4" t="s">
        <v>371</v>
      </c>
      <c r="I169" s="139">
        <v>210</v>
      </c>
      <c r="J169" s="139">
        <v>9500</v>
      </c>
      <c r="K169" s="13">
        <f t="shared" si="8"/>
        <v>1995000</v>
      </c>
      <c r="L169" s="116" t="s">
        <v>252</v>
      </c>
      <c r="M169" s="411" t="s">
        <v>169</v>
      </c>
      <c r="N169" s="22" t="str">
        <f>IF(AND('331-CT'!$E$7=TH!H169,OR(L169="331",M169="331")),"331",IF(AND(OR(L169="131",M169="131"),H169='131-CT'!$E$7),"131",""))</f>
        <v/>
      </c>
      <c r="O169" s="22" t="str">
        <f>IF(AND($B169&gt;='111'!$N$11,$B169&lt;='111'!$O$11,OR($L169=$O$7,$M169=$O$7)),"x","")</f>
        <v/>
      </c>
      <c r="P169" s="22" t="str">
        <f>IF(AND($L169=$O$7,$B169&lt;'111'!$N$11),"x","")</f>
        <v/>
      </c>
      <c r="Q169" s="22" t="str">
        <f>IF(AND($M169=$O$7,$B169&lt;'111'!$N$11),"x","")</f>
        <v/>
      </c>
      <c r="R169" s="22" t="str">
        <f>IF(ISERROR(FIND('112'!$M$9,G169,1)),"",IF((AND(FIND('112'!$M$9,G169,1)&gt;=1,$B169&gt;='112'!$N$8,$B169&lt;='112'!$O$8,OR($L169='112'!$I$6,$M169='112'!$I$6))),"x",""))</f>
        <v/>
      </c>
      <c r="S169" s="22" t="str">
        <f>IF(ISERROR(FIND('112'!$M$9,G169,1)),"",IF((AND(LEFT(G169,2)=LEFT('112'!$M$9,2),B169&lt;'112'!$N$8,$L169='112'!$I$6)),"x",""))</f>
        <v/>
      </c>
      <c r="T169" s="22" t="str">
        <f>IF(ISERROR(FIND('112'!$M$9,G169,1)),"",IF((AND(RIGHT(G169,2)=RIGHT('112'!$M$9,2),B169&lt;'112'!$N$8,$M169='112'!$I$6)),"x",""))</f>
        <v/>
      </c>
      <c r="U169" s="22" t="str">
        <f>IF(AND(B169&gt;='IN-NX'!$P$3,B169&lt;='IN-NX'!$Q$3,'IN-NX'!$D$7=D169,OR(LEFT(L169,2)="15",AND(LEFT(M169,2)&lt;&gt;"15",LEFT(M169,2)&lt;&gt;"33"))),"x","")</f>
        <v/>
      </c>
      <c r="V169" s="22" t="str">
        <f>IF(AND(OR(LEFT(TH!L169,2)="15",LEFT(TH!M169,2)="15"),'152-CT'!$J$8=TH!F169),"x","")</f>
        <v/>
      </c>
      <c r="W169" s="22" t="str">
        <f>IF(AND(OR(LEFT(TH!L169,2)="15",LEFT(TH!M169,2)="15"),TK!$E$7=TH!F169),"x","")</f>
        <v/>
      </c>
      <c r="X169" s="22" t="str">
        <f>IF(OR(TH!L169=TH!$X$7,M169=TH!$X$7),"x","")</f>
        <v/>
      </c>
      <c r="Y169" s="22" t="str">
        <f>IF(AND(B169&lt;=NKC!$N$8,B169&gt;=NKC!$M$8),"x","")</f>
        <v>x</v>
      </c>
      <c r="Z169" s="580"/>
      <c r="AB169" s="130"/>
      <c r="AC169" s="130"/>
      <c r="AD169" s="130"/>
      <c r="AE169" s="130"/>
    </row>
    <row r="170" spans="1:31" s="406" customFormat="1" ht="15.75" customHeight="1">
      <c r="A170" s="123" t="str">
        <f>IF(B170&lt;&gt;"",IF(AND(B170&gt;=_TM1,B170&lt;=_TM2,OR(TH!L171="1111",TH!M171="1111")),TH!D171,""),"")</f>
        <v/>
      </c>
      <c r="B170" s="12">
        <f t="shared" si="6"/>
        <v>8</v>
      </c>
      <c r="C170" s="108">
        <f t="shared" si="7"/>
        <v>42594</v>
      </c>
      <c r="D170" s="108" t="s">
        <v>577</v>
      </c>
      <c r="E170" s="113">
        <v>42594</v>
      </c>
      <c r="F170" s="112" t="s">
        <v>496</v>
      </c>
      <c r="G170" s="303" t="s">
        <v>724</v>
      </c>
      <c r="H170" s="4" t="s">
        <v>371</v>
      </c>
      <c r="I170" s="139"/>
      <c r="J170" s="139"/>
      <c r="K170" s="13">
        <v>2021030</v>
      </c>
      <c r="L170" s="116" t="s">
        <v>252</v>
      </c>
      <c r="M170" s="411" t="s">
        <v>352</v>
      </c>
      <c r="N170" s="22" t="str">
        <f>IF(AND('331-CT'!$E$7=TH!H170,OR(L170="331",M170="331")),"331",IF(AND(OR(L170="131",M170="131"),H170='131-CT'!$E$7),"131",""))</f>
        <v/>
      </c>
      <c r="O170" s="22" t="str">
        <f>IF(AND($B170&gt;='111'!$N$11,$B170&lt;='111'!$O$11,OR($L170=$O$7,$M170=$O$7)),"x","")</f>
        <v/>
      </c>
      <c r="P170" s="22" t="str">
        <f>IF(AND($L170=$O$7,$B170&lt;'111'!$N$11),"x","")</f>
        <v/>
      </c>
      <c r="Q170" s="22" t="str">
        <f>IF(AND($M170=$O$7,$B170&lt;'111'!$N$11),"x","")</f>
        <v/>
      </c>
      <c r="R170" s="22" t="str">
        <f>IF(ISERROR(FIND('112'!$M$9,G170,1)),"",IF((AND(FIND('112'!$M$9,G170,1)&gt;=1,$B170&gt;='112'!$N$8,$B170&lt;='112'!$O$8,OR($L170='112'!$I$6,$M170='112'!$I$6))),"x",""))</f>
        <v/>
      </c>
      <c r="S170" s="22" t="str">
        <f>IF(ISERROR(FIND('112'!$M$9,G170,1)),"",IF((AND(LEFT(G170,2)=LEFT('112'!$M$9,2),B170&lt;'112'!$N$8,$L170='112'!$I$6)),"x",""))</f>
        <v/>
      </c>
      <c r="T170" s="22" t="str">
        <f>IF(ISERROR(FIND('112'!$M$9,G170,1)),"",IF((AND(RIGHT(G170,2)=RIGHT('112'!$M$9,2),B170&lt;'112'!$N$8,$M170='112'!$I$6)),"x",""))</f>
        <v/>
      </c>
      <c r="U170" s="22" t="str">
        <f>IF(AND(B170&gt;='IN-NX'!$P$3,B170&lt;='IN-NX'!$Q$3,'IN-NX'!$D$7=D170,OR(LEFT(L170,2)="15",AND(LEFT(M170,2)&lt;&gt;"15",LEFT(M170,2)&lt;&gt;"33"))),"x","")</f>
        <v/>
      </c>
      <c r="V170" s="22" t="str">
        <f>IF(AND(OR(LEFT(TH!L170,2)="15",LEFT(TH!M170,2)="15"),'152-CT'!$J$8=TH!F170),"x","")</f>
        <v/>
      </c>
      <c r="W170" s="22" t="str">
        <f>IF(AND(OR(LEFT(TH!L170,2)="15",LEFT(TH!M170,2)="15"),TK!$E$7=TH!F170),"x","")</f>
        <v/>
      </c>
      <c r="X170" s="22" t="str">
        <f>IF(OR(TH!L170=TH!$X$7,M170=TH!$X$7),"x","")</f>
        <v/>
      </c>
      <c r="Y170" s="22" t="str">
        <f>IF(AND(B170&lt;=NKC!$N$8,B170&gt;=NKC!$M$8),"x","")</f>
        <v>x</v>
      </c>
      <c r="Z170" s="580"/>
      <c r="AC170" s="130"/>
      <c r="AD170" s="130"/>
      <c r="AE170" s="130"/>
    </row>
    <row r="171" spans="1:31" s="406" customFormat="1" ht="15.75" customHeight="1">
      <c r="A171" s="123" t="str">
        <f>IF(B171&lt;&gt;"",IF(AND(B171&gt;=_TM1,B171&lt;=_TM2,OR(TH!L172="1111",TH!M172="1111")),TH!D172,""),"")</f>
        <v/>
      </c>
      <c r="B171" s="12">
        <f t="shared" si="6"/>
        <v>8</v>
      </c>
      <c r="C171" s="108">
        <f t="shared" si="7"/>
        <v>42595</v>
      </c>
      <c r="D171" s="108" t="s">
        <v>460</v>
      </c>
      <c r="E171" s="108">
        <v>42595</v>
      </c>
      <c r="F171" s="112" t="s">
        <v>444</v>
      </c>
      <c r="G171" s="303" t="s">
        <v>443</v>
      </c>
      <c r="H171" s="115" t="s">
        <v>442</v>
      </c>
      <c r="I171" s="139">
        <v>19810</v>
      </c>
      <c r="J171" s="139">
        <v>780</v>
      </c>
      <c r="K171" s="13">
        <f>ROUND(I171*J171,0)</f>
        <v>15451800</v>
      </c>
      <c r="L171" s="116" t="s">
        <v>156</v>
      </c>
      <c r="M171" s="116" t="s">
        <v>8</v>
      </c>
      <c r="N171" s="22" t="str">
        <f>IF(AND('331-CT'!$E$7=TH!H171,OR(L171="331",M171="331")),"331",IF(AND(OR(L171="131",M171="131"),H171='131-CT'!$E$7),"131",""))</f>
        <v>331</v>
      </c>
      <c r="O171" s="22" t="str">
        <f>IF(AND($B171&gt;='111'!$N$11,$B171&lt;='111'!$O$11,OR($L171=$O$7,$M171=$O$7)),"x","")</f>
        <v/>
      </c>
      <c r="P171" s="22" t="str">
        <f>IF(AND($L171=$O$7,$B171&lt;'111'!$N$11),"x","")</f>
        <v/>
      </c>
      <c r="Q171" s="22" t="str">
        <f>IF(AND($M171=$O$7,$B171&lt;'111'!$N$11),"x","")</f>
        <v/>
      </c>
      <c r="R171" s="22" t="str">
        <f>IF(ISERROR(FIND('112'!$M$9,G171,1)),"",IF((AND(FIND('112'!$M$9,G171,1)&gt;=1,$B171&gt;='112'!$N$8,$B171&lt;='112'!$O$8,OR($L171='112'!$I$6,$M171='112'!$I$6))),"x",""))</f>
        <v/>
      </c>
      <c r="S171" s="22" t="str">
        <f>IF(ISERROR(FIND('112'!$M$9,G171,1)),"",IF((AND(LEFT(G171,2)=LEFT('112'!$M$9,2),B171&lt;'112'!$N$8,$L171='112'!$I$6)),"x",""))</f>
        <v/>
      </c>
      <c r="T171" s="22" t="str">
        <f>IF(ISERROR(FIND('112'!$M$9,G171,1)),"",IF((AND(RIGHT(G171,2)=RIGHT('112'!$M$9,2),B171&lt;'112'!$N$8,$M171='112'!$I$6)),"x",""))</f>
        <v/>
      </c>
      <c r="U171" s="22" t="str">
        <f>IF(AND(B171&gt;='IN-NX'!$P$3,B171&lt;='IN-NX'!$Q$3,'IN-NX'!$D$7=D171,OR(LEFT(L171,2)="15",AND(LEFT(M171,2)&lt;&gt;"15",LEFT(M171,2)&lt;&gt;"33"))),"x","")</f>
        <v/>
      </c>
      <c r="V171" s="22" t="str">
        <f>IF(AND(OR(LEFT(TH!L171,2)="15",LEFT(TH!M171,2)="15"),'152-CT'!$J$8=TH!F171),"x","")</f>
        <v/>
      </c>
      <c r="W171" s="22" t="str">
        <f>IF(AND(OR(LEFT(TH!L171,2)="15",LEFT(TH!M171,2)="15"),TK!$E$7=TH!F171),"x","")</f>
        <v>x</v>
      </c>
      <c r="X171" s="22" t="str">
        <f>IF(OR(TH!L171=TH!$X$7,M171=TH!$X$7),"x","")</f>
        <v/>
      </c>
      <c r="Y171" s="22" t="str">
        <f>IF(AND(B171&lt;=NKC!$N$8,B171&gt;=NKC!$M$8),"x","")</f>
        <v>x</v>
      </c>
      <c r="Z171" s="580">
        <v>3</v>
      </c>
    </row>
    <row r="172" spans="1:31" s="406" customFormat="1" ht="15.75" customHeight="1">
      <c r="A172" s="123" t="str">
        <f>IF(B172&lt;&gt;"",IF(AND(B172&gt;=_TM1,B172&lt;=_TM2,OR(TH!L173="1111",TH!M173="1111")),TH!D173,""),"")</f>
        <v/>
      </c>
      <c r="B172" s="12">
        <f t="shared" si="6"/>
        <v>8</v>
      </c>
      <c r="C172" s="108">
        <f t="shared" si="7"/>
        <v>42595</v>
      </c>
      <c r="D172" s="108" t="s">
        <v>460</v>
      </c>
      <c r="E172" s="108">
        <v>42595</v>
      </c>
      <c r="F172" s="112" t="s">
        <v>445</v>
      </c>
      <c r="G172" s="303" t="s">
        <v>443</v>
      </c>
      <c r="H172" s="115" t="s">
        <v>442</v>
      </c>
      <c r="I172" s="139"/>
      <c r="J172" s="139"/>
      <c r="K172" s="410">
        <v>1545180</v>
      </c>
      <c r="L172" s="116" t="s">
        <v>9</v>
      </c>
      <c r="M172" s="116" t="s">
        <v>8</v>
      </c>
      <c r="N172" s="22" t="str">
        <f>IF(AND('331-CT'!$E$7=TH!H172,OR(L172="331",M172="331")),"331",IF(AND(OR(L172="131",M172="131"),H172='131-CT'!$E$7),"131",""))</f>
        <v>331</v>
      </c>
      <c r="O172" s="22" t="str">
        <f>IF(AND($B172&gt;='111'!$N$11,$B172&lt;='111'!$O$11,OR($L172=$O$7,$M172=$O$7)),"x","")</f>
        <v/>
      </c>
      <c r="P172" s="22" t="str">
        <f>IF(AND($L172=$O$7,$B172&lt;'111'!$N$11),"x","")</f>
        <v/>
      </c>
      <c r="Q172" s="22" t="str">
        <f>IF(AND($M172=$O$7,$B172&lt;'111'!$N$11),"x","")</f>
        <v/>
      </c>
      <c r="R172" s="22" t="str">
        <f>IF(ISERROR(FIND('112'!$M$9,G172,1)),"",IF((AND(FIND('112'!$M$9,G172,1)&gt;=1,$B172&gt;='112'!$N$8,$B172&lt;='112'!$O$8,OR($L172='112'!$I$6,$M172='112'!$I$6))),"x",""))</f>
        <v/>
      </c>
      <c r="S172" s="22" t="str">
        <f>IF(ISERROR(FIND('112'!$M$9,G172,1)),"",IF((AND(LEFT(G172,2)=LEFT('112'!$M$9,2),B172&lt;'112'!$N$8,$L172='112'!$I$6)),"x",""))</f>
        <v/>
      </c>
      <c r="T172" s="22" t="str">
        <f>IF(ISERROR(FIND('112'!$M$9,G172,1)),"",IF((AND(RIGHT(G172,2)=RIGHT('112'!$M$9,2),B172&lt;'112'!$N$8,$M172='112'!$I$6)),"x",""))</f>
        <v/>
      </c>
      <c r="U172" s="22" t="str">
        <f>IF(AND(B172&gt;='IN-NX'!$P$3,B172&lt;='IN-NX'!$Q$3,'IN-NX'!$D$7=D172,OR(LEFT(L172,2)="15",AND(LEFT(M172,2)&lt;&gt;"15",LEFT(M172,2)&lt;&gt;"33"))),"x","")</f>
        <v/>
      </c>
      <c r="V172" s="22" t="str">
        <f>IF(AND(OR(LEFT(TH!L172,2)="15",LEFT(TH!M172,2)="15"),'152-CT'!$J$8=TH!F172),"x","")</f>
        <v/>
      </c>
      <c r="W172" s="22" t="str">
        <f>IF(AND(OR(LEFT(TH!L172,2)="15",LEFT(TH!M172,2)="15"),TK!$E$7=TH!F172),"x","")</f>
        <v/>
      </c>
      <c r="X172" s="22" t="str">
        <f>IF(OR(TH!L172=TH!$X$7,M172=TH!$X$7),"x","")</f>
        <v/>
      </c>
      <c r="Y172" s="22" t="str">
        <f>IF(AND(B172&lt;=NKC!$N$8,B172&gt;=NKC!$M$8),"x","")</f>
        <v>x</v>
      </c>
      <c r="Z172" s="580">
        <v>3</v>
      </c>
    </row>
    <row r="173" spans="1:31" s="406" customFormat="1" ht="15.75" customHeight="1">
      <c r="A173" s="123" t="str">
        <f>IF(B173&lt;&gt;"",IF(AND(B173&gt;=_TM1,B173&lt;=_TM2,OR(TH!L174="1111",TH!M174="1111")),TH!D174,""),"")</f>
        <v/>
      </c>
      <c r="B173" s="12">
        <f t="shared" si="6"/>
        <v>8</v>
      </c>
      <c r="C173" s="108">
        <f t="shared" si="7"/>
        <v>42595</v>
      </c>
      <c r="D173" s="108" t="s">
        <v>640</v>
      </c>
      <c r="E173" s="108">
        <v>42595</v>
      </c>
      <c r="F173" s="112" t="s">
        <v>465</v>
      </c>
      <c r="G173" s="303" t="s">
        <v>443</v>
      </c>
      <c r="H173" s="115" t="s">
        <v>442</v>
      </c>
      <c r="I173" s="139"/>
      <c r="J173" s="139"/>
      <c r="K173" s="410">
        <v>16996980</v>
      </c>
      <c r="L173" s="116" t="s">
        <v>8</v>
      </c>
      <c r="M173" s="116" t="s">
        <v>46</v>
      </c>
      <c r="N173" s="22" t="str">
        <f>IF(AND('331-CT'!$E$7=TH!H173,OR(L173="331",M173="331")),"331",IF(AND(OR(L173="131",M173="131"),H173='131-CT'!$E$7),"131",""))</f>
        <v>331</v>
      </c>
      <c r="O173" s="22" t="str">
        <f>IF(AND($B173&gt;='111'!$N$11,$B173&lt;='111'!$O$11,OR($L173=$O$7,$M173=$O$7)),"x","")</f>
        <v/>
      </c>
      <c r="P173" s="22" t="str">
        <f>IF(AND($L173=$O$7,$B173&lt;'111'!$N$11),"x","")</f>
        <v/>
      </c>
      <c r="Q173" s="22" t="str">
        <f>IF(AND($M173=$O$7,$B173&lt;'111'!$N$11),"x","")</f>
        <v>x</v>
      </c>
      <c r="R173" s="22" t="str">
        <f>IF(ISERROR(FIND('112'!$M$9,G173,1)),"",IF((AND(FIND('112'!$M$9,G173,1)&gt;=1,$B173&gt;='112'!$N$8,$B173&lt;='112'!$O$8,OR($L173='112'!$I$6,$M173='112'!$I$6))),"x",""))</f>
        <v/>
      </c>
      <c r="S173" s="22" t="str">
        <f>IF(ISERROR(FIND('112'!$M$9,G173,1)),"",IF((AND(LEFT(G173,2)=LEFT('112'!$M$9,2),B173&lt;'112'!$N$8,$L173='112'!$I$6)),"x",""))</f>
        <v/>
      </c>
      <c r="T173" s="22" t="str">
        <f>IF(ISERROR(FIND('112'!$M$9,G173,1)),"",IF((AND(RIGHT(G173,2)=RIGHT('112'!$M$9,2),B173&lt;'112'!$N$8,$M173='112'!$I$6)),"x",""))</f>
        <v/>
      </c>
      <c r="U173" s="22" t="str">
        <f>IF(AND(B173&gt;='IN-NX'!$P$3,B173&lt;='IN-NX'!$Q$3,'IN-NX'!$D$7=D173,OR(LEFT(L173,2)="15",AND(LEFT(M173,2)&lt;&gt;"15",LEFT(M173,2)&lt;&gt;"33"))),"x","")</f>
        <v/>
      </c>
      <c r="V173" s="22" t="str">
        <f>IF(AND(OR(LEFT(TH!L173,2)="15",LEFT(TH!M173,2)="15"),'152-CT'!$J$8=TH!F173),"x","")</f>
        <v/>
      </c>
      <c r="W173" s="22" t="str">
        <f>IF(AND(OR(LEFT(TH!L173,2)="15",LEFT(TH!M173,2)="15"),TK!$E$7=TH!F173),"x","")</f>
        <v/>
      </c>
      <c r="X173" s="22" t="str">
        <f>IF(OR(TH!L173=TH!$X$7,M173=TH!$X$7),"x","")</f>
        <v/>
      </c>
      <c r="Y173" s="22" t="str">
        <f>IF(AND(B173&lt;=NKC!$N$8,B173&gt;=NKC!$M$8),"x","")</f>
        <v>x</v>
      </c>
      <c r="Z173" s="580"/>
    </row>
    <row r="174" spans="1:31" s="130" customFormat="1" ht="15.75" customHeight="1">
      <c r="A174" s="123" t="str">
        <f>IF(B174&lt;&gt;"",IF(AND(B174&gt;=_TM1,B174&lt;=_TM2,OR(TH!L175="1111",TH!M175="1111")),TH!D175,""),"")</f>
        <v/>
      </c>
      <c r="B174" s="12">
        <f t="shared" si="6"/>
        <v>8</v>
      </c>
      <c r="C174" s="108">
        <f t="shared" si="7"/>
        <v>42597</v>
      </c>
      <c r="D174" s="108" t="s">
        <v>578</v>
      </c>
      <c r="E174" s="113">
        <v>42597</v>
      </c>
      <c r="F174" s="112" t="s">
        <v>527</v>
      </c>
      <c r="G174" s="303" t="s">
        <v>725</v>
      </c>
      <c r="H174" s="4" t="s">
        <v>620</v>
      </c>
      <c r="I174" s="139">
        <v>429</v>
      </c>
      <c r="J174" s="139">
        <v>6000</v>
      </c>
      <c r="K174" s="13">
        <f>ROUND(I174*J174,0)</f>
        <v>2574000</v>
      </c>
      <c r="L174" s="116" t="s">
        <v>252</v>
      </c>
      <c r="M174" s="411" t="s">
        <v>169</v>
      </c>
      <c r="N174" s="22" t="str">
        <f>IF(AND('331-CT'!$E$7=TH!H174,OR(L174="331",M174="331")),"331",IF(AND(OR(L174="131",M174="131"),H174='131-CT'!$E$7),"131",""))</f>
        <v/>
      </c>
      <c r="O174" s="22" t="str">
        <f>IF(AND($B174&gt;='111'!$N$11,$B174&lt;='111'!$O$11,OR($L174=$O$7,$M174=$O$7)),"x","")</f>
        <v/>
      </c>
      <c r="P174" s="22" t="str">
        <f>IF(AND($L174=$O$7,$B174&lt;'111'!$N$11),"x","")</f>
        <v/>
      </c>
      <c r="Q174" s="22" t="str">
        <f>IF(AND($M174=$O$7,$B174&lt;'111'!$N$11),"x","")</f>
        <v/>
      </c>
      <c r="R174" s="22" t="str">
        <f>IF(ISERROR(FIND('112'!$M$9,G174,1)),"",IF((AND(FIND('112'!$M$9,G174,1)&gt;=1,$B174&gt;='112'!$N$8,$B174&lt;='112'!$O$8,OR($L174='112'!$I$6,$M174='112'!$I$6))),"x",""))</f>
        <v/>
      </c>
      <c r="S174" s="22" t="str">
        <f>IF(ISERROR(FIND('112'!$M$9,G174,1)),"",IF((AND(LEFT(G174,2)=LEFT('112'!$M$9,2),B174&lt;'112'!$N$8,$L174='112'!$I$6)),"x",""))</f>
        <v/>
      </c>
      <c r="T174" s="22" t="str">
        <f>IF(ISERROR(FIND('112'!$M$9,G174,1)),"",IF((AND(RIGHT(G174,2)=RIGHT('112'!$M$9,2),B174&lt;'112'!$N$8,$M174='112'!$I$6)),"x",""))</f>
        <v/>
      </c>
      <c r="U174" s="22" t="str">
        <f>IF(AND(B174&gt;='IN-NX'!$P$3,B174&lt;='IN-NX'!$Q$3,'IN-NX'!$D$7=D174,OR(LEFT(L174,2)="15",AND(LEFT(M174,2)&lt;&gt;"15",LEFT(M174,2)&lt;&gt;"33"))),"x","")</f>
        <v/>
      </c>
      <c r="V174" s="22" t="str">
        <f>IF(AND(OR(LEFT(TH!L174,2)="15",LEFT(TH!M174,2)="15"),'152-CT'!$J$8=TH!F174),"x","")</f>
        <v/>
      </c>
      <c r="W174" s="22" t="str">
        <f>IF(AND(OR(LEFT(TH!L174,2)="15",LEFT(TH!M174,2)="15"),TK!$E$7=TH!F174),"x","")</f>
        <v/>
      </c>
      <c r="X174" s="22" t="str">
        <f>IF(OR(TH!L174=TH!$X$7,M174=TH!$X$7),"x","")</f>
        <v/>
      </c>
      <c r="Y174" s="22" t="str">
        <f>IF(AND(B174&lt;=NKC!$N$8,B174&gt;=NKC!$M$8),"x","")</f>
        <v>x</v>
      </c>
      <c r="Z174" s="580"/>
      <c r="AA174" s="406"/>
    </row>
    <row r="175" spans="1:31" s="130" customFormat="1" ht="15.75" customHeight="1">
      <c r="A175" s="123" t="str">
        <f>IF(B175&lt;&gt;"",IF(AND(B175&gt;=_TM1,B175&lt;=_TM2,OR(TH!L176="1111",TH!M176="1111")),TH!D176,""),"")</f>
        <v/>
      </c>
      <c r="B175" s="12">
        <f t="shared" si="6"/>
        <v>8</v>
      </c>
      <c r="C175" s="108">
        <f t="shared" si="7"/>
        <v>42597</v>
      </c>
      <c r="D175" s="108" t="s">
        <v>578</v>
      </c>
      <c r="E175" s="113">
        <v>42597</v>
      </c>
      <c r="F175" s="112" t="s">
        <v>528</v>
      </c>
      <c r="G175" s="303" t="s">
        <v>725</v>
      </c>
      <c r="H175" s="4" t="s">
        <v>620</v>
      </c>
      <c r="I175" s="139">
        <v>370</v>
      </c>
      <c r="J175" s="139">
        <v>6600</v>
      </c>
      <c r="K175" s="13">
        <f>ROUND(I175*J175,0)</f>
        <v>2442000</v>
      </c>
      <c r="L175" s="116" t="s">
        <v>252</v>
      </c>
      <c r="M175" s="411" t="s">
        <v>169</v>
      </c>
      <c r="N175" s="22" t="str">
        <f>IF(AND('331-CT'!$E$7=TH!H175,OR(L175="331",M175="331")),"331",IF(AND(OR(L175="131",M175="131"),H175='131-CT'!$E$7),"131",""))</f>
        <v/>
      </c>
      <c r="O175" s="22" t="str">
        <f>IF(AND($B175&gt;='111'!$N$11,$B175&lt;='111'!$O$11,OR($L175=$O$7,$M175=$O$7)),"x","")</f>
        <v/>
      </c>
      <c r="P175" s="22" t="str">
        <f>IF(AND($L175=$O$7,$B175&lt;'111'!$N$11),"x","")</f>
        <v/>
      </c>
      <c r="Q175" s="22" t="str">
        <f>IF(AND($M175=$O$7,$B175&lt;'111'!$N$11),"x","")</f>
        <v/>
      </c>
      <c r="R175" s="22" t="str">
        <f>IF(ISERROR(FIND('112'!$M$9,G175,1)),"",IF((AND(FIND('112'!$M$9,G175,1)&gt;=1,$B175&gt;='112'!$N$8,$B175&lt;='112'!$O$8,OR($L175='112'!$I$6,$M175='112'!$I$6))),"x",""))</f>
        <v/>
      </c>
      <c r="S175" s="22" t="str">
        <f>IF(ISERROR(FIND('112'!$M$9,G175,1)),"",IF((AND(LEFT(G175,2)=LEFT('112'!$M$9,2),B175&lt;'112'!$N$8,$L175='112'!$I$6)),"x",""))</f>
        <v/>
      </c>
      <c r="T175" s="22" t="str">
        <f>IF(ISERROR(FIND('112'!$M$9,G175,1)),"",IF((AND(RIGHT(G175,2)=RIGHT('112'!$M$9,2),B175&lt;'112'!$N$8,$M175='112'!$I$6)),"x",""))</f>
        <v/>
      </c>
      <c r="U175" s="22" t="str">
        <f>IF(AND(B175&gt;='IN-NX'!$P$3,B175&lt;='IN-NX'!$Q$3,'IN-NX'!$D$7=D175,OR(LEFT(L175,2)="15",AND(LEFT(M175,2)&lt;&gt;"15",LEFT(M175,2)&lt;&gt;"33"))),"x","")</f>
        <v/>
      </c>
      <c r="V175" s="22" t="str">
        <f>IF(AND(OR(LEFT(TH!L175,2)="15",LEFT(TH!M175,2)="15"),'152-CT'!$J$8=TH!F175),"x","")</f>
        <v/>
      </c>
      <c r="W175" s="22" t="str">
        <f>IF(AND(OR(LEFT(TH!L175,2)="15",LEFT(TH!M175,2)="15"),TK!$E$7=TH!F175),"x","")</f>
        <v/>
      </c>
      <c r="X175" s="22" t="str">
        <f>IF(OR(TH!L175=TH!$X$7,M175=TH!$X$7),"x","")</f>
        <v/>
      </c>
      <c r="Y175" s="22" t="str">
        <f>IF(AND(B175&lt;=NKC!$N$8,B175&gt;=NKC!$M$8),"x","")</f>
        <v>x</v>
      </c>
      <c r="Z175" s="580"/>
      <c r="AA175" s="406"/>
      <c r="AB175" s="406"/>
    </row>
    <row r="176" spans="1:31" s="130" customFormat="1" ht="15.75" customHeight="1">
      <c r="A176" s="123" t="str">
        <f>IF(B176&lt;&gt;"",IF(AND(B176&gt;=_TM1,B176&lt;=_TM2,OR(TH!L177="1111",TH!M177="1111")),TH!D177,""),"")</f>
        <v/>
      </c>
      <c r="B176" s="12">
        <f t="shared" si="6"/>
        <v>8</v>
      </c>
      <c r="C176" s="108">
        <f t="shared" si="7"/>
        <v>42597</v>
      </c>
      <c r="D176" s="108" t="s">
        <v>578</v>
      </c>
      <c r="E176" s="113">
        <v>42597</v>
      </c>
      <c r="F176" s="112" t="s">
        <v>496</v>
      </c>
      <c r="G176" s="303" t="s">
        <v>725</v>
      </c>
      <c r="H176" s="4" t="s">
        <v>620</v>
      </c>
      <c r="I176" s="139"/>
      <c r="J176" s="139"/>
      <c r="K176" s="13">
        <v>501600</v>
      </c>
      <c r="L176" s="116" t="s">
        <v>252</v>
      </c>
      <c r="M176" s="411" t="s">
        <v>352</v>
      </c>
      <c r="N176" s="22" t="str">
        <f>IF(AND('331-CT'!$E$7=TH!H176,OR(L176="331",M176="331")),"331",IF(AND(OR(L176="131",M176="131"),H176='131-CT'!$E$7),"131",""))</f>
        <v/>
      </c>
      <c r="O176" s="22" t="str">
        <f>IF(AND($B176&gt;='111'!$N$11,$B176&lt;='111'!$O$11,OR($L176=$O$7,$M176=$O$7)),"x","")</f>
        <v/>
      </c>
      <c r="P176" s="22" t="str">
        <f>IF(AND($L176=$O$7,$B176&lt;'111'!$N$11),"x","")</f>
        <v/>
      </c>
      <c r="Q176" s="22" t="str">
        <f>IF(AND($M176=$O$7,$B176&lt;'111'!$N$11),"x","")</f>
        <v/>
      </c>
      <c r="R176" s="22" t="str">
        <f>IF(ISERROR(FIND('112'!$M$9,G176,1)),"",IF((AND(FIND('112'!$M$9,G176,1)&gt;=1,$B176&gt;='112'!$N$8,$B176&lt;='112'!$O$8,OR($L176='112'!$I$6,$M176='112'!$I$6))),"x",""))</f>
        <v/>
      </c>
      <c r="S176" s="22" t="str">
        <f>IF(ISERROR(FIND('112'!$M$9,G176,1)),"",IF((AND(LEFT(G176,2)=LEFT('112'!$M$9,2),B176&lt;'112'!$N$8,$L176='112'!$I$6)),"x",""))</f>
        <v/>
      </c>
      <c r="T176" s="22" t="str">
        <f>IF(ISERROR(FIND('112'!$M$9,G176,1)),"",IF((AND(RIGHT(G176,2)=RIGHT('112'!$M$9,2),B176&lt;'112'!$N$8,$M176='112'!$I$6)),"x",""))</f>
        <v/>
      </c>
      <c r="U176" s="22" t="str">
        <f>IF(AND(B176&gt;='IN-NX'!$P$3,B176&lt;='IN-NX'!$Q$3,'IN-NX'!$D$7=D176,OR(LEFT(L176,2)="15",AND(LEFT(M176,2)&lt;&gt;"15",LEFT(M176,2)&lt;&gt;"33"))),"x","")</f>
        <v/>
      </c>
      <c r="V176" s="22" t="str">
        <f>IF(AND(OR(LEFT(TH!L176,2)="15",LEFT(TH!M176,2)="15"),'152-CT'!$J$8=TH!F176),"x","")</f>
        <v/>
      </c>
      <c r="W176" s="22" t="str">
        <f>IF(AND(OR(LEFT(TH!L176,2)="15",LEFT(TH!M176,2)="15"),TK!$E$7=TH!F176),"x","")</f>
        <v/>
      </c>
      <c r="X176" s="22" t="str">
        <f>IF(OR(TH!L176=TH!$X$7,M176=TH!$X$7),"x","")</f>
        <v/>
      </c>
      <c r="Y176" s="22" t="str">
        <f>IF(AND(B176&lt;=NKC!$N$8,B176&gt;=NKC!$M$8),"x","")</f>
        <v>x</v>
      </c>
      <c r="Z176" s="580"/>
      <c r="AA176" s="406"/>
    </row>
    <row r="177" spans="1:31" s="130" customFormat="1" ht="15.75" customHeight="1">
      <c r="A177" s="123" t="str">
        <f>IF(B177&lt;&gt;"",IF(AND(B177&gt;=_TM1,B177&lt;=_TM2,OR(TH!L178="1111",TH!M178="1111")),TH!D178,""),"")</f>
        <v/>
      </c>
      <c r="B177" s="12">
        <f t="shared" si="6"/>
        <v>8</v>
      </c>
      <c r="C177" s="108">
        <f t="shared" si="7"/>
        <v>42597</v>
      </c>
      <c r="D177" s="108" t="s">
        <v>579</v>
      </c>
      <c r="E177" s="113">
        <v>42597</v>
      </c>
      <c r="F177" s="112" t="s">
        <v>529</v>
      </c>
      <c r="G177" s="303" t="s">
        <v>726</v>
      </c>
      <c r="H177" s="4" t="s">
        <v>369</v>
      </c>
      <c r="I177" s="139">
        <v>130</v>
      </c>
      <c r="J177" s="139">
        <v>47449</v>
      </c>
      <c r="K177" s="13">
        <f>ROUND(I177*J177,0)</f>
        <v>6168370</v>
      </c>
      <c r="L177" s="116" t="s">
        <v>252</v>
      </c>
      <c r="M177" s="411" t="s">
        <v>169</v>
      </c>
      <c r="N177" s="22" t="str">
        <f>IF(AND('331-CT'!$E$7=TH!H177,OR(L177="331",M177="331")),"331",IF(AND(OR(L177="131",M177="131"),H177='131-CT'!$E$7),"131",""))</f>
        <v>131</v>
      </c>
      <c r="O177" s="22" t="str">
        <f>IF(AND($B177&gt;='111'!$N$11,$B177&lt;='111'!$O$11,OR($L177=$O$7,$M177=$O$7)),"x","")</f>
        <v/>
      </c>
      <c r="P177" s="22" t="str">
        <f>IF(AND($L177=$O$7,$B177&lt;'111'!$N$11),"x","")</f>
        <v/>
      </c>
      <c r="Q177" s="22" t="str">
        <f>IF(AND($M177=$O$7,$B177&lt;'111'!$N$11),"x","")</f>
        <v/>
      </c>
      <c r="R177" s="22" t="str">
        <f>IF(ISERROR(FIND('112'!$M$9,G177,1)),"",IF((AND(FIND('112'!$M$9,G177,1)&gt;=1,$B177&gt;='112'!$N$8,$B177&lt;='112'!$O$8,OR($L177='112'!$I$6,$M177='112'!$I$6))),"x",""))</f>
        <v/>
      </c>
      <c r="S177" s="22" t="str">
        <f>IF(ISERROR(FIND('112'!$M$9,G177,1)),"",IF((AND(LEFT(G177,2)=LEFT('112'!$M$9,2),B177&lt;'112'!$N$8,$L177='112'!$I$6)),"x",""))</f>
        <v/>
      </c>
      <c r="T177" s="22" t="str">
        <f>IF(ISERROR(FIND('112'!$M$9,G177,1)),"",IF((AND(RIGHT(G177,2)=RIGHT('112'!$M$9,2),B177&lt;'112'!$N$8,$M177='112'!$I$6)),"x",""))</f>
        <v/>
      </c>
      <c r="U177" s="22" t="str">
        <f>IF(AND(B177&gt;='IN-NX'!$P$3,B177&lt;='IN-NX'!$Q$3,'IN-NX'!$D$7=D177,OR(LEFT(L177,2)="15",AND(LEFT(M177,2)&lt;&gt;"15",LEFT(M177,2)&lt;&gt;"33"))),"x","")</f>
        <v/>
      </c>
      <c r="V177" s="22" t="str">
        <f>IF(AND(OR(LEFT(TH!L177,2)="15",LEFT(TH!M177,2)="15"),'152-CT'!$J$8=TH!F177),"x","")</f>
        <v/>
      </c>
      <c r="W177" s="22" t="str">
        <f>IF(AND(OR(LEFT(TH!L177,2)="15",LEFT(TH!M177,2)="15"),TK!$E$7=TH!F177),"x","")</f>
        <v/>
      </c>
      <c r="X177" s="22" t="str">
        <f>IF(OR(TH!L177=TH!$X$7,M177=TH!$X$7),"x","")</f>
        <v/>
      </c>
      <c r="Y177" s="22" t="str">
        <f>IF(AND(B177&lt;=NKC!$N$8,B177&gt;=NKC!$M$8),"x","")</f>
        <v>x</v>
      </c>
      <c r="Z177" s="580"/>
      <c r="AA177" s="406"/>
      <c r="AB177" s="406"/>
    </row>
    <row r="178" spans="1:31" s="130" customFormat="1" ht="15.75" customHeight="1">
      <c r="A178" s="123" t="str">
        <f>IF(B178&lt;&gt;"",IF(AND(B178&gt;=_TM1,B178&lt;=_TM2,OR(TH!L179="1111",TH!M179="1111")),TH!D179,""),"")</f>
        <v/>
      </c>
      <c r="B178" s="12">
        <f t="shared" si="6"/>
        <v>8</v>
      </c>
      <c r="C178" s="108">
        <f t="shared" si="7"/>
        <v>42597</v>
      </c>
      <c r="D178" s="108" t="s">
        <v>579</v>
      </c>
      <c r="E178" s="113">
        <v>42597</v>
      </c>
      <c r="F178" s="112" t="s">
        <v>496</v>
      </c>
      <c r="G178" s="303" t="s">
        <v>726</v>
      </c>
      <c r="H178" s="4" t="s">
        <v>369</v>
      </c>
      <c r="I178" s="139"/>
      <c r="J178" s="139"/>
      <c r="K178" s="13">
        <v>616837</v>
      </c>
      <c r="L178" s="116" t="s">
        <v>252</v>
      </c>
      <c r="M178" s="411" t="s">
        <v>352</v>
      </c>
      <c r="N178" s="22" t="str">
        <f>IF(AND('331-CT'!$E$7=TH!H178,OR(L178="331",M178="331")),"331",IF(AND(OR(L178="131",M178="131"),H178='131-CT'!$E$7),"131",""))</f>
        <v>131</v>
      </c>
      <c r="O178" s="22" t="str">
        <f>IF(AND($B178&gt;='111'!$N$11,$B178&lt;='111'!$O$11,OR($L178=$O$7,$M178=$O$7)),"x","")</f>
        <v/>
      </c>
      <c r="P178" s="22" t="str">
        <f>IF(AND($L178=$O$7,$B178&lt;'111'!$N$11),"x","")</f>
        <v/>
      </c>
      <c r="Q178" s="22" t="str">
        <f>IF(AND($M178=$O$7,$B178&lt;'111'!$N$11),"x","")</f>
        <v/>
      </c>
      <c r="R178" s="22" t="str">
        <f>IF(ISERROR(FIND('112'!$M$9,G178,1)),"",IF((AND(FIND('112'!$M$9,G178,1)&gt;=1,$B178&gt;='112'!$N$8,$B178&lt;='112'!$O$8,OR($L178='112'!$I$6,$M178='112'!$I$6))),"x",""))</f>
        <v/>
      </c>
      <c r="S178" s="22" t="str">
        <f>IF(ISERROR(FIND('112'!$M$9,G178,1)),"",IF((AND(LEFT(G178,2)=LEFT('112'!$M$9,2),B178&lt;'112'!$N$8,$L178='112'!$I$6)),"x",""))</f>
        <v/>
      </c>
      <c r="T178" s="22" t="str">
        <f>IF(ISERROR(FIND('112'!$M$9,G178,1)),"",IF((AND(RIGHT(G178,2)=RIGHT('112'!$M$9,2),B178&lt;'112'!$N$8,$M178='112'!$I$6)),"x",""))</f>
        <v/>
      </c>
      <c r="U178" s="22" t="str">
        <f>IF(AND(B178&gt;='IN-NX'!$P$3,B178&lt;='IN-NX'!$Q$3,'IN-NX'!$D$7=D178,OR(LEFT(L178,2)="15",AND(LEFT(M178,2)&lt;&gt;"15",LEFT(M178,2)&lt;&gt;"33"))),"x","")</f>
        <v/>
      </c>
      <c r="V178" s="22" t="str">
        <f>IF(AND(OR(LEFT(TH!L178,2)="15",LEFT(TH!M178,2)="15"),'152-CT'!$J$8=TH!F178),"x","")</f>
        <v/>
      </c>
      <c r="W178" s="22" t="str">
        <f>IF(AND(OR(LEFT(TH!L178,2)="15",LEFT(TH!M178,2)="15"),TK!$E$7=TH!F178),"x","")</f>
        <v/>
      </c>
      <c r="X178" s="22" t="str">
        <f>IF(OR(TH!L178=TH!$X$7,M178=TH!$X$7),"x","")</f>
        <v/>
      </c>
      <c r="Y178" s="22" t="str">
        <f>IF(AND(B178&lt;=NKC!$N$8,B178&gt;=NKC!$M$8),"x","")</f>
        <v>x</v>
      </c>
      <c r="Z178" s="580"/>
      <c r="AA178" s="406"/>
      <c r="AB178" s="406"/>
      <c r="AC178" s="406"/>
    </row>
    <row r="179" spans="1:31" s="130" customFormat="1" ht="15.75" customHeight="1">
      <c r="A179" s="123" t="str">
        <f>IF(B179&lt;&gt;"",IF(AND(B179&gt;=_TM1,B179&lt;=_TM2,OR(TH!L180="1111",TH!M180="1111")),TH!D180,""),"")</f>
        <v/>
      </c>
      <c r="B179" s="12">
        <f t="shared" si="6"/>
        <v>8</v>
      </c>
      <c r="C179" s="108">
        <f t="shared" si="7"/>
        <v>42597</v>
      </c>
      <c r="D179" s="108" t="s">
        <v>995</v>
      </c>
      <c r="E179" s="113">
        <v>42597</v>
      </c>
      <c r="F179" s="114" t="s">
        <v>484</v>
      </c>
      <c r="G179" s="303" t="s">
        <v>726</v>
      </c>
      <c r="H179" s="4" t="s">
        <v>369</v>
      </c>
      <c r="I179" s="139"/>
      <c r="J179" s="139"/>
      <c r="K179" s="13">
        <v>6785207</v>
      </c>
      <c r="L179" s="116" t="s">
        <v>46</v>
      </c>
      <c r="M179" s="411" t="s">
        <v>252</v>
      </c>
      <c r="N179" s="22" t="str">
        <f>IF(AND('331-CT'!$E$7=TH!H179,OR(L179="331",M179="331")),"331",IF(AND(OR(L179="131",M179="131"),H179='131-CT'!$E$7),"131",""))</f>
        <v>131</v>
      </c>
      <c r="O179" s="22" t="str">
        <f>IF(AND($B179&gt;='111'!$N$11,$B179&lt;='111'!$O$11,OR($L179=$O$7,$M179=$O$7)),"x","")</f>
        <v/>
      </c>
      <c r="P179" s="22" t="str">
        <f>IF(AND($L179=$O$7,$B179&lt;'111'!$N$11),"x","")</f>
        <v>x</v>
      </c>
      <c r="Q179" s="22" t="str">
        <f>IF(AND($M179=$O$7,$B179&lt;'111'!$N$11),"x","")</f>
        <v/>
      </c>
      <c r="R179" s="22" t="str">
        <f>IF(ISERROR(FIND('112'!$M$9,G179,1)),"",IF((AND(FIND('112'!$M$9,G179,1)&gt;=1,$B179&gt;='112'!$N$8,$B179&lt;='112'!$O$8,OR($L179='112'!$I$6,$M179='112'!$I$6))),"x",""))</f>
        <v/>
      </c>
      <c r="S179" s="22" t="str">
        <f>IF(ISERROR(FIND('112'!$M$9,G179,1)),"",IF((AND(LEFT(G179,2)=LEFT('112'!$M$9,2),B179&lt;'112'!$N$8,$L179='112'!$I$6)),"x",""))</f>
        <v/>
      </c>
      <c r="T179" s="22" t="str">
        <f>IF(ISERROR(FIND('112'!$M$9,G179,1)),"",IF((AND(RIGHT(G179,2)=RIGHT('112'!$M$9,2),B179&lt;'112'!$N$8,$M179='112'!$I$6)),"x",""))</f>
        <v/>
      </c>
      <c r="U179" s="22" t="str">
        <f>IF(AND(B179&gt;='IN-NX'!$P$3,B179&lt;='IN-NX'!$Q$3,'IN-NX'!$D$7=D179,OR(LEFT(L179,2)="15",AND(LEFT(M179,2)&lt;&gt;"15",LEFT(M179,2)&lt;&gt;"33"))),"x","")</f>
        <v/>
      </c>
      <c r="V179" s="22" t="str">
        <f>IF(AND(OR(LEFT(TH!L179,2)="15",LEFT(TH!M179,2)="15"),'152-CT'!$J$8=TH!F179),"x","")</f>
        <v/>
      </c>
      <c r="W179" s="22" t="str">
        <f>IF(AND(OR(LEFT(TH!L179,2)="15",LEFT(TH!M179,2)="15"),TK!$E$7=TH!F179),"x","")</f>
        <v/>
      </c>
      <c r="X179" s="22" t="str">
        <f>IF(OR(TH!L179=TH!$X$7,M179=TH!$X$7),"x","")</f>
        <v/>
      </c>
      <c r="Y179" s="22" t="str">
        <f>IF(AND(B179&lt;=NKC!$N$8,B179&gt;=NKC!$M$8),"x","")</f>
        <v>x</v>
      </c>
      <c r="Z179" s="580"/>
      <c r="AA179" s="406"/>
      <c r="AB179" s="406"/>
      <c r="AC179" s="406"/>
    </row>
    <row r="180" spans="1:31" s="130" customFormat="1" ht="15.75" customHeight="1">
      <c r="A180" s="123" t="str">
        <f>IF(B180&lt;&gt;"",IF(AND(B180&gt;=_TM1,B180&lt;=_TM2,OR(TH!L181="1111",TH!M181="1111")),TH!D181,""),"")</f>
        <v/>
      </c>
      <c r="B180" s="12">
        <f t="shared" si="6"/>
        <v>8</v>
      </c>
      <c r="C180" s="108">
        <f t="shared" si="7"/>
        <v>42599</v>
      </c>
      <c r="D180" s="108" t="s">
        <v>469</v>
      </c>
      <c r="E180" s="108">
        <v>42599</v>
      </c>
      <c r="F180" s="112" t="s">
        <v>484</v>
      </c>
      <c r="G180" s="303" t="s">
        <v>474</v>
      </c>
      <c r="H180" s="4" t="s">
        <v>368</v>
      </c>
      <c r="I180" s="139"/>
      <c r="J180" s="139"/>
      <c r="K180" s="410">
        <v>12160500</v>
      </c>
      <c r="L180" s="411" t="s">
        <v>24</v>
      </c>
      <c r="M180" s="411" t="s">
        <v>252</v>
      </c>
      <c r="N180" s="22" t="str">
        <f>IF(AND('331-CT'!$E$7=TH!H180,OR(L180="331",M180="331")),"331",IF(AND(OR(L180="131",M180="131"),H180='131-CT'!$E$7),"131",""))</f>
        <v/>
      </c>
      <c r="O180" s="22" t="str">
        <f>IF(AND($B180&gt;='111'!$N$11,$B180&lt;='111'!$O$11,OR($L180=$O$7,$M180=$O$7)),"x","")</f>
        <v/>
      </c>
      <c r="P180" s="22" t="str">
        <f>IF(AND($L180=$O$7,$B180&lt;'111'!$N$11),"x","")</f>
        <v/>
      </c>
      <c r="Q180" s="22" t="str">
        <f>IF(AND($M180=$O$7,$B180&lt;'111'!$N$11),"x","")</f>
        <v/>
      </c>
      <c r="R180" s="22" t="str">
        <f>IF(ISERROR(FIND('112'!$M$9,G180,1)),"",IF((AND(FIND('112'!$M$9,G180,1)&gt;=1,$B180&gt;='112'!$N$8,$B180&lt;='112'!$O$8,OR($L180='112'!$I$6,$M180='112'!$I$6))),"x",""))</f>
        <v/>
      </c>
      <c r="S180" s="22" t="str">
        <f>IF(ISERROR(FIND('112'!$M$9,G180,1)),"",IF((AND(LEFT(G180,2)=LEFT('112'!$M$9,2),B180&lt;'112'!$N$8,$L180='112'!$I$6)),"x",""))</f>
        <v>x</v>
      </c>
      <c r="T180" s="22" t="str">
        <f>IF(ISERROR(FIND('112'!$M$9,G180,1)),"",IF((AND(RIGHT(G180,2)=RIGHT('112'!$M$9,2),B180&lt;'112'!$N$8,$M180='112'!$I$6)),"x",""))</f>
        <v/>
      </c>
      <c r="U180" s="22" t="str">
        <f>IF(AND(B180&gt;='IN-NX'!$P$3,B180&lt;='IN-NX'!$Q$3,'IN-NX'!$D$7=D180,OR(LEFT(L180,2)="15",AND(LEFT(M180,2)&lt;&gt;"15",LEFT(M180,2)&lt;&gt;"33"))),"x","")</f>
        <v/>
      </c>
      <c r="V180" s="22" t="str">
        <f>IF(AND(OR(LEFT(TH!L180,2)="15",LEFT(TH!M180,2)="15"),'152-CT'!$J$8=TH!F180),"x","")</f>
        <v/>
      </c>
      <c r="W180" s="22" t="str">
        <f>IF(AND(OR(LEFT(TH!L180,2)="15",LEFT(TH!M180,2)="15"),TK!$E$7=TH!F180),"x","")</f>
        <v/>
      </c>
      <c r="X180" s="22" t="str">
        <f>IF(OR(TH!L180=TH!$X$7,M180=TH!$X$7),"x","")</f>
        <v/>
      </c>
      <c r="Y180" s="22" t="str">
        <f>IF(AND(B180&lt;=NKC!$N$8,B180&gt;=NKC!$M$8),"x","")</f>
        <v>x</v>
      </c>
      <c r="Z180" s="580"/>
      <c r="AA180" s="406"/>
      <c r="AB180" s="406"/>
      <c r="AC180" s="406"/>
      <c r="AD180" s="406"/>
      <c r="AE180" s="406"/>
    </row>
    <row r="181" spans="1:31" s="130" customFormat="1" ht="15.75" customHeight="1">
      <c r="A181" s="123" t="str">
        <f>IF(B181&lt;&gt;"",IF(AND(B181&gt;=_TM1,B181&lt;=_TM2,OR(TH!L182="1111",TH!M182="1111")),TH!D182,""),"")</f>
        <v/>
      </c>
      <c r="B181" s="12">
        <f t="shared" si="6"/>
        <v>8</v>
      </c>
      <c r="C181" s="108">
        <f t="shared" si="7"/>
        <v>42599</v>
      </c>
      <c r="D181" s="108" t="s">
        <v>464</v>
      </c>
      <c r="E181" s="108">
        <v>42599</v>
      </c>
      <c r="F181" s="112" t="s">
        <v>471</v>
      </c>
      <c r="G181" s="303" t="s">
        <v>474</v>
      </c>
      <c r="H181" s="4" t="s">
        <v>475</v>
      </c>
      <c r="I181" s="139"/>
      <c r="J181" s="139"/>
      <c r="K181" s="13">
        <v>800000</v>
      </c>
      <c r="L181" s="116" t="s">
        <v>24</v>
      </c>
      <c r="M181" s="116" t="s">
        <v>46</v>
      </c>
      <c r="N181" s="22" t="str">
        <f>IF(AND('331-CT'!$E$7=TH!H181,OR(L181="331",M181="331")),"331",IF(AND(OR(L181="131",M181="131"),H181='131-CT'!$E$7),"131",""))</f>
        <v/>
      </c>
      <c r="O181" s="22" t="str">
        <f>IF(AND($B181&gt;='111'!$N$11,$B181&lt;='111'!$O$11,OR($L181=$O$7,$M181=$O$7)),"x","")</f>
        <v/>
      </c>
      <c r="P181" s="22" t="str">
        <f>IF(AND($L181=$O$7,$B181&lt;'111'!$N$11),"x","")</f>
        <v/>
      </c>
      <c r="Q181" s="22" t="str">
        <f>IF(AND($M181=$O$7,$B181&lt;'111'!$N$11),"x","")</f>
        <v>x</v>
      </c>
      <c r="R181" s="22" t="str">
        <f>IF(ISERROR(FIND('112'!$M$9,G181,1)),"",IF((AND(FIND('112'!$M$9,G181,1)&gt;=1,$B181&gt;='112'!$N$8,$B181&lt;='112'!$O$8,OR($L181='112'!$I$6,$M181='112'!$I$6))),"x",""))</f>
        <v/>
      </c>
      <c r="S181" s="22" t="str">
        <f>IF(ISERROR(FIND('112'!$M$9,G181,1)),"",IF((AND(LEFT(G181,2)=LEFT('112'!$M$9,2),B181&lt;'112'!$N$8,$L181='112'!$I$6)),"x",""))</f>
        <v>x</v>
      </c>
      <c r="T181" s="22" t="str">
        <f>IF(ISERROR(FIND('112'!$M$9,G181,1)),"",IF((AND(RIGHT(G181,2)=RIGHT('112'!$M$9,2),B181&lt;'112'!$N$8,$M181='112'!$I$6)),"x",""))</f>
        <v/>
      </c>
      <c r="U181" s="22" t="str">
        <f>IF(AND(B181&gt;='IN-NX'!$P$3,B181&lt;='IN-NX'!$Q$3,'IN-NX'!$D$7=D181,OR(LEFT(L181,2)="15",AND(LEFT(M181,2)&lt;&gt;"15",LEFT(M181,2)&lt;&gt;"33"))),"x","")</f>
        <v/>
      </c>
      <c r="V181" s="22" t="str">
        <f>IF(AND(OR(LEFT(TH!L181,2)="15",LEFT(TH!M181,2)="15"),'152-CT'!$J$8=TH!F181),"x","")</f>
        <v/>
      </c>
      <c r="W181" s="22" t="str">
        <f>IF(AND(OR(LEFT(TH!L181,2)="15",LEFT(TH!M181,2)="15"),TK!$E$7=TH!F181),"x","")</f>
        <v/>
      </c>
      <c r="X181" s="22" t="str">
        <f>IF(OR(TH!L181=TH!$X$7,M181=TH!$X$7),"x","")</f>
        <v/>
      </c>
      <c r="Y181" s="22" t="str">
        <f>IF(AND(B181&lt;=NKC!$N$8,B181&gt;=NKC!$M$8),"x","")</f>
        <v>x</v>
      </c>
      <c r="Z181" s="580"/>
      <c r="AA181" s="406"/>
      <c r="AB181" s="406"/>
      <c r="AC181" s="406"/>
      <c r="AD181" s="406"/>
      <c r="AE181" s="406"/>
    </row>
    <row r="182" spans="1:31" s="130" customFormat="1" ht="15.75" customHeight="1">
      <c r="A182" s="123" t="str">
        <f>IF(B182&lt;&gt;"",IF(AND(B182&gt;=_TM1,B182&lt;=_TM2,OR(TH!L183="1111",TH!M183="1111")),TH!D183,""),"")</f>
        <v/>
      </c>
      <c r="B182" s="12">
        <f t="shared" si="6"/>
        <v>8</v>
      </c>
      <c r="C182" s="108">
        <f t="shared" si="7"/>
        <v>42599</v>
      </c>
      <c r="D182" s="108" t="s">
        <v>996</v>
      </c>
      <c r="E182" s="108">
        <v>42599</v>
      </c>
      <c r="F182" s="112" t="s">
        <v>485</v>
      </c>
      <c r="G182" s="303" t="s">
        <v>474</v>
      </c>
      <c r="H182" s="4" t="s">
        <v>475</v>
      </c>
      <c r="I182" s="139"/>
      <c r="J182" s="139"/>
      <c r="K182" s="410">
        <v>13000000</v>
      </c>
      <c r="L182" s="411" t="s">
        <v>46</v>
      </c>
      <c r="M182" s="411" t="s">
        <v>24</v>
      </c>
      <c r="N182" s="22" t="str">
        <f>IF(AND('331-CT'!$E$7=TH!H182,OR(L182="331",M182="331")),"331",IF(AND(OR(L182="131",M182="131"),H182='131-CT'!$E$7),"131",""))</f>
        <v/>
      </c>
      <c r="O182" s="22" t="str">
        <f>IF(AND($B182&gt;='111'!$N$11,$B182&lt;='111'!$O$11,OR($L182=$O$7,$M182=$O$7)),"x","")</f>
        <v/>
      </c>
      <c r="P182" s="22" t="str">
        <f>IF(AND($L182=$O$7,$B182&lt;'111'!$N$11),"x","")</f>
        <v>x</v>
      </c>
      <c r="Q182" s="22" t="str">
        <f>IF(AND($M182=$O$7,$B182&lt;'111'!$N$11),"x","")</f>
        <v/>
      </c>
      <c r="R182" s="22" t="str">
        <f>IF(ISERROR(FIND('112'!$M$9,G182,1)),"",IF((AND(FIND('112'!$M$9,G182,1)&gt;=1,$B182&gt;='112'!$N$8,$B182&lt;='112'!$O$8,OR($L182='112'!$I$6,$M182='112'!$I$6))),"x",""))</f>
        <v/>
      </c>
      <c r="S182" s="22" t="str">
        <f>IF(ISERROR(FIND('112'!$M$9,G182,1)),"",IF((AND(LEFT(G182,2)=LEFT('112'!$M$9,2),B182&lt;'112'!$N$8,$L182='112'!$I$6)),"x",""))</f>
        <v/>
      </c>
      <c r="T182" s="22" t="str">
        <f>IF(ISERROR(FIND('112'!$M$9,G182,1)),"",IF((AND(RIGHT(G182,2)=RIGHT('112'!$M$9,2),B182&lt;'112'!$N$8,$M182='112'!$I$6)),"x",""))</f>
        <v>x</v>
      </c>
      <c r="U182" s="22" t="str">
        <f>IF(AND(B182&gt;='IN-NX'!$P$3,B182&lt;='IN-NX'!$Q$3,'IN-NX'!$D$7=D182,OR(LEFT(L182,2)="15",AND(LEFT(M182,2)&lt;&gt;"15",LEFT(M182,2)&lt;&gt;"33"))),"x","")</f>
        <v/>
      </c>
      <c r="V182" s="22" t="str">
        <f>IF(AND(OR(LEFT(TH!L182,2)="15",LEFT(TH!M182,2)="15"),'152-CT'!$J$8=TH!F182),"x","")</f>
        <v/>
      </c>
      <c r="W182" s="22" t="str">
        <f>IF(AND(OR(LEFT(TH!L182,2)="15",LEFT(TH!M182,2)="15"),TK!$E$7=TH!F182),"x","")</f>
        <v/>
      </c>
      <c r="X182" s="22" t="str">
        <f>IF(OR(TH!L182=TH!$X$7,M182=TH!$X$7),"x","")</f>
        <v/>
      </c>
      <c r="Y182" s="22" t="str">
        <f>IF(AND(B182&lt;=NKC!$N$8,B182&gt;=NKC!$M$8),"x","")</f>
        <v>x</v>
      </c>
      <c r="Z182" s="580"/>
      <c r="AA182" s="406"/>
      <c r="AB182" s="406"/>
      <c r="AC182" s="406"/>
      <c r="AD182" s="406"/>
      <c r="AE182" s="406"/>
    </row>
    <row r="183" spans="1:31" s="130" customFormat="1" ht="15.75" customHeight="1">
      <c r="A183" s="123" t="str">
        <f>IF(B183&lt;&gt;"",IF(AND(B183&gt;=_TM1,B183&lt;=_TM2,OR(TH!L184="1111",TH!M184="1111")),TH!D184,""),"")</f>
        <v/>
      </c>
      <c r="B183" s="12">
        <f t="shared" si="6"/>
        <v>8</v>
      </c>
      <c r="C183" s="108">
        <f t="shared" si="7"/>
        <v>42599</v>
      </c>
      <c r="D183" s="108" t="s">
        <v>580</v>
      </c>
      <c r="E183" s="113">
        <v>42599</v>
      </c>
      <c r="F183" s="112" t="s">
        <v>530</v>
      </c>
      <c r="G183" s="303" t="s">
        <v>727</v>
      </c>
      <c r="H183" s="4" t="s">
        <v>366</v>
      </c>
      <c r="I183" s="139">
        <v>309</v>
      </c>
      <c r="J183" s="139">
        <v>7500</v>
      </c>
      <c r="K183" s="13">
        <f>ROUND(I183*J183,0)</f>
        <v>2317500</v>
      </c>
      <c r="L183" s="116" t="s">
        <v>252</v>
      </c>
      <c r="M183" s="411" t="s">
        <v>169</v>
      </c>
      <c r="N183" s="22" t="str">
        <f>IF(AND('331-CT'!$E$7=TH!H183,OR(L183="331",M183="331")),"331",IF(AND(OR(L183="131",M183="131"),H183='131-CT'!$E$7),"131",""))</f>
        <v/>
      </c>
      <c r="O183" s="22" t="str">
        <f>IF(AND($B183&gt;='111'!$N$11,$B183&lt;='111'!$O$11,OR($L183=$O$7,$M183=$O$7)),"x","")</f>
        <v/>
      </c>
      <c r="P183" s="22" t="str">
        <f>IF(AND($L183=$O$7,$B183&lt;'111'!$N$11),"x","")</f>
        <v/>
      </c>
      <c r="Q183" s="22" t="str">
        <f>IF(AND($M183=$O$7,$B183&lt;'111'!$N$11),"x","")</f>
        <v/>
      </c>
      <c r="R183" s="22" t="str">
        <f>IF(ISERROR(FIND('112'!$M$9,G183,1)),"",IF((AND(FIND('112'!$M$9,G183,1)&gt;=1,$B183&gt;='112'!$N$8,$B183&lt;='112'!$O$8,OR($L183='112'!$I$6,$M183='112'!$I$6))),"x",""))</f>
        <v/>
      </c>
      <c r="S183" s="22" t="str">
        <f>IF(ISERROR(FIND('112'!$M$9,G183,1)),"",IF((AND(LEFT(G183,2)=LEFT('112'!$M$9,2),B183&lt;'112'!$N$8,$L183='112'!$I$6)),"x",""))</f>
        <v/>
      </c>
      <c r="T183" s="22" t="str">
        <f>IF(ISERROR(FIND('112'!$M$9,G183,1)),"",IF((AND(RIGHT(G183,2)=RIGHT('112'!$M$9,2),B183&lt;'112'!$N$8,$M183='112'!$I$6)),"x",""))</f>
        <v/>
      </c>
      <c r="U183" s="22" t="str">
        <f>IF(AND(B183&gt;='IN-NX'!$P$3,B183&lt;='IN-NX'!$Q$3,'IN-NX'!$D$7=D183,OR(LEFT(L183,2)="15",AND(LEFT(M183,2)&lt;&gt;"15",LEFT(M183,2)&lt;&gt;"33"))),"x","")</f>
        <v/>
      </c>
      <c r="V183" s="22" t="str">
        <f>IF(AND(OR(LEFT(TH!L183,2)="15",LEFT(TH!M183,2)="15"),'152-CT'!$J$8=TH!F183),"x","")</f>
        <v/>
      </c>
      <c r="W183" s="22" t="str">
        <f>IF(AND(OR(LEFT(TH!L183,2)="15",LEFT(TH!M183,2)="15"),TK!$E$7=TH!F183),"x","")</f>
        <v/>
      </c>
      <c r="X183" s="22" t="str">
        <f>IF(OR(TH!L183=TH!$X$7,M183=TH!$X$7),"x","")</f>
        <v/>
      </c>
      <c r="Y183" s="22" t="str">
        <f>IF(AND(B183&lt;=NKC!$N$8,B183&gt;=NKC!$M$8),"x","")</f>
        <v>x</v>
      </c>
      <c r="Z183" s="580"/>
      <c r="AA183" s="406"/>
    </row>
    <row r="184" spans="1:31" s="130" customFormat="1" ht="15.75" customHeight="1">
      <c r="A184" s="123" t="str">
        <f>IF(B184&lt;&gt;"",IF(AND(B184&gt;=_TM1,B184&lt;=_TM2,OR(TH!L185="1111",TH!M185="1111")),TH!D185,""),"")</f>
        <v/>
      </c>
      <c r="B184" s="12">
        <f t="shared" si="6"/>
        <v>8</v>
      </c>
      <c r="C184" s="108">
        <f t="shared" si="7"/>
        <v>42599</v>
      </c>
      <c r="D184" s="108" t="s">
        <v>580</v>
      </c>
      <c r="E184" s="113">
        <v>42599</v>
      </c>
      <c r="F184" s="112" t="s">
        <v>496</v>
      </c>
      <c r="G184" s="303" t="s">
        <v>727</v>
      </c>
      <c r="H184" s="4" t="s">
        <v>366</v>
      </c>
      <c r="I184" s="139"/>
      <c r="J184" s="139"/>
      <c r="K184" s="13">
        <v>231750</v>
      </c>
      <c r="L184" s="116" t="s">
        <v>252</v>
      </c>
      <c r="M184" s="411" t="s">
        <v>352</v>
      </c>
      <c r="N184" s="22" t="str">
        <f>IF(AND('331-CT'!$E$7=TH!H184,OR(L184="331",M184="331")),"331",IF(AND(OR(L184="131",M184="131"),H184='131-CT'!$E$7),"131",""))</f>
        <v/>
      </c>
      <c r="O184" s="22" t="str">
        <f>IF(AND($B184&gt;='111'!$N$11,$B184&lt;='111'!$O$11,OR($L184=$O$7,$M184=$O$7)),"x","")</f>
        <v/>
      </c>
      <c r="P184" s="22" t="str">
        <f>IF(AND($L184=$O$7,$B184&lt;'111'!$N$11),"x","")</f>
        <v/>
      </c>
      <c r="Q184" s="22" t="str">
        <f>IF(AND($M184=$O$7,$B184&lt;'111'!$N$11),"x","")</f>
        <v/>
      </c>
      <c r="R184" s="22" t="str">
        <f>IF(ISERROR(FIND('112'!$M$9,G184,1)),"",IF((AND(FIND('112'!$M$9,G184,1)&gt;=1,$B184&gt;='112'!$N$8,$B184&lt;='112'!$O$8,OR($L184='112'!$I$6,$M184='112'!$I$6))),"x",""))</f>
        <v/>
      </c>
      <c r="S184" s="22" t="str">
        <f>IF(ISERROR(FIND('112'!$M$9,G184,1)),"",IF((AND(LEFT(G184,2)=LEFT('112'!$M$9,2),B184&lt;'112'!$N$8,$L184='112'!$I$6)),"x",""))</f>
        <v/>
      </c>
      <c r="T184" s="22" t="str">
        <f>IF(ISERROR(FIND('112'!$M$9,G184,1)),"",IF((AND(RIGHT(G184,2)=RIGHT('112'!$M$9,2),B184&lt;'112'!$N$8,$M184='112'!$I$6)),"x",""))</f>
        <v/>
      </c>
      <c r="U184" s="22" t="str">
        <f>IF(AND(B184&gt;='IN-NX'!$P$3,B184&lt;='IN-NX'!$Q$3,'IN-NX'!$D$7=D184,OR(LEFT(L184,2)="15",AND(LEFT(M184,2)&lt;&gt;"15",LEFT(M184,2)&lt;&gt;"33"))),"x","")</f>
        <v/>
      </c>
      <c r="V184" s="22" t="str">
        <f>IF(AND(OR(LEFT(TH!L184,2)="15",LEFT(TH!M184,2)="15"),'152-CT'!$J$8=TH!F184),"x","")</f>
        <v/>
      </c>
      <c r="W184" s="22" t="str">
        <f>IF(AND(OR(LEFT(TH!L184,2)="15",LEFT(TH!M184,2)="15"),TK!$E$7=TH!F184),"x","")</f>
        <v/>
      </c>
      <c r="X184" s="22" t="str">
        <f>IF(OR(TH!L184=TH!$X$7,M184=TH!$X$7),"x","")</f>
        <v/>
      </c>
      <c r="Y184" s="22" t="str">
        <f>IF(AND(B184&lt;=NKC!$N$8,B184&gt;=NKC!$M$8),"x","")</f>
        <v>x</v>
      </c>
      <c r="Z184" s="580"/>
      <c r="AA184" s="406"/>
      <c r="AB184" s="406"/>
      <c r="AC184" s="406"/>
    </row>
    <row r="185" spans="1:31" s="130" customFormat="1" ht="15.75" customHeight="1">
      <c r="A185" s="123" t="str">
        <f>IF(B185&lt;&gt;"",IF(AND(B185&gt;=_TM1,B185&lt;=_TM2,OR(TH!L186="1111",TH!M186="1111")),TH!D186,""),"")</f>
        <v/>
      </c>
      <c r="B185" s="12">
        <f t="shared" si="6"/>
        <v>8</v>
      </c>
      <c r="C185" s="108">
        <f t="shared" si="7"/>
        <v>42599</v>
      </c>
      <c r="D185" s="108" t="s">
        <v>581</v>
      </c>
      <c r="E185" s="113">
        <v>42599</v>
      </c>
      <c r="F185" s="112" t="s">
        <v>531</v>
      </c>
      <c r="G185" s="303" t="s">
        <v>728</v>
      </c>
      <c r="H185" s="4" t="s">
        <v>617</v>
      </c>
      <c r="I185" s="139">
        <v>19</v>
      </c>
      <c r="J185" s="139">
        <v>10800</v>
      </c>
      <c r="K185" s="13">
        <f>ROUND(I185*J185,0)</f>
        <v>205200</v>
      </c>
      <c r="L185" s="116" t="s">
        <v>252</v>
      </c>
      <c r="M185" s="411" t="s">
        <v>169</v>
      </c>
      <c r="N185" s="22" t="str">
        <f>IF(AND('331-CT'!$E$7=TH!H185,OR(L185="331",M185="331")),"331",IF(AND(OR(L185="131",M185="131"),H185='131-CT'!$E$7),"131",""))</f>
        <v/>
      </c>
      <c r="O185" s="22" t="str">
        <f>IF(AND($B185&gt;='111'!$N$11,$B185&lt;='111'!$O$11,OR($L185=$O$7,$M185=$O$7)),"x","")</f>
        <v/>
      </c>
      <c r="P185" s="22" t="str">
        <f>IF(AND($L185=$O$7,$B185&lt;'111'!$N$11),"x","")</f>
        <v/>
      </c>
      <c r="Q185" s="22" t="str">
        <f>IF(AND($M185=$O$7,$B185&lt;'111'!$N$11),"x","")</f>
        <v/>
      </c>
      <c r="R185" s="22" t="str">
        <f>IF(ISERROR(FIND('112'!$M$9,G185,1)),"",IF((AND(FIND('112'!$M$9,G185,1)&gt;=1,$B185&gt;='112'!$N$8,$B185&lt;='112'!$O$8,OR($L185='112'!$I$6,$M185='112'!$I$6))),"x",""))</f>
        <v/>
      </c>
      <c r="S185" s="22" t="str">
        <f>IF(ISERROR(FIND('112'!$M$9,G185,1)),"",IF((AND(LEFT(G185,2)=LEFT('112'!$M$9,2),B185&lt;'112'!$N$8,$L185='112'!$I$6)),"x",""))</f>
        <v/>
      </c>
      <c r="T185" s="22" t="str">
        <f>IF(ISERROR(FIND('112'!$M$9,G185,1)),"",IF((AND(RIGHT(G185,2)=RIGHT('112'!$M$9,2),B185&lt;'112'!$N$8,$M185='112'!$I$6)),"x",""))</f>
        <v/>
      </c>
      <c r="U185" s="22" t="str">
        <f>IF(AND(B185&gt;='IN-NX'!$P$3,B185&lt;='IN-NX'!$Q$3,'IN-NX'!$D$7=D185,OR(LEFT(L185,2)="15",AND(LEFT(M185,2)&lt;&gt;"15",LEFT(M185,2)&lt;&gt;"33"))),"x","")</f>
        <v/>
      </c>
      <c r="V185" s="22" t="str">
        <f>IF(AND(OR(LEFT(TH!L185,2)="15",LEFT(TH!M185,2)="15"),'152-CT'!$J$8=TH!F185),"x","")</f>
        <v/>
      </c>
      <c r="W185" s="22" t="str">
        <f>IF(AND(OR(LEFT(TH!L185,2)="15",LEFT(TH!M185,2)="15"),TK!$E$7=TH!F185),"x","")</f>
        <v/>
      </c>
      <c r="X185" s="22" t="str">
        <f>IF(OR(TH!L185=TH!$X$7,M185=TH!$X$7),"x","")</f>
        <v/>
      </c>
      <c r="Y185" s="22" t="str">
        <f>IF(AND(B185&lt;=NKC!$N$8,B185&gt;=NKC!$M$8),"x","")</f>
        <v>x</v>
      </c>
      <c r="Z185" s="580"/>
      <c r="AA185" s="406"/>
      <c r="AB185" s="406"/>
      <c r="AC185" s="406"/>
    </row>
    <row r="186" spans="1:31" s="130" customFormat="1" ht="15.75" customHeight="1">
      <c r="A186" s="123" t="str">
        <f>IF(B186&lt;&gt;"",IF(AND(B186&gt;=_TM1,B186&lt;=_TM2,OR(TH!L187="1111",TH!M187="1111")),TH!D187,""),"")</f>
        <v/>
      </c>
      <c r="B186" s="12">
        <f t="shared" si="6"/>
        <v>8</v>
      </c>
      <c r="C186" s="108">
        <f t="shared" si="7"/>
        <v>42599</v>
      </c>
      <c r="D186" s="108" t="s">
        <v>581</v>
      </c>
      <c r="E186" s="113">
        <v>42599</v>
      </c>
      <c r="F186" s="112" t="s">
        <v>532</v>
      </c>
      <c r="G186" s="303" t="s">
        <v>728</v>
      </c>
      <c r="H186" s="4" t="s">
        <v>617</v>
      </c>
      <c r="I186" s="139">
        <v>206</v>
      </c>
      <c r="J186" s="139">
        <v>9300</v>
      </c>
      <c r="K186" s="13">
        <f>ROUND(I186*J186,0)</f>
        <v>1915800</v>
      </c>
      <c r="L186" s="116" t="s">
        <v>252</v>
      </c>
      <c r="M186" s="411" t="s">
        <v>169</v>
      </c>
      <c r="N186" s="22" t="str">
        <f>IF(AND('331-CT'!$E$7=TH!H186,OR(L186="331",M186="331")),"331",IF(AND(OR(L186="131",M186="131"),H186='131-CT'!$E$7),"131",""))</f>
        <v/>
      </c>
      <c r="O186" s="22" t="str">
        <f>IF(AND($B186&gt;='111'!$N$11,$B186&lt;='111'!$O$11,OR($L186=$O$7,$M186=$O$7)),"x","")</f>
        <v/>
      </c>
      <c r="P186" s="22" t="str">
        <f>IF(AND($L186=$O$7,$B186&lt;'111'!$N$11),"x","")</f>
        <v/>
      </c>
      <c r="Q186" s="22" t="str">
        <f>IF(AND($M186=$O$7,$B186&lt;'111'!$N$11),"x","")</f>
        <v/>
      </c>
      <c r="R186" s="22" t="str">
        <f>IF(ISERROR(FIND('112'!$M$9,G186,1)),"",IF((AND(FIND('112'!$M$9,G186,1)&gt;=1,$B186&gt;='112'!$N$8,$B186&lt;='112'!$O$8,OR($L186='112'!$I$6,$M186='112'!$I$6))),"x",""))</f>
        <v/>
      </c>
      <c r="S186" s="22" t="str">
        <f>IF(ISERROR(FIND('112'!$M$9,G186,1)),"",IF((AND(LEFT(G186,2)=LEFT('112'!$M$9,2),B186&lt;'112'!$N$8,$L186='112'!$I$6)),"x",""))</f>
        <v/>
      </c>
      <c r="T186" s="22" t="str">
        <f>IF(ISERROR(FIND('112'!$M$9,G186,1)),"",IF((AND(RIGHT(G186,2)=RIGHT('112'!$M$9,2),B186&lt;'112'!$N$8,$M186='112'!$I$6)),"x",""))</f>
        <v/>
      </c>
      <c r="U186" s="22" t="str">
        <f>IF(AND(B186&gt;='IN-NX'!$P$3,B186&lt;='IN-NX'!$Q$3,'IN-NX'!$D$7=D186,OR(LEFT(L186,2)="15",AND(LEFT(M186,2)&lt;&gt;"15",LEFT(M186,2)&lt;&gt;"33"))),"x","")</f>
        <v/>
      </c>
      <c r="V186" s="22" t="str">
        <f>IF(AND(OR(LEFT(TH!L186,2)="15",LEFT(TH!M186,2)="15"),'152-CT'!$J$8=TH!F186),"x","")</f>
        <v/>
      </c>
      <c r="W186" s="22" t="str">
        <f>IF(AND(OR(LEFT(TH!L186,2)="15",LEFT(TH!M186,2)="15"),TK!$E$7=TH!F186),"x","")</f>
        <v/>
      </c>
      <c r="X186" s="22" t="str">
        <f>IF(OR(TH!L186=TH!$X$7,M186=TH!$X$7),"x","")</f>
        <v/>
      </c>
      <c r="Y186" s="22" t="str">
        <f>IF(AND(B186&lt;=NKC!$N$8,B186&gt;=NKC!$M$8),"x","")</f>
        <v>x</v>
      </c>
      <c r="Z186" s="580"/>
      <c r="AA186" s="406"/>
      <c r="AB186" s="406"/>
      <c r="AC186" s="406"/>
    </row>
    <row r="187" spans="1:31" s="130" customFormat="1" ht="15.75" customHeight="1">
      <c r="A187" s="123" t="str">
        <f>IF(B187&lt;&gt;"",IF(AND(B187&gt;=_TM1,B187&lt;=_TM2,OR(TH!L188="1111",TH!M188="1111")),TH!D188,""),"")</f>
        <v/>
      </c>
      <c r="B187" s="12">
        <f t="shared" si="6"/>
        <v>8</v>
      </c>
      <c r="C187" s="108">
        <f t="shared" si="7"/>
        <v>42599</v>
      </c>
      <c r="D187" s="108" t="s">
        <v>581</v>
      </c>
      <c r="E187" s="113">
        <v>42599</v>
      </c>
      <c r="F187" s="112" t="s">
        <v>496</v>
      </c>
      <c r="G187" s="303" t="s">
        <v>728</v>
      </c>
      <c r="H187" s="4" t="s">
        <v>617</v>
      </c>
      <c r="I187" s="139"/>
      <c r="J187" s="139"/>
      <c r="K187" s="13">
        <v>212100</v>
      </c>
      <c r="L187" s="116" t="s">
        <v>252</v>
      </c>
      <c r="M187" s="411" t="s">
        <v>352</v>
      </c>
      <c r="N187" s="22" t="str">
        <f>IF(AND('331-CT'!$E$7=TH!H187,OR(L187="331",M187="331")),"331",IF(AND(OR(L187="131",M187="131"),H187='131-CT'!$E$7),"131",""))</f>
        <v/>
      </c>
      <c r="O187" s="22" t="str">
        <f>IF(AND($B187&gt;='111'!$N$11,$B187&lt;='111'!$O$11,OR($L187=$O$7,$M187=$O$7)),"x","")</f>
        <v/>
      </c>
      <c r="P187" s="22" t="str">
        <f>IF(AND($L187=$O$7,$B187&lt;'111'!$N$11),"x","")</f>
        <v/>
      </c>
      <c r="Q187" s="22" t="str">
        <f>IF(AND($M187=$O$7,$B187&lt;'111'!$N$11),"x","")</f>
        <v/>
      </c>
      <c r="R187" s="22" t="str">
        <f>IF(ISERROR(FIND('112'!$M$9,G187,1)),"",IF((AND(FIND('112'!$M$9,G187,1)&gt;=1,$B187&gt;='112'!$N$8,$B187&lt;='112'!$O$8,OR($L187='112'!$I$6,$M187='112'!$I$6))),"x",""))</f>
        <v/>
      </c>
      <c r="S187" s="22" t="str">
        <f>IF(ISERROR(FIND('112'!$M$9,G187,1)),"",IF((AND(LEFT(G187,2)=LEFT('112'!$M$9,2),B187&lt;'112'!$N$8,$L187='112'!$I$6)),"x",""))</f>
        <v/>
      </c>
      <c r="T187" s="22" t="str">
        <f>IF(ISERROR(FIND('112'!$M$9,G187,1)),"",IF((AND(RIGHT(G187,2)=RIGHT('112'!$M$9,2),B187&lt;'112'!$N$8,$M187='112'!$I$6)),"x",""))</f>
        <v/>
      </c>
      <c r="U187" s="22" t="str">
        <f>IF(AND(B187&gt;='IN-NX'!$P$3,B187&lt;='IN-NX'!$Q$3,'IN-NX'!$D$7=D187,OR(LEFT(L187,2)="15",AND(LEFT(M187,2)&lt;&gt;"15",LEFT(M187,2)&lt;&gt;"33"))),"x","")</f>
        <v/>
      </c>
      <c r="V187" s="22" t="str">
        <f>IF(AND(OR(LEFT(TH!L187,2)="15",LEFT(TH!M187,2)="15"),'152-CT'!$J$8=TH!F187),"x","")</f>
        <v/>
      </c>
      <c r="W187" s="22" t="str">
        <f>IF(AND(OR(LEFT(TH!L187,2)="15",LEFT(TH!M187,2)="15"),TK!$E$7=TH!F187),"x","")</f>
        <v/>
      </c>
      <c r="X187" s="22" t="str">
        <f>IF(OR(TH!L187=TH!$X$7,M187=TH!$X$7),"x","")</f>
        <v/>
      </c>
      <c r="Y187" s="22" t="str">
        <f>IF(AND(B187&lt;=NKC!$N$8,B187&gt;=NKC!$M$8),"x","")</f>
        <v>x</v>
      </c>
      <c r="Z187" s="580"/>
      <c r="AA187" s="406"/>
      <c r="AB187" s="406"/>
      <c r="AC187" s="406"/>
    </row>
    <row r="188" spans="1:31" s="406" customFormat="1" ht="15.75" customHeight="1">
      <c r="A188" s="123" t="str">
        <f>IF(B188&lt;&gt;"",IF(AND(B188&gt;=_TM1,B188&lt;=_TM2,OR(TH!L189="1111",TH!M189="1111")),TH!D189,""),"")</f>
        <v/>
      </c>
      <c r="B188" s="12">
        <f t="shared" si="6"/>
        <v>8</v>
      </c>
      <c r="C188" s="108">
        <f t="shared" si="7"/>
        <v>42599</v>
      </c>
      <c r="D188" s="108" t="s">
        <v>997</v>
      </c>
      <c r="E188" s="113">
        <v>42599</v>
      </c>
      <c r="F188" s="114" t="s">
        <v>484</v>
      </c>
      <c r="G188" s="303" t="s">
        <v>728</v>
      </c>
      <c r="H188" s="4" t="s">
        <v>617</v>
      </c>
      <c r="I188" s="139"/>
      <c r="J188" s="139"/>
      <c r="K188" s="13">
        <v>2333100</v>
      </c>
      <c r="L188" s="116" t="s">
        <v>46</v>
      </c>
      <c r="M188" s="411" t="s">
        <v>252</v>
      </c>
      <c r="N188" s="22" t="str">
        <f>IF(AND('331-CT'!$E$7=TH!H188,OR(L188="331",M188="331")),"331",IF(AND(OR(L188="131",M188="131"),H188='131-CT'!$E$7),"131",""))</f>
        <v/>
      </c>
      <c r="O188" s="22" t="str">
        <f>IF(AND($B188&gt;='111'!$N$11,$B188&lt;='111'!$O$11,OR($L188=$O$7,$M188=$O$7)),"x","")</f>
        <v/>
      </c>
      <c r="P188" s="22" t="str">
        <f>IF(AND($L188=$O$7,$B188&lt;'111'!$N$11),"x","")</f>
        <v>x</v>
      </c>
      <c r="Q188" s="22" t="str">
        <f>IF(AND($M188=$O$7,$B188&lt;'111'!$N$11),"x","")</f>
        <v/>
      </c>
      <c r="R188" s="22" t="str">
        <f>IF(ISERROR(FIND('112'!$M$9,G188,1)),"",IF((AND(FIND('112'!$M$9,G188,1)&gt;=1,$B188&gt;='112'!$N$8,$B188&lt;='112'!$O$8,OR($L188='112'!$I$6,$M188='112'!$I$6))),"x",""))</f>
        <v/>
      </c>
      <c r="S188" s="22" t="str">
        <f>IF(ISERROR(FIND('112'!$M$9,G188,1)),"",IF((AND(LEFT(G188,2)=LEFT('112'!$M$9,2),B188&lt;'112'!$N$8,$L188='112'!$I$6)),"x",""))</f>
        <v/>
      </c>
      <c r="T188" s="22" t="str">
        <f>IF(ISERROR(FIND('112'!$M$9,G188,1)),"",IF((AND(RIGHT(G188,2)=RIGHT('112'!$M$9,2),B188&lt;'112'!$N$8,$M188='112'!$I$6)),"x",""))</f>
        <v/>
      </c>
      <c r="U188" s="22" t="str">
        <f>IF(AND(B188&gt;='IN-NX'!$P$3,B188&lt;='IN-NX'!$Q$3,'IN-NX'!$D$7=D188,OR(LEFT(L188,2)="15",AND(LEFT(M188,2)&lt;&gt;"15",LEFT(M188,2)&lt;&gt;"33"))),"x","")</f>
        <v/>
      </c>
      <c r="V188" s="22" t="str">
        <f>IF(AND(OR(LEFT(TH!L188,2)="15",LEFT(TH!M188,2)="15"),'152-CT'!$J$8=TH!F188),"x","")</f>
        <v/>
      </c>
      <c r="W188" s="22" t="str">
        <f>IF(AND(OR(LEFT(TH!L188,2)="15",LEFT(TH!M188,2)="15"),TK!$E$7=TH!F188),"x","")</f>
        <v/>
      </c>
      <c r="X188" s="22" t="str">
        <f>IF(OR(TH!L188=TH!$X$7,M188=TH!$X$7),"x","")</f>
        <v/>
      </c>
      <c r="Y188" s="22" t="str">
        <f>IF(AND(B188&lt;=NKC!$N$8,B188&gt;=NKC!$M$8),"x","")</f>
        <v>x</v>
      </c>
      <c r="Z188" s="580"/>
      <c r="AD188" s="130"/>
      <c r="AE188" s="130"/>
    </row>
    <row r="189" spans="1:31" s="406" customFormat="1" ht="15.75" customHeight="1">
      <c r="A189" s="123" t="str">
        <f>IF(B189&lt;&gt;"",IF(AND(B189&gt;=_TM1,B189&lt;=_TM2,OR(TH!L190="1111",TH!M190="1111")),TH!D190,""),"")</f>
        <v/>
      </c>
      <c r="B189" s="12">
        <f t="shared" si="6"/>
        <v>8</v>
      </c>
      <c r="C189" s="108">
        <f t="shared" si="7"/>
        <v>42601</v>
      </c>
      <c r="D189" s="108" t="s">
        <v>461</v>
      </c>
      <c r="E189" s="108">
        <v>42601</v>
      </c>
      <c r="F189" s="112" t="s">
        <v>444</v>
      </c>
      <c r="G189" s="303" t="s">
        <v>446</v>
      </c>
      <c r="H189" s="115" t="s">
        <v>442</v>
      </c>
      <c r="I189" s="139">
        <v>14330</v>
      </c>
      <c r="J189" s="139">
        <v>780</v>
      </c>
      <c r="K189" s="13">
        <f>ROUND(I189*J189,0)</f>
        <v>11177400</v>
      </c>
      <c r="L189" s="116" t="s">
        <v>156</v>
      </c>
      <c r="M189" s="116" t="s">
        <v>8</v>
      </c>
      <c r="N189" s="22" t="str">
        <f>IF(AND('331-CT'!$E$7=TH!H189,OR(L189="331",M189="331")),"331",IF(AND(OR(L189="131",M189="131"),H189='131-CT'!$E$7),"131",""))</f>
        <v>331</v>
      </c>
      <c r="O189" s="22" t="str">
        <f>IF(AND($B189&gt;='111'!$N$11,$B189&lt;='111'!$O$11,OR($L189=$O$7,$M189=$O$7)),"x","")</f>
        <v/>
      </c>
      <c r="P189" s="22" t="str">
        <f>IF(AND($L189=$O$7,$B189&lt;'111'!$N$11),"x","")</f>
        <v/>
      </c>
      <c r="Q189" s="22" t="str">
        <f>IF(AND($M189=$O$7,$B189&lt;'111'!$N$11),"x","")</f>
        <v/>
      </c>
      <c r="R189" s="22" t="str">
        <f>IF(ISERROR(FIND('112'!$M$9,G189,1)),"",IF((AND(FIND('112'!$M$9,G189,1)&gt;=1,$B189&gt;='112'!$N$8,$B189&lt;='112'!$O$8,OR($L189='112'!$I$6,$M189='112'!$I$6))),"x",""))</f>
        <v/>
      </c>
      <c r="S189" s="22" t="str">
        <f>IF(ISERROR(FIND('112'!$M$9,G189,1)),"",IF((AND(LEFT(G189,2)=LEFT('112'!$M$9,2),B189&lt;'112'!$N$8,$L189='112'!$I$6)),"x",""))</f>
        <v/>
      </c>
      <c r="T189" s="22" t="str">
        <f>IF(ISERROR(FIND('112'!$M$9,G189,1)),"",IF((AND(RIGHT(G189,2)=RIGHT('112'!$M$9,2),B189&lt;'112'!$N$8,$M189='112'!$I$6)),"x",""))</f>
        <v/>
      </c>
      <c r="U189" s="22" t="str">
        <f>IF(AND(B189&gt;='IN-NX'!$P$3,B189&lt;='IN-NX'!$Q$3,'IN-NX'!$D$7=D189,OR(LEFT(L189,2)="15",AND(LEFT(M189,2)&lt;&gt;"15",LEFT(M189,2)&lt;&gt;"33"))),"x","")</f>
        <v/>
      </c>
      <c r="V189" s="22" t="str">
        <f>IF(AND(OR(LEFT(TH!L189,2)="15",LEFT(TH!M189,2)="15"),'152-CT'!$J$8=TH!F189),"x","")</f>
        <v/>
      </c>
      <c r="W189" s="22" t="str">
        <f>IF(AND(OR(LEFT(TH!L189,2)="15",LEFT(TH!M189,2)="15"),TK!$E$7=TH!F189),"x","")</f>
        <v>x</v>
      </c>
      <c r="X189" s="22" t="str">
        <f>IF(OR(TH!L189=TH!$X$7,M189=TH!$X$7),"x","")</f>
        <v/>
      </c>
      <c r="Y189" s="22" t="str">
        <f>IF(AND(B189&lt;=NKC!$N$8,B189&gt;=NKC!$M$8),"x","")</f>
        <v>x</v>
      </c>
      <c r="Z189" s="580">
        <v>3</v>
      </c>
    </row>
    <row r="190" spans="1:31" s="130" customFormat="1" ht="15.75" customHeight="1">
      <c r="A190" s="123" t="str">
        <f>IF(B190&lt;&gt;"",IF(AND(B190&gt;=_TM1,B190&lt;=_TM2,OR(TH!L191="1111",TH!M191="1111")),TH!D191,""),"")</f>
        <v/>
      </c>
      <c r="B190" s="12">
        <f t="shared" si="6"/>
        <v>8</v>
      </c>
      <c r="C190" s="108">
        <f t="shared" si="7"/>
        <v>42601</v>
      </c>
      <c r="D190" s="108" t="s">
        <v>461</v>
      </c>
      <c r="E190" s="108">
        <v>42601</v>
      </c>
      <c r="F190" s="112" t="s">
        <v>445</v>
      </c>
      <c r="G190" s="303" t="s">
        <v>446</v>
      </c>
      <c r="H190" s="115" t="s">
        <v>442</v>
      </c>
      <c r="I190" s="139"/>
      <c r="J190" s="139"/>
      <c r="K190" s="410">
        <v>1117740</v>
      </c>
      <c r="L190" s="116" t="s">
        <v>9</v>
      </c>
      <c r="M190" s="116" t="s">
        <v>8</v>
      </c>
      <c r="N190" s="22" t="str">
        <f>IF(AND('331-CT'!$E$7=TH!H190,OR(L190="331",M190="331")),"331",IF(AND(OR(L190="131",M190="131"),H190='131-CT'!$E$7),"131",""))</f>
        <v>331</v>
      </c>
      <c r="O190" s="22" t="str">
        <f>IF(AND($B190&gt;='111'!$N$11,$B190&lt;='111'!$O$11,OR($L190=$O$7,$M190=$O$7)),"x","")</f>
        <v/>
      </c>
      <c r="P190" s="22" t="str">
        <f>IF(AND($L190=$O$7,$B190&lt;'111'!$N$11),"x","")</f>
        <v/>
      </c>
      <c r="Q190" s="22" t="str">
        <f>IF(AND($M190=$O$7,$B190&lt;'111'!$N$11),"x","")</f>
        <v/>
      </c>
      <c r="R190" s="22" t="str">
        <f>IF(ISERROR(FIND('112'!$M$9,G190,1)),"",IF((AND(FIND('112'!$M$9,G190,1)&gt;=1,$B190&gt;='112'!$N$8,$B190&lt;='112'!$O$8,OR($L190='112'!$I$6,$M190='112'!$I$6))),"x",""))</f>
        <v/>
      </c>
      <c r="S190" s="22" t="str">
        <f>IF(ISERROR(FIND('112'!$M$9,G190,1)),"",IF((AND(LEFT(G190,2)=LEFT('112'!$M$9,2),B190&lt;'112'!$N$8,$L190='112'!$I$6)),"x",""))</f>
        <v/>
      </c>
      <c r="T190" s="22" t="str">
        <f>IF(ISERROR(FIND('112'!$M$9,G190,1)),"",IF((AND(RIGHT(G190,2)=RIGHT('112'!$M$9,2),B190&lt;'112'!$N$8,$M190='112'!$I$6)),"x",""))</f>
        <v/>
      </c>
      <c r="U190" s="22" t="str">
        <f>IF(AND(B190&gt;='IN-NX'!$P$3,B190&lt;='IN-NX'!$Q$3,'IN-NX'!$D$7=D190,OR(LEFT(L190,2)="15",AND(LEFT(M190,2)&lt;&gt;"15",LEFT(M190,2)&lt;&gt;"33"))),"x","")</f>
        <v/>
      </c>
      <c r="V190" s="22" t="str">
        <f>IF(AND(OR(LEFT(TH!L190,2)="15",LEFT(TH!M190,2)="15"),'152-CT'!$J$8=TH!F190),"x","")</f>
        <v/>
      </c>
      <c r="W190" s="22" t="str">
        <f>IF(AND(OR(LEFT(TH!L190,2)="15",LEFT(TH!M190,2)="15"),TK!$E$7=TH!F190),"x","")</f>
        <v/>
      </c>
      <c r="X190" s="22" t="str">
        <f>IF(OR(TH!L190=TH!$X$7,M190=TH!$X$7),"x","")</f>
        <v/>
      </c>
      <c r="Y190" s="22" t="str">
        <f>IF(AND(B190&lt;=NKC!$N$8,B190&gt;=NKC!$M$8),"x","")</f>
        <v>x</v>
      </c>
      <c r="Z190" s="580">
        <v>3</v>
      </c>
      <c r="AA190" s="406"/>
      <c r="AB190" s="406"/>
      <c r="AC190" s="406"/>
      <c r="AD190" s="406"/>
      <c r="AE190" s="406"/>
    </row>
    <row r="191" spans="1:31" s="130" customFormat="1" ht="15.75" customHeight="1">
      <c r="A191" s="123" t="str">
        <f>IF(B191&lt;&gt;"",IF(AND(B191&gt;=_TM1,B191&lt;=_TM2,OR(TH!L192="1111",TH!M192="1111")),TH!D192,""),"")</f>
        <v/>
      </c>
      <c r="B191" s="12">
        <f t="shared" si="6"/>
        <v>8</v>
      </c>
      <c r="C191" s="108">
        <f t="shared" si="7"/>
        <v>42601</v>
      </c>
      <c r="D191" s="108" t="s">
        <v>466</v>
      </c>
      <c r="E191" s="108">
        <v>42601</v>
      </c>
      <c r="F191" s="112" t="s">
        <v>471</v>
      </c>
      <c r="G191" s="303" t="s">
        <v>474</v>
      </c>
      <c r="H191" s="4" t="s">
        <v>475</v>
      </c>
      <c r="I191" s="139"/>
      <c r="J191" s="139"/>
      <c r="K191" s="13">
        <v>277000000</v>
      </c>
      <c r="L191" s="116" t="s">
        <v>24</v>
      </c>
      <c r="M191" s="116" t="s">
        <v>46</v>
      </c>
      <c r="N191" s="22" t="str">
        <f>IF(AND('331-CT'!$E$7=TH!H191,OR(L191="331",M191="331")),"331",IF(AND(OR(L191="131",M191="131"),H191='131-CT'!$E$7),"131",""))</f>
        <v/>
      </c>
      <c r="O191" s="22" t="str">
        <f>IF(AND($B191&gt;='111'!$N$11,$B191&lt;='111'!$O$11,OR($L191=$O$7,$M191=$O$7)),"x","")</f>
        <v/>
      </c>
      <c r="P191" s="22" t="str">
        <f>IF(AND($L191=$O$7,$B191&lt;'111'!$N$11),"x","")</f>
        <v/>
      </c>
      <c r="Q191" s="22" t="str">
        <f>IF(AND($M191=$O$7,$B191&lt;'111'!$N$11),"x","")</f>
        <v>x</v>
      </c>
      <c r="R191" s="22" t="str">
        <f>IF(ISERROR(FIND('112'!$M$9,G191,1)),"",IF((AND(FIND('112'!$M$9,G191,1)&gt;=1,$B191&gt;='112'!$N$8,$B191&lt;='112'!$O$8,OR($L191='112'!$I$6,$M191='112'!$I$6))),"x",""))</f>
        <v/>
      </c>
      <c r="S191" s="22" t="str">
        <f>IF(ISERROR(FIND('112'!$M$9,G191,1)),"",IF((AND(LEFT(G191,2)=LEFT('112'!$M$9,2),B191&lt;'112'!$N$8,$L191='112'!$I$6)),"x",""))</f>
        <v>x</v>
      </c>
      <c r="T191" s="22" t="str">
        <f>IF(ISERROR(FIND('112'!$M$9,G191,1)),"",IF((AND(RIGHT(G191,2)=RIGHT('112'!$M$9,2),B191&lt;'112'!$N$8,$M191='112'!$I$6)),"x",""))</f>
        <v/>
      </c>
      <c r="U191" s="22" t="str">
        <f>IF(AND(B191&gt;='IN-NX'!$P$3,B191&lt;='IN-NX'!$Q$3,'IN-NX'!$D$7=D191,OR(LEFT(L191,2)="15",AND(LEFT(M191,2)&lt;&gt;"15",LEFT(M191,2)&lt;&gt;"33"))),"x","")</f>
        <v/>
      </c>
      <c r="V191" s="22" t="str">
        <f>IF(AND(OR(LEFT(TH!L191,2)="15",LEFT(TH!M191,2)="15"),'152-CT'!$J$8=TH!F191),"x","")</f>
        <v/>
      </c>
      <c r="W191" s="22" t="str">
        <f>IF(AND(OR(LEFT(TH!L191,2)="15",LEFT(TH!M191,2)="15"),TK!$E$7=TH!F191),"x","")</f>
        <v/>
      </c>
      <c r="X191" s="22" t="str">
        <f>IF(OR(TH!L191=TH!$X$7,M191=TH!$X$7),"x","")</f>
        <v/>
      </c>
      <c r="Y191" s="22" t="str">
        <f>IF(AND(B191&lt;=NKC!$N$8,B191&gt;=NKC!$M$8),"x","")</f>
        <v>x</v>
      </c>
      <c r="Z191" s="580"/>
      <c r="AA191" s="406"/>
      <c r="AB191" s="406"/>
      <c r="AD191" s="406"/>
      <c r="AE191" s="406"/>
    </row>
    <row r="192" spans="1:31" s="130" customFormat="1" ht="15.75" customHeight="1">
      <c r="A192" s="123" t="str">
        <f>IF(B192&lt;&gt;"",IF(AND(B192&gt;=_TM1,B192&lt;=_TM2,OR(TH!L193="1111",TH!M193="1111")),TH!D193,""),"")</f>
        <v/>
      </c>
      <c r="B192" s="12">
        <f t="shared" si="6"/>
        <v>8</v>
      </c>
      <c r="C192" s="108">
        <f t="shared" si="7"/>
        <v>42601</v>
      </c>
      <c r="D192" s="108" t="s">
        <v>470</v>
      </c>
      <c r="E192" s="108">
        <v>42601</v>
      </c>
      <c r="F192" s="112" t="s">
        <v>465</v>
      </c>
      <c r="G192" s="303" t="s">
        <v>474</v>
      </c>
      <c r="H192" s="4" t="s">
        <v>399</v>
      </c>
      <c r="I192" s="139"/>
      <c r="J192" s="139"/>
      <c r="K192" s="410">
        <v>180000000</v>
      </c>
      <c r="L192" s="116" t="s">
        <v>8</v>
      </c>
      <c r="M192" s="116" t="s">
        <v>24</v>
      </c>
      <c r="N192" s="22" t="str">
        <f>IF(AND('331-CT'!$E$7=TH!H192,OR(L192="331",M192="331")),"331",IF(AND(OR(L192="131",M192="131"),H192='131-CT'!$E$7),"131",""))</f>
        <v/>
      </c>
      <c r="O192" s="22" t="str">
        <f>IF(AND($B192&gt;='111'!$N$11,$B192&lt;='111'!$O$11,OR($L192=$O$7,$M192=$O$7)),"x","")</f>
        <v/>
      </c>
      <c r="P192" s="22" t="str">
        <f>IF(AND($L192=$O$7,$B192&lt;'111'!$N$11),"x","")</f>
        <v/>
      </c>
      <c r="Q192" s="22" t="str">
        <f>IF(AND($M192=$O$7,$B192&lt;'111'!$N$11),"x","")</f>
        <v/>
      </c>
      <c r="R192" s="22" t="str">
        <f>IF(ISERROR(FIND('112'!$M$9,G192,1)),"",IF((AND(FIND('112'!$M$9,G192,1)&gt;=1,$B192&gt;='112'!$N$8,$B192&lt;='112'!$O$8,OR($L192='112'!$I$6,$M192='112'!$I$6))),"x",""))</f>
        <v/>
      </c>
      <c r="S192" s="22" t="str">
        <f>IF(ISERROR(FIND('112'!$M$9,G192,1)),"",IF((AND(LEFT(G192,2)=LEFT('112'!$M$9,2),B192&lt;'112'!$N$8,$L192='112'!$I$6)),"x",""))</f>
        <v/>
      </c>
      <c r="T192" s="22" t="str">
        <f>IF(ISERROR(FIND('112'!$M$9,G192,1)),"",IF((AND(RIGHT(G192,2)=RIGHT('112'!$M$9,2),B192&lt;'112'!$N$8,$M192='112'!$I$6)),"x",""))</f>
        <v>x</v>
      </c>
      <c r="U192" s="22" t="str">
        <f>IF(AND(B192&gt;='IN-NX'!$P$3,B192&lt;='IN-NX'!$Q$3,'IN-NX'!$D$7=D192,OR(LEFT(L192,2)="15",AND(LEFT(M192,2)&lt;&gt;"15",LEFT(M192,2)&lt;&gt;"33"))),"x","")</f>
        <v/>
      </c>
      <c r="V192" s="22" t="str">
        <f>IF(AND(OR(LEFT(TH!L192,2)="15",LEFT(TH!M192,2)="15"),'152-CT'!$J$8=TH!F192),"x","")</f>
        <v/>
      </c>
      <c r="W192" s="22" t="str">
        <f>IF(AND(OR(LEFT(TH!L192,2)="15",LEFT(TH!M192,2)="15"),TK!$E$7=TH!F192),"x","")</f>
        <v/>
      </c>
      <c r="X192" s="22" t="str">
        <f>IF(OR(TH!L192=TH!$X$7,M192=TH!$X$7),"x","")</f>
        <v/>
      </c>
      <c r="Y192" s="22" t="str">
        <f>IF(AND(B192&lt;=NKC!$N$8,B192&gt;=NKC!$M$8),"x","")</f>
        <v>x</v>
      </c>
      <c r="Z192" s="580"/>
      <c r="AA192" s="406"/>
      <c r="AB192" s="406"/>
      <c r="AD192" s="406"/>
      <c r="AE192" s="406"/>
    </row>
    <row r="193" spans="1:31" s="130" customFormat="1" ht="15.75" customHeight="1">
      <c r="A193" s="123" t="str">
        <f>IF(B193&lt;&gt;"",IF(AND(B193&gt;=_TM1,B193&lt;=_TM2,OR(TH!L194="1111",TH!M194="1111")),TH!D194,""),"")</f>
        <v/>
      </c>
      <c r="B193" s="12">
        <f t="shared" si="6"/>
        <v>8</v>
      </c>
      <c r="C193" s="108">
        <f t="shared" si="7"/>
        <v>42601</v>
      </c>
      <c r="D193" s="108" t="s">
        <v>470</v>
      </c>
      <c r="E193" s="108">
        <v>42601</v>
      </c>
      <c r="F193" s="112" t="s">
        <v>480</v>
      </c>
      <c r="G193" s="303" t="s">
        <v>474</v>
      </c>
      <c r="H193" s="4"/>
      <c r="I193" s="139"/>
      <c r="J193" s="139"/>
      <c r="K193" s="410">
        <v>10000</v>
      </c>
      <c r="L193" s="116" t="s">
        <v>82</v>
      </c>
      <c r="M193" s="116" t="s">
        <v>24</v>
      </c>
      <c r="N193" s="22" t="str">
        <f>IF(AND('331-CT'!$E$7=TH!H193,OR(L193="331",M193="331")),"331",IF(AND(OR(L193="131",M193="131"),H193='131-CT'!$E$7),"131",""))</f>
        <v/>
      </c>
      <c r="O193" s="22" t="str">
        <f>IF(AND($B193&gt;='111'!$N$11,$B193&lt;='111'!$O$11,OR($L193=$O$7,$M193=$O$7)),"x","")</f>
        <v/>
      </c>
      <c r="P193" s="22" t="str">
        <f>IF(AND($L193=$O$7,$B193&lt;'111'!$N$11),"x","")</f>
        <v/>
      </c>
      <c r="Q193" s="22" t="str">
        <f>IF(AND($M193=$O$7,$B193&lt;'111'!$N$11),"x","")</f>
        <v/>
      </c>
      <c r="R193" s="22" t="str">
        <f>IF(ISERROR(FIND('112'!$M$9,G193,1)),"",IF((AND(FIND('112'!$M$9,G193,1)&gt;=1,$B193&gt;='112'!$N$8,$B193&lt;='112'!$O$8,OR($L193='112'!$I$6,$M193='112'!$I$6))),"x",""))</f>
        <v/>
      </c>
      <c r="S193" s="22" t="str">
        <f>IF(ISERROR(FIND('112'!$M$9,G193,1)),"",IF((AND(LEFT(G193,2)=LEFT('112'!$M$9,2),B193&lt;'112'!$N$8,$L193='112'!$I$6)),"x",""))</f>
        <v/>
      </c>
      <c r="T193" s="22" t="str">
        <f>IF(ISERROR(FIND('112'!$M$9,G193,1)),"",IF((AND(RIGHT(G193,2)=RIGHT('112'!$M$9,2),B193&lt;'112'!$N$8,$M193='112'!$I$6)),"x",""))</f>
        <v>x</v>
      </c>
      <c r="U193" s="22" t="str">
        <f>IF(AND(B193&gt;='IN-NX'!$P$3,B193&lt;='IN-NX'!$Q$3,'IN-NX'!$D$7=D193,OR(LEFT(L193,2)="15",AND(LEFT(M193,2)&lt;&gt;"15",LEFT(M193,2)&lt;&gt;"33"))),"x","")</f>
        <v/>
      </c>
      <c r="V193" s="22" t="str">
        <f>IF(AND(OR(LEFT(TH!L193,2)="15",LEFT(TH!M193,2)="15"),'152-CT'!$J$8=TH!F193),"x","")</f>
        <v/>
      </c>
      <c r="W193" s="22" t="str">
        <f>IF(AND(OR(LEFT(TH!L193,2)="15",LEFT(TH!M193,2)="15"),TK!$E$7=TH!F193),"x","")</f>
        <v/>
      </c>
      <c r="X193" s="22" t="str">
        <f>IF(OR(TH!L193=TH!$X$7,M193=TH!$X$7),"x","")</f>
        <v>x</v>
      </c>
      <c r="Y193" s="22" t="str">
        <f>IF(AND(B193&lt;=NKC!$N$8,B193&gt;=NKC!$M$8),"x","")</f>
        <v>x</v>
      </c>
      <c r="Z193" s="580">
        <v>3</v>
      </c>
      <c r="AA193" s="406"/>
      <c r="AB193" s="406"/>
      <c r="AC193" s="406"/>
      <c r="AD193" s="406"/>
      <c r="AE193" s="406"/>
    </row>
    <row r="194" spans="1:31" s="130" customFormat="1" ht="15.75" customHeight="1">
      <c r="A194" s="123" t="str">
        <f>IF(B194&lt;&gt;"",IF(AND(B194&gt;=_TM1,B194&lt;=_TM2,OR(TH!L195="1111",TH!M195="1111")),TH!D195,""),"")</f>
        <v/>
      </c>
      <c r="B194" s="12">
        <f t="shared" si="6"/>
        <v>8</v>
      </c>
      <c r="C194" s="108">
        <f t="shared" si="7"/>
        <v>42601</v>
      </c>
      <c r="D194" s="108" t="s">
        <v>470</v>
      </c>
      <c r="E194" s="108">
        <v>42601</v>
      </c>
      <c r="F194" s="112" t="s">
        <v>481</v>
      </c>
      <c r="G194" s="303" t="s">
        <v>474</v>
      </c>
      <c r="H194" s="4"/>
      <c r="I194" s="139"/>
      <c r="J194" s="139"/>
      <c r="K194" s="410">
        <v>1000</v>
      </c>
      <c r="L194" s="116" t="s">
        <v>9</v>
      </c>
      <c r="M194" s="116" t="s">
        <v>24</v>
      </c>
      <c r="N194" s="22" t="str">
        <f>IF(AND('331-CT'!$E$7=TH!H194,OR(L194="331",M194="331")),"331",IF(AND(OR(L194="131",M194="131"),H194='131-CT'!$E$7),"131",""))</f>
        <v/>
      </c>
      <c r="O194" s="22" t="str">
        <f>IF(AND($B194&gt;='111'!$N$11,$B194&lt;='111'!$O$11,OR($L194=$O$7,$M194=$O$7)),"x","")</f>
        <v/>
      </c>
      <c r="P194" s="22" t="str">
        <f>IF(AND($L194=$O$7,$B194&lt;'111'!$N$11),"x","")</f>
        <v/>
      </c>
      <c r="Q194" s="22" t="str">
        <f>IF(AND($M194=$O$7,$B194&lt;'111'!$N$11),"x","")</f>
        <v/>
      </c>
      <c r="R194" s="22" t="str">
        <f>IF(ISERROR(FIND('112'!$M$9,G194,1)),"",IF((AND(FIND('112'!$M$9,G194,1)&gt;=1,$B194&gt;='112'!$N$8,$B194&lt;='112'!$O$8,OR($L194='112'!$I$6,$M194='112'!$I$6))),"x",""))</f>
        <v/>
      </c>
      <c r="S194" s="22" t="str">
        <f>IF(ISERROR(FIND('112'!$M$9,G194,1)),"",IF((AND(LEFT(G194,2)=LEFT('112'!$M$9,2),B194&lt;'112'!$N$8,$L194='112'!$I$6)),"x",""))</f>
        <v/>
      </c>
      <c r="T194" s="22" t="str">
        <f>IF(ISERROR(FIND('112'!$M$9,G194,1)),"",IF((AND(RIGHT(G194,2)=RIGHT('112'!$M$9,2),B194&lt;'112'!$N$8,$M194='112'!$I$6)),"x",""))</f>
        <v>x</v>
      </c>
      <c r="U194" s="22" t="str">
        <f>IF(AND(B194&gt;='IN-NX'!$P$3,B194&lt;='IN-NX'!$Q$3,'IN-NX'!$D$7=D194,OR(LEFT(L194,2)="15",AND(LEFT(M194,2)&lt;&gt;"15",LEFT(M194,2)&lt;&gt;"33"))),"x","")</f>
        <v/>
      </c>
      <c r="V194" s="22" t="str">
        <f>IF(AND(OR(LEFT(TH!L194,2)="15",LEFT(TH!M194,2)="15"),'152-CT'!$J$8=TH!F194),"x","")</f>
        <v/>
      </c>
      <c r="W194" s="22" t="str">
        <f>IF(AND(OR(LEFT(TH!L194,2)="15",LEFT(TH!M194,2)="15"),TK!$E$7=TH!F194),"x","")</f>
        <v/>
      </c>
      <c r="X194" s="22" t="str">
        <f>IF(OR(TH!L194=TH!$X$7,M194=TH!$X$7),"x","")</f>
        <v/>
      </c>
      <c r="Y194" s="22" t="str">
        <f>IF(AND(B194&lt;=NKC!$N$8,B194&gt;=NKC!$M$8),"x","")</f>
        <v>x</v>
      </c>
      <c r="Z194" s="580">
        <v>3</v>
      </c>
      <c r="AA194" s="406"/>
      <c r="AB194" s="406"/>
      <c r="AC194" s="406"/>
      <c r="AD194" s="406"/>
      <c r="AE194" s="406"/>
    </row>
    <row r="195" spans="1:31" s="130" customFormat="1" ht="15.75" customHeight="1">
      <c r="A195" s="123" t="str">
        <f>IF(B195&lt;&gt;"",IF(AND(B195&gt;=_TM1,B195&lt;=_TM2,OR(TH!L196="1111",TH!M196="1111")),TH!D196,""),"")</f>
        <v/>
      </c>
      <c r="B195" s="12">
        <f t="shared" si="6"/>
        <v>8</v>
      </c>
      <c r="C195" s="108">
        <f t="shared" si="7"/>
        <v>42601</v>
      </c>
      <c r="D195" s="108" t="s">
        <v>470</v>
      </c>
      <c r="E195" s="108">
        <v>42601</v>
      </c>
      <c r="F195" s="112" t="s">
        <v>465</v>
      </c>
      <c r="G195" s="303" t="s">
        <v>474</v>
      </c>
      <c r="H195" s="4" t="s">
        <v>398</v>
      </c>
      <c r="I195" s="139"/>
      <c r="J195" s="139"/>
      <c r="K195" s="410">
        <v>56000000</v>
      </c>
      <c r="L195" s="116" t="s">
        <v>8</v>
      </c>
      <c r="M195" s="116" t="s">
        <v>24</v>
      </c>
      <c r="N195" s="22" t="str">
        <f>IF(AND('331-CT'!$E$7=TH!H195,OR(L195="331",M195="331")),"331",IF(AND(OR(L195="131",M195="131"),H195='131-CT'!$E$7),"131",""))</f>
        <v/>
      </c>
      <c r="O195" s="22" t="str">
        <f>IF(AND($B195&gt;='111'!$N$11,$B195&lt;='111'!$O$11,OR($L195=$O$7,$M195=$O$7)),"x","")</f>
        <v/>
      </c>
      <c r="P195" s="22" t="str">
        <f>IF(AND($L195=$O$7,$B195&lt;'111'!$N$11),"x","")</f>
        <v/>
      </c>
      <c r="Q195" s="22" t="str">
        <f>IF(AND($M195=$O$7,$B195&lt;'111'!$N$11),"x","")</f>
        <v/>
      </c>
      <c r="R195" s="22" t="str">
        <f>IF(ISERROR(FIND('112'!$M$9,G195,1)),"",IF((AND(FIND('112'!$M$9,G195,1)&gt;=1,$B195&gt;='112'!$N$8,$B195&lt;='112'!$O$8,OR($L195='112'!$I$6,$M195='112'!$I$6))),"x",""))</f>
        <v/>
      </c>
      <c r="S195" s="22" t="str">
        <f>IF(ISERROR(FIND('112'!$M$9,G195,1)),"",IF((AND(LEFT(G195,2)=LEFT('112'!$M$9,2),B195&lt;'112'!$N$8,$L195='112'!$I$6)),"x",""))</f>
        <v/>
      </c>
      <c r="T195" s="22" t="str">
        <f>IF(ISERROR(FIND('112'!$M$9,G195,1)),"",IF((AND(RIGHT(G195,2)=RIGHT('112'!$M$9,2),B195&lt;'112'!$N$8,$M195='112'!$I$6)),"x",""))</f>
        <v>x</v>
      </c>
      <c r="U195" s="22" t="str">
        <f>IF(AND(B195&gt;='IN-NX'!$P$3,B195&lt;='IN-NX'!$Q$3,'IN-NX'!$D$7=D195,OR(LEFT(L195,2)="15",AND(LEFT(M195,2)&lt;&gt;"15",LEFT(M195,2)&lt;&gt;"33"))),"x","")</f>
        <v/>
      </c>
      <c r="V195" s="22" t="str">
        <f>IF(AND(OR(LEFT(TH!L195,2)="15",LEFT(TH!M195,2)="15"),'152-CT'!$J$8=TH!F195),"x","")</f>
        <v/>
      </c>
      <c r="W195" s="22" t="str">
        <f>IF(AND(OR(LEFT(TH!L195,2)="15",LEFT(TH!M195,2)="15"),TK!$E$7=TH!F195),"x","")</f>
        <v/>
      </c>
      <c r="X195" s="22" t="str">
        <f>IF(OR(TH!L195=TH!$X$7,M195=TH!$X$7),"x","")</f>
        <v/>
      </c>
      <c r="Y195" s="22" t="str">
        <f>IF(AND(B195&lt;=NKC!$N$8,B195&gt;=NKC!$M$8),"x","")</f>
        <v>x</v>
      </c>
      <c r="Z195" s="580"/>
      <c r="AA195" s="406"/>
      <c r="AB195" s="406"/>
      <c r="AC195" s="406"/>
      <c r="AD195" s="406"/>
      <c r="AE195" s="406"/>
    </row>
    <row r="196" spans="1:31" s="130" customFormat="1" ht="15.75" customHeight="1">
      <c r="A196" s="123" t="str">
        <f>IF(B196&lt;&gt;"",IF(AND(B196&gt;=_TM1,B196&lt;=_TM2,OR(TH!L197="1111",TH!M197="1111")),TH!D197,""),"")</f>
        <v/>
      </c>
      <c r="B196" s="12">
        <f t="shared" si="6"/>
        <v>8</v>
      </c>
      <c r="C196" s="108">
        <f t="shared" si="7"/>
        <v>42601</v>
      </c>
      <c r="D196" s="108" t="s">
        <v>470</v>
      </c>
      <c r="E196" s="108">
        <v>42601</v>
      </c>
      <c r="F196" s="112" t="s">
        <v>480</v>
      </c>
      <c r="G196" s="303" t="s">
        <v>474</v>
      </c>
      <c r="H196" s="4"/>
      <c r="I196" s="139"/>
      <c r="J196" s="139"/>
      <c r="K196" s="410">
        <v>20000</v>
      </c>
      <c r="L196" s="116" t="s">
        <v>82</v>
      </c>
      <c r="M196" s="116" t="s">
        <v>24</v>
      </c>
      <c r="N196" s="22" t="str">
        <f>IF(AND('331-CT'!$E$7=TH!H196,OR(L196="331",M196="331")),"331",IF(AND(OR(L196="131",M196="131"),H196='131-CT'!$E$7),"131",""))</f>
        <v/>
      </c>
      <c r="O196" s="22" t="str">
        <f>IF(AND($B196&gt;='111'!$N$11,$B196&lt;='111'!$O$11,OR($L196=$O$7,$M196=$O$7)),"x","")</f>
        <v/>
      </c>
      <c r="P196" s="22" t="str">
        <f>IF(AND($L196=$O$7,$B196&lt;'111'!$N$11),"x","")</f>
        <v/>
      </c>
      <c r="Q196" s="22" t="str">
        <f>IF(AND($M196=$O$7,$B196&lt;'111'!$N$11),"x","")</f>
        <v/>
      </c>
      <c r="R196" s="22" t="str">
        <f>IF(ISERROR(FIND('112'!$M$9,G196,1)),"",IF((AND(FIND('112'!$M$9,G196,1)&gt;=1,$B196&gt;='112'!$N$8,$B196&lt;='112'!$O$8,OR($L196='112'!$I$6,$M196='112'!$I$6))),"x",""))</f>
        <v/>
      </c>
      <c r="S196" s="22" t="str">
        <f>IF(ISERROR(FIND('112'!$M$9,G196,1)),"",IF((AND(LEFT(G196,2)=LEFT('112'!$M$9,2),B196&lt;'112'!$N$8,$L196='112'!$I$6)),"x",""))</f>
        <v/>
      </c>
      <c r="T196" s="22" t="str">
        <f>IF(ISERROR(FIND('112'!$M$9,G196,1)),"",IF((AND(RIGHT(G196,2)=RIGHT('112'!$M$9,2),B196&lt;'112'!$N$8,$M196='112'!$I$6)),"x",""))</f>
        <v>x</v>
      </c>
      <c r="U196" s="22" t="str">
        <f>IF(AND(B196&gt;='IN-NX'!$P$3,B196&lt;='IN-NX'!$Q$3,'IN-NX'!$D$7=D196,OR(LEFT(L196,2)="15",AND(LEFT(M196,2)&lt;&gt;"15",LEFT(M196,2)&lt;&gt;"33"))),"x","")</f>
        <v/>
      </c>
      <c r="V196" s="22" t="str">
        <f>IF(AND(OR(LEFT(TH!L196,2)="15",LEFT(TH!M196,2)="15"),'152-CT'!$J$8=TH!F196),"x","")</f>
        <v/>
      </c>
      <c r="W196" s="22" t="str">
        <f>IF(AND(OR(LEFT(TH!L196,2)="15",LEFT(TH!M196,2)="15"),TK!$E$7=TH!F196),"x","")</f>
        <v/>
      </c>
      <c r="X196" s="22" t="str">
        <f>IF(OR(TH!L196=TH!$X$7,M196=TH!$X$7),"x","")</f>
        <v>x</v>
      </c>
      <c r="Y196" s="22" t="str">
        <f>IF(AND(B196&lt;=NKC!$N$8,B196&gt;=NKC!$M$8),"x","")</f>
        <v>x</v>
      </c>
      <c r="Z196" s="580">
        <v>3</v>
      </c>
      <c r="AA196" s="406"/>
      <c r="AB196" s="406"/>
      <c r="AC196" s="406"/>
      <c r="AD196" s="406"/>
      <c r="AE196" s="406"/>
    </row>
    <row r="197" spans="1:31" s="130" customFormat="1" ht="15.75" customHeight="1">
      <c r="A197" s="123" t="str">
        <f>IF(B197&lt;&gt;"",IF(AND(B197&gt;=_TM1,B197&lt;=_TM2,OR(TH!L198="1111",TH!M198="1111")),TH!D198,""),"")</f>
        <v/>
      </c>
      <c r="B197" s="12">
        <f t="shared" si="6"/>
        <v>8</v>
      </c>
      <c r="C197" s="108">
        <f t="shared" si="7"/>
        <v>42601</v>
      </c>
      <c r="D197" s="108" t="s">
        <v>470</v>
      </c>
      <c r="E197" s="108">
        <v>42601</v>
      </c>
      <c r="F197" s="112" t="s">
        <v>481</v>
      </c>
      <c r="G197" s="303" t="s">
        <v>474</v>
      </c>
      <c r="H197" s="4"/>
      <c r="I197" s="139"/>
      <c r="J197" s="139"/>
      <c r="K197" s="410">
        <v>2000</v>
      </c>
      <c r="L197" s="116" t="s">
        <v>9</v>
      </c>
      <c r="M197" s="116" t="s">
        <v>24</v>
      </c>
      <c r="N197" s="22" t="str">
        <f>IF(AND('331-CT'!$E$7=TH!H197,OR(L197="331",M197="331")),"331",IF(AND(OR(L197="131",M197="131"),H197='131-CT'!$E$7),"131",""))</f>
        <v/>
      </c>
      <c r="O197" s="22" t="str">
        <f>IF(AND($B197&gt;='111'!$N$11,$B197&lt;='111'!$O$11,OR($L197=$O$7,$M197=$O$7)),"x","")</f>
        <v/>
      </c>
      <c r="P197" s="22" t="str">
        <f>IF(AND($L197=$O$7,$B197&lt;'111'!$N$11),"x","")</f>
        <v/>
      </c>
      <c r="Q197" s="22" t="str">
        <f>IF(AND($M197=$O$7,$B197&lt;'111'!$N$11),"x","")</f>
        <v/>
      </c>
      <c r="R197" s="22" t="str">
        <f>IF(ISERROR(FIND('112'!$M$9,G197,1)),"",IF((AND(FIND('112'!$M$9,G197,1)&gt;=1,$B197&gt;='112'!$N$8,$B197&lt;='112'!$O$8,OR($L197='112'!$I$6,$M197='112'!$I$6))),"x",""))</f>
        <v/>
      </c>
      <c r="S197" s="22" t="str">
        <f>IF(ISERROR(FIND('112'!$M$9,G197,1)),"",IF((AND(LEFT(G197,2)=LEFT('112'!$M$9,2),B197&lt;'112'!$N$8,$L197='112'!$I$6)),"x",""))</f>
        <v/>
      </c>
      <c r="T197" s="22" t="str">
        <f>IF(ISERROR(FIND('112'!$M$9,G197,1)),"",IF((AND(RIGHT(G197,2)=RIGHT('112'!$M$9,2),B197&lt;'112'!$N$8,$M197='112'!$I$6)),"x",""))</f>
        <v>x</v>
      </c>
      <c r="U197" s="22" t="str">
        <f>IF(AND(B197&gt;='IN-NX'!$P$3,B197&lt;='IN-NX'!$Q$3,'IN-NX'!$D$7=D197,OR(LEFT(L197,2)="15",AND(LEFT(M197,2)&lt;&gt;"15",LEFT(M197,2)&lt;&gt;"33"))),"x","")</f>
        <v/>
      </c>
      <c r="V197" s="22" t="str">
        <f>IF(AND(OR(LEFT(TH!L197,2)="15",LEFT(TH!M197,2)="15"),'152-CT'!$J$8=TH!F197),"x","")</f>
        <v/>
      </c>
      <c r="W197" s="22" t="str">
        <f>IF(AND(OR(LEFT(TH!L197,2)="15",LEFT(TH!M197,2)="15"),TK!$E$7=TH!F197),"x","")</f>
        <v/>
      </c>
      <c r="X197" s="22" t="str">
        <f>IF(OR(TH!L197=TH!$X$7,M197=TH!$X$7),"x","")</f>
        <v/>
      </c>
      <c r="Y197" s="22" t="str">
        <f>IF(AND(B197&lt;=NKC!$N$8,B197&gt;=NKC!$M$8),"x","")</f>
        <v>x</v>
      </c>
      <c r="Z197" s="580">
        <v>3</v>
      </c>
      <c r="AA197" s="406"/>
      <c r="AB197" s="406"/>
      <c r="AD197" s="406"/>
      <c r="AE197" s="406"/>
    </row>
    <row r="198" spans="1:31" s="130" customFormat="1" ht="15.75" customHeight="1">
      <c r="A198" s="123" t="str">
        <f>IF(B198&lt;&gt;"",IF(AND(B198&gt;=_TM1,B198&lt;=_TM2,OR(TH!L199="1111",TH!M199="1111")),TH!D199,""),"")</f>
        <v/>
      </c>
      <c r="B198" s="12">
        <f t="shared" si="6"/>
        <v>8</v>
      </c>
      <c r="C198" s="108">
        <f t="shared" si="7"/>
        <v>42601</v>
      </c>
      <c r="D198" s="108" t="s">
        <v>470</v>
      </c>
      <c r="E198" s="108">
        <v>42601</v>
      </c>
      <c r="F198" s="112" t="s">
        <v>479</v>
      </c>
      <c r="G198" s="303" t="s">
        <v>474</v>
      </c>
      <c r="H198" s="115" t="s">
        <v>624</v>
      </c>
      <c r="I198" s="139"/>
      <c r="J198" s="139"/>
      <c r="K198" s="13">
        <v>40700000</v>
      </c>
      <c r="L198" s="116" t="s">
        <v>8</v>
      </c>
      <c r="M198" s="116" t="s">
        <v>24</v>
      </c>
      <c r="N198" s="22" t="str">
        <f>IF(AND('331-CT'!$E$7=TH!H198,OR(L198="331",M198="331")),"331",IF(AND(OR(L198="131",M198="131"),H198='131-CT'!$E$7),"131",""))</f>
        <v/>
      </c>
      <c r="O198" s="22" t="str">
        <f>IF(AND($B198&gt;='111'!$N$11,$B198&lt;='111'!$O$11,OR($L198=$O$7,$M198=$O$7)),"x","")</f>
        <v/>
      </c>
      <c r="P198" s="22" t="str">
        <f>IF(AND($L198=$O$7,$B198&lt;'111'!$N$11),"x","")</f>
        <v/>
      </c>
      <c r="Q198" s="22" t="str">
        <f>IF(AND($M198=$O$7,$B198&lt;'111'!$N$11),"x","")</f>
        <v/>
      </c>
      <c r="R198" s="22" t="str">
        <f>IF(ISERROR(FIND('112'!$M$9,G198,1)),"",IF((AND(FIND('112'!$M$9,G198,1)&gt;=1,$B198&gt;='112'!$N$8,$B198&lt;='112'!$O$8,OR($L198='112'!$I$6,$M198='112'!$I$6))),"x",""))</f>
        <v/>
      </c>
      <c r="S198" s="22" t="str">
        <f>IF(ISERROR(FIND('112'!$M$9,G198,1)),"",IF((AND(LEFT(G198,2)=LEFT('112'!$M$9,2),B198&lt;'112'!$N$8,$L198='112'!$I$6)),"x",""))</f>
        <v/>
      </c>
      <c r="T198" s="22" t="str">
        <f>IF(ISERROR(FIND('112'!$M$9,G198,1)),"",IF((AND(RIGHT(G198,2)=RIGHT('112'!$M$9,2),B198&lt;'112'!$N$8,$M198='112'!$I$6)),"x",""))</f>
        <v>x</v>
      </c>
      <c r="U198" s="22" t="str">
        <f>IF(AND(B198&gt;='IN-NX'!$P$3,B198&lt;='IN-NX'!$Q$3,'IN-NX'!$D$7=D198,OR(LEFT(L198,2)="15",AND(LEFT(M198,2)&lt;&gt;"15",LEFT(M198,2)&lt;&gt;"33"))),"x","")</f>
        <v/>
      </c>
      <c r="V198" s="22" t="str">
        <f>IF(AND(OR(LEFT(TH!L198,2)="15",LEFT(TH!M198,2)="15"),'152-CT'!$J$8=TH!F198),"x","")</f>
        <v/>
      </c>
      <c r="W198" s="22" t="str">
        <f>IF(AND(OR(LEFT(TH!L198,2)="15",LEFT(TH!M198,2)="15"),TK!$E$7=TH!F198),"x","")</f>
        <v/>
      </c>
      <c r="X198" s="22" t="str">
        <f>IF(OR(TH!L198=TH!$X$7,M198=TH!$X$7),"x","")</f>
        <v/>
      </c>
      <c r="Y198" s="22" t="str">
        <f>IF(AND(B198&lt;=NKC!$N$8,B198&gt;=NKC!$M$8),"x","")</f>
        <v>x</v>
      </c>
      <c r="Z198" s="580"/>
      <c r="AA198" s="406"/>
      <c r="AD198" s="406"/>
      <c r="AE198" s="406"/>
    </row>
    <row r="199" spans="1:31" s="130" customFormat="1" ht="15.75" customHeight="1">
      <c r="A199" s="123" t="str">
        <f>IF(B199&lt;&gt;"",IF(AND(B199&gt;=_TM1,B199&lt;=_TM2,OR(TH!L200="1111",TH!M200="1111")),TH!D200,""),"")</f>
        <v/>
      </c>
      <c r="B199" s="12">
        <f t="shared" si="6"/>
        <v>8</v>
      </c>
      <c r="C199" s="108">
        <f t="shared" si="7"/>
        <v>42601</v>
      </c>
      <c r="D199" s="108" t="s">
        <v>470</v>
      </c>
      <c r="E199" s="108">
        <v>42601</v>
      </c>
      <c r="F199" s="112" t="s">
        <v>480</v>
      </c>
      <c r="G199" s="303" t="s">
        <v>474</v>
      </c>
      <c r="H199" s="4"/>
      <c r="I199" s="139"/>
      <c r="J199" s="139"/>
      <c r="K199" s="410">
        <v>20000</v>
      </c>
      <c r="L199" s="116" t="s">
        <v>82</v>
      </c>
      <c r="M199" s="116" t="s">
        <v>24</v>
      </c>
      <c r="N199" s="22" t="str">
        <f>IF(AND('331-CT'!$E$7=TH!H199,OR(L199="331",M199="331")),"331",IF(AND(OR(L199="131",M199="131"),H199='131-CT'!$E$7),"131",""))</f>
        <v/>
      </c>
      <c r="O199" s="22" t="str">
        <f>IF(AND($B199&gt;='111'!$N$11,$B199&lt;='111'!$O$11,OR($L199=$O$7,$M199=$O$7)),"x","")</f>
        <v/>
      </c>
      <c r="P199" s="22" t="str">
        <f>IF(AND($L199=$O$7,$B199&lt;'111'!$N$11),"x","")</f>
        <v/>
      </c>
      <c r="Q199" s="22" t="str">
        <f>IF(AND($M199=$O$7,$B199&lt;'111'!$N$11),"x","")</f>
        <v/>
      </c>
      <c r="R199" s="22" t="str">
        <f>IF(ISERROR(FIND('112'!$M$9,G199,1)),"",IF((AND(FIND('112'!$M$9,G199,1)&gt;=1,$B199&gt;='112'!$N$8,$B199&lt;='112'!$O$8,OR($L199='112'!$I$6,$M199='112'!$I$6))),"x",""))</f>
        <v/>
      </c>
      <c r="S199" s="22" t="str">
        <f>IF(ISERROR(FIND('112'!$M$9,G199,1)),"",IF((AND(LEFT(G199,2)=LEFT('112'!$M$9,2),B199&lt;'112'!$N$8,$L199='112'!$I$6)),"x",""))</f>
        <v/>
      </c>
      <c r="T199" s="22" t="str">
        <f>IF(ISERROR(FIND('112'!$M$9,G199,1)),"",IF((AND(RIGHT(G199,2)=RIGHT('112'!$M$9,2),B199&lt;'112'!$N$8,$M199='112'!$I$6)),"x",""))</f>
        <v>x</v>
      </c>
      <c r="U199" s="22" t="str">
        <f>IF(AND(B199&gt;='IN-NX'!$P$3,B199&lt;='IN-NX'!$Q$3,'IN-NX'!$D$7=D199,OR(LEFT(L199,2)="15",AND(LEFT(M199,2)&lt;&gt;"15",LEFT(M199,2)&lt;&gt;"33"))),"x","")</f>
        <v/>
      </c>
      <c r="V199" s="22" t="str">
        <f>IF(AND(OR(LEFT(TH!L199,2)="15",LEFT(TH!M199,2)="15"),'152-CT'!$J$8=TH!F199),"x","")</f>
        <v/>
      </c>
      <c r="W199" s="22" t="str">
        <f>IF(AND(OR(LEFT(TH!L199,2)="15",LEFT(TH!M199,2)="15"),TK!$E$7=TH!F199),"x","")</f>
        <v/>
      </c>
      <c r="X199" s="22" t="str">
        <f>IF(OR(TH!L199=TH!$X$7,M199=TH!$X$7),"x","")</f>
        <v>x</v>
      </c>
      <c r="Y199" s="22" t="str">
        <f>IF(AND(B199&lt;=NKC!$N$8,B199&gt;=NKC!$M$8),"x","")</f>
        <v>x</v>
      </c>
      <c r="Z199" s="580">
        <v>3</v>
      </c>
      <c r="AA199" s="406"/>
      <c r="AB199" s="406"/>
      <c r="AD199" s="406"/>
      <c r="AE199" s="406"/>
    </row>
    <row r="200" spans="1:31" s="130" customFormat="1" ht="15.75" customHeight="1">
      <c r="A200" s="123" t="str">
        <f>IF(B200&lt;&gt;"",IF(AND(B200&gt;=_TM1,B200&lt;=_TM2,OR(TH!L201="1111",TH!M201="1111")),TH!D201,""),"")</f>
        <v/>
      </c>
      <c r="B200" s="12">
        <f t="shared" si="6"/>
        <v>8</v>
      </c>
      <c r="C200" s="108">
        <f t="shared" si="7"/>
        <v>42601</v>
      </c>
      <c r="D200" s="108" t="s">
        <v>470</v>
      </c>
      <c r="E200" s="108">
        <v>42601</v>
      </c>
      <c r="F200" s="112" t="s">
        <v>481</v>
      </c>
      <c r="G200" s="303" t="s">
        <v>474</v>
      </c>
      <c r="H200" s="4"/>
      <c r="I200" s="139"/>
      <c r="J200" s="139"/>
      <c r="K200" s="410">
        <v>2000</v>
      </c>
      <c r="L200" s="116" t="s">
        <v>9</v>
      </c>
      <c r="M200" s="116" t="s">
        <v>24</v>
      </c>
      <c r="N200" s="22" t="str">
        <f>IF(AND('331-CT'!$E$7=TH!H200,OR(L200="331",M200="331")),"331",IF(AND(OR(L200="131",M200="131"),H200='131-CT'!$E$7),"131",""))</f>
        <v/>
      </c>
      <c r="O200" s="22" t="str">
        <f>IF(AND($B200&gt;='111'!$N$11,$B200&lt;='111'!$O$11,OR($L200=$O$7,$M200=$O$7)),"x","")</f>
        <v/>
      </c>
      <c r="P200" s="22" t="str">
        <f>IF(AND($L200=$O$7,$B200&lt;'111'!$N$11),"x","")</f>
        <v/>
      </c>
      <c r="Q200" s="22" t="str">
        <f>IF(AND($M200=$O$7,$B200&lt;'111'!$N$11),"x","")</f>
        <v/>
      </c>
      <c r="R200" s="22" t="str">
        <f>IF(ISERROR(FIND('112'!$M$9,G200,1)),"",IF((AND(FIND('112'!$M$9,G200,1)&gt;=1,$B200&gt;='112'!$N$8,$B200&lt;='112'!$O$8,OR($L200='112'!$I$6,$M200='112'!$I$6))),"x",""))</f>
        <v/>
      </c>
      <c r="S200" s="22" t="str">
        <f>IF(ISERROR(FIND('112'!$M$9,G200,1)),"",IF((AND(LEFT(G200,2)=LEFT('112'!$M$9,2),B200&lt;'112'!$N$8,$L200='112'!$I$6)),"x",""))</f>
        <v/>
      </c>
      <c r="T200" s="22" t="str">
        <f>IF(ISERROR(FIND('112'!$M$9,G200,1)),"",IF((AND(RIGHT(G200,2)=RIGHT('112'!$M$9,2),B200&lt;'112'!$N$8,$M200='112'!$I$6)),"x",""))</f>
        <v>x</v>
      </c>
      <c r="U200" s="22" t="str">
        <f>IF(AND(B200&gt;='IN-NX'!$P$3,B200&lt;='IN-NX'!$Q$3,'IN-NX'!$D$7=D200,OR(LEFT(L200,2)="15",AND(LEFT(M200,2)&lt;&gt;"15",LEFT(M200,2)&lt;&gt;"33"))),"x","")</f>
        <v/>
      </c>
      <c r="V200" s="22" t="str">
        <f>IF(AND(OR(LEFT(TH!L200,2)="15",LEFT(TH!M200,2)="15"),'152-CT'!$J$8=TH!F200),"x","")</f>
        <v/>
      </c>
      <c r="W200" s="22" t="str">
        <f>IF(AND(OR(LEFT(TH!L200,2)="15",LEFT(TH!M200,2)="15"),TK!$E$7=TH!F200),"x","")</f>
        <v/>
      </c>
      <c r="X200" s="22" t="str">
        <f>IF(OR(TH!L200=TH!$X$7,M200=TH!$X$7),"x","")</f>
        <v/>
      </c>
      <c r="Y200" s="22" t="str">
        <f>IF(AND(B200&lt;=NKC!$N$8,B200&gt;=NKC!$M$8),"x","")</f>
        <v>x</v>
      </c>
      <c r="Z200" s="580">
        <v>3</v>
      </c>
      <c r="AA200" s="406"/>
      <c r="AD200" s="406"/>
      <c r="AE200" s="406"/>
    </row>
    <row r="201" spans="1:31" s="130" customFormat="1" ht="15.75" customHeight="1">
      <c r="A201" s="123" t="str">
        <f>IF(B201&lt;&gt;"",IF(AND(B201&gt;=_TM1,B201&lt;=_TM2,OR(TH!L202="1111",TH!M202="1111")),TH!D202,""),"")</f>
        <v/>
      </c>
      <c r="B201" s="12">
        <f t="shared" si="6"/>
        <v>8</v>
      </c>
      <c r="C201" s="108">
        <f t="shared" si="7"/>
        <v>42601</v>
      </c>
      <c r="D201" s="108" t="s">
        <v>470</v>
      </c>
      <c r="E201" s="108">
        <v>42601</v>
      </c>
      <c r="F201" s="112" t="s">
        <v>486</v>
      </c>
      <c r="G201" s="303" t="s">
        <v>474</v>
      </c>
      <c r="H201" s="4"/>
      <c r="I201" s="139"/>
      <c r="J201" s="139"/>
      <c r="K201" s="410">
        <v>83010</v>
      </c>
      <c r="L201" s="116" t="s">
        <v>82</v>
      </c>
      <c r="M201" s="116" t="s">
        <v>24</v>
      </c>
      <c r="N201" s="22" t="str">
        <f>IF(AND('331-CT'!$E$7=TH!H201,OR(L201="331",M201="331")),"331",IF(AND(OR(L201="131",M201="131"),H201='131-CT'!$E$7),"131",""))</f>
        <v/>
      </c>
      <c r="O201" s="22" t="str">
        <f>IF(AND($B201&gt;='111'!$N$11,$B201&lt;='111'!$O$11,OR($L201=$O$7,$M201=$O$7)),"x","")</f>
        <v/>
      </c>
      <c r="P201" s="22" t="str">
        <f>IF(AND($L201=$O$7,$B201&lt;'111'!$N$11),"x","")</f>
        <v/>
      </c>
      <c r="Q201" s="22" t="str">
        <f>IF(AND($M201=$O$7,$B201&lt;'111'!$N$11),"x","")</f>
        <v/>
      </c>
      <c r="R201" s="22" t="str">
        <f>IF(ISERROR(FIND('112'!$M$9,G201,1)),"",IF((AND(FIND('112'!$M$9,G201,1)&gt;=1,$B201&gt;='112'!$N$8,$B201&lt;='112'!$O$8,OR($L201='112'!$I$6,$M201='112'!$I$6))),"x",""))</f>
        <v/>
      </c>
      <c r="S201" s="22" t="str">
        <f>IF(ISERROR(FIND('112'!$M$9,G201,1)),"",IF((AND(LEFT(G201,2)=LEFT('112'!$M$9,2),B201&lt;'112'!$N$8,$L201='112'!$I$6)),"x",""))</f>
        <v/>
      </c>
      <c r="T201" s="22" t="str">
        <f>IF(ISERROR(FIND('112'!$M$9,G201,1)),"",IF((AND(RIGHT(G201,2)=RIGHT('112'!$M$9,2),B201&lt;'112'!$N$8,$M201='112'!$I$6)),"x",""))</f>
        <v>x</v>
      </c>
      <c r="U201" s="22" t="str">
        <f>IF(AND(B201&gt;='IN-NX'!$P$3,B201&lt;='IN-NX'!$Q$3,'IN-NX'!$D$7=D201,OR(LEFT(L201,2)="15",AND(LEFT(M201,2)&lt;&gt;"15",LEFT(M201,2)&lt;&gt;"33"))),"x","")</f>
        <v/>
      </c>
      <c r="V201" s="22" t="str">
        <f>IF(AND(OR(LEFT(TH!L201,2)="15",LEFT(TH!M201,2)="15"),'152-CT'!$J$8=TH!F201),"x","")</f>
        <v/>
      </c>
      <c r="W201" s="22" t="str">
        <f>IF(AND(OR(LEFT(TH!L201,2)="15",LEFT(TH!M201,2)="15"),TK!$E$7=TH!F201),"x","")</f>
        <v/>
      </c>
      <c r="X201" s="22" t="str">
        <f>IF(OR(TH!L201=TH!$X$7,M201=TH!$X$7),"x","")</f>
        <v>x</v>
      </c>
      <c r="Y201" s="22" t="str">
        <f>IF(AND(B201&lt;=NKC!$N$8,B201&gt;=NKC!$M$8),"x","")</f>
        <v>x</v>
      </c>
      <c r="Z201" s="580">
        <v>3</v>
      </c>
      <c r="AA201" s="406"/>
      <c r="AB201" s="406"/>
      <c r="AD201" s="406"/>
      <c r="AE201" s="406"/>
    </row>
    <row r="202" spans="1:31" s="130" customFormat="1" ht="15.75" customHeight="1">
      <c r="A202" s="123" t="str">
        <f>IF(B202&lt;&gt;"",IF(AND(B202&gt;=_TM1,B202&lt;=_TM2,OR(TH!L203="1111",TH!M203="1111")),TH!D203,""),"")</f>
        <v/>
      </c>
      <c r="B202" s="12">
        <f t="shared" si="6"/>
        <v>8</v>
      </c>
      <c r="C202" s="108">
        <f t="shared" si="7"/>
        <v>42601</v>
      </c>
      <c r="D202" s="108" t="s">
        <v>470</v>
      </c>
      <c r="E202" s="108">
        <v>42601</v>
      </c>
      <c r="F202" s="112" t="s">
        <v>487</v>
      </c>
      <c r="G202" s="303" t="s">
        <v>474</v>
      </c>
      <c r="H202" s="4"/>
      <c r="I202" s="139"/>
      <c r="J202" s="139"/>
      <c r="K202" s="410">
        <v>8301</v>
      </c>
      <c r="L202" s="116" t="s">
        <v>9</v>
      </c>
      <c r="M202" s="116" t="s">
        <v>24</v>
      </c>
      <c r="N202" s="22" t="str">
        <f>IF(AND('331-CT'!$E$7=TH!H202,OR(L202="331",M202="331")),"331",IF(AND(OR(L202="131",M202="131"),H202='131-CT'!$E$7),"131",""))</f>
        <v/>
      </c>
      <c r="O202" s="22" t="str">
        <f>IF(AND($B202&gt;='111'!$N$11,$B202&lt;='111'!$O$11,OR($L202=$O$7,$M202=$O$7)),"x","")</f>
        <v/>
      </c>
      <c r="P202" s="22" t="str">
        <f>IF(AND($L202=$O$7,$B202&lt;'111'!$N$11),"x","")</f>
        <v/>
      </c>
      <c r="Q202" s="22" t="str">
        <f>IF(AND($M202=$O$7,$B202&lt;'111'!$N$11),"x","")</f>
        <v/>
      </c>
      <c r="R202" s="22" t="str">
        <f>IF(ISERROR(FIND('112'!$M$9,G202,1)),"",IF((AND(FIND('112'!$M$9,G202,1)&gt;=1,$B202&gt;='112'!$N$8,$B202&lt;='112'!$O$8,OR($L202='112'!$I$6,$M202='112'!$I$6))),"x",""))</f>
        <v/>
      </c>
      <c r="S202" s="22" t="str">
        <f>IF(ISERROR(FIND('112'!$M$9,G202,1)),"",IF((AND(LEFT(G202,2)=LEFT('112'!$M$9,2),B202&lt;'112'!$N$8,$L202='112'!$I$6)),"x",""))</f>
        <v/>
      </c>
      <c r="T202" s="22" t="str">
        <f>IF(ISERROR(FIND('112'!$M$9,G202,1)),"",IF((AND(RIGHT(G202,2)=RIGHT('112'!$M$9,2),B202&lt;'112'!$N$8,$M202='112'!$I$6)),"x",""))</f>
        <v>x</v>
      </c>
      <c r="U202" s="22" t="str">
        <f>IF(AND(B202&gt;='IN-NX'!$P$3,B202&lt;='IN-NX'!$Q$3,'IN-NX'!$D$7=D202,OR(LEFT(L202,2)="15",AND(LEFT(M202,2)&lt;&gt;"15",LEFT(M202,2)&lt;&gt;"33"))),"x","")</f>
        <v/>
      </c>
      <c r="V202" s="22" t="str">
        <f>IF(AND(OR(LEFT(TH!L202,2)="15",LEFT(TH!M202,2)="15"),'152-CT'!$J$8=TH!F202),"x","")</f>
        <v/>
      </c>
      <c r="W202" s="22" t="str">
        <f>IF(AND(OR(LEFT(TH!L202,2)="15",LEFT(TH!M202,2)="15"),TK!$E$7=TH!F202),"x","")</f>
        <v/>
      </c>
      <c r="X202" s="22" t="str">
        <f>IF(OR(TH!L202=TH!$X$7,M202=TH!$X$7),"x","")</f>
        <v/>
      </c>
      <c r="Y202" s="22" t="str">
        <f>IF(AND(B202&lt;=NKC!$N$8,B202&gt;=NKC!$M$8),"x","")</f>
        <v>x</v>
      </c>
      <c r="Z202" s="580">
        <v>3</v>
      </c>
      <c r="AA202" s="406"/>
      <c r="AD202" s="406"/>
      <c r="AE202" s="406"/>
    </row>
    <row r="203" spans="1:31" s="406" customFormat="1" ht="15.75" customHeight="1">
      <c r="A203" s="123" t="str">
        <f>IF(B203&lt;&gt;"",IF(AND(B203&gt;=_TM1,B203&lt;=_TM2,OR(TH!L204="1111",TH!M204="1111")),TH!D204,""),"")</f>
        <v/>
      </c>
      <c r="B203" s="12">
        <f t="shared" si="6"/>
        <v>8</v>
      </c>
      <c r="C203" s="108">
        <f t="shared" si="7"/>
        <v>42601</v>
      </c>
      <c r="D203" s="108" t="s">
        <v>582</v>
      </c>
      <c r="E203" s="113">
        <v>42601</v>
      </c>
      <c r="F203" s="112" t="s">
        <v>532</v>
      </c>
      <c r="G203" s="303" t="s">
        <v>729</v>
      </c>
      <c r="H203" s="4" t="s">
        <v>551</v>
      </c>
      <c r="I203" s="139">
        <v>166</v>
      </c>
      <c r="J203" s="139">
        <v>10200</v>
      </c>
      <c r="K203" s="13">
        <f>ROUND(I203*J203,0)</f>
        <v>1693200</v>
      </c>
      <c r="L203" s="116" t="s">
        <v>252</v>
      </c>
      <c r="M203" s="411" t="s">
        <v>169</v>
      </c>
      <c r="N203" s="22" t="str">
        <f>IF(AND('331-CT'!$E$7=TH!H203,OR(L203="331",M203="331")),"331",IF(AND(OR(L203="131",M203="131"),H203='131-CT'!$E$7),"131",""))</f>
        <v/>
      </c>
      <c r="O203" s="22" t="str">
        <f>IF(AND($B203&gt;='111'!$N$11,$B203&lt;='111'!$O$11,OR($L203=$O$7,$M203=$O$7)),"x","")</f>
        <v/>
      </c>
      <c r="P203" s="22" t="str">
        <f>IF(AND($L203=$O$7,$B203&lt;'111'!$N$11),"x","")</f>
        <v/>
      </c>
      <c r="Q203" s="22" t="str">
        <f>IF(AND($M203=$O$7,$B203&lt;'111'!$N$11),"x","")</f>
        <v/>
      </c>
      <c r="R203" s="22" t="str">
        <f>IF(ISERROR(FIND('112'!$M$9,G203,1)),"",IF((AND(FIND('112'!$M$9,G203,1)&gt;=1,$B203&gt;='112'!$N$8,$B203&lt;='112'!$O$8,OR($L203='112'!$I$6,$M203='112'!$I$6))),"x",""))</f>
        <v/>
      </c>
      <c r="S203" s="22" t="str">
        <f>IF(ISERROR(FIND('112'!$M$9,G203,1)),"",IF((AND(LEFT(G203,2)=LEFT('112'!$M$9,2),B203&lt;'112'!$N$8,$L203='112'!$I$6)),"x",""))</f>
        <v/>
      </c>
      <c r="T203" s="22" t="str">
        <f>IF(ISERROR(FIND('112'!$M$9,G203,1)),"",IF((AND(RIGHT(G203,2)=RIGHT('112'!$M$9,2),B203&lt;'112'!$N$8,$M203='112'!$I$6)),"x",""))</f>
        <v/>
      </c>
      <c r="U203" s="22" t="str">
        <f>IF(AND(B203&gt;='IN-NX'!$P$3,B203&lt;='IN-NX'!$Q$3,'IN-NX'!$D$7=D203,OR(LEFT(L203,2)="15",AND(LEFT(M203,2)&lt;&gt;"15",LEFT(M203,2)&lt;&gt;"33"))),"x","")</f>
        <v/>
      </c>
      <c r="V203" s="22" t="str">
        <f>IF(AND(OR(LEFT(TH!L203,2)="15",LEFT(TH!M203,2)="15"),'152-CT'!$J$8=TH!F203),"x","")</f>
        <v/>
      </c>
      <c r="W203" s="22" t="str">
        <f>IF(AND(OR(LEFT(TH!L203,2)="15",LEFT(TH!M203,2)="15"),TK!$E$7=TH!F203),"x","")</f>
        <v/>
      </c>
      <c r="X203" s="22" t="str">
        <f>IF(OR(TH!L203=TH!$X$7,M203=TH!$X$7),"x","")</f>
        <v/>
      </c>
      <c r="Y203" s="22" t="str">
        <f>IF(AND(B203&lt;=NKC!$N$8,B203&gt;=NKC!$M$8),"x","")</f>
        <v>x</v>
      </c>
      <c r="Z203" s="580"/>
      <c r="AD203" s="130"/>
      <c r="AE203" s="130"/>
    </row>
    <row r="204" spans="1:31" s="406" customFormat="1" ht="15.75" customHeight="1">
      <c r="A204" s="123" t="str">
        <f>IF(B204&lt;&gt;"",IF(AND(B204&gt;=_TM1,B204&lt;=_TM2,OR(TH!L205="1111",TH!M205="1111")),TH!D205,""),"")</f>
        <v/>
      </c>
      <c r="B204" s="12">
        <f t="shared" si="6"/>
        <v>8</v>
      </c>
      <c r="C204" s="108">
        <f t="shared" si="7"/>
        <v>42601</v>
      </c>
      <c r="D204" s="108" t="s">
        <v>582</v>
      </c>
      <c r="E204" s="113">
        <v>42601</v>
      </c>
      <c r="F204" s="112" t="s">
        <v>533</v>
      </c>
      <c r="G204" s="303" t="s">
        <v>729</v>
      </c>
      <c r="H204" s="4" t="s">
        <v>551</v>
      </c>
      <c r="I204" s="139"/>
      <c r="J204" s="139"/>
      <c r="K204" s="13">
        <v>169320</v>
      </c>
      <c r="L204" s="116" t="s">
        <v>252</v>
      </c>
      <c r="M204" s="411" t="s">
        <v>352</v>
      </c>
      <c r="N204" s="22" t="str">
        <f>IF(AND('331-CT'!$E$7=TH!H204,OR(L204="331",M204="331")),"331",IF(AND(OR(L204="131",M204="131"),H204='131-CT'!$E$7),"131",""))</f>
        <v/>
      </c>
      <c r="O204" s="22" t="str">
        <f>IF(AND($B204&gt;='111'!$N$11,$B204&lt;='111'!$O$11,OR($L204=$O$7,$M204=$O$7)),"x","")</f>
        <v/>
      </c>
      <c r="P204" s="22" t="str">
        <f>IF(AND($L204=$O$7,$B204&lt;'111'!$N$11),"x","")</f>
        <v/>
      </c>
      <c r="Q204" s="22" t="str">
        <f>IF(AND($M204=$O$7,$B204&lt;'111'!$N$11),"x","")</f>
        <v/>
      </c>
      <c r="R204" s="22" t="str">
        <f>IF(ISERROR(FIND('112'!$M$9,G204,1)),"",IF((AND(FIND('112'!$M$9,G204,1)&gt;=1,$B204&gt;='112'!$N$8,$B204&lt;='112'!$O$8,OR($L204='112'!$I$6,$M204='112'!$I$6))),"x",""))</f>
        <v/>
      </c>
      <c r="S204" s="22" t="str">
        <f>IF(ISERROR(FIND('112'!$M$9,G204,1)),"",IF((AND(LEFT(G204,2)=LEFT('112'!$M$9,2),B204&lt;'112'!$N$8,$L204='112'!$I$6)),"x",""))</f>
        <v/>
      </c>
      <c r="T204" s="22" t="str">
        <f>IF(ISERROR(FIND('112'!$M$9,G204,1)),"",IF((AND(RIGHT(G204,2)=RIGHT('112'!$M$9,2),B204&lt;'112'!$N$8,$M204='112'!$I$6)),"x",""))</f>
        <v/>
      </c>
      <c r="U204" s="22" t="str">
        <f>IF(AND(B204&gt;='IN-NX'!$P$3,B204&lt;='IN-NX'!$Q$3,'IN-NX'!$D$7=D204,OR(LEFT(L204,2)="15",AND(LEFT(M204,2)&lt;&gt;"15",LEFT(M204,2)&lt;&gt;"33"))),"x","")</f>
        <v/>
      </c>
      <c r="V204" s="22" t="str">
        <f>IF(AND(OR(LEFT(TH!L204,2)="15",LEFT(TH!M204,2)="15"),'152-CT'!$J$8=TH!F204),"x","")</f>
        <v/>
      </c>
      <c r="W204" s="22" t="str">
        <f>IF(AND(OR(LEFT(TH!L204,2)="15",LEFT(TH!M204,2)="15"),TK!$E$7=TH!F204),"x","")</f>
        <v/>
      </c>
      <c r="X204" s="22" t="str">
        <f>IF(OR(TH!L204=TH!$X$7,M204=TH!$X$7),"x","")</f>
        <v/>
      </c>
      <c r="Y204" s="22" t="str">
        <f>IF(AND(B204&lt;=NKC!$N$8,B204&gt;=NKC!$M$8),"x","")</f>
        <v>x</v>
      </c>
      <c r="Z204" s="580"/>
      <c r="AD204" s="130"/>
      <c r="AE204" s="130"/>
    </row>
    <row r="205" spans="1:31" s="406" customFormat="1" ht="15.75" customHeight="1">
      <c r="A205" s="123" t="str">
        <f>IF(B205&lt;&gt;"",IF(AND(B205&gt;=_TM1,B205&lt;=_TM2,OR(TH!L206="1111",TH!M206="1111")),TH!D206,""),"")</f>
        <v/>
      </c>
      <c r="B205" s="12">
        <f t="shared" si="6"/>
        <v>8</v>
      </c>
      <c r="C205" s="108">
        <f t="shared" si="7"/>
        <v>42601</v>
      </c>
      <c r="D205" s="108" t="s">
        <v>998</v>
      </c>
      <c r="E205" s="113">
        <v>42601</v>
      </c>
      <c r="F205" s="114" t="s">
        <v>484</v>
      </c>
      <c r="G205" s="303" t="s">
        <v>729</v>
      </c>
      <c r="H205" s="4" t="s">
        <v>551</v>
      </c>
      <c r="I205" s="139"/>
      <c r="J205" s="139"/>
      <c r="K205" s="13">
        <v>1862520</v>
      </c>
      <c r="L205" s="116" t="s">
        <v>46</v>
      </c>
      <c r="M205" s="411" t="s">
        <v>252</v>
      </c>
      <c r="N205" s="22" t="str">
        <f>IF(AND('331-CT'!$E$7=TH!H205,OR(L205="331",M205="331")),"331",IF(AND(OR(L205="131",M205="131"),H205='131-CT'!$E$7),"131",""))</f>
        <v/>
      </c>
      <c r="O205" s="22" t="str">
        <f>IF(AND($B205&gt;='111'!$N$11,$B205&lt;='111'!$O$11,OR($L205=$O$7,$M205=$O$7)),"x","")</f>
        <v/>
      </c>
      <c r="P205" s="22" t="str">
        <f>IF(AND($L205=$O$7,$B205&lt;'111'!$N$11),"x","")</f>
        <v>x</v>
      </c>
      <c r="Q205" s="22" t="str">
        <f>IF(AND($M205=$O$7,$B205&lt;'111'!$N$11),"x","")</f>
        <v/>
      </c>
      <c r="R205" s="22" t="str">
        <f>IF(ISERROR(FIND('112'!$M$9,G205,1)),"",IF((AND(FIND('112'!$M$9,G205,1)&gt;=1,$B205&gt;='112'!$N$8,$B205&lt;='112'!$O$8,OR($L205='112'!$I$6,$M205='112'!$I$6))),"x",""))</f>
        <v/>
      </c>
      <c r="S205" s="22" t="str">
        <f>IF(ISERROR(FIND('112'!$M$9,G205,1)),"",IF((AND(LEFT(G205,2)=LEFT('112'!$M$9,2),B205&lt;'112'!$N$8,$L205='112'!$I$6)),"x",""))</f>
        <v/>
      </c>
      <c r="T205" s="22" t="str">
        <f>IF(ISERROR(FIND('112'!$M$9,G205,1)),"",IF((AND(RIGHT(G205,2)=RIGHT('112'!$M$9,2),B205&lt;'112'!$N$8,$M205='112'!$I$6)),"x",""))</f>
        <v/>
      </c>
      <c r="U205" s="22" t="str">
        <f>IF(AND(B205&gt;='IN-NX'!$P$3,B205&lt;='IN-NX'!$Q$3,'IN-NX'!$D$7=D205,OR(LEFT(L205,2)="15",AND(LEFT(M205,2)&lt;&gt;"15",LEFT(M205,2)&lt;&gt;"33"))),"x","")</f>
        <v/>
      </c>
      <c r="V205" s="22" t="str">
        <f>IF(AND(OR(LEFT(TH!L205,2)="15",LEFT(TH!M205,2)="15"),'152-CT'!$J$8=TH!F205),"x","")</f>
        <v/>
      </c>
      <c r="W205" s="22" t="str">
        <f>IF(AND(OR(LEFT(TH!L205,2)="15",LEFT(TH!M205,2)="15"),TK!$E$7=TH!F205),"x","")</f>
        <v/>
      </c>
      <c r="X205" s="22" t="str">
        <f>IF(OR(TH!L205=TH!$X$7,M205=TH!$X$7),"x","")</f>
        <v/>
      </c>
      <c r="Y205" s="22" t="str">
        <f>IF(AND(B205&lt;=NKC!$N$8,B205&gt;=NKC!$M$8),"x","")</f>
        <v>x</v>
      </c>
      <c r="Z205" s="580"/>
      <c r="AD205" s="130"/>
      <c r="AE205" s="130"/>
    </row>
    <row r="206" spans="1:31" s="406" customFormat="1" ht="15.75" customHeight="1">
      <c r="A206" s="123" t="str">
        <f>IF(B206&lt;&gt;"",IF(AND(B206&gt;=_TM1,B206&lt;=_TM2,OR(TH!L207="1111",TH!M207="1111")),TH!D207,""),"")</f>
        <v/>
      </c>
      <c r="B206" s="12">
        <f t="shared" si="6"/>
        <v>8</v>
      </c>
      <c r="C206" s="108">
        <f t="shared" si="7"/>
        <v>42602</v>
      </c>
      <c r="D206" s="108" t="s">
        <v>583</v>
      </c>
      <c r="E206" s="113">
        <v>42602</v>
      </c>
      <c r="F206" s="112" t="s">
        <v>510</v>
      </c>
      <c r="G206" s="303" t="s">
        <v>730</v>
      </c>
      <c r="H206" s="4" t="s">
        <v>690</v>
      </c>
      <c r="I206" s="139">
        <f>620+320</f>
        <v>940</v>
      </c>
      <c r="J206" s="139">
        <v>5900</v>
      </c>
      <c r="K206" s="13">
        <f>ROUND(I206*J206,0)</f>
        <v>5546000</v>
      </c>
      <c r="L206" s="116" t="s">
        <v>252</v>
      </c>
      <c r="M206" s="411" t="s">
        <v>169</v>
      </c>
      <c r="N206" s="22" t="str">
        <f>IF(AND('331-CT'!$E$7=TH!H206,OR(L206="331",M206="331")),"331",IF(AND(OR(L206="131",M206="131"),H206='131-CT'!$E$7),"131",""))</f>
        <v/>
      </c>
      <c r="O206" s="22" t="str">
        <f>IF(AND($B206&gt;='111'!$N$11,$B206&lt;='111'!$O$11,OR($L206=$O$7,$M206=$O$7)),"x","")</f>
        <v/>
      </c>
      <c r="P206" s="22" t="str">
        <f>IF(AND($L206=$O$7,$B206&lt;'111'!$N$11),"x","")</f>
        <v/>
      </c>
      <c r="Q206" s="22" t="str">
        <f>IF(AND($M206=$O$7,$B206&lt;'111'!$N$11),"x","")</f>
        <v/>
      </c>
      <c r="R206" s="22" t="str">
        <f>IF(ISERROR(FIND('112'!$M$9,G206,1)),"",IF((AND(FIND('112'!$M$9,G206,1)&gt;=1,$B206&gt;='112'!$N$8,$B206&lt;='112'!$O$8,OR($L206='112'!$I$6,$M206='112'!$I$6))),"x",""))</f>
        <v/>
      </c>
      <c r="S206" s="22" t="str">
        <f>IF(ISERROR(FIND('112'!$M$9,G206,1)),"",IF((AND(LEFT(G206,2)=LEFT('112'!$M$9,2),B206&lt;'112'!$N$8,$L206='112'!$I$6)),"x",""))</f>
        <v/>
      </c>
      <c r="T206" s="22" t="str">
        <f>IF(ISERROR(FIND('112'!$M$9,G206,1)),"",IF((AND(RIGHT(G206,2)=RIGHT('112'!$M$9,2),B206&lt;'112'!$N$8,$M206='112'!$I$6)),"x",""))</f>
        <v/>
      </c>
      <c r="U206" s="22" t="str">
        <f>IF(AND(B206&gt;='IN-NX'!$P$3,B206&lt;='IN-NX'!$Q$3,'IN-NX'!$D$7=D206,OR(LEFT(L206,2)="15",AND(LEFT(M206,2)&lt;&gt;"15",LEFT(M206,2)&lt;&gt;"33"))),"x","")</f>
        <v/>
      </c>
      <c r="V206" s="22" t="str">
        <f>IF(AND(OR(LEFT(TH!L206,2)="15",LEFT(TH!M206,2)="15"),'152-CT'!$J$8=TH!F206),"x","")</f>
        <v/>
      </c>
      <c r="W206" s="22" t="str">
        <f>IF(AND(OR(LEFT(TH!L206,2)="15",LEFT(TH!M206,2)="15"),TK!$E$7=TH!F206),"x","")</f>
        <v/>
      </c>
      <c r="X206" s="22" t="str">
        <f>IF(OR(TH!L206=TH!$X$7,M206=TH!$X$7),"x","")</f>
        <v/>
      </c>
      <c r="Y206" s="22" t="str">
        <f>IF(AND(B206&lt;=NKC!$N$8,B206&gt;=NKC!$M$8),"x","")</f>
        <v>x</v>
      </c>
      <c r="Z206" s="580"/>
      <c r="AD206" s="130"/>
      <c r="AE206" s="130"/>
    </row>
    <row r="207" spans="1:31" s="406" customFormat="1" ht="15.75" customHeight="1">
      <c r="A207" s="123" t="str">
        <f>IF(B207&lt;&gt;"",IF(AND(B207&gt;=_TM1,B207&lt;=_TM2,OR(TH!L208="1111",TH!M208="1111")),TH!D208,""),"")</f>
        <v/>
      </c>
      <c r="B207" s="12">
        <f t="shared" si="6"/>
        <v>8</v>
      </c>
      <c r="C207" s="108">
        <f t="shared" si="7"/>
        <v>42602</v>
      </c>
      <c r="D207" s="108" t="s">
        <v>583</v>
      </c>
      <c r="E207" s="113">
        <v>42602</v>
      </c>
      <c r="F207" s="112" t="s">
        <v>496</v>
      </c>
      <c r="G207" s="303" t="s">
        <v>730</v>
      </c>
      <c r="H207" s="4" t="s">
        <v>690</v>
      </c>
      <c r="I207" s="139"/>
      <c r="J207" s="139"/>
      <c r="K207" s="13">
        <v>554600</v>
      </c>
      <c r="L207" s="116" t="s">
        <v>252</v>
      </c>
      <c r="M207" s="411" t="s">
        <v>352</v>
      </c>
      <c r="N207" s="22" t="str">
        <f>IF(AND('331-CT'!$E$7=TH!H207,OR(L207="331",M207="331")),"331",IF(AND(OR(L207="131",M207="131"),H207='131-CT'!$E$7),"131",""))</f>
        <v/>
      </c>
      <c r="O207" s="22" t="str">
        <f>IF(AND($B207&gt;='111'!$N$11,$B207&lt;='111'!$O$11,OR($L207=$O$7,$M207=$O$7)),"x","")</f>
        <v/>
      </c>
      <c r="P207" s="22" t="str">
        <f>IF(AND($L207=$O$7,$B207&lt;'111'!$N$11),"x","")</f>
        <v/>
      </c>
      <c r="Q207" s="22" t="str">
        <f>IF(AND($M207=$O$7,$B207&lt;'111'!$N$11),"x","")</f>
        <v/>
      </c>
      <c r="R207" s="22" t="str">
        <f>IF(ISERROR(FIND('112'!$M$9,G207,1)),"",IF((AND(FIND('112'!$M$9,G207,1)&gt;=1,$B207&gt;='112'!$N$8,$B207&lt;='112'!$O$8,OR($L207='112'!$I$6,$M207='112'!$I$6))),"x",""))</f>
        <v/>
      </c>
      <c r="S207" s="22" t="str">
        <f>IF(ISERROR(FIND('112'!$M$9,G207,1)),"",IF((AND(LEFT(G207,2)=LEFT('112'!$M$9,2),B207&lt;'112'!$N$8,$L207='112'!$I$6)),"x",""))</f>
        <v/>
      </c>
      <c r="T207" s="22" t="str">
        <f>IF(ISERROR(FIND('112'!$M$9,G207,1)),"",IF((AND(RIGHT(G207,2)=RIGHT('112'!$M$9,2),B207&lt;'112'!$N$8,$M207='112'!$I$6)),"x",""))</f>
        <v/>
      </c>
      <c r="U207" s="22" t="str">
        <f>IF(AND(B207&gt;='IN-NX'!$P$3,B207&lt;='IN-NX'!$Q$3,'IN-NX'!$D$7=D207,OR(LEFT(L207,2)="15",AND(LEFT(M207,2)&lt;&gt;"15",LEFT(M207,2)&lt;&gt;"33"))),"x","")</f>
        <v/>
      </c>
      <c r="V207" s="22" t="str">
        <f>IF(AND(OR(LEFT(TH!L207,2)="15",LEFT(TH!M207,2)="15"),'152-CT'!$J$8=TH!F207),"x","")</f>
        <v/>
      </c>
      <c r="W207" s="22" t="str">
        <f>IF(AND(OR(LEFT(TH!L207,2)="15",LEFT(TH!M207,2)="15"),TK!$E$7=TH!F207),"x","")</f>
        <v/>
      </c>
      <c r="X207" s="22" t="str">
        <f>IF(OR(TH!L207=TH!$X$7,M207=TH!$X$7),"x","")</f>
        <v/>
      </c>
      <c r="Y207" s="22" t="str">
        <f>IF(AND(B207&lt;=NKC!$N$8,B207&gt;=NKC!$M$8),"x","")</f>
        <v>x</v>
      </c>
      <c r="Z207" s="580"/>
      <c r="AD207" s="130"/>
      <c r="AE207" s="130"/>
    </row>
    <row r="208" spans="1:31" s="130" customFormat="1" ht="15.75" customHeight="1">
      <c r="A208" s="123" t="str">
        <f>IF(B208&lt;&gt;"",IF(AND(B208&gt;=_TM1,B208&lt;=_TM2,OR(TH!L209="1111",TH!M209="1111")),TH!D209,""),"")</f>
        <v/>
      </c>
      <c r="B208" s="12">
        <f t="shared" si="6"/>
        <v>8</v>
      </c>
      <c r="C208" s="108">
        <f t="shared" si="7"/>
        <v>42602</v>
      </c>
      <c r="D208" s="108" t="s">
        <v>999</v>
      </c>
      <c r="E208" s="113">
        <v>42602</v>
      </c>
      <c r="F208" s="114" t="s">
        <v>484</v>
      </c>
      <c r="G208" s="303" t="s">
        <v>1031</v>
      </c>
      <c r="H208" s="4" t="s">
        <v>690</v>
      </c>
      <c r="I208" s="139"/>
      <c r="J208" s="139"/>
      <c r="K208" s="13">
        <v>19463510</v>
      </c>
      <c r="L208" s="116" t="s">
        <v>46</v>
      </c>
      <c r="M208" s="411" t="s">
        <v>252</v>
      </c>
      <c r="N208" s="22" t="str">
        <f>IF(AND('331-CT'!$E$7=TH!H208,OR(L208="331",M208="331")),"331",IF(AND(OR(L208="131",M208="131"),H208='131-CT'!$E$7),"131",""))</f>
        <v/>
      </c>
      <c r="O208" s="22" t="str">
        <f>IF(AND($B208&gt;='111'!$N$11,$B208&lt;='111'!$O$11,OR($L208=$O$7,$M208=$O$7)),"x","")</f>
        <v/>
      </c>
      <c r="P208" s="22" t="str">
        <f>IF(AND($L208=$O$7,$B208&lt;'111'!$N$11),"x","")</f>
        <v>x</v>
      </c>
      <c r="Q208" s="22" t="str">
        <f>IF(AND($M208=$O$7,$B208&lt;'111'!$N$11),"x","")</f>
        <v/>
      </c>
      <c r="R208" s="22" t="str">
        <f>IF(ISERROR(FIND('112'!$M$9,G208,1)),"",IF((AND(FIND('112'!$M$9,G208,1)&gt;=1,$B208&gt;='112'!$N$8,$B208&lt;='112'!$O$8,OR($L208='112'!$I$6,$M208='112'!$I$6))),"x",""))</f>
        <v/>
      </c>
      <c r="S208" s="22" t="str">
        <f>IF(ISERROR(FIND('112'!$M$9,G208,1)),"",IF((AND(LEFT(G208,2)=LEFT('112'!$M$9,2),B208&lt;'112'!$N$8,$L208='112'!$I$6)),"x",""))</f>
        <v/>
      </c>
      <c r="T208" s="22" t="str">
        <f>IF(ISERROR(FIND('112'!$M$9,G208,1)),"",IF((AND(RIGHT(G208,2)=RIGHT('112'!$M$9,2),B208&lt;'112'!$N$8,$M208='112'!$I$6)),"x",""))</f>
        <v/>
      </c>
      <c r="U208" s="22" t="str">
        <f>IF(AND(B208&gt;='IN-NX'!$P$3,B208&lt;='IN-NX'!$Q$3,'IN-NX'!$D$7=D208,OR(LEFT(L208,2)="15",AND(LEFT(M208,2)&lt;&gt;"15",LEFT(M208,2)&lt;&gt;"33"))),"x","")</f>
        <v/>
      </c>
      <c r="V208" s="22" t="str">
        <f>IF(AND(OR(LEFT(TH!L208,2)="15",LEFT(TH!M208,2)="15"),'152-CT'!$J$8=TH!F208),"x","")</f>
        <v/>
      </c>
      <c r="W208" s="22" t="str">
        <f>IF(AND(OR(LEFT(TH!L208,2)="15",LEFT(TH!M208,2)="15"),TK!$E$7=TH!F208),"x","")</f>
        <v/>
      </c>
      <c r="X208" s="22" t="str">
        <f>IF(OR(TH!L208=TH!$X$7,M208=TH!$X$7),"x","")</f>
        <v/>
      </c>
      <c r="Y208" s="22" t="str">
        <f>IF(AND(B208&lt;=NKC!$N$8,B208&gt;=NKC!$M$8),"x","")</f>
        <v>x</v>
      </c>
      <c r="Z208" s="580"/>
      <c r="AA208" s="406"/>
      <c r="AB208" s="406"/>
      <c r="AC208" s="406"/>
    </row>
    <row r="209" spans="1:31" s="130" customFormat="1" ht="15.75" customHeight="1">
      <c r="A209" s="123" t="str">
        <f>IF(B209&lt;&gt;"",IF(AND(B209&gt;=_TM1,B209&lt;=_TM2,OR(TH!L210="1111",TH!M210="1111")),TH!D210,""),"")</f>
        <v/>
      </c>
      <c r="B209" s="12">
        <f t="shared" ref="B209:B272" si="9">IF(C209&lt;&gt;"",MONTH(C209),"")</f>
        <v>8</v>
      </c>
      <c r="C209" s="108">
        <f t="shared" si="7"/>
        <v>42604</v>
      </c>
      <c r="D209" s="108" t="s">
        <v>467</v>
      </c>
      <c r="E209" s="108">
        <v>42604</v>
      </c>
      <c r="F209" s="112" t="s">
        <v>439</v>
      </c>
      <c r="G209" s="303" t="s">
        <v>441</v>
      </c>
      <c r="H209" s="115" t="s">
        <v>437</v>
      </c>
      <c r="I209" s="139"/>
      <c r="J209" s="139"/>
      <c r="K209" s="410">
        <v>1840000</v>
      </c>
      <c r="L209" s="411" t="s">
        <v>82</v>
      </c>
      <c r="M209" s="411" t="s">
        <v>46</v>
      </c>
      <c r="N209" s="22" t="str">
        <f>IF(AND('331-CT'!$E$7=TH!H209,OR(L209="331",M209="331")),"331",IF(AND(OR(L209="131",M209="131"),H209='131-CT'!$E$7),"131",""))</f>
        <v/>
      </c>
      <c r="O209" s="22" t="str">
        <f>IF(AND($B209&gt;='111'!$N$11,$B209&lt;='111'!$O$11,OR($L209=$O$7,$M209=$O$7)),"x","")</f>
        <v/>
      </c>
      <c r="P209" s="22" t="str">
        <f>IF(AND($L209=$O$7,$B209&lt;'111'!$N$11),"x","")</f>
        <v/>
      </c>
      <c r="Q209" s="22" t="str">
        <f>IF(AND($M209=$O$7,$B209&lt;'111'!$N$11),"x","")</f>
        <v>x</v>
      </c>
      <c r="R209" s="22" t="str">
        <f>IF(ISERROR(FIND('112'!$M$9,G209,1)),"",IF((AND(FIND('112'!$M$9,G209,1)&gt;=1,$B209&gt;='112'!$N$8,$B209&lt;='112'!$O$8,OR($L209='112'!$I$6,$M209='112'!$I$6))),"x",""))</f>
        <v/>
      </c>
      <c r="S209" s="22" t="str">
        <f>IF(ISERROR(FIND('112'!$M$9,G209,1)),"",IF((AND(LEFT(G209,2)=LEFT('112'!$M$9,2),B209&lt;'112'!$N$8,$L209='112'!$I$6)),"x",""))</f>
        <v/>
      </c>
      <c r="T209" s="22" t="str">
        <f>IF(ISERROR(FIND('112'!$M$9,G209,1)),"",IF((AND(RIGHT(G209,2)=RIGHT('112'!$M$9,2),B209&lt;'112'!$N$8,$M209='112'!$I$6)),"x",""))</f>
        <v/>
      </c>
      <c r="U209" s="22" t="str">
        <f>IF(AND(B209&gt;='IN-NX'!$P$3,B209&lt;='IN-NX'!$Q$3,'IN-NX'!$D$7=D209,OR(LEFT(L209,2)="15",AND(LEFT(M209,2)&lt;&gt;"15",LEFT(M209,2)&lt;&gt;"33"))),"x","")</f>
        <v/>
      </c>
      <c r="V209" s="22" t="str">
        <f>IF(AND(OR(LEFT(TH!L209,2)="15",LEFT(TH!M209,2)="15"),'152-CT'!$J$8=TH!F209),"x","")</f>
        <v/>
      </c>
      <c r="W209" s="22" t="str">
        <f>IF(AND(OR(LEFT(TH!L209,2)="15",LEFT(TH!M209,2)="15"),TK!$E$7=TH!F209),"x","")</f>
        <v/>
      </c>
      <c r="X209" s="22" t="str">
        <f>IF(OR(TH!L209=TH!$X$7,M209=TH!$X$7),"x","")</f>
        <v>x</v>
      </c>
      <c r="Y209" s="22" t="str">
        <f>IF(AND(B209&lt;=NKC!$N$8,B209&gt;=NKC!$M$8),"x","")</f>
        <v>x</v>
      </c>
      <c r="Z209" s="580">
        <v>3</v>
      </c>
      <c r="AA209" s="406"/>
      <c r="AB209" s="406"/>
      <c r="AC209" s="406"/>
      <c r="AD209" s="406"/>
      <c r="AE209" s="406"/>
    </row>
    <row r="210" spans="1:31" s="130" customFormat="1" ht="15.75" customHeight="1">
      <c r="A210" s="123" t="str">
        <f>IF(B210&lt;&gt;"",IF(AND(B210&gt;=_TM1,B210&lt;=_TM2,OR(TH!L211="1111",TH!M211="1111")),TH!D211,""),"")</f>
        <v/>
      </c>
      <c r="B210" s="12">
        <f t="shared" si="9"/>
        <v>8</v>
      </c>
      <c r="C210" s="108">
        <f t="shared" si="7"/>
        <v>42604</v>
      </c>
      <c r="D210" s="108" t="s">
        <v>467</v>
      </c>
      <c r="E210" s="108">
        <v>42604</v>
      </c>
      <c r="F210" s="112" t="s">
        <v>440</v>
      </c>
      <c r="G210" s="303" t="s">
        <v>441</v>
      </c>
      <c r="H210" s="115" t="s">
        <v>437</v>
      </c>
      <c r="I210" s="139"/>
      <c r="J210" s="139"/>
      <c r="K210" s="410">
        <v>184000</v>
      </c>
      <c r="L210" s="411" t="s">
        <v>9</v>
      </c>
      <c r="M210" s="411" t="s">
        <v>46</v>
      </c>
      <c r="N210" s="22" t="str">
        <f>IF(AND('331-CT'!$E$7=TH!H210,OR(L210="331",M210="331")),"331",IF(AND(OR(L210="131",M210="131"),H210='131-CT'!$E$7),"131",""))</f>
        <v/>
      </c>
      <c r="O210" s="22" t="str">
        <f>IF(AND($B210&gt;='111'!$N$11,$B210&lt;='111'!$O$11,OR($L210=$O$7,$M210=$O$7)),"x","")</f>
        <v/>
      </c>
      <c r="P210" s="22" t="str">
        <f>IF(AND($L210=$O$7,$B210&lt;'111'!$N$11),"x","")</f>
        <v/>
      </c>
      <c r="Q210" s="22" t="str">
        <f>IF(AND($M210=$O$7,$B210&lt;'111'!$N$11),"x","")</f>
        <v>x</v>
      </c>
      <c r="R210" s="22" t="str">
        <f>IF(ISERROR(FIND('112'!$M$9,G210,1)),"",IF((AND(FIND('112'!$M$9,G210,1)&gt;=1,$B210&gt;='112'!$N$8,$B210&lt;='112'!$O$8,OR($L210='112'!$I$6,$M210='112'!$I$6))),"x",""))</f>
        <v/>
      </c>
      <c r="S210" s="22" t="str">
        <f>IF(ISERROR(FIND('112'!$M$9,G210,1)),"",IF((AND(LEFT(G210,2)=LEFT('112'!$M$9,2),B210&lt;'112'!$N$8,$L210='112'!$I$6)),"x",""))</f>
        <v/>
      </c>
      <c r="T210" s="22" t="str">
        <f>IF(ISERROR(FIND('112'!$M$9,G210,1)),"",IF((AND(RIGHT(G210,2)=RIGHT('112'!$M$9,2),B210&lt;'112'!$N$8,$M210='112'!$I$6)),"x",""))</f>
        <v/>
      </c>
      <c r="U210" s="22" t="str">
        <f>IF(AND(B210&gt;='IN-NX'!$P$3,B210&lt;='IN-NX'!$Q$3,'IN-NX'!$D$7=D210,OR(LEFT(L210,2)="15",AND(LEFT(M210,2)&lt;&gt;"15",LEFT(M210,2)&lt;&gt;"33"))),"x","")</f>
        <v/>
      </c>
      <c r="V210" s="22" t="str">
        <f>IF(AND(OR(LEFT(TH!L210,2)="15",LEFT(TH!M210,2)="15"),'152-CT'!$J$8=TH!F210),"x","")</f>
        <v/>
      </c>
      <c r="W210" s="22" t="str">
        <f>IF(AND(OR(LEFT(TH!L210,2)="15",LEFT(TH!M210,2)="15"),TK!$E$7=TH!F210),"x","")</f>
        <v/>
      </c>
      <c r="X210" s="22" t="str">
        <f>IF(OR(TH!L210=TH!$X$7,M210=TH!$X$7),"x","")</f>
        <v/>
      </c>
      <c r="Y210" s="22" t="str">
        <f>IF(AND(B210&lt;=NKC!$N$8,B210&gt;=NKC!$M$8),"x","")</f>
        <v>x</v>
      </c>
      <c r="Z210" s="580">
        <v>3</v>
      </c>
      <c r="AA210" s="406"/>
      <c r="AB210" s="406"/>
      <c r="AC210" s="406"/>
      <c r="AD210" s="406"/>
      <c r="AE210" s="406"/>
    </row>
    <row r="211" spans="1:31" s="130" customFormat="1" ht="15.75" customHeight="1">
      <c r="A211" s="123" t="str">
        <f>IF(B211&lt;&gt;"",IF(AND(B211&gt;=_TM1,B211&lt;=_TM2,OR(TH!L212="1111",TH!M212="1111")),TH!D212,""),"")</f>
        <v/>
      </c>
      <c r="B211" s="12">
        <f t="shared" si="9"/>
        <v>8</v>
      </c>
      <c r="C211" s="108">
        <f t="shared" si="7"/>
        <v>42605</v>
      </c>
      <c r="D211" s="108" t="s">
        <v>584</v>
      </c>
      <c r="E211" s="113">
        <v>42605</v>
      </c>
      <c r="F211" s="112" t="s">
        <v>685</v>
      </c>
      <c r="G211" s="303" t="s">
        <v>731</v>
      </c>
      <c r="H211" s="4" t="s">
        <v>369</v>
      </c>
      <c r="I211" s="139">
        <v>58</v>
      </c>
      <c r="J211" s="139">
        <v>16070</v>
      </c>
      <c r="K211" s="13">
        <f>ROUND(I211*J211,0)</f>
        <v>932060</v>
      </c>
      <c r="L211" s="116" t="s">
        <v>252</v>
      </c>
      <c r="M211" s="411" t="s">
        <v>169</v>
      </c>
      <c r="N211" s="22" t="str">
        <f>IF(AND('331-CT'!$E$7=TH!H211,OR(L211="331",M211="331")),"331",IF(AND(OR(L211="131",M211="131"),H211='131-CT'!$E$7),"131",""))</f>
        <v>131</v>
      </c>
      <c r="O211" s="22" t="str">
        <f>IF(AND($B211&gt;='111'!$N$11,$B211&lt;='111'!$O$11,OR($L211=$O$7,$M211=$O$7)),"x","")</f>
        <v/>
      </c>
      <c r="P211" s="22" t="str">
        <f>IF(AND($L211=$O$7,$B211&lt;'111'!$N$11),"x","")</f>
        <v/>
      </c>
      <c r="Q211" s="22" t="str">
        <f>IF(AND($M211=$O$7,$B211&lt;'111'!$N$11),"x","")</f>
        <v/>
      </c>
      <c r="R211" s="22" t="str">
        <f>IF(ISERROR(FIND('112'!$M$9,G211,1)),"",IF((AND(FIND('112'!$M$9,G211,1)&gt;=1,$B211&gt;='112'!$N$8,$B211&lt;='112'!$O$8,OR($L211='112'!$I$6,$M211='112'!$I$6))),"x",""))</f>
        <v/>
      </c>
      <c r="S211" s="22" t="str">
        <f>IF(ISERROR(FIND('112'!$M$9,G211,1)),"",IF((AND(LEFT(G211,2)=LEFT('112'!$M$9,2),B211&lt;'112'!$N$8,$L211='112'!$I$6)),"x",""))</f>
        <v/>
      </c>
      <c r="T211" s="22" t="str">
        <f>IF(ISERROR(FIND('112'!$M$9,G211,1)),"",IF((AND(RIGHT(G211,2)=RIGHT('112'!$M$9,2),B211&lt;'112'!$N$8,$M211='112'!$I$6)),"x",""))</f>
        <v/>
      </c>
      <c r="U211" s="22" t="str">
        <f>IF(AND(B211&gt;='IN-NX'!$P$3,B211&lt;='IN-NX'!$Q$3,'IN-NX'!$D$7=D211,OR(LEFT(L211,2)="15",AND(LEFT(M211,2)&lt;&gt;"15",LEFT(M211,2)&lt;&gt;"33"))),"x","")</f>
        <v/>
      </c>
      <c r="V211" s="22" t="str">
        <f>IF(AND(OR(LEFT(TH!L211,2)="15",LEFT(TH!M211,2)="15"),'152-CT'!$J$8=TH!F211),"x","")</f>
        <v/>
      </c>
      <c r="W211" s="22" t="str">
        <f>IF(AND(OR(LEFT(TH!L211,2)="15",LEFT(TH!M211,2)="15"),TK!$E$7=TH!F211),"x","")</f>
        <v/>
      </c>
      <c r="X211" s="22" t="str">
        <f>IF(OR(TH!L211=TH!$X$7,M211=TH!$X$7),"x","")</f>
        <v/>
      </c>
      <c r="Y211" s="22" t="str">
        <f>IF(AND(B211&lt;=NKC!$N$8,B211&gt;=NKC!$M$8),"x","")</f>
        <v>x</v>
      </c>
      <c r="Z211" s="580"/>
      <c r="AA211" s="406"/>
      <c r="AB211" s="406"/>
      <c r="AC211" s="406"/>
    </row>
    <row r="212" spans="1:31" s="130" customFormat="1" ht="15.75" customHeight="1">
      <c r="A212" s="123" t="str">
        <f>IF(B212&lt;&gt;"",IF(AND(B212&gt;=_TM1,B212&lt;=_TM2,OR(TH!L213="1111",TH!M213="1111")),TH!D213,""),"")</f>
        <v/>
      </c>
      <c r="B212" s="12">
        <f t="shared" si="9"/>
        <v>8</v>
      </c>
      <c r="C212" s="108">
        <f t="shared" si="7"/>
        <v>42605</v>
      </c>
      <c r="D212" s="108" t="s">
        <v>584</v>
      </c>
      <c r="E212" s="113">
        <v>42605</v>
      </c>
      <c r="F212" s="112" t="s">
        <v>498</v>
      </c>
      <c r="G212" s="303" t="s">
        <v>731</v>
      </c>
      <c r="H212" s="4" t="s">
        <v>369</v>
      </c>
      <c r="I212" s="139">
        <v>56</v>
      </c>
      <c r="J212" s="139">
        <v>73100</v>
      </c>
      <c r="K212" s="13">
        <f>ROUND(I212*J212,0)</f>
        <v>4093600</v>
      </c>
      <c r="L212" s="116" t="s">
        <v>252</v>
      </c>
      <c r="M212" s="411" t="s">
        <v>169</v>
      </c>
      <c r="N212" s="22" t="str">
        <f>IF(AND('331-CT'!$E$7=TH!H212,OR(L212="331",M212="331")),"331",IF(AND(OR(L212="131",M212="131"),H212='131-CT'!$E$7),"131",""))</f>
        <v>131</v>
      </c>
      <c r="O212" s="22" t="str">
        <f>IF(AND($B212&gt;='111'!$N$11,$B212&lt;='111'!$O$11,OR($L212=$O$7,$M212=$O$7)),"x","")</f>
        <v/>
      </c>
      <c r="P212" s="22" t="str">
        <f>IF(AND($L212=$O$7,$B212&lt;'111'!$N$11),"x","")</f>
        <v/>
      </c>
      <c r="Q212" s="22" t="str">
        <f>IF(AND($M212=$O$7,$B212&lt;'111'!$N$11),"x","")</f>
        <v/>
      </c>
      <c r="R212" s="22" t="str">
        <f>IF(ISERROR(FIND('112'!$M$9,G212,1)),"",IF((AND(FIND('112'!$M$9,G212,1)&gt;=1,$B212&gt;='112'!$N$8,$B212&lt;='112'!$O$8,OR($L212='112'!$I$6,$M212='112'!$I$6))),"x",""))</f>
        <v/>
      </c>
      <c r="S212" s="22" t="str">
        <f>IF(ISERROR(FIND('112'!$M$9,G212,1)),"",IF((AND(LEFT(G212,2)=LEFT('112'!$M$9,2),B212&lt;'112'!$N$8,$L212='112'!$I$6)),"x",""))</f>
        <v/>
      </c>
      <c r="T212" s="22" t="str">
        <f>IF(ISERROR(FIND('112'!$M$9,G212,1)),"",IF((AND(RIGHT(G212,2)=RIGHT('112'!$M$9,2),B212&lt;'112'!$N$8,$M212='112'!$I$6)),"x",""))</f>
        <v/>
      </c>
      <c r="U212" s="22" t="str">
        <f>IF(AND(B212&gt;='IN-NX'!$P$3,B212&lt;='IN-NX'!$Q$3,'IN-NX'!$D$7=D212,OR(LEFT(L212,2)="15",AND(LEFT(M212,2)&lt;&gt;"15",LEFT(M212,2)&lt;&gt;"33"))),"x","")</f>
        <v/>
      </c>
      <c r="V212" s="22" t="str">
        <f>IF(AND(OR(LEFT(TH!L212,2)="15",LEFT(TH!M212,2)="15"),'152-CT'!$J$8=TH!F212),"x","")</f>
        <v/>
      </c>
      <c r="W212" s="22" t="str">
        <f>IF(AND(OR(LEFT(TH!L212,2)="15",LEFT(TH!M212,2)="15"),TK!$E$7=TH!F212),"x","")</f>
        <v/>
      </c>
      <c r="X212" s="22" t="str">
        <f>IF(OR(TH!L212=TH!$X$7,M212=TH!$X$7),"x","")</f>
        <v/>
      </c>
      <c r="Y212" s="22" t="str">
        <f>IF(AND(B212&lt;=NKC!$N$8,B212&gt;=NKC!$M$8),"x","")</f>
        <v>x</v>
      </c>
      <c r="Z212" s="580"/>
      <c r="AA212" s="406"/>
      <c r="AB212" s="406"/>
    </row>
    <row r="213" spans="1:31" s="406" customFormat="1" ht="15.75" customHeight="1">
      <c r="A213" s="123" t="str">
        <f>IF(B213&lt;&gt;"",IF(AND(B213&gt;=_TM1,B213&lt;=_TM2,OR(TH!L214="1111",TH!M214="1111")),TH!D214,""),"")</f>
        <v/>
      </c>
      <c r="B213" s="12">
        <f t="shared" si="9"/>
        <v>8</v>
      </c>
      <c r="C213" s="108">
        <f t="shared" si="7"/>
        <v>42605</v>
      </c>
      <c r="D213" s="108" t="s">
        <v>584</v>
      </c>
      <c r="E213" s="113">
        <v>42605</v>
      </c>
      <c r="F213" s="112" t="s">
        <v>496</v>
      </c>
      <c r="G213" s="303" t="s">
        <v>731</v>
      </c>
      <c r="H213" s="4" t="s">
        <v>369</v>
      </c>
      <c r="I213" s="139"/>
      <c r="J213" s="139"/>
      <c r="K213" s="13">
        <v>502566</v>
      </c>
      <c r="L213" s="116" t="s">
        <v>252</v>
      </c>
      <c r="M213" s="411" t="s">
        <v>352</v>
      </c>
      <c r="N213" s="22" t="str">
        <f>IF(AND('331-CT'!$E$7=TH!H213,OR(L213="331",M213="331")),"331",IF(AND(OR(L213="131",M213="131"),H213='131-CT'!$E$7),"131",""))</f>
        <v>131</v>
      </c>
      <c r="O213" s="22" t="str">
        <f>IF(AND($B213&gt;='111'!$N$11,$B213&lt;='111'!$O$11,OR($L213=$O$7,$M213=$O$7)),"x","")</f>
        <v/>
      </c>
      <c r="P213" s="22" t="str">
        <f>IF(AND($L213=$O$7,$B213&lt;'111'!$N$11),"x","")</f>
        <v/>
      </c>
      <c r="Q213" s="22" t="str">
        <f>IF(AND($M213=$O$7,$B213&lt;'111'!$N$11),"x","")</f>
        <v/>
      </c>
      <c r="R213" s="22" t="str">
        <f>IF(ISERROR(FIND('112'!$M$9,G213,1)),"",IF((AND(FIND('112'!$M$9,G213,1)&gt;=1,$B213&gt;='112'!$N$8,$B213&lt;='112'!$O$8,OR($L213='112'!$I$6,$M213='112'!$I$6))),"x",""))</f>
        <v/>
      </c>
      <c r="S213" s="22" t="str">
        <f>IF(ISERROR(FIND('112'!$M$9,G213,1)),"",IF((AND(LEFT(G213,2)=LEFT('112'!$M$9,2),B213&lt;'112'!$N$8,$L213='112'!$I$6)),"x",""))</f>
        <v/>
      </c>
      <c r="T213" s="22" t="str">
        <f>IF(ISERROR(FIND('112'!$M$9,G213,1)),"",IF((AND(RIGHT(G213,2)=RIGHT('112'!$M$9,2),B213&lt;'112'!$N$8,$M213='112'!$I$6)),"x",""))</f>
        <v/>
      </c>
      <c r="U213" s="22" t="str">
        <f>IF(AND(B213&gt;='IN-NX'!$P$3,B213&lt;='IN-NX'!$Q$3,'IN-NX'!$D$7=D213,OR(LEFT(L213,2)="15",AND(LEFT(M213,2)&lt;&gt;"15",LEFT(M213,2)&lt;&gt;"33"))),"x","")</f>
        <v/>
      </c>
      <c r="V213" s="22" t="str">
        <f>IF(AND(OR(LEFT(TH!L213,2)="15",LEFT(TH!M213,2)="15"),'152-CT'!$J$8=TH!F213),"x","")</f>
        <v/>
      </c>
      <c r="W213" s="22" t="str">
        <f>IF(AND(OR(LEFT(TH!L213,2)="15",LEFT(TH!M213,2)="15"),TK!$E$7=TH!F213),"x","")</f>
        <v/>
      </c>
      <c r="X213" s="22" t="str">
        <f>IF(OR(TH!L213=TH!$X$7,M213=TH!$X$7),"x","")</f>
        <v/>
      </c>
      <c r="Y213" s="22" t="str">
        <f>IF(AND(B213&lt;=NKC!$N$8,B213&gt;=NKC!$M$8),"x","")</f>
        <v>x</v>
      </c>
      <c r="Z213" s="580"/>
      <c r="AC213" s="130"/>
      <c r="AD213" s="130"/>
      <c r="AE213" s="130"/>
    </row>
    <row r="214" spans="1:31" s="406" customFormat="1" ht="15.75" customHeight="1">
      <c r="A214" s="123" t="str">
        <f>IF(B214&lt;&gt;"",IF(AND(B214&gt;=_TM1,B214&lt;=_TM2,OR(TH!L215="1111",TH!M215="1111")),TH!D215,""),"")</f>
        <v/>
      </c>
      <c r="B214" s="12">
        <f t="shared" si="9"/>
        <v>8</v>
      </c>
      <c r="C214" s="108">
        <f t="shared" si="7"/>
        <v>42605</v>
      </c>
      <c r="D214" s="108" t="s">
        <v>1000</v>
      </c>
      <c r="E214" s="113">
        <v>42605</v>
      </c>
      <c r="F214" s="114" t="s">
        <v>484</v>
      </c>
      <c r="G214" s="303" t="s">
        <v>731</v>
      </c>
      <c r="H214" s="4" t="s">
        <v>369</v>
      </c>
      <c r="I214" s="139"/>
      <c r="J214" s="139"/>
      <c r="K214" s="13">
        <v>5528226</v>
      </c>
      <c r="L214" s="116" t="s">
        <v>46</v>
      </c>
      <c r="M214" s="411" t="s">
        <v>252</v>
      </c>
      <c r="N214" s="22" t="str">
        <f>IF(AND('331-CT'!$E$7=TH!H214,OR(L214="331",M214="331")),"331",IF(AND(OR(L214="131",M214="131"),H214='131-CT'!$E$7),"131",""))</f>
        <v>131</v>
      </c>
      <c r="O214" s="22" t="str">
        <f>IF(AND($B214&gt;='111'!$N$11,$B214&lt;='111'!$O$11,OR($L214=$O$7,$M214=$O$7)),"x","")</f>
        <v/>
      </c>
      <c r="P214" s="22" t="str">
        <f>IF(AND($L214=$O$7,$B214&lt;'111'!$N$11),"x","")</f>
        <v>x</v>
      </c>
      <c r="Q214" s="22" t="str">
        <f>IF(AND($M214=$O$7,$B214&lt;'111'!$N$11),"x","")</f>
        <v/>
      </c>
      <c r="R214" s="22" t="str">
        <f>IF(ISERROR(FIND('112'!$M$9,G214,1)),"",IF((AND(FIND('112'!$M$9,G214,1)&gt;=1,$B214&gt;='112'!$N$8,$B214&lt;='112'!$O$8,OR($L214='112'!$I$6,$M214='112'!$I$6))),"x",""))</f>
        <v/>
      </c>
      <c r="S214" s="22" t="str">
        <f>IF(ISERROR(FIND('112'!$M$9,G214,1)),"",IF((AND(LEFT(G214,2)=LEFT('112'!$M$9,2),B214&lt;'112'!$N$8,$L214='112'!$I$6)),"x",""))</f>
        <v/>
      </c>
      <c r="T214" s="22" t="str">
        <f>IF(ISERROR(FIND('112'!$M$9,G214,1)),"",IF((AND(RIGHT(G214,2)=RIGHT('112'!$M$9,2),B214&lt;'112'!$N$8,$M214='112'!$I$6)),"x",""))</f>
        <v/>
      </c>
      <c r="U214" s="22" t="str">
        <f>IF(AND(B214&gt;='IN-NX'!$P$3,B214&lt;='IN-NX'!$Q$3,'IN-NX'!$D$7=D214,OR(LEFT(L214,2)="15",AND(LEFT(M214,2)&lt;&gt;"15",LEFT(M214,2)&lt;&gt;"33"))),"x","")</f>
        <v/>
      </c>
      <c r="V214" s="22" t="str">
        <f>IF(AND(OR(LEFT(TH!L214,2)="15",LEFT(TH!M214,2)="15"),'152-CT'!$J$8=TH!F214),"x","")</f>
        <v/>
      </c>
      <c r="W214" s="22" t="str">
        <f>IF(AND(OR(LEFT(TH!L214,2)="15",LEFT(TH!M214,2)="15"),TK!$E$7=TH!F214),"x","")</f>
        <v/>
      </c>
      <c r="X214" s="22" t="str">
        <f>IF(OR(TH!L214=TH!$X$7,M214=TH!$X$7),"x","")</f>
        <v/>
      </c>
      <c r="Y214" s="22" t="str">
        <f>IF(AND(B214&lt;=NKC!$N$8,B214&gt;=NKC!$M$8),"x","")</f>
        <v>x</v>
      </c>
      <c r="Z214" s="580"/>
      <c r="AC214" s="130"/>
      <c r="AD214" s="130"/>
      <c r="AE214" s="130"/>
    </row>
    <row r="215" spans="1:31" s="406" customFormat="1" ht="15.75" customHeight="1">
      <c r="A215" s="123" t="str">
        <f>IF(B215&lt;&gt;"",IF(AND(B215&gt;=_TM1,B215&lt;=_TM2,OR(TH!L216="1111",TH!M216="1111")),TH!D216,""),"")</f>
        <v/>
      </c>
      <c r="B215" s="12">
        <f t="shared" si="9"/>
        <v>8</v>
      </c>
      <c r="C215" s="108">
        <f t="shared" si="7"/>
        <v>42606</v>
      </c>
      <c r="D215" s="108" t="s">
        <v>469</v>
      </c>
      <c r="E215" s="113">
        <v>42606</v>
      </c>
      <c r="F215" s="112" t="s">
        <v>484</v>
      </c>
      <c r="G215" s="303" t="s">
        <v>474</v>
      </c>
      <c r="H215" s="4" t="s">
        <v>372</v>
      </c>
      <c r="I215" s="139"/>
      <c r="J215" s="139"/>
      <c r="K215" s="410">
        <v>9389600</v>
      </c>
      <c r="L215" s="411" t="s">
        <v>24</v>
      </c>
      <c r="M215" s="411" t="s">
        <v>252</v>
      </c>
      <c r="N215" s="22" t="str">
        <f>IF(AND('331-CT'!$E$7=TH!H215,OR(L215="331",M215="331")),"331",IF(AND(OR(L215="131",M215="131"),H215='131-CT'!$E$7),"131",""))</f>
        <v/>
      </c>
      <c r="O215" s="22" t="str">
        <f>IF(AND($B215&gt;='111'!$N$11,$B215&lt;='111'!$O$11,OR($L215=$O$7,$M215=$O$7)),"x","")</f>
        <v/>
      </c>
      <c r="P215" s="22" t="str">
        <f>IF(AND($L215=$O$7,$B215&lt;'111'!$N$11),"x","")</f>
        <v/>
      </c>
      <c r="Q215" s="22" t="str">
        <f>IF(AND($M215=$O$7,$B215&lt;'111'!$N$11),"x","")</f>
        <v/>
      </c>
      <c r="R215" s="22" t="str">
        <f>IF(ISERROR(FIND('112'!$M$9,G215,1)),"",IF((AND(FIND('112'!$M$9,G215,1)&gt;=1,$B215&gt;='112'!$N$8,$B215&lt;='112'!$O$8,OR($L215='112'!$I$6,$M215='112'!$I$6))),"x",""))</f>
        <v/>
      </c>
      <c r="S215" s="22" t="str">
        <f>IF(ISERROR(FIND('112'!$M$9,G215,1)),"",IF((AND(LEFT(G215,2)=LEFT('112'!$M$9,2),B215&lt;'112'!$N$8,$L215='112'!$I$6)),"x",""))</f>
        <v>x</v>
      </c>
      <c r="T215" s="22" t="str">
        <f>IF(ISERROR(FIND('112'!$M$9,G215,1)),"",IF((AND(RIGHT(G215,2)=RIGHT('112'!$M$9,2),B215&lt;'112'!$N$8,$M215='112'!$I$6)),"x",""))</f>
        <v/>
      </c>
      <c r="U215" s="22" t="str">
        <f>IF(AND(B215&gt;='IN-NX'!$P$3,B215&lt;='IN-NX'!$Q$3,'IN-NX'!$D$7=D215,OR(LEFT(L215,2)="15",AND(LEFT(M215,2)&lt;&gt;"15",LEFT(M215,2)&lt;&gt;"33"))),"x","")</f>
        <v/>
      </c>
      <c r="V215" s="22" t="str">
        <f>IF(AND(OR(LEFT(TH!L215,2)="15",LEFT(TH!M215,2)="15"),'152-CT'!$J$8=TH!F215),"x","")</f>
        <v/>
      </c>
      <c r="W215" s="22" t="str">
        <f>IF(AND(OR(LEFT(TH!L215,2)="15",LEFT(TH!M215,2)="15"),TK!$E$7=TH!F215),"x","")</f>
        <v/>
      </c>
      <c r="X215" s="22" t="str">
        <f>IF(OR(TH!L215=TH!$X$7,M215=TH!$X$7),"x","")</f>
        <v/>
      </c>
      <c r="Y215" s="22" t="str">
        <f>IF(AND(B215&lt;=NKC!$N$8,B215&gt;=NKC!$M$8),"x","")</f>
        <v>x</v>
      </c>
      <c r="Z215" s="580"/>
      <c r="AB215" s="130"/>
      <c r="AC215" s="130"/>
    </row>
    <row r="216" spans="1:31" s="406" customFormat="1" ht="15.75" customHeight="1">
      <c r="A216" s="123" t="str">
        <f>IF(B216&lt;&gt;"",IF(AND(B216&gt;=_TM1,B216&lt;=_TM2,OR(TH!L217="1111",TH!M217="1111")),TH!D217,""),"")</f>
        <v/>
      </c>
      <c r="B216" s="12">
        <f t="shared" si="9"/>
        <v>8</v>
      </c>
      <c r="C216" s="108">
        <f t="shared" si="7"/>
        <v>42607</v>
      </c>
      <c r="D216" s="108" t="s">
        <v>469</v>
      </c>
      <c r="E216" s="113">
        <v>42607</v>
      </c>
      <c r="F216" s="112" t="s">
        <v>476</v>
      </c>
      <c r="G216" s="303" t="s">
        <v>474</v>
      </c>
      <c r="H216" s="4"/>
      <c r="I216" s="139"/>
      <c r="J216" s="139"/>
      <c r="K216" s="410">
        <v>3371</v>
      </c>
      <c r="L216" s="116" t="s">
        <v>24</v>
      </c>
      <c r="M216" s="116" t="s">
        <v>39</v>
      </c>
      <c r="N216" s="22" t="str">
        <f>IF(AND('331-CT'!$E$7=TH!H216,OR(L216="331",M216="331")),"331",IF(AND(OR(L216="131",M216="131"),H216='131-CT'!$E$7),"131",""))</f>
        <v/>
      </c>
      <c r="O216" s="22" t="str">
        <f>IF(AND($B216&gt;='111'!$N$11,$B216&lt;='111'!$O$11,OR($L216=$O$7,$M216=$O$7)),"x","")</f>
        <v/>
      </c>
      <c r="P216" s="22" t="str">
        <f>IF(AND($L216=$O$7,$B216&lt;'111'!$N$11),"x","")</f>
        <v/>
      </c>
      <c r="Q216" s="22" t="str">
        <f>IF(AND($M216=$O$7,$B216&lt;'111'!$N$11),"x","")</f>
        <v/>
      </c>
      <c r="R216" s="22" t="str">
        <f>IF(ISERROR(FIND('112'!$M$9,G216,1)),"",IF((AND(FIND('112'!$M$9,G216,1)&gt;=1,$B216&gt;='112'!$N$8,$B216&lt;='112'!$O$8,OR($L216='112'!$I$6,$M216='112'!$I$6))),"x",""))</f>
        <v/>
      </c>
      <c r="S216" s="22" t="str">
        <f>IF(ISERROR(FIND('112'!$M$9,G216,1)),"",IF((AND(LEFT(G216,2)=LEFT('112'!$M$9,2),B216&lt;'112'!$N$8,$L216='112'!$I$6)),"x",""))</f>
        <v>x</v>
      </c>
      <c r="T216" s="22" t="str">
        <f>IF(ISERROR(FIND('112'!$M$9,G216,1)),"",IF((AND(RIGHT(G216,2)=RIGHT('112'!$M$9,2),B216&lt;'112'!$N$8,$M216='112'!$I$6)),"x",""))</f>
        <v/>
      </c>
      <c r="U216" s="22" t="str">
        <f>IF(AND(B216&gt;='IN-NX'!$P$3,B216&lt;='IN-NX'!$Q$3,'IN-NX'!$D$7=D216,OR(LEFT(L216,2)="15",AND(LEFT(M216,2)&lt;&gt;"15",LEFT(M216,2)&lt;&gt;"33"))),"x","")</f>
        <v/>
      </c>
      <c r="V216" s="22" t="str">
        <f>IF(AND(OR(LEFT(TH!L216,2)="15",LEFT(TH!M216,2)="15"),'152-CT'!$J$8=TH!F216),"x","")</f>
        <v/>
      </c>
      <c r="W216" s="22" t="str">
        <f>IF(AND(OR(LEFT(TH!L216,2)="15",LEFT(TH!M216,2)="15"),TK!$E$7=TH!F216),"x","")</f>
        <v/>
      </c>
      <c r="X216" s="22" t="str">
        <f>IF(OR(TH!L216=TH!$X$7,M216=TH!$X$7),"x","")</f>
        <v/>
      </c>
      <c r="Y216" s="22" t="str">
        <f>IF(AND(B216&lt;=NKC!$N$8,B216&gt;=NKC!$M$8),"x","")</f>
        <v>x</v>
      </c>
      <c r="Z216" s="580"/>
      <c r="AC216" s="130"/>
    </row>
    <row r="217" spans="1:31" s="406" customFormat="1" ht="15.75" customHeight="1">
      <c r="A217" s="123" t="str">
        <f>IF(B217&lt;&gt;"",IF(AND(B217&gt;=_TM1,B217&lt;=_TM2,OR(TH!L218="1111",TH!M218="1111")),TH!D218,""),"")</f>
        <v/>
      </c>
      <c r="B217" s="12">
        <f t="shared" si="9"/>
        <v>8</v>
      </c>
      <c r="C217" s="108">
        <f t="shared" ref="C217:C280" si="10">E217</f>
        <v>42607</v>
      </c>
      <c r="D217" s="108" t="s">
        <v>469</v>
      </c>
      <c r="E217" s="113">
        <v>42607</v>
      </c>
      <c r="F217" s="112" t="s">
        <v>484</v>
      </c>
      <c r="G217" s="303" t="s">
        <v>474</v>
      </c>
      <c r="H217" s="4" t="s">
        <v>374</v>
      </c>
      <c r="I217" s="139"/>
      <c r="J217" s="139"/>
      <c r="K217" s="410">
        <v>12569920</v>
      </c>
      <c r="L217" s="411" t="s">
        <v>24</v>
      </c>
      <c r="M217" s="411" t="s">
        <v>252</v>
      </c>
      <c r="N217" s="22" t="str">
        <f>IF(AND('331-CT'!$E$7=TH!H217,OR(L217="331",M217="331")),"331",IF(AND(OR(L217="131",M217="131"),H217='131-CT'!$E$7),"131",""))</f>
        <v/>
      </c>
      <c r="O217" s="22" t="str">
        <f>IF(AND($B217&gt;='111'!$N$11,$B217&lt;='111'!$O$11,OR($L217=$O$7,$M217=$O$7)),"x","")</f>
        <v/>
      </c>
      <c r="P217" s="22" t="str">
        <f>IF(AND($L217=$O$7,$B217&lt;'111'!$N$11),"x","")</f>
        <v/>
      </c>
      <c r="Q217" s="22" t="str">
        <f>IF(AND($M217=$O$7,$B217&lt;'111'!$N$11),"x","")</f>
        <v/>
      </c>
      <c r="R217" s="22" t="str">
        <f>IF(ISERROR(FIND('112'!$M$9,G217,1)),"",IF((AND(FIND('112'!$M$9,G217,1)&gt;=1,$B217&gt;='112'!$N$8,$B217&lt;='112'!$O$8,OR($L217='112'!$I$6,$M217='112'!$I$6))),"x",""))</f>
        <v/>
      </c>
      <c r="S217" s="22" t="str">
        <f>IF(ISERROR(FIND('112'!$M$9,G217,1)),"",IF((AND(LEFT(G217,2)=LEFT('112'!$M$9,2),B217&lt;'112'!$N$8,$L217='112'!$I$6)),"x",""))</f>
        <v>x</v>
      </c>
      <c r="T217" s="22" t="str">
        <f>IF(ISERROR(FIND('112'!$M$9,G217,1)),"",IF((AND(RIGHT(G217,2)=RIGHT('112'!$M$9,2),B217&lt;'112'!$N$8,$M217='112'!$I$6)),"x",""))</f>
        <v/>
      </c>
      <c r="U217" s="22" t="str">
        <f>IF(AND(B217&gt;='IN-NX'!$P$3,B217&lt;='IN-NX'!$Q$3,'IN-NX'!$D$7=D217,OR(LEFT(L217,2)="15",AND(LEFT(M217,2)&lt;&gt;"15",LEFT(M217,2)&lt;&gt;"33"))),"x","")</f>
        <v/>
      </c>
      <c r="V217" s="22" t="str">
        <f>IF(AND(OR(LEFT(TH!L217,2)="15",LEFT(TH!M217,2)="15"),'152-CT'!$J$8=TH!F217),"x","")</f>
        <v/>
      </c>
      <c r="W217" s="22" t="str">
        <f>IF(AND(OR(LEFT(TH!L217,2)="15",LEFT(TH!M217,2)="15"),TK!$E$7=TH!F217),"x","")</f>
        <v/>
      </c>
      <c r="X217" s="22" t="str">
        <f>IF(OR(TH!L217=TH!$X$7,M217=TH!$X$7),"x","")</f>
        <v/>
      </c>
      <c r="Y217" s="22" t="str">
        <f>IF(AND(B217&lt;=NKC!$N$8,B217&gt;=NKC!$M$8),"x","")</f>
        <v>x</v>
      </c>
      <c r="Z217" s="580"/>
      <c r="AC217" s="130"/>
    </row>
    <row r="218" spans="1:31" s="406" customFormat="1" ht="15.75" customHeight="1">
      <c r="A218" s="123" t="str">
        <f>IF(B218&lt;&gt;"",IF(AND(B218&gt;=_TM1,B218&lt;=_TM2,OR(TH!L219="1111",TH!M219="1111")),TH!D219,""),"")</f>
        <v/>
      </c>
      <c r="B218" s="12">
        <f t="shared" si="9"/>
        <v>8</v>
      </c>
      <c r="C218" s="108">
        <f t="shared" si="10"/>
        <v>42607</v>
      </c>
      <c r="D218" s="108" t="s">
        <v>1005</v>
      </c>
      <c r="E218" s="113">
        <v>42607</v>
      </c>
      <c r="F218" s="112" t="s">
        <v>485</v>
      </c>
      <c r="G218" s="303" t="s">
        <v>474</v>
      </c>
      <c r="H218" s="4" t="s">
        <v>488</v>
      </c>
      <c r="I218" s="139"/>
      <c r="J218" s="139"/>
      <c r="K218" s="410">
        <v>9500000</v>
      </c>
      <c r="L218" s="411" t="s">
        <v>46</v>
      </c>
      <c r="M218" s="411" t="s">
        <v>24</v>
      </c>
      <c r="N218" s="22" t="str">
        <f>IF(AND('331-CT'!$E$7=TH!H218,OR(L218="331",M218="331")),"331",IF(AND(OR(L218="131",M218="131"),H218='131-CT'!$E$7),"131",""))</f>
        <v/>
      </c>
      <c r="O218" s="22" t="str">
        <f>IF(AND($B218&gt;='111'!$N$11,$B218&lt;='111'!$O$11,OR($L218=$O$7,$M218=$O$7)),"x","")</f>
        <v/>
      </c>
      <c r="P218" s="22" t="str">
        <f>IF(AND($L218=$O$7,$B218&lt;'111'!$N$11),"x","")</f>
        <v>x</v>
      </c>
      <c r="Q218" s="22" t="str">
        <f>IF(AND($M218=$O$7,$B218&lt;'111'!$N$11),"x","")</f>
        <v/>
      </c>
      <c r="R218" s="22" t="str">
        <f>IF(ISERROR(FIND('112'!$M$9,G218,1)),"",IF((AND(FIND('112'!$M$9,G218,1)&gt;=1,$B218&gt;='112'!$N$8,$B218&lt;='112'!$O$8,OR($L218='112'!$I$6,$M218='112'!$I$6))),"x",""))</f>
        <v/>
      </c>
      <c r="S218" s="22" t="str">
        <f>IF(ISERROR(FIND('112'!$M$9,G218,1)),"",IF((AND(LEFT(G218,2)=LEFT('112'!$M$9,2),B218&lt;'112'!$N$8,$L218='112'!$I$6)),"x",""))</f>
        <v/>
      </c>
      <c r="T218" s="22" t="str">
        <f>IF(ISERROR(FIND('112'!$M$9,G218,1)),"",IF((AND(RIGHT(G218,2)=RIGHT('112'!$M$9,2),B218&lt;'112'!$N$8,$M218='112'!$I$6)),"x",""))</f>
        <v>x</v>
      </c>
      <c r="U218" s="22" t="str">
        <f>IF(AND(B218&gt;='IN-NX'!$P$3,B218&lt;='IN-NX'!$Q$3,'IN-NX'!$D$7=D218,OR(LEFT(L218,2)="15",AND(LEFT(M218,2)&lt;&gt;"15",LEFT(M218,2)&lt;&gt;"33"))),"x","")</f>
        <v/>
      </c>
      <c r="V218" s="22" t="str">
        <f>IF(AND(OR(LEFT(TH!L218,2)="15",LEFT(TH!M218,2)="15"),'152-CT'!$J$8=TH!F218),"x","")</f>
        <v/>
      </c>
      <c r="W218" s="22" t="str">
        <f>IF(AND(OR(LEFT(TH!L218,2)="15",LEFT(TH!M218,2)="15"),TK!$E$7=TH!F218),"x","")</f>
        <v/>
      </c>
      <c r="X218" s="22" t="str">
        <f>IF(OR(TH!L218=TH!$X$7,M218=TH!$X$7),"x","")</f>
        <v/>
      </c>
      <c r="Y218" s="22" t="str">
        <f>IF(AND(B218&lt;=NKC!$N$8,B218&gt;=NKC!$M$8),"x","")</f>
        <v>x</v>
      </c>
      <c r="Z218" s="580"/>
      <c r="AC218" s="130"/>
    </row>
    <row r="219" spans="1:31" s="406" customFormat="1" ht="15.75" customHeight="1">
      <c r="A219" s="123" t="str">
        <f>IF(B219&lt;&gt;"",IF(AND(B219&gt;=_TM1,B219&lt;=_TM2,OR(TH!L220="1111",TH!M220="1111")),TH!D220,""),"")</f>
        <v/>
      </c>
      <c r="B219" s="12">
        <f t="shared" si="9"/>
        <v>8</v>
      </c>
      <c r="C219" s="108">
        <f t="shared" si="10"/>
        <v>42607</v>
      </c>
      <c r="D219" s="108" t="s">
        <v>470</v>
      </c>
      <c r="E219" s="113">
        <v>42607</v>
      </c>
      <c r="F219" s="112" t="s">
        <v>489</v>
      </c>
      <c r="G219" s="303" t="s">
        <v>474</v>
      </c>
      <c r="H219" s="4"/>
      <c r="I219" s="139"/>
      <c r="J219" s="139"/>
      <c r="K219" s="13">
        <v>20000</v>
      </c>
      <c r="L219" s="116" t="s">
        <v>82</v>
      </c>
      <c r="M219" s="116" t="s">
        <v>24</v>
      </c>
      <c r="N219" s="22" t="str">
        <f>IF(AND('331-CT'!$E$7=TH!H219,OR(L219="331",M219="331")),"331",IF(AND(OR(L219="131",M219="131"),H219='131-CT'!$E$7),"131",""))</f>
        <v/>
      </c>
      <c r="O219" s="22" t="str">
        <f>IF(AND($B219&gt;='111'!$N$11,$B219&lt;='111'!$O$11,OR($L219=$O$7,$M219=$O$7)),"x","")</f>
        <v/>
      </c>
      <c r="P219" s="22" t="str">
        <f>IF(AND($L219=$O$7,$B219&lt;'111'!$N$11),"x","")</f>
        <v/>
      </c>
      <c r="Q219" s="22" t="str">
        <f>IF(AND($M219=$O$7,$B219&lt;'111'!$N$11),"x","")</f>
        <v/>
      </c>
      <c r="R219" s="22" t="str">
        <f>IF(ISERROR(FIND('112'!$M$9,G219,1)),"",IF((AND(FIND('112'!$M$9,G219,1)&gt;=1,$B219&gt;='112'!$N$8,$B219&lt;='112'!$O$8,OR($L219='112'!$I$6,$M219='112'!$I$6))),"x",""))</f>
        <v/>
      </c>
      <c r="S219" s="22" t="str">
        <f>IF(ISERROR(FIND('112'!$M$9,G219,1)),"",IF((AND(LEFT(G219,2)=LEFT('112'!$M$9,2),B219&lt;'112'!$N$8,$L219='112'!$I$6)),"x",""))</f>
        <v/>
      </c>
      <c r="T219" s="22" t="str">
        <f>IF(ISERROR(FIND('112'!$M$9,G219,1)),"",IF((AND(RIGHT(G219,2)=RIGHT('112'!$M$9,2),B219&lt;'112'!$N$8,$M219='112'!$I$6)),"x",""))</f>
        <v>x</v>
      </c>
      <c r="U219" s="22" t="str">
        <f>IF(AND(B219&gt;='IN-NX'!$P$3,B219&lt;='IN-NX'!$Q$3,'IN-NX'!$D$7=D219,OR(LEFT(L219,2)="15",AND(LEFT(M219,2)&lt;&gt;"15",LEFT(M219,2)&lt;&gt;"33"))),"x","")</f>
        <v/>
      </c>
      <c r="V219" s="22" t="str">
        <f>IF(AND(OR(LEFT(TH!L219,2)="15",LEFT(TH!M219,2)="15"),'152-CT'!$J$8=TH!F219),"x","")</f>
        <v/>
      </c>
      <c r="W219" s="22" t="str">
        <f>IF(AND(OR(LEFT(TH!L219,2)="15",LEFT(TH!M219,2)="15"),TK!$E$7=TH!F219),"x","")</f>
        <v/>
      </c>
      <c r="X219" s="22" t="str">
        <f>IF(OR(TH!L219=TH!$X$7,M219=TH!$X$7),"x","")</f>
        <v>x</v>
      </c>
      <c r="Y219" s="22" t="str">
        <f>IF(AND(B219&lt;=NKC!$N$8,B219&gt;=NKC!$M$8),"x","")</f>
        <v>x</v>
      </c>
      <c r="Z219" s="580">
        <v>3</v>
      </c>
      <c r="AC219" s="130"/>
      <c r="AD219" s="130"/>
      <c r="AE219" s="130"/>
    </row>
    <row r="220" spans="1:31" s="406" customFormat="1" ht="15.75" customHeight="1">
      <c r="A220" s="123" t="str">
        <f>IF(B220&lt;&gt;"",IF(AND(B220&gt;=_TM1,B220&lt;=_TM2,OR(TH!L221="1111",TH!M221="1111")),TH!D221,""),"")</f>
        <v/>
      </c>
      <c r="B220" s="12">
        <f t="shared" si="9"/>
        <v>8</v>
      </c>
      <c r="C220" s="108">
        <f t="shared" si="10"/>
        <v>42607</v>
      </c>
      <c r="D220" s="108" t="s">
        <v>470</v>
      </c>
      <c r="E220" s="113">
        <v>42607</v>
      </c>
      <c r="F220" s="112" t="s">
        <v>490</v>
      </c>
      <c r="G220" s="303" t="s">
        <v>474</v>
      </c>
      <c r="H220" s="4"/>
      <c r="I220" s="139"/>
      <c r="J220" s="139"/>
      <c r="K220" s="13">
        <v>2000</v>
      </c>
      <c r="L220" s="116" t="s">
        <v>9</v>
      </c>
      <c r="M220" s="116" t="s">
        <v>24</v>
      </c>
      <c r="N220" s="22" t="str">
        <f>IF(AND('331-CT'!$E$7=TH!H220,OR(L220="331",M220="331")),"331",IF(AND(OR(L220="131",M220="131"),H220='131-CT'!$E$7),"131",""))</f>
        <v/>
      </c>
      <c r="O220" s="22" t="str">
        <f>IF(AND($B220&gt;='111'!$N$11,$B220&lt;='111'!$O$11,OR($L220=$O$7,$M220=$O$7)),"x","")</f>
        <v/>
      </c>
      <c r="P220" s="22" t="str">
        <f>IF(AND($L220=$O$7,$B220&lt;'111'!$N$11),"x","")</f>
        <v/>
      </c>
      <c r="Q220" s="22" t="str">
        <f>IF(AND($M220=$O$7,$B220&lt;'111'!$N$11),"x","")</f>
        <v/>
      </c>
      <c r="R220" s="22" t="str">
        <f>IF(ISERROR(FIND('112'!$M$9,G220,1)),"",IF((AND(FIND('112'!$M$9,G220,1)&gt;=1,$B220&gt;='112'!$N$8,$B220&lt;='112'!$O$8,OR($L220='112'!$I$6,$M220='112'!$I$6))),"x",""))</f>
        <v/>
      </c>
      <c r="S220" s="22" t="str">
        <f>IF(ISERROR(FIND('112'!$M$9,G220,1)),"",IF((AND(LEFT(G220,2)=LEFT('112'!$M$9,2),B220&lt;'112'!$N$8,$L220='112'!$I$6)),"x",""))</f>
        <v/>
      </c>
      <c r="T220" s="22" t="str">
        <f>IF(ISERROR(FIND('112'!$M$9,G220,1)),"",IF((AND(RIGHT(G220,2)=RIGHT('112'!$M$9,2),B220&lt;'112'!$N$8,$M220='112'!$I$6)),"x",""))</f>
        <v>x</v>
      </c>
      <c r="U220" s="22" t="str">
        <f>IF(AND(B220&gt;='IN-NX'!$P$3,B220&lt;='IN-NX'!$Q$3,'IN-NX'!$D$7=D220,OR(LEFT(L220,2)="15",AND(LEFT(M220,2)&lt;&gt;"15",LEFT(M220,2)&lt;&gt;"33"))),"x","")</f>
        <v/>
      </c>
      <c r="V220" s="22" t="str">
        <f>IF(AND(OR(LEFT(TH!L220,2)="15",LEFT(TH!M220,2)="15"),'152-CT'!$J$8=TH!F220),"x","")</f>
        <v/>
      </c>
      <c r="W220" s="22" t="str">
        <f>IF(AND(OR(LEFT(TH!L220,2)="15",LEFT(TH!M220,2)="15"),TK!$E$7=TH!F220),"x","")</f>
        <v/>
      </c>
      <c r="X220" s="22" t="str">
        <f>IF(OR(TH!L220=TH!$X$7,M220=TH!$X$7),"x","")</f>
        <v/>
      </c>
      <c r="Y220" s="22" t="str">
        <f>IF(AND(B220&lt;=NKC!$N$8,B220&gt;=NKC!$M$8),"x","")</f>
        <v>x</v>
      </c>
      <c r="Z220" s="580">
        <v>3</v>
      </c>
      <c r="AB220" s="130"/>
      <c r="AC220" s="130"/>
      <c r="AD220" s="130"/>
      <c r="AE220" s="130"/>
    </row>
    <row r="221" spans="1:31" s="406" customFormat="1" ht="15.75" customHeight="1">
      <c r="A221" s="123" t="str">
        <f>IF(B221&lt;&gt;"",IF(AND(B221&gt;=_TM1,B221&lt;=_TM2,OR(TH!L222="1111",TH!M222="1111")),TH!D222,""),"")</f>
        <v/>
      </c>
      <c r="B221" s="12">
        <f t="shared" si="9"/>
        <v>8</v>
      </c>
      <c r="C221" s="108">
        <f t="shared" si="10"/>
        <v>42607</v>
      </c>
      <c r="D221" s="108" t="s">
        <v>470</v>
      </c>
      <c r="E221" s="113">
        <v>42607</v>
      </c>
      <c r="F221" s="112" t="s">
        <v>477</v>
      </c>
      <c r="G221" s="303" t="s">
        <v>474</v>
      </c>
      <c r="H221" s="4"/>
      <c r="I221" s="139"/>
      <c r="J221" s="139"/>
      <c r="K221" s="13">
        <v>10000</v>
      </c>
      <c r="L221" s="116" t="s">
        <v>82</v>
      </c>
      <c r="M221" s="116" t="s">
        <v>24</v>
      </c>
      <c r="N221" s="22" t="str">
        <f>IF(AND('331-CT'!$E$7=TH!H221,OR(L221="331",M221="331")),"331",IF(AND(OR(L221="131",M221="131"),H221='131-CT'!$E$7),"131",""))</f>
        <v/>
      </c>
      <c r="O221" s="22" t="str">
        <f>IF(AND($B221&gt;='111'!$N$11,$B221&lt;='111'!$O$11,OR($L221=$O$7,$M221=$O$7)),"x","")</f>
        <v/>
      </c>
      <c r="P221" s="22" t="str">
        <f>IF(AND($L221=$O$7,$B221&lt;'111'!$N$11),"x","")</f>
        <v/>
      </c>
      <c r="Q221" s="22" t="str">
        <f>IF(AND($M221=$O$7,$B221&lt;'111'!$N$11),"x","")</f>
        <v/>
      </c>
      <c r="R221" s="22" t="str">
        <f>IF(ISERROR(FIND('112'!$M$9,G221,1)),"",IF((AND(FIND('112'!$M$9,G221,1)&gt;=1,$B221&gt;='112'!$N$8,$B221&lt;='112'!$O$8,OR($L221='112'!$I$6,$M221='112'!$I$6))),"x",""))</f>
        <v/>
      </c>
      <c r="S221" s="22" t="str">
        <f>IF(ISERROR(FIND('112'!$M$9,G221,1)),"",IF((AND(LEFT(G221,2)=LEFT('112'!$M$9,2),B221&lt;'112'!$N$8,$L221='112'!$I$6)),"x",""))</f>
        <v/>
      </c>
      <c r="T221" s="22" t="str">
        <f>IF(ISERROR(FIND('112'!$M$9,G221,1)),"",IF((AND(RIGHT(G221,2)=RIGHT('112'!$M$9,2),B221&lt;'112'!$N$8,$M221='112'!$I$6)),"x",""))</f>
        <v>x</v>
      </c>
      <c r="U221" s="22" t="str">
        <f>IF(AND(B221&gt;='IN-NX'!$P$3,B221&lt;='IN-NX'!$Q$3,'IN-NX'!$D$7=D221,OR(LEFT(L221,2)="15",AND(LEFT(M221,2)&lt;&gt;"15",LEFT(M221,2)&lt;&gt;"33"))),"x","")</f>
        <v/>
      </c>
      <c r="V221" s="22" t="str">
        <f>IF(AND(OR(LEFT(TH!L221,2)="15",LEFT(TH!M221,2)="15"),'152-CT'!$J$8=TH!F221),"x","")</f>
        <v/>
      </c>
      <c r="W221" s="22" t="str">
        <f>IF(AND(OR(LEFT(TH!L221,2)="15",LEFT(TH!M221,2)="15"),TK!$E$7=TH!F221),"x","")</f>
        <v/>
      </c>
      <c r="X221" s="22" t="str">
        <f>IF(OR(TH!L221=TH!$X$7,M221=TH!$X$7),"x","")</f>
        <v>x</v>
      </c>
      <c r="Y221" s="22" t="str">
        <f>IF(AND(B221&lt;=NKC!$N$8,B221&gt;=NKC!$M$8),"x","")</f>
        <v>x</v>
      </c>
      <c r="Z221" s="580">
        <v>3</v>
      </c>
      <c r="AC221" s="130"/>
      <c r="AD221" s="130"/>
      <c r="AE221" s="130"/>
    </row>
    <row r="222" spans="1:31" s="406" customFormat="1" ht="15.75" customHeight="1">
      <c r="A222" s="123" t="str">
        <f>IF(B222&lt;&gt;"",IF(AND(B222&gt;=_TM1,B222&lt;=_TM2,OR(TH!L223="1111",TH!M223="1111")),TH!D223,""),"")</f>
        <v/>
      </c>
      <c r="B222" s="12">
        <f t="shared" si="9"/>
        <v>8</v>
      </c>
      <c r="C222" s="108">
        <f t="shared" si="10"/>
        <v>42607</v>
      </c>
      <c r="D222" s="108" t="s">
        <v>470</v>
      </c>
      <c r="E222" s="113">
        <v>42607</v>
      </c>
      <c r="F222" s="112" t="s">
        <v>478</v>
      </c>
      <c r="G222" s="303" t="s">
        <v>474</v>
      </c>
      <c r="H222" s="4"/>
      <c r="I222" s="139"/>
      <c r="J222" s="139"/>
      <c r="K222" s="13">
        <v>1000</v>
      </c>
      <c r="L222" s="116" t="s">
        <v>9</v>
      </c>
      <c r="M222" s="116" t="s">
        <v>24</v>
      </c>
      <c r="N222" s="22" t="str">
        <f>IF(AND('331-CT'!$E$7=TH!H222,OR(L222="331",M222="331")),"331",IF(AND(OR(L222="131",M222="131"),H222='131-CT'!$E$7),"131",""))</f>
        <v/>
      </c>
      <c r="O222" s="22" t="str">
        <f>IF(AND($B222&gt;='111'!$N$11,$B222&lt;='111'!$O$11,OR($L222=$O$7,$M222=$O$7)),"x","")</f>
        <v/>
      </c>
      <c r="P222" s="22" t="str">
        <f>IF(AND($L222=$O$7,$B222&lt;'111'!$N$11),"x","")</f>
        <v/>
      </c>
      <c r="Q222" s="22" t="str">
        <f>IF(AND($M222=$O$7,$B222&lt;'111'!$N$11),"x","")</f>
        <v/>
      </c>
      <c r="R222" s="22" t="str">
        <f>IF(ISERROR(FIND('112'!$M$9,G222,1)),"",IF((AND(FIND('112'!$M$9,G222,1)&gt;=1,$B222&gt;='112'!$N$8,$B222&lt;='112'!$O$8,OR($L222='112'!$I$6,$M222='112'!$I$6))),"x",""))</f>
        <v/>
      </c>
      <c r="S222" s="22" t="str">
        <f>IF(ISERROR(FIND('112'!$M$9,G222,1)),"",IF((AND(LEFT(G222,2)=LEFT('112'!$M$9,2),B222&lt;'112'!$N$8,$L222='112'!$I$6)),"x",""))</f>
        <v/>
      </c>
      <c r="T222" s="22" t="str">
        <f>IF(ISERROR(FIND('112'!$M$9,G222,1)),"",IF((AND(RIGHT(G222,2)=RIGHT('112'!$M$9,2),B222&lt;'112'!$N$8,$M222='112'!$I$6)),"x",""))</f>
        <v>x</v>
      </c>
      <c r="U222" s="22" t="str">
        <f>IF(AND(B222&gt;='IN-NX'!$P$3,B222&lt;='IN-NX'!$Q$3,'IN-NX'!$D$7=D222,OR(LEFT(L222,2)="15",AND(LEFT(M222,2)&lt;&gt;"15",LEFT(M222,2)&lt;&gt;"33"))),"x","")</f>
        <v/>
      </c>
      <c r="V222" s="22" t="str">
        <f>IF(AND(OR(LEFT(TH!L222,2)="15",LEFT(TH!M222,2)="15"),'152-CT'!$J$8=TH!F222),"x","")</f>
        <v/>
      </c>
      <c r="W222" s="22" t="str">
        <f>IF(AND(OR(LEFT(TH!L222,2)="15",LEFT(TH!M222,2)="15"),TK!$E$7=TH!F222),"x","")</f>
        <v/>
      </c>
      <c r="X222" s="22" t="str">
        <f>IF(OR(TH!L222=TH!$X$7,M222=TH!$X$7),"x","")</f>
        <v/>
      </c>
      <c r="Y222" s="22" t="str">
        <f>IF(AND(B222&lt;=NKC!$N$8,B222&gt;=NKC!$M$8),"x","")</f>
        <v>x</v>
      </c>
      <c r="Z222" s="580">
        <v>3</v>
      </c>
      <c r="AB222" s="130"/>
      <c r="AC222" s="130"/>
      <c r="AD222" s="130"/>
      <c r="AE222" s="130"/>
    </row>
    <row r="223" spans="1:31" s="406" customFormat="1" ht="15.75" customHeight="1">
      <c r="A223" s="123" t="str">
        <f>IF(B223&lt;&gt;"",IF(AND(B223&gt;=_TM1,B223&lt;=_TM2,OR(TH!L224="1111",TH!M224="1111")),TH!D224,""),"")</f>
        <v/>
      </c>
      <c r="B223" s="12">
        <f t="shared" si="9"/>
        <v>8</v>
      </c>
      <c r="C223" s="108">
        <f t="shared" si="10"/>
        <v>42607</v>
      </c>
      <c r="D223" s="108" t="s">
        <v>585</v>
      </c>
      <c r="E223" s="113">
        <v>42607</v>
      </c>
      <c r="F223" s="112" t="s">
        <v>653</v>
      </c>
      <c r="G223" s="303" t="s">
        <v>732</v>
      </c>
      <c r="H223" s="4" t="s">
        <v>371</v>
      </c>
      <c r="I223" s="139">
        <f>160+110*8</f>
        <v>1040</v>
      </c>
      <c r="J223" s="139">
        <v>15100</v>
      </c>
      <c r="K223" s="13">
        <f>ROUND(I223*J223,0)</f>
        <v>15704000</v>
      </c>
      <c r="L223" s="116" t="s">
        <v>252</v>
      </c>
      <c r="M223" s="411" t="s">
        <v>169</v>
      </c>
      <c r="N223" s="22" t="str">
        <f>IF(AND('331-CT'!$E$7=TH!H223,OR(L223="331",M223="331")),"331",IF(AND(OR(L223="131",M223="131"),H223='131-CT'!$E$7),"131",""))</f>
        <v/>
      </c>
      <c r="O223" s="22" t="str">
        <f>IF(AND($B223&gt;='111'!$N$11,$B223&lt;='111'!$O$11,OR($L223=$O$7,$M223=$O$7)),"x","")</f>
        <v/>
      </c>
      <c r="P223" s="22" t="str">
        <f>IF(AND($L223=$O$7,$B223&lt;'111'!$N$11),"x","")</f>
        <v/>
      </c>
      <c r="Q223" s="22" t="str">
        <f>IF(AND($M223=$O$7,$B223&lt;'111'!$N$11),"x","")</f>
        <v/>
      </c>
      <c r="R223" s="22" t="str">
        <f>IF(ISERROR(FIND('112'!$M$9,G223,1)),"",IF((AND(FIND('112'!$M$9,G223,1)&gt;=1,$B223&gt;='112'!$N$8,$B223&lt;='112'!$O$8,OR($L223='112'!$I$6,$M223='112'!$I$6))),"x",""))</f>
        <v/>
      </c>
      <c r="S223" s="22" t="str">
        <f>IF(ISERROR(FIND('112'!$M$9,G223,1)),"",IF((AND(LEFT(G223,2)=LEFT('112'!$M$9,2),B223&lt;'112'!$N$8,$L223='112'!$I$6)),"x",""))</f>
        <v/>
      </c>
      <c r="T223" s="22" t="str">
        <f>IF(ISERROR(FIND('112'!$M$9,G223,1)),"",IF((AND(RIGHT(G223,2)=RIGHT('112'!$M$9,2),B223&lt;'112'!$N$8,$M223='112'!$I$6)),"x",""))</f>
        <v/>
      </c>
      <c r="U223" s="22" t="str">
        <f>IF(AND(B223&gt;='IN-NX'!$P$3,B223&lt;='IN-NX'!$Q$3,'IN-NX'!$D$7=D223,OR(LEFT(L223,2)="15",AND(LEFT(M223,2)&lt;&gt;"15",LEFT(M223,2)&lt;&gt;"33"))),"x","")</f>
        <v/>
      </c>
      <c r="V223" s="22" t="str">
        <f>IF(AND(OR(LEFT(TH!L223,2)="15",LEFT(TH!M223,2)="15"),'152-CT'!$J$8=TH!F223),"x","")</f>
        <v/>
      </c>
      <c r="W223" s="22" t="str">
        <f>IF(AND(OR(LEFT(TH!L223,2)="15",LEFT(TH!M223,2)="15"),TK!$E$7=TH!F223),"x","")</f>
        <v/>
      </c>
      <c r="X223" s="22" t="str">
        <f>IF(OR(TH!L223=TH!$X$7,M223=TH!$X$7),"x","")</f>
        <v/>
      </c>
      <c r="Y223" s="22" t="str">
        <f>IF(AND(B223&lt;=NKC!$N$8,B223&gt;=NKC!$M$8),"x","")</f>
        <v>x</v>
      </c>
      <c r="Z223" s="580"/>
      <c r="AB223" s="130"/>
      <c r="AC223" s="130"/>
      <c r="AD223" s="130"/>
      <c r="AE223" s="130"/>
    </row>
    <row r="224" spans="1:31" s="406" customFormat="1" ht="15.75" customHeight="1">
      <c r="A224" s="123" t="str">
        <f>IF(B224&lt;&gt;"",IF(AND(B224&gt;=_TM1,B224&lt;=_TM2,OR(TH!L225="1111",TH!M225="1111")),TH!D225,""),"")</f>
        <v/>
      </c>
      <c r="B224" s="12">
        <f t="shared" si="9"/>
        <v>8</v>
      </c>
      <c r="C224" s="108">
        <f t="shared" si="10"/>
        <v>42607</v>
      </c>
      <c r="D224" s="108" t="s">
        <v>585</v>
      </c>
      <c r="E224" s="113">
        <v>42607</v>
      </c>
      <c r="F224" s="112" t="s">
        <v>496</v>
      </c>
      <c r="G224" s="303" t="s">
        <v>732</v>
      </c>
      <c r="H224" s="4" t="s">
        <v>371</v>
      </c>
      <c r="I224" s="139"/>
      <c r="J224" s="139"/>
      <c r="K224" s="13">
        <v>1570400</v>
      </c>
      <c r="L224" s="116" t="s">
        <v>252</v>
      </c>
      <c r="M224" s="411" t="s">
        <v>352</v>
      </c>
      <c r="N224" s="22" t="str">
        <f>IF(AND('331-CT'!$E$7=TH!H224,OR(L224="331",M224="331")),"331",IF(AND(OR(L224="131",M224="131"),H224='131-CT'!$E$7),"131",""))</f>
        <v/>
      </c>
      <c r="O224" s="22" t="str">
        <f>IF(AND($B224&gt;='111'!$N$11,$B224&lt;='111'!$O$11,OR($L224=$O$7,$M224=$O$7)),"x","")</f>
        <v/>
      </c>
      <c r="P224" s="22" t="str">
        <f>IF(AND($L224=$O$7,$B224&lt;'111'!$N$11),"x","")</f>
        <v/>
      </c>
      <c r="Q224" s="22" t="str">
        <f>IF(AND($M224=$O$7,$B224&lt;'111'!$N$11),"x","")</f>
        <v/>
      </c>
      <c r="R224" s="22" t="str">
        <f>IF(ISERROR(FIND('112'!$M$9,G224,1)),"",IF((AND(FIND('112'!$M$9,G224,1)&gt;=1,$B224&gt;='112'!$N$8,$B224&lt;='112'!$O$8,OR($L224='112'!$I$6,$M224='112'!$I$6))),"x",""))</f>
        <v/>
      </c>
      <c r="S224" s="22" t="str">
        <f>IF(ISERROR(FIND('112'!$M$9,G224,1)),"",IF((AND(LEFT(G224,2)=LEFT('112'!$M$9,2),B224&lt;'112'!$N$8,$L224='112'!$I$6)),"x",""))</f>
        <v/>
      </c>
      <c r="T224" s="22" t="str">
        <f>IF(ISERROR(FIND('112'!$M$9,G224,1)),"",IF((AND(RIGHT(G224,2)=RIGHT('112'!$M$9,2),B224&lt;'112'!$N$8,$M224='112'!$I$6)),"x",""))</f>
        <v/>
      </c>
      <c r="U224" s="22" t="str">
        <f>IF(AND(B224&gt;='IN-NX'!$P$3,B224&lt;='IN-NX'!$Q$3,'IN-NX'!$D$7=D224,OR(LEFT(L224,2)="15",AND(LEFT(M224,2)&lt;&gt;"15",LEFT(M224,2)&lt;&gt;"33"))),"x","")</f>
        <v/>
      </c>
      <c r="V224" s="22" t="str">
        <f>IF(AND(OR(LEFT(TH!L224,2)="15",LEFT(TH!M224,2)="15"),'152-CT'!$J$8=TH!F224),"x","")</f>
        <v/>
      </c>
      <c r="W224" s="22" t="str">
        <f>IF(AND(OR(LEFT(TH!L224,2)="15",LEFT(TH!M224,2)="15"),TK!$E$7=TH!F224),"x","")</f>
        <v/>
      </c>
      <c r="X224" s="22" t="str">
        <f>IF(OR(TH!L224=TH!$X$7,M224=TH!$X$7),"x","")</f>
        <v/>
      </c>
      <c r="Y224" s="22" t="str">
        <f>IF(AND(B224&lt;=NKC!$N$8,B224&gt;=NKC!$M$8),"x","")</f>
        <v>x</v>
      </c>
      <c r="Z224" s="580"/>
      <c r="AC224" s="130"/>
      <c r="AD224" s="130"/>
      <c r="AE224" s="130"/>
    </row>
    <row r="225" spans="1:31" s="406" customFormat="1" ht="15.75" customHeight="1">
      <c r="A225" s="123" t="str">
        <f>IF(B225&lt;&gt;"",IF(AND(B225&gt;=_TM1,B225&lt;=_TM2,OR(TH!L226="1111",TH!M226="1111")),TH!D226,""),"")</f>
        <v/>
      </c>
      <c r="B225" s="12">
        <f t="shared" si="9"/>
        <v>8</v>
      </c>
      <c r="C225" s="108">
        <f t="shared" si="10"/>
        <v>42607</v>
      </c>
      <c r="D225" s="108" t="s">
        <v>586</v>
      </c>
      <c r="E225" s="113">
        <v>42607</v>
      </c>
      <c r="F225" s="112" t="s">
        <v>653</v>
      </c>
      <c r="G225" s="303" t="s">
        <v>733</v>
      </c>
      <c r="H225" s="4" t="s">
        <v>371</v>
      </c>
      <c r="I225" s="139">
        <v>110</v>
      </c>
      <c r="J225" s="139">
        <v>15100</v>
      </c>
      <c r="K225" s="13">
        <f>ROUND(I225*J225,0)</f>
        <v>1661000</v>
      </c>
      <c r="L225" s="116" t="s">
        <v>252</v>
      </c>
      <c r="M225" s="411" t="s">
        <v>169</v>
      </c>
      <c r="N225" s="22" t="str">
        <f>IF(AND('331-CT'!$E$7=TH!H225,OR(L225="331",M225="331")),"331",IF(AND(OR(L225="131",M225="131"),H225='131-CT'!$E$7),"131",""))</f>
        <v/>
      </c>
      <c r="O225" s="22" t="str">
        <f>IF(AND($B225&gt;='111'!$N$11,$B225&lt;='111'!$O$11,OR($L225=$O$7,$M225=$O$7)),"x","")</f>
        <v/>
      </c>
      <c r="P225" s="22" t="str">
        <f>IF(AND($L225=$O$7,$B225&lt;'111'!$N$11),"x","")</f>
        <v/>
      </c>
      <c r="Q225" s="22" t="str">
        <f>IF(AND($M225=$O$7,$B225&lt;'111'!$N$11),"x","")</f>
        <v/>
      </c>
      <c r="R225" s="22" t="str">
        <f>IF(ISERROR(FIND('112'!$M$9,G225,1)),"",IF((AND(FIND('112'!$M$9,G225,1)&gt;=1,$B225&gt;='112'!$N$8,$B225&lt;='112'!$O$8,OR($L225='112'!$I$6,$M225='112'!$I$6))),"x",""))</f>
        <v/>
      </c>
      <c r="S225" s="22" t="str">
        <f>IF(ISERROR(FIND('112'!$M$9,G225,1)),"",IF((AND(LEFT(G225,2)=LEFT('112'!$M$9,2),B225&lt;'112'!$N$8,$L225='112'!$I$6)),"x",""))</f>
        <v/>
      </c>
      <c r="T225" s="22" t="str">
        <f>IF(ISERROR(FIND('112'!$M$9,G225,1)),"",IF((AND(RIGHT(G225,2)=RIGHT('112'!$M$9,2),B225&lt;'112'!$N$8,$M225='112'!$I$6)),"x",""))</f>
        <v/>
      </c>
      <c r="U225" s="22" t="str">
        <f>IF(AND(B225&gt;='IN-NX'!$P$3,B225&lt;='IN-NX'!$Q$3,'IN-NX'!$D$7=D225,OR(LEFT(L225,2)="15",AND(LEFT(M225,2)&lt;&gt;"15",LEFT(M225,2)&lt;&gt;"33"))),"x","")</f>
        <v/>
      </c>
      <c r="V225" s="22" t="str">
        <f>IF(AND(OR(LEFT(TH!L225,2)="15",LEFT(TH!M225,2)="15"),'152-CT'!$J$8=TH!F225),"x","")</f>
        <v/>
      </c>
      <c r="W225" s="22" t="str">
        <f>IF(AND(OR(LEFT(TH!L225,2)="15",LEFT(TH!M225,2)="15"),TK!$E$7=TH!F225),"x","")</f>
        <v/>
      </c>
      <c r="X225" s="22" t="str">
        <f>IF(OR(TH!L225=TH!$X$7,M225=TH!$X$7),"x","")</f>
        <v/>
      </c>
      <c r="Y225" s="22" t="str">
        <f>IF(AND(B225&lt;=NKC!$N$8,B225&gt;=NKC!$M$8),"x","")</f>
        <v>x</v>
      </c>
      <c r="Z225" s="580"/>
      <c r="AC225" s="130"/>
      <c r="AD225" s="130"/>
      <c r="AE225" s="130"/>
    </row>
    <row r="226" spans="1:31" s="406" customFormat="1" ht="15.75" customHeight="1">
      <c r="A226" s="123" t="str">
        <f>IF(B226&lt;&gt;"",IF(AND(B226&gt;=_TM1,B226&lt;=_TM2,OR(TH!L227="1111",TH!M227="1111")),TH!D227,""),"")</f>
        <v/>
      </c>
      <c r="B226" s="12">
        <f t="shared" si="9"/>
        <v>8</v>
      </c>
      <c r="C226" s="108">
        <f t="shared" si="10"/>
        <v>42607</v>
      </c>
      <c r="D226" s="108" t="s">
        <v>586</v>
      </c>
      <c r="E226" s="113">
        <v>42607</v>
      </c>
      <c r="F226" s="112" t="s">
        <v>496</v>
      </c>
      <c r="G226" s="303" t="s">
        <v>733</v>
      </c>
      <c r="H226" s="4" t="s">
        <v>371</v>
      </c>
      <c r="I226" s="139"/>
      <c r="J226" s="139"/>
      <c r="K226" s="13">
        <v>166100</v>
      </c>
      <c r="L226" s="116" t="s">
        <v>252</v>
      </c>
      <c r="M226" s="411" t="s">
        <v>352</v>
      </c>
      <c r="N226" s="22" t="str">
        <f>IF(AND('331-CT'!$E$7=TH!H226,OR(L226="331",M226="331")),"331",IF(AND(OR(L226="131",M226="131"),H226='131-CT'!$E$7),"131",""))</f>
        <v/>
      </c>
      <c r="O226" s="22" t="str">
        <f>IF(AND($B226&gt;='111'!$N$11,$B226&lt;='111'!$O$11,OR($L226=$O$7,$M226=$O$7)),"x","")</f>
        <v/>
      </c>
      <c r="P226" s="22" t="str">
        <f>IF(AND($L226=$O$7,$B226&lt;'111'!$N$11),"x","")</f>
        <v/>
      </c>
      <c r="Q226" s="22" t="str">
        <f>IF(AND($M226=$O$7,$B226&lt;'111'!$N$11),"x","")</f>
        <v/>
      </c>
      <c r="R226" s="22" t="str">
        <f>IF(ISERROR(FIND('112'!$M$9,G226,1)),"",IF((AND(FIND('112'!$M$9,G226,1)&gt;=1,$B226&gt;='112'!$N$8,$B226&lt;='112'!$O$8,OR($L226='112'!$I$6,$M226='112'!$I$6))),"x",""))</f>
        <v/>
      </c>
      <c r="S226" s="22" t="str">
        <f>IF(ISERROR(FIND('112'!$M$9,G226,1)),"",IF((AND(LEFT(G226,2)=LEFT('112'!$M$9,2),B226&lt;'112'!$N$8,$L226='112'!$I$6)),"x",""))</f>
        <v/>
      </c>
      <c r="T226" s="22" t="str">
        <f>IF(ISERROR(FIND('112'!$M$9,G226,1)),"",IF((AND(RIGHT(G226,2)=RIGHT('112'!$M$9,2),B226&lt;'112'!$N$8,$M226='112'!$I$6)),"x",""))</f>
        <v/>
      </c>
      <c r="U226" s="22" t="str">
        <f>IF(AND(B226&gt;='IN-NX'!$P$3,B226&lt;='IN-NX'!$Q$3,'IN-NX'!$D$7=D226,OR(LEFT(L226,2)="15",AND(LEFT(M226,2)&lt;&gt;"15",LEFT(M226,2)&lt;&gt;"33"))),"x","")</f>
        <v/>
      </c>
      <c r="V226" s="22" t="str">
        <f>IF(AND(OR(LEFT(TH!L226,2)="15",LEFT(TH!M226,2)="15"),'152-CT'!$J$8=TH!F226),"x","")</f>
        <v/>
      </c>
      <c r="W226" s="22" t="str">
        <f>IF(AND(OR(LEFT(TH!L226,2)="15",LEFT(TH!M226,2)="15"),TK!$E$7=TH!F226),"x","")</f>
        <v/>
      </c>
      <c r="X226" s="22" t="str">
        <f>IF(OR(TH!L226=TH!$X$7,M226=TH!$X$7),"x","")</f>
        <v/>
      </c>
      <c r="Y226" s="22" t="str">
        <f>IF(AND(B226&lt;=NKC!$N$8,B226&gt;=NKC!$M$8),"x","")</f>
        <v>x</v>
      </c>
      <c r="Z226" s="580"/>
      <c r="AC226" s="130"/>
      <c r="AD226" s="130"/>
      <c r="AE226" s="130"/>
    </row>
    <row r="227" spans="1:31" s="406" customFormat="1" ht="15.75" customHeight="1">
      <c r="A227" s="123" t="str">
        <f>IF(B227&lt;&gt;"",IF(AND(B227&gt;=_TM1,B227&lt;=_TM2,OR(TH!L228="1111",TH!M228="1111")),TH!D228,""),"")</f>
        <v/>
      </c>
      <c r="B227" s="12">
        <f t="shared" si="9"/>
        <v>8</v>
      </c>
      <c r="C227" s="108">
        <f t="shared" si="10"/>
        <v>42608</v>
      </c>
      <c r="D227" s="108" t="s">
        <v>1006</v>
      </c>
      <c r="E227" s="113">
        <v>42608</v>
      </c>
      <c r="F227" s="112" t="s">
        <v>485</v>
      </c>
      <c r="G227" s="303" t="s">
        <v>474</v>
      </c>
      <c r="H227" s="4" t="s">
        <v>475</v>
      </c>
      <c r="I227" s="139"/>
      <c r="J227" s="139"/>
      <c r="K227" s="410">
        <v>12600000</v>
      </c>
      <c r="L227" s="411" t="s">
        <v>46</v>
      </c>
      <c r="M227" s="411" t="s">
        <v>24</v>
      </c>
      <c r="N227" s="22" t="str">
        <f>IF(AND('331-CT'!$E$7=TH!H227,OR(L227="331",M227="331")),"331",IF(AND(OR(L227="131",M227="131"),H227='131-CT'!$E$7),"131",""))</f>
        <v/>
      </c>
      <c r="O227" s="22" t="str">
        <f>IF(AND($B227&gt;='111'!$N$11,$B227&lt;='111'!$O$11,OR($L227=$O$7,$M227=$O$7)),"x","")</f>
        <v/>
      </c>
      <c r="P227" s="22" t="str">
        <f>IF(AND($L227=$O$7,$B227&lt;'111'!$N$11),"x","")</f>
        <v>x</v>
      </c>
      <c r="Q227" s="22" t="str">
        <f>IF(AND($M227=$O$7,$B227&lt;'111'!$N$11),"x","")</f>
        <v/>
      </c>
      <c r="R227" s="22" t="str">
        <f>IF(ISERROR(FIND('112'!$M$9,G227,1)),"",IF((AND(FIND('112'!$M$9,G227,1)&gt;=1,$B227&gt;='112'!$N$8,$B227&lt;='112'!$O$8,OR($L227='112'!$I$6,$M227='112'!$I$6))),"x",""))</f>
        <v/>
      </c>
      <c r="S227" s="22" t="str">
        <f>IF(ISERROR(FIND('112'!$M$9,G227,1)),"",IF((AND(LEFT(G227,2)=LEFT('112'!$M$9,2),B227&lt;'112'!$N$8,$L227='112'!$I$6)),"x",""))</f>
        <v/>
      </c>
      <c r="T227" s="22" t="str">
        <f>IF(ISERROR(FIND('112'!$M$9,G227,1)),"",IF((AND(RIGHT(G227,2)=RIGHT('112'!$M$9,2),B227&lt;'112'!$N$8,$M227='112'!$I$6)),"x",""))</f>
        <v>x</v>
      </c>
      <c r="U227" s="22" t="str">
        <f>IF(AND(B227&gt;='IN-NX'!$P$3,B227&lt;='IN-NX'!$Q$3,'IN-NX'!$D$7=D227,OR(LEFT(L227,2)="15",AND(LEFT(M227,2)&lt;&gt;"15",LEFT(M227,2)&lt;&gt;"33"))),"x","")</f>
        <v/>
      </c>
      <c r="V227" s="22" t="str">
        <f>IF(AND(OR(LEFT(TH!L227,2)="15",LEFT(TH!M227,2)="15"),'152-CT'!$J$8=TH!F227),"x","")</f>
        <v/>
      </c>
      <c r="W227" s="22" t="str">
        <f>IF(AND(OR(LEFT(TH!L227,2)="15",LEFT(TH!M227,2)="15"),TK!$E$7=TH!F227),"x","")</f>
        <v/>
      </c>
      <c r="X227" s="22" t="str">
        <f>IF(OR(TH!L227=TH!$X$7,M227=TH!$X$7),"x","")</f>
        <v/>
      </c>
      <c r="Y227" s="22" t="str">
        <f>IF(AND(B227&lt;=NKC!$N$8,B227&gt;=NKC!$M$8),"x","")</f>
        <v>x</v>
      </c>
      <c r="Z227" s="580"/>
      <c r="AC227" s="130"/>
      <c r="AD227" s="130"/>
      <c r="AE227" s="130"/>
    </row>
    <row r="228" spans="1:31" s="406" customFormat="1" ht="15.75" customHeight="1">
      <c r="A228" s="123" t="str">
        <f>IF(B228&lt;&gt;"",IF(AND(B228&gt;=_TM1,B228&lt;=_TM2,OR(TH!L229="1111",TH!M229="1111")),TH!D229,""),"")</f>
        <v/>
      </c>
      <c r="B228" s="12">
        <f t="shared" si="9"/>
        <v>8</v>
      </c>
      <c r="C228" s="108">
        <f t="shared" si="10"/>
        <v>42608</v>
      </c>
      <c r="D228" s="108" t="s">
        <v>587</v>
      </c>
      <c r="E228" s="113">
        <v>42608</v>
      </c>
      <c r="F228" s="112" t="s">
        <v>534</v>
      </c>
      <c r="G228" s="303" t="s">
        <v>734</v>
      </c>
      <c r="H228" s="115" t="s">
        <v>621</v>
      </c>
      <c r="I228" s="139">
        <v>120</v>
      </c>
      <c r="J228" s="139">
        <v>19000</v>
      </c>
      <c r="K228" s="13">
        <f>ROUND(I228*J228,0)</f>
        <v>2280000</v>
      </c>
      <c r="L228" s="116" t="s">
        <v>252</v>
      </c>
      <c r="M228" s="411" t="s">
        <v>169</v>
      </c>
      <c r="N228" s="22" t="str">
        <f>IF(AND('331-CT'!$E$7=TH!H228,OR(L228="331",M228="331")),"331",IF(AND(OR(L228="131",M228="131"),H228='131-CT'!$E$7),"131",""))</f>
        <v/>
      </c>
      <c r="O228" s="22" t="str">
        <f>IF(AND($B228&gt;='111'!$N$11,$B228&lt;='111'!$O$11,OR($L228=$O$7,$M228=$O$7)),"x","")</f>
        <v/>
      </c>
      <c r="P228" s="22" t="str">
        <f>IF(AND($L228=$O$7,$B228&lt;'111'!$N$11),"x","")</f>
        <v/>
      </c>
      <c r="Q228" s="22" t="str">
        <f>IF(AND($M228=$O$7,$B228&lt;'111'!$N$11),"x","")</f>
        <v/>
      </c>
      <c r="R228" s="22" t="str">
        <f>IF(ISERROR(FIND('112'!$M$9,G228,1)),"",IF((AND(FIND('112'!$M$9,G228,1)&gt;=1,$B228&gt;='112'!$N$8,$B228&lt;='112'!$O$8,OR($L228='112'!$I$6,$M228='112'!$I$6))),"x",""))</f>
        <v/>
      </c>
      <c r="S228" s="22" t="str">
        <f>IF(ISERROR(FIND('112'!$M$9,G228,1)),"",IF((AND(LEFT(G228,2)=LEFT('112'!$M$9,2),B228&lt;'112'!$N$8,$L228='112'!$I$6)),"x",""))</f>
        <v/>
      </c>
      <c r="T228" s="22" t="str">
        <f>IF(ISERROR(FIND('112'!$M$9,G228,1)),"",IF((AND(RIGHT(G228,2)=RIGHT('112'!$M$9,2),B228&lt;'112'!$N$8,$M228='112'!$I$6)),"x",""))</f>
        <v/>
      </c>
      <c r="U228" s="22" t="str">
        <f>IF(AND(B228&gt;='IN-NX'!$P$3,B228&lt;='IN-NX'!$Q$3,'IN-NX'!$D$7=D228,OR(LEFT(L228,2)="15",AND(LEFT(M228,2)&lt;&gt;"15",LEFT(M228,2)&lt;&gt;"33"))),"x","")</f>
        <v/>
      </c>
      <c r="V228" s="22" t="str">
        <f>IF(AND(OR(LEFT(TH!L228,2)="15",LEFT(TH!M228,2)="15"),'152-CT'!$J$8=TH!F228),"x","")</f>
        <v/>
      </c>
      <c r="W228" s="22" t="str">
        <f>IF(AND(OR(LEFT(TH!L228,2)="15",LEFT(TH!M228,2)="15"),TK!$E$7=TH!F228),"x","")</f>
        <v/>
      </c>
      <c r="X228" s="22" t="str">
        <f>IF(OR(TH!L228=TH!$X$7,M228=TH!$X$7),"x","")</f>
        <v/>
      </c>
      <c r="Y228" s="22" t="str">
        <f>IF(AND(B228&lt;=NKC!$N$8,B228&gt;=NKC!$M$8),"x","")</f>
        <v>x</v>
      </c>
      <c r="Z228" s="580"/>
      <c r="AC228" s="130"/>
      <c r="AD228" s="130"/>
      <c r="AE228" s="130"/>
    </row>
    <row r="229" spans="1:31" s="406" customFormat="1" ht="15.75" customHeight="1">
      <c r="A229" s="123" t="str">
        <f>IF(B229&lt;&gt;"",IF(AND(B229&gt;=_TM1,B229&lt;=_TM2,OR(TH!L230="1111",TH!M230="1111")),TH!D230,""),"")</f>
        <v/>
      </c>
      <c r="B229" s="12">
        <f t="shared" si="9"/>
        <v>8</v>
      </c>
      <c r="C229" s="108">
        <f t="shared" si="10"/>
        <v>42608</v>
      </c>
      <c r="D229" s="108" t="s">
        <v>587</v>
      </c>
      <c r="E229" s="113">
        <v>42608</v>
      </c>
      <c r="F229" s="112" t="s">
        <v>535</v>
      </c>
      <c r="G229" s="303" t="s">
        <v>734</v>
      </c>
      <c r="H229" s="115" t="s">
        <v>621</v>
      </c>
      <c r="I229" s="139">
        <v>240</v>
      </c>
      <c r="J229" s="139">
        <v>1750</v>
      </c>
      <c r="K229" s="13">
        <f>ROUND(I229*J229,0)</f>
        <v>420000</v>
      </c>
      <c r="L229" s="116" t="s">
        <v>252</v>
      </c>
      <c r="M229" s="411" t="s">
        <v>169</v>
      </c>
      <c r="N229" s="22" t="str">
        <f>IF(AND('331-CT'!$E$7=TH!H229,OR(L229="331",M229="331")),"331",IF(AND(OR(L229="131",M229="131"),H229='131-CT'!$E$7),"131",""))</f>
        <v/>
      </c>
      <c r="O229" s="22" t="str">
        <f>IF(AND($B229&gt;='111'!$N$11,$B229&lt;='111'!$O$11,OR($L229=$O$7,$M229=$O$7)),"x","")</f>
        <v/>
      </c>
      <c r="P229" s="22" t="str">
        <f>IF(AND($L229=$O$7,$B229&lt;'111'!$N$11),"x","")</f>
        <v/>
      </c>
      <c r="Q229" s="22" t="str">
        <f>IF(AND($M229=$O$7,$B229&lt;'111'!$N$11),"x","")</f>
        <v/>
      </c>
      <c r="R229" s="22" t="str">
        <f>IF(ISERROR(FIND('112'!$M$9,G229,1)),"",IF((AND(FIND('112'!$M$9,G229,1)&gt;=1,$B229&gt;='112'!$N$8,$B229&lt;='112'!$O$8,OR($L229='112'!$I$6,$M229='112'!$I$6))),"x",""))</f>
        <v/>
      </c>
      <c r="S229" s="22" t="str">
        <f>IF(ISERROR(FIND('112'!$M$9,G229,1)),"",IF((AND(LEFT(G229,2)=LEFT('112'!$M$9,2),B229&lt;'112'!$N$8,$L229='112'!$I$6)),"x",""))</f>
        <v/>
      </c>
      <c r="T229" s="22" t="str">
        <f>IF(ISERROR(FIND('112'!$M$9,G229,1)),"",IF((AND(RIGHT(G229,2)=RIGHT('112'!$M$9,2),B229&lt;'112'!$N$8,$M229='112'!$I$6)),"x",""))</f>
        <v/>
      </c>
      <c r="U229" s="22" t="str">
        <f>IF(AND(B229&gt;='IN-NX'!$P$3,B229&lt;='IN-NX'!$Q$3,'IN-NX'!$D$7=D229,OR(LEFT(L229,2)="15",AND(LEFT(M229,2)&lt;&gt;"15",LEFT(M229,2)&lt;&gt;"33"))),"x","")</f>
        <v/>
      </c>
      <c r="V229" s="22" t="str">
        <f>IF(AND(OR(LEFT(TH!L229,2)="15",LEFT(TH!M229,2)="15"),'152-CT'!$J$8=TH!F229),"x","")</f>
        <v/>
      </c>
      <c r="W229" s="22" t="str">
        <f>IF(AND(OR(LEFT(TH!L229,2)="15",LEFT(TH!M229,2)="15"),TK!$E$7=TH!F229),"x","")</f>
        <v/>
      </c>
      <c r="X229" s="22" t="str">
        <f>IF(OR(TH!L229=TH!$X$7,M229=TH!$X$7),"x","")</f>
        <v/>
      </c>
      <c r="Y229" s="22" t="str">
        <f>IF(AND(B229&lt;=NKC!$N$8,B229&gt;=NKC!$M$8),"x","")</f>
        <v>x</v>
      </c>
      <c r="Z229" s="580"/>
      <c r="AC229" s="130"/>
      <c r="AD229" s="130"/>
      <c r="AE229" s="130"/>
    </row>
    <row r="230" spans="1:31" s="406" customFormat="1" ht="15.75" customHeight="1">
      <c r="A230" s="123" t="str">
        <f>IF(B230&lt;&gt;"",IF(AND(B230&gt;=_TM1,B230&lt;=_TM2,OR(TH!L231="1111",TH!M231="1111")),TH!D231,""),"")</f>
        <v/>
      </c>
      <c r="B230" s="12">
        <f t="shared" si="9"/>
        <v>8</v>
      </c>
      <c r="C230" s="108">
        <f t="shared" si="10"/>
        <v>42608</v>
      </c>
      <c r="D230" s="108" t="s">
        <v>587</v>
      </c>
      <c r="E230" s="113">
        <v>42608</v>
      </c>
      <c r="F230" s="112" t="s">
        <v>496</v>
      </c>
      <c r="G230" s="303" t="s">
        <v>734</v>
      </c>
      <c r="H230" s="115" t="s">
        <v>621</v>
      </c>
      <c r="I230" s="139"/>
      <c r="J230" s="139"/>
      <c r="K230" s="13">
        <v>270000</v>
      </c>
      <c r="L230" s="116" t="s">
        <v>252</v>
      </c>
      <c r="M230" s="411" t="s">
        <v>352</v>
      </c>
      <c r="N230" s="22" t="str">
        <f>IF(AND('331-CT'!$E$7=TH!H230,OR(L230="331",M230="331")),"331",IF(AND(OR(L230="131",M230="131"),H230='131-CT'!$E$7),"131",""))</f>
        <v/>
      </c>
      <c r="O230" s="22" t="str">
        <f>IF(AND($B230&gt;='111'!$N$11,$B230&lt;='111'!$O$11,OR($L230=$O$7,$M230=$O$7)),"x","")</f>
        <v/>
      </c>
      <c r="P230" s="22" t="str">
        <f>IF(AND($L230=$O$7,$B230&lt;'111'!$N$11),"x","")</f>
        <v/>
      </c>
      <c r="Q230" s="22" t="str">
        <f>IF(AND($M230=$O$7,$B230&lt;'111'!$N$11),"x","")</f>
        <v/>
      </c>
      <c r="R230" s="22" t="str">
        <f>IF(ISERROR(FIND('112'!$M$9,G230,1)),"",IF((AND(FIND('112'!$M$9,G230,1)&gt;=1,$B230&gt;='112'!$N$8,$B230&lt;='112'!$O$8,OR($L230='112'!$I$6,$M230='112'!$I$6))),"x",""))</f>
        <v/>
      </c>
      <c r="S230" s="22" t="str">
        <f>IF(ISERROR(FIND('112'!$M$9,G230,1)),"",IF((AND(LEFT(G230,2)=LEFT('112'!$M$9,2),B230&lt;'112'!$N$8,$L230='112'!$I$6)),"x",""))</f>
        <v/>
      </c>
      <c r="T230" s="22" t="str">
        <f>IF(ISERROR(FIND('112'!$M$9,G230,1)),"",IF((AND(RIGHT(G230,2)=RIGHT('112'!$M$9,2),B230&lt;'112'!$N$8,$M230='112'!$I$6)),"x",""))</f>
        <v/>
      </c>
      <c r="U230" s="22" t="str">
        <f>IF(AND(B230&gt;='IN-NX'!$P$3,B230&lt;='IN-NX'!$Q$3,'IN-NX'!$D$7=D230,OR(LEFT(L230,2)="15",AND(LEFT(M230,2)&lt;&gt;"15",LEFT(M230,2)&lt;&gt;"33"))),"x","")</f>
        <v/>
      </c>
      <c r="V230" s="22" t="str">
        <f>IF(AND(OR(LEFT(TH!L230,2)="15",LEFT(TH!M230,2)="15"),'152-CT'!$J$8=TH!F230),"x","")</f>
        <v/>
      </c>
      <c r="W230" s="22" t="str">
        <f>IF(AND(OR(LEFT(TH!L230,2)="15",LEFT(TH!M230,2)="15"),TK!$E$7=TH!F230),"x","")</f>
        <v/>
      </c>
      <c r="X230" s="22" t="str">
        <f>IF(OR(TH!L230=TH!$X$7,M230=TH!$X$7),"x","")</f>
        <v/>
      </c>
      <c r="Y230" s="22" t="str">
        <f>IF(AND(B230&lt;=NKC!$N$8,B230&gt;=NKC!$M$8),"x","")</f>
        <v>x</v>
      </c>
      <c r="Z230" s="580"/>
      <c r="AC230" s="130"/>
      <c r="AD230" s="130"/>
      <c r="AE230" s="130"/>
    </row>
    <row r="231" spans="1:31" s="406" customFormat="1" ht="15.75" customHeight="1">
      <c r="A231" s="123" t="str">
        <f>IF(B231&lt;&gt;"",IF(AND(B231&gt;=_TM1,B231&lt;=_TM2,OR(TH!L232="1111",TH!M232="1111")),TH!D232,""),"")</f>
        <v/>
      </c>
      <c r="B231" s="12">
        <f t="shared" si="9"/>
        <v>8</v>
      </c>
      <c r="C231" s="108">
        <f t="shared" si="10"/>
        <v>42608</v>
      </c>
      <c r="D231" s="108" t="s">
        <v>1011</v>
      </c>
      <c r="E231" s="113">
        <v>42608</v>
      </c>
      <c r="F231" s="114" t="s">
        <v>484</v>
      </c>
      <c r="G231" s="303" t="s">
        <v>734</v>
      </c>
      <c r="H231" s="115" t="s">
        <v>621</v>
      </c>
      <c r="I231" s="139"/>
      <c r="J231" s="139"/>
      <c r="K231" s="13">
        <v>2970000</v>
      </c>
      <c r="L231" s="116" t="s">
        <v>46</v>
      </c>
      <c r="M231" s="411" t="s">
        <v>252</v>
      </c>
      <c r="N231" s="22" t="str">
        <f>IF(AND('331-CT'!$E$7=TH!H231,OR(L231="331",M231="331")),"331",IF(AND(OR(L231="131",M231="131"),H231='131-CT'!$E$7),"131",""))</f>
        <v/>
      </c>
      <c r="O231" s="22" t="str">
        <f>IF(AND($B231&gt;='111'!$N$11,$B231&lt;='111'!$O$11,OR($L231=$O$7,$M231=$O$7)),"x","")</f>
        <v/>
      </c>
      <c r="P231" s="22" t="str">
        <f>IF(AND($L231=$O$7,$B231&lt;'111'!$N$11),"x","")</f>
        <v>x</v>
      </c>
      <c r="Q231" s="22" t="str">
        <f>IF(AND($M231=$O$7,$B231&lt;'111'!$N$11),"x","")</f>
        <v/>
      </c>
      <c r="R231" s="22" t="str">
        <f>IF(ISERROR(FIND('112'!$M$9,G231,1)),"",IF((AND(FIND('112'!$M$9,G231,1)&gt;=1,$B231&gt;='112'!$N$8,$B231&lt;='112'!$O$8,OR($L231='112'!$I$6,$M231='112'!$I$6))),"x",""))</f>
        <v/>
      </c>
      <c r="S231" s="22" t="str">
        <f>IF(ISERROR(FIND('112'!$M$9,G231,1)),"",IF((AND(LEFT(G231,2)=LEFT('112'!$M$9,2),B231&lt;'112'!$N$8,$L231='112'!$I$6)),"x",""))</f>
        <v/>
      </c>
      <c r="T231" s="22" t="str">
        <f>IF(ISERROR(FIND('112'!$M$9,G231,1)),"",IF((AND(RIGHT(G231,2)=RIGHT('112'!$M$9,2),B231&lt;'112'!$N$8,$M231='112'!$I$6)),"x",""))</f>
        <v/>
      </c>
      <c r="U231" s="22" t="str">
        <f>IF(AND(B231&gt;='IN-NX'!$P$3,B231&lt;='IN-NX'!$Q$3,'IN-NX'!$D$7=D231,OR(LEFT(L231,2)="15",AND(LEFT(M231,2)&lt;&gt;"15",LEFT(M231,2)&lt;&gt;"33"))),"x","")</f>
        <v/>
      </c>
      <c r="V231" s="22" t="str">
        <f>IF(AND(OR(LEFT(TH!L231,2)="15",LEFT(TH!M231,2)="15"),'152-CT'!$J$8=TH!F231),"x","")</f>
        <v/>
      </c>
      <c r="W231" s="22" t="str">
        <f>IF(AND(OR(LEFT(TH!L231,2)="15",LEFT(TH!M231,2)="15"),TK!$E$7=TH!F231),"x","")</f>
        <v/>
      </c>
      <c r="X231" s="22" t="str">
        <f>IF(OR(TH!L231=TH!$X$7,M231=TH!$X$7),"x","")</f>
        <v/>
      </c>
      <c r="Y231" s="22" t="str">
        <f>IF(AND(B231&lt;=NKC!$N$8,B231&gt;=NKC!$M$8),"x","")</f>
        <v>x</v>
      </c>
      <c r="Z231" s="580"/>
      <c r="AC231" s="130"/>
      <c r="AD231" s="130"/>
      <c r="AE231" s="130"/>
    </row>
    <row r="232" spans="1:31" s="406" customFormat="1" ht="15.75" customHeight="1">
      <c r="A232" s="123" t="str">
        <f>IF(B232&lt;&gt;"",IF(AND(B232&gt;=_TM1,B232&lt;=_TM2,OR(TH!L233="1111",TH!M233="1111")),TH!D233,""),"")</f>
        <v/>
      </c>
      <c r="B232" s="12">
        <f t="shared" si="9"/>
        <v>8</v>
      </c>
      <c r="C232" s="108">
        <f t="shared" si="10"/>
        <v>42608</v>
      </c>
      <c r="D232" s="108" t="s">
        <v>588</v>
      </c>
      <c r="E232" s="113">
        <v>42608</v>
      </c>
      <c r="F232" s="112" t="s">
        <v>515</v>
      </c>
      <c r="G232" s="303" t="s">
        <v>735</v>
      </c>
      <c r="H232" s="4" t="s">
        <v>366</v>
      </c>
      <c r="I232" s="139">
        <v>513</v>
      </c>
      <c r="J232" s="139">
        <v>10500</v>
      </c>
      <c r="K232" s="13">
        <f>ROUND(I232*J232,0)</f>
        <v>5386500</v>
      </c>
      <c r="L232" s="116" t="s">
        <v>252</v>
      </c>
      <c r="M232" s="411" t="s">
        <v>169</v>
      </c>
      <c r="N232" s="22" t="str">
        <f>IF(AND('331-CT'!$E$7=TH!H232,OR(L232="331",M232="331")),"331",IF(AND(OR(L232="131",M232="131"),H232='131-CT'!$E$7),"131",""))</f>
        <v/>
      </c>
      <c r="O232" s="22" t="str">
        <f>IF(AND($B232&gt;='111'!$N$11,$B232&lt;='111'!$O$11,OR($L232=$O$7,$M232=$O$7)),"x","")</f>
        <v/>
      </c>
      <c r="P232" s="22" t="str">
        <f>IF(AND($L232=$O$7,$B232&lt;'111'!$N$11),"x","")</f>
        <v/>
      </c>
      <c r="Q232" s="22" t="str">
        <f>IF(AND($M232=$O$7,$B232&lt;'111'!$N$11),"x","")</f>
        <v/>
      </c>
      <c r="R232" s="22" t="str">
        <f>IF(ISERROR(FIND('112'!$M$9,G232,1)),"",IF((AND(FIND('112'!$M$9,G232,1)&gt;=1,$B232&gt;='112'!$N$8,$B232&lt;='112'!$O$8,OR($L232='112'!$I$6,$M232='112'!$I$6))),"x",""))</f>
        <v/>
      </c>
      <c r="S232" s="22" t="str">
        <f>IF(ISERROR(FIND('112'!$M$9,G232,1)),"",IF((AND(LEFT(G232,2)=LEFT('112'!$M$9,2),B232&lt;'112'!$N$8,$L232='112'!$I$6)),"x",""))</f>
        <v/>
      </c>
      <c r="T232" s="22" t="str">
        <f>IF(ISERROR(FIND('112'!$M$9,G232,1)),"",IF((AND(RIGHT(G232,2)=RIGHT('112'!$M$9,2),B232&lt;'112'!$N$8,$M232='112'!$I$6)),"x",""))</f>
        <v/>
      </c>
      <c r="U232" s="22" t="str">
        <f>IF(AND(B232&gt;='IN-NX'!$P$3,B232&lt;='IN-NX'!$Q$3,'IN-NX'!$D$7=D232,OR(LEFT(L232,2)="15",AND(LEFT(M232,2)&lt;&gt;"15",LEFT(M232,2)&lt;&gt;"33"))),"x","")</f>
        <v/>
      </c>
      <c r="V232" s="22" t="str">
        <f>IF(AND(OR(LEFT(TH!L232,2)="15",LEFT(TH!M232,2)="15"),'152-CT'!$J$8=TH!F232),"x","")</f>
        <v/>
      </c>
      <c r="W232" s="22" t="str">
        <f>IF(AND(OR(LEFT(TH!L232,2)="15",LEFT(TH!M232,2)="15"),TK!$E$7=TH!F232),"x","")</f>
        <v/>
      </c>
      <c r="X232" s="22" t="str">
        <f>IF(OR(TH!L232=TH!$X$7,M232=TH!$X$7),"x","")</f>
        <v/>
      </c>
      <c r="Y232" s="22" t="str">
        <f>IF(AND(B232&lt;=NKC!$N$8,B232&gt;=NKC!$M$8),"x","")</f>
        <v>x</v>
      </c>
      <c r="Z232" s="580"/>
      <c r="AB232" s="130"/>
      <c r="AC232" s="130"/>
      <c r="AD232" s="130"/>
      <c r="AE232" s="130"/>
    </row>
    <row r="233" spans="1:31" s="406" customFormat="1" ht="15.75" customHeight="1">
      <c r="A233" s="123" t="str">
        <f>IF(B233&lt;&gt;"",IF(AND(B233&gt;=_TM1,B233&lt;=_TM2,OR(TH!L234="1111",TH!M234="1111")),TH!D234,""),"")</f>
        <v/>
      </c>
      <c r="B233" s="12">
        <f t="shared" si="9"/>
        <v>8</v>
      </c>
      <c r="C233" s="108">
        <f t="shared" si="10"/>
        <v>42608</v>
      </c>
      <c r="D233" s="108" t="s">
        <v>588</v>
      </c>
      <c r="E233" s="113">
        <v>42608</v>
      </c>
      <c r="F233" s="112" t="s">
        <v>496</v>
      </c>
      <c r="G233" s="303" t="s">
        <v>735</v>
      </c>
      <c r="H233" s="4" t="s">
        <v>366</v>
      </c>
      <c r="I233" s="139"/>
      <c r="J233" s="139"/>
      <c r="K233" s="13">
        <v>538650</v>
      </c>
      <c r="L233" s="116" t="s">
        <v>252</v>
      </c>
      <c r="M233" s="411" t="s">
        <v>352</v>
      </c>
      <c r="N233" s="22" t="str">
        <f>IF(AND('331-CT'!$E$7=TH!H233,OR(L233="331",M233="331")),"331",IF(AND(OR(L233="131",M233="131"),H233='131-CT'!$E$7),"131",""))</f>
        <v/>
      </c>
      <c r="O233" s="22" t="str">
        <f>IF(AND($B233&gt;='111'!$N$11,$B233&lt;='111'!$O$11,OR($L233=$O$7,$M233=$O$7)),"x","")</f>
        <v/>
      </c>
      <c r="P233" s="22" t="str">
        <f>IF(AND($L233=$O$7,$B233&lt;'111'!$N$11),"x","")</f>
        <v/>
      </c>
      <c r="Q233" s="22" t="str">
        <f>IF(AND($M233=$O$7,$B233&lt;'111'!$N$11),"x","")</f>
        <v/>
      </c>
      <c r="R233" s="22" t="str">
        <f>IF(ISERROR(FIND('112'!$M$9,G233,1)),"",IF((AND(FIND('112'!$M$9,G233,1)&gt;=1,$B233&gt;='112'!$N$8,$B233&lt;='112'!$O$8,OR($L233='112'!$I$6,$M233='112'!$I$6))),"x",""))</f>
        <v/>
      </c>
      <c r="S233" s="22" t="str">
        <f>IF(ISERROR(FIND('112'!$M$9,G233,1)),"",IF((AND(LEFT(G233,2)=LEFT('112'!$M$9,2),B233&lt;'112'!$N$8,$L233='112'!$I$6)),"x",""))</f>
        <v/>
      </c>
      <c r="T233" s="22" t="str">
        <f>IF(ISERROR(FIND('112'!$M$9,G233,1)),"",IF((AND(RIGHT(G233,2)=RIGHT('112'!$M$9,2),B233&lt;'112'!$N$8,$M233='112'!$I$6)),"x",""))</f>
        <v/>
      </c>
      <c r="U233" s="22" t="str">
        <f>IF(AND(B233&gt;='IN-NX'!$P$3,B233&lt;='IN-NX'!$Q$3,'IN-NX'!$D$7=D233,OR(LEFT(L233,2)="15",AND(LEFT(M233,2)&lt;&gt;"15",LEFT(M233,2)&lt;&gt;"33"))),"x","")</f>
        <v/>
      </c>
      <c r="V233" s="22" t="str">
        <f>IF(AND(OR(LEFT(TH!L233,2)="15",LEFT(TH!M233,2)="15"),'152-CT'!$J$8=TH!F233),"x","")</f>
        <v/>
      </c>
      <c r="W233" s="22" t="str">
        <f>IF(AND(OR(LEFT(TH!L233,2)="15",LEFT(TH!M233,2)="15"),TK!$E$7=TH!F233),"x","")</f>
        <v/>
      </c>
      <c r="X233" s="22" t="str">
        <f>IF(OR(TH!L233=TH!$X$7,M233=TH!$X$7),"x","")</f>
        <v/>
      </c>
      <c r="Y233" s="22" t="str">
        <f>IF(AND(B233&lt;=NKC!$N$8,B233&gt;=NKC!$M$8),"x","")</f>
        <v>x</v>
      </c>
      <c r="Z233" s="580"/>
      <c r="AC233" s="130"/>
      <c r="AD233" s="130"/>
      <c r="AE233" s="130"/>
    </row>
    <row r="234" spans="1:31" s="406" customFormat="1" ht="15.75" customHeight="1">
      <c r="A234" s="123" t="str">
        <f>IF(B234&lt;&gt;"",IF(AND(B234&gt;=_TM1,B234&lt;=_TM2,OR(TH!L235="1111",TH!M235="1111")),TH!D235,""),"")</f>
        <v/>
      </c>
      <c r="B234" s="12">
        <f t="shared" si="9"/>
        <v>8</v>
      </c>
      <c r="C234" s="108">
        <f t="shared" si="10"/>
        <v>42608</v>
      </c>
      <c r="D234" s="108" t="s">
        <v>589</v>
      </c>
      <c r="E234" s="113">
        <v>42608</v>
      </c>
      <c r="F234" s="112" t="s">
        <v>536</v>
      </c>
      <c r="G234" s="303" t="s">
        <v>736</v>
      </c>
      <c r="H234" s="4" t="s">
        <v>622</v>
      </c>
      <c r="I234" s="139">
        <v>1000</v>
      </c>
      <c r="J234" s="139">
        <v>7700</v>
      </c>
      <c r="K234" s="13">
        <f>ROUND(I234*J234,0)</f>
        <v>7700000</v>
      </c>
      <c r="L234" s="116" t="s">
        <v>252</v>
      </c>
      <c r="M234" s="411" t="s">
        <v>169</v>
      </c>
      <c r="N234" s="22" t="str">
        <f>IF(AND('331-CT'!$E$7=TH!H234,OR(L234="331",M234="331")),"331",IF(AND(OR(L234="131",M234="131"),H234='131-CT'!$E$7),"131",""))</f>
        <v/>
      </c>
      <c r="O234" s="22" t="str">
        <f>IF(AND($B234&gt;='111'!$N$11,$B234&lt;='111'!$O$11,OR($L234=$O$7,$M234=$O$7)),"x","")</f>
        <v/>
      </c>
      <c r="P234" s="22" t="str">
        <f>IF(AND($L234=$O$7,$B234&lt;'111'!$N$11),"x","")</f>
        <v/>
      </c>
      <c r="Q234" s="22" t="str">
        <f>IF(AND($M234=$O$7,$B234&lt;'111'!$N$11),"x","")</f>
        <v/>
      </c>
      <c r="R234" s="22" t="str">
        <f>IF(ISERROR(FIND('112'!$M$9,G234,1)),"",IF((AND(FIND('112'!$M$9,G234,1)&gt;=1,$B234&gt;='112'!$N$8,$B234&lt;='112'!$O$8,OR($L234='112'!$I$6,$M234='112'!$I$6))),"x",""))</f>
        <v/>
      </c>
      <c r="S234" s="22" t="str">
        <f>IF(ISERROR(FIND('112'!$M$9,G234,1)),"",IF((AND(LEFT(G234,2)=LEFT('112'!$M$9,2),B234&lt;'112'!$N$8,$L234='112'!$I$6)),"x",""))</f>
        <v/>
      </c>
      <c r="T234" s="22" t="str">
        <f>IF(ISERROR(FIND('112'!$M$9,G234,1)),"",IF((AND(RIGHT(G234,2)=RIGHT('112'!$M$9,2),B234&lt;'112'!$N$8,$M234='112'!$I$6)),"x",""))</f>
        <v/>
      </c>
      <c r="U234" s="22" t="str">
        <f>IF(AND(B234&gt;='IN-NX'!$P$3,B234&lt;='IN-NX'!$Q$3,'IN-NX'!$D$7=D234,OR(LEFT(L234,2)="15",AND(LEFT(M234,2)&lt;&gt;"15",LEFT(M234,2)&lt;&gt;"33"))),"x","")</f>
        <v/>
      </c>
      <c r="V234" s="22" t="str">
        <f>IF(AND(OR(LEFT(TH!L234,2)="15",LEFT(TH!M234,2)="15"),'152-CT'!$J$8=TH!F234),"x","")</f>
        <v/>
      </c>
      <c r="W234" s="22" t="str">
        <f>IF(AND(OR(LEFT(TH!L234,2)="15",LEFT(TH!M234,2)="15"),TK!$E$7=TH!F234),"x","")</f>
        <v/>
      </c>
      <c r="X234" s="22" t="str">
        <f>IF(OR(TH!L234=TH!$X$7,M234=TH!$X$7),"x","")</f>
        <v/>
      </c>
      <c r="Y234" s="22" t="str">
        <f>IF(AND(B234&lt;=NKC!$N$8,B234&gt;=NKC!$M$8),"x","")</f>
        <v>x</v>
      </c>
      <c r="Z234" s="580"/>
      <c r="AB234" s="130"/>
      <c r="AC234" s="130"/>
      <c r="AD234" s="130"/>
      <c r="AE234" s="130"/>
    </row>
    <row r="235" spans="1:31" s="406" customFormat="1" ht="15.75" customHeight="1">
      <c r="A235" s="123" t="str">
        <f>IF(B235&lt;&gt;"",IF(AND(B235&gt;=_TM1,B235&lt;=_TM2,OR(TH!L236="1111",TH!M236="1111")),TH!D236,""),"")</f>
        <v/>
      </c>
      <c r="B235" s="12">
        <f t="shared" si="9"/>
        <v>8</v>
      </c>
      <c r="C235" s="108">
        <f t="shared" si="10"/>
        <v>42608</v>
      </c>
      <c r="D235" s="108" t="s">
        <v>589</v>
      </c>
      <c r="E235" s="113">
        <v>42608</v>
      </c>
      <c r="F235" s="112" t="s">
        <v>537</v>
      </c>
      <c r="G235" s="303" t="s">
        <v>736</v>
      </c>
      <c r="H235" s="4" t="s">
        <v>622</v>
      </c>
      <c r="I235" s="139">
        <v>970</v>
      </c>
      <c r="J235" s="139">
        <v>6400</v>
      </c>
      <c r="K235" s="13">
        <f>ROUND(I235*J235,0)</f>
        <v>6208000</v>
      </c>
      <c r="L235" s="116" t="s">
        <v>252</v>
      </c>
      <c r="M235" s="411" t="s">
        <v>169</v>
      </c>
      <c r="N235" s="22" t="str">
        <f>IF(AND('331-CT'!$E$7=TH!H235,OR(L235="331",M235="331")),"331",IF(AND(OR(L235="131",M235="131"),H235='131-CT'!$E$7),"131",""))</f>
        <v/>
      </c>
      <c r="O235" s="22" t="str">
        <f>IF(AND($B235&gt;='111'!$N$11,$B235&lt;='111'!$O$11,OR($L235=$O$7,$M235=$O$7)),"x","")</f>
        <v/>
      </c>
      <c r="P235" s="22" t="str">
        <f>IF(AND($L235=$O$7,$B235&lt;'111'!$N$11),"x","")</f>
        <v/>
      </c>
      <c r="Q235" s="22" t="str">
        <f>IF(AND($M235=$O$7,$B235&lt;'111'!$N$11),"x","")</f>
        <v/>
      </c>
      <c r="R235" s="22" t="str">
        <f>IF(ISERROR(FIND('112'!$M$9,G235,1)),"",IF((AND(FIND('112'!$M$9,G235,1)&gt;=1,$B235&gt;='112'!$N$8,$B235&lt;='112'!$O$8,OR($L235='112'!$I$6,$M235='112'!$I$6))),"x",""))</f>
        <v/>
      </c>
      <c r="S235" s="22" t="str">
        <f>IF(ISERROR(FIND('112'!$M$9,G235,1)),"",IF((AND(LEFT(G235,2)=LEFT('112'!$M$9,2),B235&lt;'112'!$N$8,$L235='112'!$I$6)),"x",""))</f>
        <v/>
      </c>
      <c r="T235" s="22" t="str">
        <f>IF(ISERROR(FIND('112'!$M$9,G235,1)),"",IF((AND(RIGHT(G235,2)=RIGHT('112'!$M$9,2),B235&lt;'112'!$N$8,$M235='112'!$I$6)),"x",""))</f>
        <v/>
      </c>
      <c r="U235" s="22" t="str">
        <f>IF(AND(B235&gt;='IN-NX'!$P$3,B235&lt;='IN-NX'!$Q$3,'IN-NX'!$D$7=D235,OR(LEFT(L235,2)="15",AND(LEFT(M235,2)&lt;&gt;"15",LEFT(M235,2)&lt;&gt;"33"))),"x","")</f>
        <v/>
      </c>
      <c r="V235" s="22" t="str">
        <f>IF(AND(OR(LEFT(TH!L235,2)="15",LEFT(TH!M235,2)="15"),'152-CT'!$J$8=TH!F235),"x","")</f>
        <v/>
      </c>
      <c r="W235" s="22" t="str">
        <f>IF(AND(OR(LEFT(TH!L235,2)="15",LEFT(TH!M235,2)="15"),TK!$E$7=TH!F235),"x","")</f>
        <v/>
      </c>
      <c r="X235" s="22" t="str">
        <f>IF(OR(TH!L235=TH!$X$7,M235=TH!$X$7),"x","")</f>
        <v/>
      </c>
      <c r="Y235" s="22" t="str">
        <f>IF(AND(B235&lt;=NKC!$N$8,B235&gt;=NKC!$M$8),"x","")</f>
        <v>x</v>
      </c>
      <c r="Z235" s="580"/>
      <c r="AC235" s="130"/>
      <c r="AD235" s="130"/>
      <c r="AE235" s="130"/>
    </row>
    <row r="236" spans="1:31" s="406" customFormat="1" ht="15.75" customHeight="1">
      <c r="A236" s="123" t="str">
        <f>IF(B236&lt;&gt;"",IF(AND(B236&gt;=_TM1,B236&lt;=_TM2,OR(TH!L237="1111",TH!M237="1111")),TH!D237,""),"")</f>
        <v/>
      </c>
      <c r="B236" s="12">
        <f t="shared" si="9"/>
        <v>8</v>
      </c>
      <c r="C236" s="108">
        <f t="shared" si="10"/>
        <v>42608</v>
      </c>
      <c r="D236" s="108" t="s">
        <v>589</v>
      </c>
      <c r="E236" s="113">
        <v>42608</v>
      </c>
      <c r="F236" s="112" t="s">
        <v>496</v>
      </c>
      <c r="G236" s="303" t="s">
        <v>736</v>
      </c>
      <c r="H236" s="4" t="s">
        <v>622</v>
      </c>
      <c r="I236" s="139"/>
      <c r="J236" s="139"/>
      <c r="K236" s="13">
        <v>1390800</v>
      </c>
      <c r="L236" s="116" t="s">
        <v>252</v>
      </c>
      <c r="M236" s="411" t="s">
        <v>352</v>
      </c>
      <c r="N236" s="22" t="str">
        <f>IF(AND('331-CT'!$E$7=TH!H236,OR(L236="331",M236="331")),"331",IF(AND(OR(L236="131",M236="131"),H236='131-CT'!$E$7),"131",""))</f>
        <v/>
      </c>
      <c r="O236" s="22" t="str">
        <f>IF(AND($B236&gt;='111'!$N$11,$B236&lt;='111'!$O$11,OR($L236=$O$7,$M236=$O$7)),"x","")</f>
        <v/>
      </c>
      <c r="P236" s="22" t="str">
        <f>IF(AND($L236=$O$7,$B236&lt;'111'!$N$11),"x","")</f>
        <v/>
      </c>
      <c r="Q236" s="22" t="str">
        <f>IF(AND($M236=$O$7,$B236&lt;'111'!$N$11),"x","")</f>
        <v/>
      </c>
      <c r="R236" s="22" t="str">
        <f>IF(ISERROR(FIND('112'!$M$9,G236,1)),"",IF((AND(FIND('112'!$M$9,G236,1)&gt;=1,$B236&gt;='112'!$N$8,$B236&lt;='112'!$O$8,OR($L236='112'!$I$6,$M236='112'!$I$6))),"x",""))</f>
        <v/>
      </c>
      <c r="S236" s="22" t="str">
        <f>IF(ISERROR(FIND('112'!$M$9,G236,1)),"",IF((AND(LEFT(G236,2)=LEFT('112'!$M$9,2),B236&lt;'112'!$N$8,$L236='112'!$I$6)),"x",""))</f>
        <v/>
      </c>
      <c r="T236" s="22" t="str">
        <f>IF(ISERROR(FIND('112'!$M$9,G236,1)),"",IF((AND(RIGHT(G236,2)=RIGHT('112'!$M$9,2),B236&lt;'112'!$N$8,$M236='112'!$I$6)),"x",""))</f>
        <v/>
      </c>
      <c r="U236" s="22" t="str">
        <f>IF(AND(B236&gt;='IN-NX'!$P$3,B236&lt;='IN-NX'!$Q$3,'IN-NX'!$D$7=D236,OR(LEFT(L236,2)="15",AND(LEFT(M236,2)&lt;&gt;"15",LEFT(M236,2)&lt;&gt;"33"))),"x","")</f>
        <v/>
      </c>
      <c r="V236" s="22" t="str">
        <f>IF(AND(OR(LEFT(TH!L236,2)="15",LEFT(TH!M236,2)="15"),'152-CT'!$J$8=TH!F236),"x","")</f>
        <v/>
      </c>
      <c r="W236" s="22" t="str">
        <f>IF(AND(OR(LEFT(TH!L236,2)="15",LEFT(TH!M236,2)="15"),TK!$E$7=TH!F236),"x","")</f>
        <v/>
      </c>
      <c r="X236" s="22" t="str">
        <f>IF(OR(TH!L236=TH!$X$7,M236=TH!$X$7),"x","")</f>
        <v/>
      </c>
      <c r="Y236" s="22" t="str">
        <f>IF(AND(B236&lt;=NKC!$N$8,B236&gt;=NKC!$M$8),"x","")</f>
        <v>x</v>
      </c>
      <c r="Z236" s="580"/>
      <c r="AB236" s="130"/>
      <c r="AC236" s="130"/>
      <c r="AD236" s="130"/>
      <c r="AE236" s="130"/>
    </row>
    <row r="237" spans="1:31" s="406" customFormat="1" ht="15.75" customHeight="1">
      <c r="A237" s="123" t="str">
        <f>IF(B237&lt;&gt;"",IF(AND(B237&gt;=_TM1,B237&lt;=_TM2,OR(TH!L238="1111",TH!M238="1111")),TH!D238,""),"")</f>
        <v/>
      </c>
      <c r="B237" s="12">
        <f t="shared" si="9"/>
        <v>8</v>
      </c>
      <c r="C237" s="108">
        <f t="shared" si="10"/>
        <v>42608</v>
      </c>
      <c r="D237" s="108" t="s">
        <v>1012</v>
      </c>
      <c r="E237" s="113">
        <v>42608</v>
      </c>
      <c r="F237" s="114" t="s">
        <v>484</v>
      </c>
      <c r="G237" s="303" t="s">
        <v>736</v>
      </c>
      <c r="H237" s="4" t="s">
        <v>622</v>
      </c>
      <c r="I237" s="139"/>
      <c r="J237" s="139"/>
      <c r="K237" s="13">
        <v>15298800</v>
      </c>
      <c r="L237" s="116" t="s">
        <v>46</v>
      </c>
      <c r="M237" s="411" t="s">
        <v>252</v>
      </c>
      <c r="N237" s="22" t="str">
        <f>IF(AND('331-CT'!$E$7=TH!H237,OR(L237="331",M237="331")),"331",IF(AND(OR(L237="131",M237="131"),H237='131-CT'!$E$7),"131",""))</f>
        <v/>
      </c>
      <c r="O237" s="22" t="str">
        <f>IF(AND($B237&gt;='111'!$N$11,$B237&lt;='111'!$O$11,OR($L237=$O$7,$M237=$O$7)),"x","")</f>
        <v/>
      </c>
      <c r="P237" s="22" t="str">
        <f>IF(AND($L237=$O$7,$B237&lt;'111'!$N$11),"x","")</f>
        <v>x</v>
      </c>
      <c r="Q237" s="22" t="str">
        <f>IF(AND($M237=$O$7,$B237&lt;'111'!$N$11),"x","")</f>
        <v/>
      </c>
      <c r="R237" s="22" t="str">
        <f>IF(ISERROR(FIND('112'!$M$9,G237,1)),"",IF((AND(FIND('112'!$M$9,G237,1)&gt;=1,$B237&gt;='112'!$N$8,$B237&lt;='112'!$O$8,OR($L237='112'!$I$6,$M237='112'!$I$6))),"x",""))</f>
        <v/>
      </c>
      <c r="S237" s="22" t="str">
        <f>IF(ISERROR(FIND('112'!$M$9,G237,1)),"",IF((AND(LEFT(G237,2)=LEFT('112'!$M$9,2),B237&lt;'112'!$N$8,$L237='112'!$I$6)),"x",""))</f>
        <v/>
      </c>
      <c r="T237" s="22" t="str">
        <f>IF(ISERROR(FIND('112'!$M$9,G237,1)),"",IF((AND(RIGHT(G237,2)=RIGHT('112'!$M$9,2),B237&lt;'112'!$N$8,$M237='112'!$I$6)),"x",""))</f>
        <v/>
      </c>
      <c r="U237" s="22" t="str">
        <f>IF(AND(B237&gt;='IN-NX'!$P$3,B237&lt;='IN-NX'!$Q$3,'IN-NX'!$D$7=D237,OR(LEFT(L237,2)="15",AND(LEFT(M237,2)&lt;&gt;"15",LEFT(M237,2)&lt;&gt;"33"))),"x","")</f>
        <v/>
      </c>
      <c r="V237" s="22" t="str">
        <f>IF(AND(OR(LEFT(TH!L237,2)="15",LEFT(TH!M237,2)="15"),'152-CT'!$J$8=TH!F237),"x","")</f>
        <v/>
      </c>
      <c r="W237" s="22" t="str">
        <f>IF(AND(OR(LEFT(TH!L237,2)="15",LEFT(TH!M237,2)="15"),TK!$E$7=TH!F237),"x","")</f>
        <v/>
      </c>
      <c r="X237" s="22" t="str">
        <f>IF(OR(TH!L237=TH!$X$7,M237=TH!$X$7),"x","")</f>
        <v/>
      </c>
      <c r="Y237" s="22" t="str">
        <f>IF(AND(B237&lt;=NKC!$N$8,B237&gt;=NKC!$M$8),"x","")</f>
        <v>x</v>
      </c>
      <c r="Z237" s="580"/>
      <c r="AB237" s="130"/>
      <c r="AC237" s="130"/>
      <c r="AD237" s="130"/>
      <c r="AE237" s="130"/>
    </row>
    <row r="238" spans="1:31" s="406" customFormat="1" ht="15.75" customHeight="1">
      <c r="A238" s="123" t="str">
        <f>IF(B238&lt;&gt;"",IF(AND(B238&gt;=_TM1,B238&lt;=_TM2,OR(TH!L239="1111",TH!M239="1111")),TH!D239,""),"")</f>
        <v/>
      </c>
      <c r="B238" s="12">
        <f t="shared" si="9"/>
        <v>8</v>
      </c>
      <c r="C238" s="108">
        <f t="shared" si="10"/>
        <v>42609</v>
      </c>
      <c r="D238" s="108" t="s">
        <v>590</v>
      </c>
      <c r="E238" s="113">
        <v>42609</v>
      </c>
      <c r="F238" s="112" t="s">
        <v>538</v>
      </c>
      <c r="G238" s="303" t="s">
        <v>737</v>
      </c>
      <c r="H238" s="4" t="s">
        <v>618</v>
      </c>
      <c r="I238" s="139">
        <v>203</v>
      </c>
      <c r="J238" s="139">
        <v>6400</v>
      </c>
      <c r="K238" s="13">
        <f>ROUND(I238*J238,0)</f>
        <v>1299200</v>
      </c>
      <c r="L238" s="116" t="s">
        <v>252</v>
      </c>
      <c r="M238" s="411" t="s">
        <v>169</v>
      </c>
      <c r="N238" s="22" t="str">
        <f>IF(AND('331-CT'!$E$7=TH!H238,OR(L238="331",M238="331")),"331",IF(AND(OR(L238="131",M238="131"),H238='131-CT'!$E$7),"131",""))</f>
        <v/>
      </c>
      <c r="O238" s="22" t="str">
        <f>IF(AND($B238&gt;='111'!$N$11,$B238&lt;='111'!$O$11,OR($L238=$O$7,$M238=$O$7)),"x","")</f>
        <v/>
      </c>
      <c r="P238" s="22" t="str">
        <f>IF(AND($L238=$O$7,$B238&lt;'111'!$N$11),"x","")</f>
        <v/>
      </c>
      <c r="Q238" s="22" t="str">
        <f>IF(AND($M238=$O$7,$B238&lt;'111'!$N$11),"x","")</f>
        <v/>
      </c>
      <c r="R238" s="22" t="str">
        <f>IF(ISERROR(FIND('112'!$M$9,G238,1)),"",IF((AND(FIND('112'!$M$9,G238,1)&gt;=1,$B238&gt;='112'!$N$8,$B238&lt;='112'!$O$8,OR($L238='112'!$I$6,$M238='112'!$I$6))),"x",""))</f>
        <v/>
      </c>
      <c r="S238" s="22" t="str">
        <f>IF(ISERROR(FIND('112'!$M$9,G238,1)),"",IF((AND(LEFT(G238,2)=LEFT('112'!$M$9,2),B238&lt;'112'!$N$8,$L238='112'!$I$6)),"x",""))</f>
        <v/>
      </c>
      <c r="T238" s="22" t="str">
        <f>IF(ISERROR(FIND('112'!$M$9,G238,1)),"",IF((AND(RIGHT(G238,2)=RIGHT('112'!$M$9,2),B238&lt;'112'!$N$8,$M238='112'!$I$6)),"x",""))</f>
        <v/>
      </c>
      <c r="U238" s="22" t="str">
        <f>IF(AND(B238&gt;='IN-NX'!$P$3,B238&lt;='IN-NX'!$Q$3,'IN-NX'!$D$7=D238,OR(LEFT(L238,2)="15",AND(LEFT(M238,2)&lt;&gt;"15",LEFT(M238,2)&lt;&gt;"33"))),"x","")</f>
        <v/>
      </c>
      <c r="V238" s="22" t="str">
        <f>IF(AND(OR(LEFT(TH!L238,2)="15",LEFT(TH!M238,2)="15"),'152-CT'!$J$8=TH!F238),"x","")</f>
        <v/>
      </c>
      <c r="W238" s="22" t="str">
        <f>IF(AND(OR(LEFT(TH!L238,2)="15",LEFT(TH!M238,2)="15"),TK!$E$7=TH!F238),"x","")</f>
        <v/>
      </c>
      <c r="X238" s="22" t="str">
        <f>IF(OR(TH!L238=TH!$X$7,M238=TH!$X$7),"x","")</f>
        <v/>
      </c>
      <c r="Y238" s="22" t="str">
        <f>IF(AND(B238&lt;=NKC!$N$8,B238&gt;=NKC!$M$8),"x","")</f>
        <v>x</v>
      </c>
      <c r="Z238" s="580"/>
      <c r="AC238" s="130"/>
      <c r="AD238" s="130"/>
      <c r="AE238" s="130"/>
    </row>
    <row r="239" spans="1:31" s="406" customFormat="1" ht="15.75" customHeight="1">
      <c r="A239" s="123" t="str">
        <f>IF(B239&lt;&gt;"",IF(AND(B239&gt;=_TM1,B239&lt;=_TM2,OR(TH!L240="1111",TH!M240="1111")),TH!D240,""),"")</f>
        <v/>
      </c>
      <c r="B239" s="12">
        <f t="shared" si="9"/>
        <v>8</v>
      </c>
      <c r="C239" s="108">
        <f t="shared" si="10"/>
        <v>42609</v>
      </c>
      <c r="D239" s="108" t="s">
        <v>590</v>
      </c>
      <c r="E239" s="113">
        <v>42609</v>
      </c>
      <c r="F239" s="112" t="s">
        <v>496</v>
      </c>
      <c r="G239" s="303" t="s">
        <v>737</v>
      </c>
      <c r="H239" s="4" t="s">
        <v>618</v>
      </c>
      <c r="I239" s="139"/>
      <c r="J239" s="139"/>
      <c r="K239" s="13">
        <v>129920</v>
      </c>
      <c r="L239" s="116" t="s">
        <v>252</v>
      </c>
      <c r="M239" s="411" t="s">
        <v>352</v>
      </c>
      <c r="N239" s="22" t="str">
        <f>IF(AND('331-CT'!$E$7=TH!H239,OR(L239="331",M239="331")),"331",IF(AND(OR(L239="131",M239="131"),H239='131-CT'!$E$7),"131",""))</f>
        <v/>
      </c>
      <c r="O239" s="22" t="str">
        <f>IF(AND($B239&gt;='111'!$N$11,$B239&lt;='111'!$O$11,OR($L239=$O$7,$M239=$O$7)),"x","")</f>
        <v/>
      </c>
      <c r="P239" s="22" t="str">
        <f>IF(AND($L239=$O$7,$B239&lt;'111'!$N$11),"x","")</f>
        <v/>
      </c>
      <c r="Q239" s="22" t="str">
        <f>IF(AND($M239=$O$7,$B239&lt;'111'!$N$11),"x","")</f>
        <v/>
      </c>
      <c r="R239" s="22" t="str">
        <f>IF(ISERROR(FIND('112'!$M$9,G239,1)),"",IF((AND(FIND('112'!$M$9,G239,1)&gt;=1,$B239&gt;='112'!$N$8,$B239&lt;='112'!$O$8,OR($L239='112'!$I$6,$M239='112'!$I$6))),"x",""))</f>
        <v/>
      </c>
      <c r="S239" s="22" t="str">
        <f>IF(ISERROR(FIND('112'!$M$9,G239,1)),"",IF((AND(LEFT(G239,2)=LEFT('112'!$M$9,2),B239&lt;'112'!$N$8,$L239='112'!$I$6)),"x",""))</f>
        <v/>
      </c>
      <c r="T239" s="22" t="str">
        <f>IF(ISERROR(FIND('112'!$M$9,G239,1)),"",IF((AND(RIGHT(G239,2)=RIGHT('112'!$M$9,2),B239&lt;'112'!$N$8,$M239='112'!$I$6)),"x",""))</f>
        <v/>
      </c>
      <c r="U239" s="22" t="str">
        <f>IF(AND(B239&gt;='IN-NX'!$P$3,B239&lt;='IN-NX'!$Q$3,'IN-NX'!$D$7=D239,OR(LEFT(L239,2)="15",AND(LEFT(M239,2)&lt;&gt;"15",LEFT(M239,2)&lt;&gt;"33"))),"x","")</f>
        <v/>
      </c>
      <c r="V239" s="22" t="str">
        <f>IF(AND(OR(LEFT(TH!L239,2)="15",LEFT(TH!M239,2)="15"),'152-CT'!$J$8=TH!F239),"x","")</f>
        <v/>
      </c>
      <c r="W239" s="22" t="str">
        <f>IF(AND(OR(LEFT(TH!L239,2)="15",LEFT(TH!M239,2)="15"),TK!$E$7=TH!F239),"x","")</f>
        <v/>
      </c>
      <c r="X239" s="22" t="str">
        <f>IF(OR(TH!L239=TH!$X$7,M239=TH!$X$7),"x","")</f>
        <v/>
      </c>
      <c r="Y239" s="22" t="str">
        <f>IF(AND(B239&lt;=NKC!$N$8,B239&gt;=NKC!$M$8),"x","")</f>
        <v>x</v>
      </c>
      <c r="Z239" s="580"/>
      <c r="AC239" s="130"/>
      <c r="AD239" s="130"/>
      <c r="AE239" s="130"/>
    </row>
    <row r="240" spans="1:31" s="406" customFormat="1" ht="15.75" customHeight="1">
      <c r="A240" s="123" t="str">
        <f>IF(B240&lt;&gt;"",IF(AND(B240&gt;=_TM1,B240&lt;=_TM2,OR(TH!L241="1111",TH!M241="1111")),TH!D241,""),"")</f>
        <v/>
      </c>
      <c r="B240" s="12">
        <f t="shared" si="9"/>
        <v>8</v>
      </c>
      <c r="C240" s="108">
        <f t="shared" si="10"/>
        <v>42611</v>
      </c>
      <c r="D240" s="108" t="s">
        <v>591</v>
      </c>
      <c r="E240" s="113">
        <v>42611</v>
      </c>
      <c r="F240" s="112" t="s">
        <v>529</v>
      </c>
      <c r="G240" s="303" t="s">
        <v>738</v>
      </c>
      <c r="H240" s="4" t="s">
        <v>369</v>
      </c>
      <c r="I240" s="139">
        <v>160</v>
      </c>
      <c r="J240" s="139">
        <v>47449</v>
      </c>
      <c r="K240" s="13">
        <f>ROUND(I240*J240,0)</f>
        <v>7591840</v>
      </c>
      <c r="L240" s="116" t="s">
        <v>252</v>
      </c>
      <c r="M240" s="411" t="s">
        <v>169</v>
      </c>
      <c r="N240" s="22" t="str">
        <f>IF(AND('331-CT'!$E$7=TH!H240,OR(L240="331",M240="331")),"331",IF(AND(OR(L240="131",M240="131"),H240='131-CT'!$E$7),"131",""))</f>
        <v>131</v>
      </c>
      <c r="O240" s="22" t="str">
        <f>IF(AND($B240&gt;='111'!$N$11,$B240&lt;='111'!$O$11,OR($L240=$O$7,$M240=$O$7)),"x","")</f>
        <v/>
      </c>
      <c r="P240" s="22" t="str">
        <f>IF(AND($L240=$O$7,$B240&lt;'111'!$N$11),"x","")</f>
        <v/>
      </c>
      <c r="Q240" s="22" t="str">
        <f>IF(AND($M240=$O$7,$B240&lt;'111'!$N$11),"x","")</f>
        <v/>
      </c>
      <c r="R240" s="22" t="str">
        <f>IF(ISERROR(FIND('112'!$M$9,G240,1)),"",IF((AND(FIND('112'!$M$9,G240,1)&gt;=1,$B240&gt;='112'!$N$8,$B240&lt;='112'!$O$8,OR($L240='112'!$I$6,$M240='112'!$I$6))),"x",""))</f>
        <v/>
      </c>
      <c r="S240" s="22" t="str">
        <f>IF(ISERROR(FIND('112'!$M$9,G240,1)),"",IF((AND(LEFT(G240,2)=LEFT('112'!$M$9,2),B240&lt;'112'!$N$8,$L240='112'!$I$6)),"x",""))</f>
        <v/>
      </c>
      <c r="T240" s="22" t="str">
        <f>IF(ISERROR(FIND('112'!$M$9,G240,1)),"",IF((AND(RIGHT(G240,2)=RIGHT('112'!$M$9,2),B240&lt;'112'!$N$8,$M240='112'!$I$6)),"x",""))</f>
        <v/>
      </c>
      <c r="U240" s="22" t="str">
        <f>IF(AND(B240&gt;='IN-NX'!$P$3,B240&lt;='IN-NX'!$Q$3,'IN-NX'!$D$7=D240,OR(LEFT(L240,2)="15",AND(LEFT(M240,2)&lt;&gt;"15",LEFT(M240,2)&lt;&gt;"33"))),"x","")</f>
        <v/>
      </c>
      <c r="V240" s="22" t="str">
        <f>IF(AND(OR(LEFT(TH!L240,2)="15",LEFT(TH!M240,2)="15"),'152-CT'!$J$8=TH!F240),"x","")</f>
        <v/>
      </c>
      <c r="W240" s="22" t="str">
        <f>IF(AND(OR(LEFT(TH!L240,2)="15",LEFT(TH!M240,2)="15"),TK!$E$7=TH!F240),"x","")</f>
        <v/>
      </c>
      <c r="X240" s="22" t="str">
        <f>IF(OR(TH!L240=TH!$X$7,M240=TH!$X$7),"x","")</f>
        <v/>
      </c>
      <c r="Y240" s="22" t="str">
        <f>IF(AND(B240&lt;=NKC!$N$8,B240&gt;=NKC!$M$8),"x","")</f>
        <v>x</v>
      </c>
      <c r="Z240" s="580"/>
      <c r="AC240" s="130"/>
      <c r="AD240" s="130"/>
      <c r="AE240" s="130"/>
    </row>
    <row r="241" spans="1:31" s="406" customFormat="1" ht="15.75" customHeight="1">
      <c r="A241" s="123" t="str">
        <f>IF(B241&lt;&gt;"",IF(AND(B241&gt;=_TM1,B241&lt;=_TM2,OR(TH!L242="1111",TH!M242="1111")),TH!D242,""),"")</f>
        <v/>
      </c>
      <c r="B241" s="12">
        <f t="shared" si="9"/>
        <v>8</v>
      </c>
      <c r="C241" s="108">
        <f t="shared" si="10"/>
        <v>42611</v>
      </c>
      <c r="D241" s="108" t="s">
        <v>591</v>
      </c>
      <c r="E241" s="113">
        <v>42611</v>
      </c>
      <c r="F241" s="112" t="s">
        <v>496</v>
      </c>
      <c r="G241" s="303" t="s">
        <v>738</v>
      </c>
      <c r="H241" s="4" t="s">
        <v>369</v>
      </c>
      <c r="I241" s="139"/>
      <c r="J241" s="139"/>
      <c r="K241" s="13">
        <v>759184</v>
      </c>
      <c r="L241" s="116" t="s">
        <v>252</v>
      </c>
      <c r="M241" s="411" t="s">
        <v>352</v>
      </c>
      <c r="N241" s="22" t="str">
        <f>IF(AND('331-CT'!$E$7=TH!H241,OR(L241="331",M241="331")),"331",IF(AND(OR(L241="131",M241="131"),H241='131-CT'!$E$7),"131",""))</f>
        <v>131</v>
      </c>
      <c r="O241" s="22" t="str">
        <f>IF(AND($B241&gt;='111'!$N$11,$B241&lt;='111'!$O$11,OR($L241=$O$7,$M241=$O$7)),"x","")</f>
        <v/>
      </c>
      <c r="P241" s="22" t="str">
        <f>IF(AND($L241=$O$7,$B241&lt;'111'!$N$11),"x","")</f>
        <v/>
      </c>
      <c r="Q241" s="22" t="str">
        <f>IF(AND($M241=$O$7,$B241&lt;'111'!$N$11),"x","")</f>
        <v/>
      </c>
      <c r="R241" s="22" t="str">
        <f>IF(ISERROR(FIND('112'!$M$9,G241,1)),"",IF((AND(FIND('112'!$M$9,G241,1)&gt;=1,$B241&gt;='112'!$N$8,$B241&lt;='112'!$O$8,OR($L241='112'!$I$6,$M241='112'!$I$6))),"x",""))</f>
        <v/>
      </c>
      <c r="S241" s="22" t="str">
        <f>IF(ISERROR(FIND('112'!$M$9,G241,1)),"",IF((AND(LEFT(G241,2)=LEFT('112'!$M$9,2),B241&lt;'112'!$N$8,$L241='112'!$I$6)),"x",""))</f>
        <v/>
      </c>
      <c r="T241" s="22" t="str">
        <f>IF(ISERROR(FIND('112'!$M$9,G241,1)),"",IF((AND(RIGHT(G241,2)=RIGHT('112'!$M$9,2),B241&lt;'112'!$N$8,$M241='112'!$I$6)),"x",""))</f>
        <v/>
      </c>
      <c r="U241" s="22" t="str">
        <f>IF(AND(B241&gt;='IN-NX'!$P$3,B241&lt;='IN-NX'!$Q$3,'IN-NX'!$D$7=D241,OR(LEFT(L241,2)="15",AND(LEFT(M241,2)&lt;&gt;"15",LEFT(M241,2)&lt;&gt;"33"))),"x","")</f>
        <v/>
      </c>
      <c r="V241" s="22" t="str">
        <f>IF(AND(OR(LEFT(TH!L241,2)="15",LEFT(TH!M241,2)="15"),'152-CT'!$J$8=TH!F241),"x","")</f>
        <v/>
      </c>
      <c r="W241" s="22" t="str">
        <f>IF(AND(OR(LEFT(TH!L241,2)="15",LEFT(TH!M241,2)="15"),TK!$E$7=TH!F241),"x","")</f>
        <v/>
      </c>
      <c r="X241" s="22" t="str">
        <f>IF(OR(TH!L241=TH!$X$7,M241=TH!$X$7),"x","")</f>
        <v/>
      </c>
      <c r="Y241" s="22" t="str">
        <f>IF(AND(B241&lt;=NKC!$N$8,B241&gt;=NKC!$M$8),"x","")</f>
        <v>x</v>
      </c>
      <c r="Z241" s="580"/>
      <c r="AC241" s="130"/>
      <c r="AD241" s="130"/>
      <c r="AE241" s="130"/>
    </row>
    <row r="242" spans="1:31" s="406" customFormat="1" ht="15.75" customHeight="1">
      <c r="A242" s="123" t="str">
        <f>IF(B242&lt;&gt;"",IF(AND(B242&gt;=_TM1,B242&lt;=_TM2,OR(TH!L243="1111",TH!M243="1111")),TH!D243,""),"")</f>
        <v/>
      </c>
      <c r="B242" s="12">
        <f t="shared" si="9"/>
        <v>8</v>
      </c>
      <c r="C242" s="108">
        <f t="shared" si="10"/>
        <v>42611</v>
      </c>
      <c r="D242" s="108" t="s">
        <v>1016</v>
      </c>
      <c r="E242" s="113">
        <v>42611</v>
      </c>
      <c r="F242" s="114" t="s">
        <v>484</v>
      </c>
      <c r="G242" s="303" t="s">
        <v>738</v>
      </c>
      <c r="H242" s="4" t="s">
        <v>369</v>
      </c>
      <c r="I242" s="139"/>
      <c r="J242" s="139"/>
      <c r="K242" s="13">
        <v>8351024</v>
      </c>
      <c r="L242" s="116" t="s">
        <v>46</v>
      </c>
      <c r="M242" s="411" t="s">
        <v>252</v>
      </c>
      <c r="N242" s="22" t="str">
        <f>IF(AND('331-CT'!$E$7=TH!H242,OR(L242="331",M242="331")),"331",IF(AND(OR(L242="131",M242="131"),H242='131-CT'!$E$7),"131",""))</f>
        <v>131</v>
      </c>
      <c r="O242" s="22" t="str">
        <f>IF(AND($B242&gt;='111'!$N$11,$B242&lt;='111'!$O$11,OR($L242=$O$7,$M242=$O$7)),"x","")</f>
        <v/>
      </c>
      <c r="P242" s="22" t="str">
        <f>IF(AND($L242=$O$7,$B242&lt;'111'!$N$11),"x","")</f>
        <v>x</v>
      </c>
      <c r="Q242" s="22" t="str">
        <f>IF(AND($M242=$O$7,$B242&lt;'111'!$N$11),"x","")</f>
        <v/>
      </c>
      <c r="R242" s="22" t="str">
        <f>IF(ISERROR(FIND('112'!$M$9,G242,1)),"",IF((AND(FIND('112'!$M$9,G242,1)&gt;=1,$B242&gt;='112'!$N$8,$B242&lt;='112'!$O$8,OR($L242='112'!$I$6,$M242='112'!$I$6))),"x",""))</f>
        <v/>
      </c>
      <c r="S242" s="22" t="str">
        <f>IF(ISERROR(FIND('112'!$M$9,G242,1)),"",IF((AND(LEFT(G242,2)=LEFT('112'!$M$9,2),B242&lt;'112'!$N$8,$L242='112'!$I$6)),"x",""))</f>
        <v/>
      </c>
      <c r="T242" s="22" t="str">
        <f>IF(ISERROR(FIND('112'!$M$9,G242,1)),"",IF((AND(RIGHT(G242,2)=RIGHT('112'!$M$9,2),B242&lt;'112'!$N$8,$M242='112'!$I$6)),"x",""))</f>
        <v/>
      </c>
      <c r="U242" s="22" t="str">
        <f>IF(AND(B242&gt;='IN-NX'!$P$3,B242&lt;='IN-NX'!$Q$3,'IN-NX'!$D$7=D242,OR(LEFT(L242,2)="15",AND(LEFT(M242,2)&lt;&gt;"15",LEFT(M242,2)&lt;&gt;"33"))),"x","")</f>
        <v/>
      </c>
      <c r="V242" s="22" t="str">
        <f>IF(AND(OR(LEFT(TH!L242,2)="15",LEFT(TH!M242,2)="15"),'152-CT'!$J$8=TH!F242),"x","")</f>
        <v/>
      </c>
      <c r="W242" s="22" t="str">
        <f>IF(AND(OR(LEFT(TH!L242,2)="15",LEFT(TH!M242,2)="15"),TK!$E$7=TH!F242),"x","")</f>
        <v/>
      </c>
      <c r="X242" s="22" t="str">
        <f>IF(OR(TH!L242=TH!$X$7,M242=TH!$X$7),"x","")</f>
        <v/>
      </c>
      <c r="Y242" s="22" t="str">
        <f>IF(AND(B242&lt;=NKC!$N$8,B242&gt;=NKC!$M$8),"x","")</f>
        <v>x</v>
      </c>
      <c r="Z242" s="580"/>
      <c r="AC242" s="130"/>
      <c r="AD242" s="130"/>
      <c r="AE242" s="130"/>
    </row>
    <row r="243" spans="1:31" s="406" customFormat="1" ht="15.75" customHeight="1">
      <c r="A243" s="123" t="str">
        <f>IF(B243&lt;&gt;"",IF(AND(B243&gt;=_TM1,B243&lt;=_TM2,OR(TH!L244="1111",TH!M244="1111")),TH!D244,""),"")</f>
        <v/>
      </c>
      <c r="B243" s="12">
        <f t="shared" si="9"/>
        <v>8</v>
      </c>
      <c r="C243" s="108">
        <f t="shared" si="10"/>
        <v>42612</v>
      </c>
      <c r="D243" s="108" t="s">
        <v>592</v>
      </c>
      <c r="E243" s="113">
        <v>42612</v>
      </c>
      <c r="F243" s="112" t="s">
        <v>370</v>
      </c>
      <c r="G243" s="303" t="s">
        <v>739</v>
      </c>
      <c r="H243" s="4" t="s">
        <v>620</v>
      </c>
      <c r="I243" s="139">
        <v>500</v>
      </c>
      <c r="J243" s="139">
        <v>12950</v>
      </c>
      <c r="K243" s="13">
        <f>ROUND(I243*J243,0)</f>
        <v>6475000</v>
      </c>
      <c r="L243" s="116" t="s">
        <v>252</v>
      </c>
      <c r="M243" s="411" t="s">
        <v>169</v>
      </c>
      <c r="N243" s="22" t="str">
        <f>IF(AND('331-CT'!$E$7=TH!H243,OR(L243="331",M243="331")),"331",IF(AND(OR(L243="131",M243="131"),H243='131-CT'!$E$7),"131",""))</f>
        <v/>
      </c>
      <c r="O243" s="22" t="str">
        <f>IF(AND($B243&gt;='111'!$N$11,$B243&lt;='111'!$O$11,OR($L243=$O$7,$M243=$O$7)),"x","")</f>
        <v/>
      </c>
      <c r="P243" s="22" t="str">
        <f>IF(AND($L243=$O$7,$B243&lt;'111'!$N$11),"x","")</f>
        <v/>
      </c>
      <c r="Q243" s="22" t="str">
        <f>IF(AND($M243=$O$7,$B243&lt;'111'!$N$11),"x","")</f>
        <v/>
      </c>
      <c r="R243" s="22" t="str">
        <f>IF(ISERROR(FIND('112'!$M$9,G243,1)),"",IF((AND(FIND('112'!$M$9,G243,1)&gt;=1,$B243&gt;='112'!$N$8,$B243&lt;='112'!$O$8,OR($L243='112'!$I$6,$M243='112'!$I$6))),"x",""))</f>
        <v/>
      </c>
      <c r="S243" s="22" t="str">
        <f>IF(ISERROR(FIND('112'!$M$9,G243,1)),"",IF((AND(LEFT(G243,2)=LEFT('112'!$M$9,2),B243&lt;'112'!$N$8,$L243='112'!$I$6)),"x",""))</f>
        <v/>
      </c>
      <c r="T243" s="22" t="str">
        <f>IF(ISERROR(FIND('112'!$M$9,G243,1)),"",IF((AND(RIGHT(G243,2)=RIGHT('112'!$M$9,2),B243&lt;'112'!$N$8,$M243='112'!$I$6)),"x",""))</f>
        <v/>
      </c>
      <c r="U243" s="22" t="str">
        <f>IF(AND(B243&gt;='IN-NX'!$P$3,B243&lt;='IN-NX'!$Q$3,'IN-NX'!$D$7=D243,OR(LEFT(L243,2)="15",AND(LEFT(M243,2)&lt;&gt;"15",LEFT(M243,2)&lt;&gt;"33"))),"x","")</f>
        <v/>
      </c>
      <c r="V243" s="22" t="str">
        <f>IF(AND(OR(LEFT(TH!L243,2)="15",LEFT(TH!M243,2)="15"),'152-CT'!$J$8=TH!F243),"x","")</f>
        <v/>
      </c>
      <c r="W243" s="22" t="str">
        <f>IF(AND(OR(LEFT(TH!L243,2)="15",LEFT(TH!M243,2)="15"),TK!$E$7=TH!F243),"x","")</f>
        <v/>
      </c>
      <c r="X243" s="22" t="str">
        <f>IF(OR(TH!L243=TH!$X$7,M243=TH!$X$7),"x","")</f>
        <v/>
      </c>
      <c r="Y243" s="22" t="str">
        <f>IF(AND(B243&lt;=NKC!$N$8,B243&gt;=NKC!$M$8),"x","")</f>
        <v>x</v>
      </c>
      <c r="Z243" s="580"/>
      <c r="AC243" s="130"/>
      <c r="AD243" s="130"/>
      <c r="AE243" s="130"/>
    </row>
    <row r="244" spans="1:31" s="406" customFormat="1" ht="15.75" customHeight="1">
      <c r="A244" s="123" t="str">
        <f>IF(B244&lt;&gt;"",IF(AND(B244&gt;=_TM1,B244&lt;=_TM2,OR(TH!L245="1111",TH!M245="1111")),TH!D245,""),"")</f>
        <v/>
      </c>
      <c r="B244" s="12">
        <f t="shared" si="9"/>
        <v>8</v>
      </c>
      <c r="C244" s="108">
        <f t="shared" si="10"/>
        <v>42612</v>
      </c>
      <c r="D244" s="108" t="s">
        <v>592</v>
      </c>
      <c r="E244" s="113">
        <v>42612</v>
      </c>
      <c r="F244" s="112" t="s">
        <v>539</v>
      </c>
      <c r="G244" s="303" t="s">
        <v>739</v>
      </c>
      <c r="H244" s="4" t="s">
        <v>620</v>
      </c>
      <c r="I244" s="139"/>
      <c r="J244" s="139"/>
      <c r="K244" s="13">
        <v>647500</v>
      </c>
      <c r="L244" s="116" t="s">
        <v>252</v>
      </c>
      <c r="M244" s="411" t="s">
        <v>352</v>
      </c>
      <c r="N244" s="22" t="str">
        <f>IF(AND('331-CT'!$E$7=TH!H244,OR(L244="331",M244="331")),"331",IF(AND(OR(L244="131",M244="131"),H244='131-CT'!$E$7),"131",""))</f>
        <v/>
      </c>
      <c r="O244" s="22" t="str">
        <f>IF(AND($B244&gt;='111'!$N$11,$B244&lt;='111'!$O$11,OR($L244=$O$7,$M244=$O$7)),"x","")</f>
        <v/>
      </c>
      <c r="P244" s="22" t="str">
        <f>IF(AND($L244=$O$7,$B244&lt;'111'!$N$11),"x","")</f>
        <v/>
      </c>
      <c r="Q244" s="22" t="str">
        <f>IF(AND($M244=$O$7,$B244&lt;'111'!$N$11),"x","")</f>
        <v/>
      </c>
      <c r="R244" s="22" t="str">
        <f>IF(ISERROR(FIND('112'!$M$9,G244,1)),"",IF((AND(FIND('112'!$M$9,G244,1)&gt;=1,$B244&gt;='112'!$N$8,$B244&lt;='112'!$O$8,OR($L244='112'!$I$6,$M244='112'!$I$6))),"x",""))</f>
        <v/>
      </c>
      <c r="S244" s="22" t="str">
        <f>IF(ISERROR(FIND('112'!$M$9,G244,1)),"",IF((AND(LEFT(G244,2)=LEFT('112'!$M$9,2),B244&lt;'112'!$N$8,$L244='112'!$I$6)),"x",""))</f>
        <v/>
      </c>
      <c r="T244" s="22" t="str">
        <f>IF(ISERROR(FIND('112'!$M$9,G244,1)),"",IF((AND(RIGHT(G244,2)=RIGHT('112'!$M$9,2),B244&lt;'112'!$N$8,$M244='112'!$I$6)),"x",""))</f>
        <v/>
      </c>
      <c r="U244" s="22" t="str">
        <f>IF(AND(B244&gt;='IN-NX'!$P$3,B244&lt;='IN-NX'!$Q$3,'IN-NX'!$D$7=D244,OR(LEFT(L244,2)="15",AND(LEFT(M244,2)&lt;&gt;"15",LEFT(M244,2)&lt;&gt;"33"))),"x","")</f>
        <v/>
      </c>
      <c r="V244" s="22" t="str">
        <f>IF(AND(OR(LEFT(TH!L244,2)="15",LEFT(TH!M244,2)="15"),'152-CT'!$J$8=TH!F244),"x","")</f>
        <v/>
      </c>
      <c r="W244" s="22" t="str">
        <f>IF(AND(OR(LEFT(TH!L244,2)="15",LEFT(TH!M244,2)="15"),TK!$E$7=TH!F244),"x","")</f>
        <v/>
      </c>
      <c r="X244" s="22" t="str">
        <f>IF(OR(TH!L244=TH!$X$7,M244=TH!$X$7),"x","")</f>
        <v/>
      </c>
      <c r="Y244" s="22" t="str">
        <f>IF(AND(B244&lt;=NKC!$N$8,B244&gt;=NKC!$M$8),"x","")</f>
        <v>x</v>
      </c>
      <c r="Z244" s="580"/>
      <c r="AC244" s="130"/>
      <c r="AD244" s="130"/>
      <c r="AE244" s="130"/>
    </row>
    <row r="245" spans="1:31" s="406" customFormat="1" ht="15.75" customHeight="1">
      <c r="A245" s="123" t="str">
        <f>IF(B245&lt;&gt;"",IF(AND(B245&gt;=_TM1,B245&lt;=_TM2,OR(TH!L246="1111",TH!M246="1111")),TH!D246,""),"")</f>
        <v/>
      </c>
      <c r="B245" s="12">
        <f t="shared" si="9"/>
        <v>8</v>
      </c>
      <c r="C245" s="108">
        <f t="shared" si="10"/>
        <v>42612</v>
      </c>
      <c r="D245" s="108" t="s">
        <v>1017</v>
      </c>
      <c r="E245" s="113">
        <v>42612</v>
      </c>
      <c r="F245" s="114" t="s">
        <v>484</v>
      </c>
      <c r="G245" s="303" t="s">
        <v>1030</v>
      </c>
      <c r="H245" s="4" t="s">
        <v>620</v>
      </c>
      <c r="I245" s="139"/>
      <c r="J245" s="139"/>
      <c r="K245" s="13">
        <v>12640100</v>
      </c>
      <c r="L245" s="116" t="s">
        <v>46</v>
      </c>
      <c r="M245" s="411" t="s">
        <v>252</v>
      </c>
      <c r="N245" s="22" t="str">
        <f>IF(AND('331-CT'!$E$7=TH!H245,OR(L245="331",M245="331")),"331",IF(AND(OR(L245="131",M245="131"),H245='131-CT'!$E$7),"131",""))</f>
        <v/>
      </c>
      <c r="O245" s="22" t="str">
        <f>IF(AND($B245&gt;='111'!$N$11,$B245&lt;='111'!$O$11,OR($L245=$O$7,$M245=$O$7)),"x","")</f>
        <v/>
      </c>
      <c r="P245" s="22" t="str">
        <f>IF(AND($L245=$O$7,$B245&lt;'111'!$N$11),"x","")</f>
        <v>x</v>
      </c>
      <c r="Q245" s="22" t="str">
        <f>IF(AND($M245=$O$7,$B245&lt;'111'!$N$11),"x","")</f>
        <v/>
      </c>
      <c r="R245" s="22" t="str">
        <f>IF(ISERROR(FIND('112'!$M$9,G245,1)),"",IF((AND(FIND('112'!$M$9,G245,1)&gt;=1,$B245&gt;='112'!$N$8,$B245&lt;='112'!$O$8,OR($L245='112'!$I$6,$M245='112'!$I$6))),"x",""))</f>
        <v/>
      </c>
      <c r="S245" s="22" t="str">
        <f>IF(ISERROR(FIND('112'!$M$9,G245,1)),"",IF((AND(LEFT(G245,2)=LEFT('112'!$M$9,2),B245&lt;'112'!$N$8,$L245='112'!$I$6)),"x",""))</f>
        <v/>
      </c>
      <c r="T245" s="22" t="str">
        <f>IF(ISERROR(FIND('112'!$M$9,G245,1)),"",IF((AND(RIGHT(G245,2)=RIGHT('112'!$M$9,2),B245&lt;'112'!$N$8,$M245='112'!$I$6)),"x",""))</f>
        <v/>
      </c>
      <c r="U245" s="22" t="str">
        <f>IF(AND(B245&gt;='IN-NX'!$P$3,B245&lt;='IN-NX'!$Q$3,'IN-NX'!$D$7=D245,OR(LEFT(L245,2)="15",AND(LEFT(M245,2)&lt;&gt;"15",LEFT(M245,2)&lt;&gt;"33"))),"x","")</f>
        <v/>
      </c>
      <c r="V245" s="22" t="str">
        <f>IF(AND(OR(LEFT(TH!L245,2)="15",LEFT(TH!M245,2)="15"),'152-CT'!$J$8=TH!F245),"x","")</f>
        <v/>
      </c>
      <c r="W245" s="22" t="str">
        <f>IF(AND(OR(LEFT(TH!L245,2)="15",LEFT(TH!M245,2)="15"),TK!$E$7=TH!F245),"x","")</f>
        <v/>
      </c>
      <c r="X245" s="22" t="str">
        <f>IF(OR(TH!L245=TH!$X$7,M245=TH!$X$7),"x","")</f>
        <v/>
      </c>
      <c r="Y245" s="22" t="str">
        <f>IF(AND(B245&lt;=NKC!$N$8,B245&gt;=NKC!$M$8),"x","")</f>
        <v>x</v>
      </c>
      <c r="Z245" s="580"/>
      <c r="AC245" s="130"/>
      <c r="AD245" s="130"/>
      <c r="AE245" s="130"/>
    </row>
    <row r="246" spans="1:31" s="406" customFormat="1" ht="15.75" customHeight="1">
      <c r="A246" s="123" t="str">
        <f>IF(B246&lt;&gt;"",IF(AND(B246&gt;=_TM1,B246&lt;=_TM2,OR(TH!L247="1111",TH!M247="1111")),TH!D247,""),"")</f>
        <v/>
      </c>
      <c r="B246" s="599">
        <f t="shared" si="9"/>
        <v>8</v>
      </c>
      <c r="C246" s="574">
        <f t="shared" si="10"/>
        <v>42613</v>
      </c>
      <c r="D246" s="574" t="s">
        <v>324</v>
      </c>
      <c r="E246" s="574">
        <v>42613</v>
      </c>
      <c r="F246" s="577" t="s">
        <v>821</v>
      </c>
      <c r="G246" s="595"/>
      <c r="H246" s="596"/>
      <c r="I246" s="576"/>
      <c r="J246" s="576"/>
      <c r="K246" s="579">
        <v>4405000</v>
      </c>
      <c r="L246" s="597" t="s">
        <v>82</v>
      </c>
      <c r="M246" s="597" t="s">
        <v>255</v>
      </c>
      <c r="N246" s="22" t="str">
        <f>IF(AND('331-CT'!$E$7=TH!H246,OR(L246="331",M246="331")),"331",IF(AND(OR(L246="131",M246="131"),H246='131-CT'!$E$7),"131",""))</f>
        <v/>
      </c>
      <c r="O246" s="22" t="str">
        <f>IF(AND($B246&gt;='111'!$N$11,$B246&lt;='111'!$O$11,OR($L246=$O$7,$M246=$O$7)),"x","")</f>
        <v/>
      </c>
      <c r="P246" s="22" t="str">
        <f>IF(AND($L246=$O$7,$B246&lt;'111'!$N$11),"x","")</f>
        <v/>
      </c>
      <c r="Q246" s="22" t="str">
        <f>IF(AND($M246=$O$7,$B246&lt;'111'!$N$11),"x","")</f>
        <v/>
      </c>
      <c r="R246" s="22" t="str">
        <f>IF(ISERROR(FIND('112'!$M$9,G246,1)),"",IF((AND(FIND('112'!$M$9,G246,1)&gt;=1,$B246&gt;='112'!$N$8,$B246&lt;='112'!$O$8,OR($L246='112'!$I$6,$M246='112'!$I$6))),"x",""))</f>
        <v/>
      </c>
      <c r="S246" s="22" t="str">
        <f>IF(ISERROR(FIND('112'!$M$9,G246,1)),"",IF((AND(LEFT(G246,2)=LEFT('112'!$M$9,2),B246&lt;'112'!$N$8,$L246='112'!$I$6)),"x",""))</f>
        <v/>
      </c>
      <c r="T246" s="22" t="str">
        <f>IF(ISERROR(FIND('112'!$M$9,G246,1)),"",IF((AND(RIGHT(G246,2)=RIGHT('112'!$M$9,2),B246&lt;'112'!$N$8,$M246='112'!$I$6)),"x",""))</f>
        <v/>
      </c>
      <c r="U246" s="22" t="str">
        <f>IF(AND(B246&gt;='IN-NX'!$P$3,B246&lt;='IN-NX'!$Q$3,'IN-NX'!$D$7=D246,OR(LEFT(L246,2)="15",AND(LEFT(M246,2)&lt;&gt;"15",LEFT(M246,2)&lt;&gt;"33"))),"x","")</f>
        <v/>
      </c>
      <c r="V246" s="22" t="str">
        <f>IF(AND(OR(LEFT(TH!L246,2)="15",LEFT(TH!M246,2)="15"),'152-CT'!$J$8=TH!F246),"x","")</f>
        <v/>
      </c>
      <c r="W246" s="22" t="str">
        <f>IF(AND(OR(LEFT(TH!L246,2)="15",LEFT(TH!M246,2)="15"),TK!$E$7=TH!F246),"x","")</f>
        <v/>
      </c>
      <c r="X246" s="22" t="str">
        <f>IF(OR(TH!L246=TH!$X$7,M246=TH!$X$7),"x","")</f>
        <v>x</v>
      </c>
      <c r="Y246" s="22" t="str">
        <f>IF(AND(B246&lt;=NKC!$N$8,B246&gt;=NKC!$M$8),"x","")</f>
        <v>x</v>
      </c>
      <c r="Z246" s="598"/>
      <c r="AA246" s="598"/>
      <c r="AB246" s="598"/>
      <c r="AC246" s="598"/>
      <c r="AD246" s="598"/>
      <c r="AE246" s="598"/>
    </row>
    <row r="247" spans="1:31" s="406" customFormat="1" ht="15.75" customHeight="1">
      <c r="A247" s="123" t="str">
        <f>IF(B247&lt;&gt;"",IF(AND(B247&gt;=_TM1,B247&lt;=_TM2,OR(TH!L248="1111",TH!M248="1111")),TH!D248,""),"")</f>
        <v/>
      </c>
      <c r="B247" s="599">
        <f t="shared" si="9"/>
        <v>8</v>
      </c>
      <c r="C247" s="574">
        <f t="shared" si="10"/>
        <v>42613</v>
      </c>
      <c r="D247" s="574" t="s">
        <v>324</v>
      </c>
      <c r="E247" s="574">
        <v>42613</v>
      </c>
      <c r="F247" s="577" t="s">
        <v>822</v>
      </c>
      <c r="G247" s="595"/>
      <c r="H247" s="596"/>
      <c r="I247" s="576"/>
      <c r="J247" s="576"/>
      <c r="K247" s="579">
        <v>14020000</v>
      </c>
      <c r="L247" s="597" t="s">
        <v>160</v>
      </c>
      <c r="M247" s="597" t="s">
        <v>255</v>
      </c>
      <c r="N247" s="22" t="str">
        <f>IF(AND('331-CT'!$E$7=TH!H247,OR(L247="331",M247="331")),"331",IF(AND(OR(L247="131",M247="131"),H247='131-CT'!$E$7),"131",""))</f>
        <v/>
      </c>
      <c r="O247" s="22" t="str">
        <f>IF(AND($B247&gt;='111'!$N$11,$B247&lt;='111'!$O$11,OR($L247=$O$7,$M247=$O$7)),"x","")</f>
        <v/>
      </c>
      <c r="P247" s="22" t="str">
        <f>IF(AND($L247=$O$7,$B247&lt;'111'!$N$11),"x","")</f>
        <v/>
      </c>
      <c r="Q247" s="22" t="str">
        <f>IF(AND($M247=$O$7,$B247&lt;'111'!$N$11),"x","")</f>
        <v/>
      </c>
      <c r="R247" s="22" t="str">
        <f>IF(ISERROR(FIND('112'!$M$9,G247,1)),"",IF((AND(FIND('112'!$M$9,G247,1)&gt;=1,$B247&gt;='112'!$N$8,$B247&lt;='112'!$O$8,OR($L247='112'!$I$6,$M247='112'!$I$6))),"x",""))</f>
        <v/>
      </c>
      <c r="S247" s="22" t="str">
        <f>IF(ISERROR(FIND('112'!$M$9,G247,1)),"",IF((AND(LEFT(G247,2)=LEFT('112'!$M$9,2),B247&lt;'112'!$N$8,$L247='112'!$I$6)),"x",""))</f>
        <v/>
      </c>
      <c r="T247" s="22" t="str">
        <f>IF(ISERROR(FIND('112'!$M$9,G247,1)),"",IF((AND(RIGHT(G247,2)=RIGHT('112'!$M$9,2),B247&lt;'112'!$N$8,$M247='112'!$I$6)),"x",""))</f>
        <v/>
      </c>
      <c r="U247" s="22" t="str">
        <f>IF(AND(B247&gt;='IN-NX'!$P$3,B247&lt;='IN-NX'!$Q$3,'IN-NX'!$D$7=D247,OR(LEFT(L247,2)="15",AND(LEFT(M247,2)&lt;&gt;"15",LEFT(M247,2)&lt;&gt;"33"))),"x","")</f>
        <v/>
      </c>
      <c r="V247" s="22" t="str">
        <f>IF(AND(OR(LEFT(TH!L247,2)="15",LEFT(TH!M247,2)="15"),'152-CT'!$J$8=TH!F247),"x","")</f>
        <v/>
      </c>
      <c r="W247" s="22" t="str">
        <f>IF(AND(OR(LEFT(TH!L247,2)="15",LEFT(TH!M247,2)="15"),TK!$E$7=TH!F247),"x","")</f>
        <v/>
      </c>
      <c r="X247" s="22" t="str">
        <f>IF(OR(TH!L247=TH!$X$7,M247=TH!$X$7),"x","")</f>
        <v/>
      </c>
      <c r="Y247" s="22" t="str">
        <f>IF(AND(B247&lt;=NKC!$N$8,B247&gt;=NKC!$M$8),"x","")</f>
        <v>x</v>
      </c>
      <c r="Z247" s="598"/>
      <c r="AA247" s="598"/>
      <c r="AB247" s="598"/>
      <c r="AC247" s="598"/>
      <c r="AD247" s="598"/>
      <c r="AE247" s="598"/>
    </row>
    <row r="248" spans="1:31" s="406" customFormat="1" ht="15.75" customHeight="1">
      <c r="A248" s="123" t="str">
        <f>IF(B248&lt;&gt;"",IF(AND(B248&gt;=_TM1,B248&lt;=_TM2,OR(TH!L249="1111",TH!M249="1111")),TH!D249,""),"")</f>
        <v/>
      </c>
      <c r="B248" s="599">
        <f t="shared" si="9"/>
        <v>8</v>
      </c>
      <c r="C248" s="574">
        <f t="shared" si="10"/>
        <v>42613</v>
      </c>
      <c r="D248" s="574" t="s">
        <v>468</v>
      </c>
      <c r="E248" s="574">
        <v>42613</v>
      </c>
      <c r="F248" s="577" t="str">
        <f>"Thanh toán tiền lương tháng "&amp;MONTH(E248)&amp;"/"&amp;YEAR(E248)</f>
        <v>Thanh toán tiền lương tháng 8/2016</v>
      </c>
      <c r="G248" s="595"/>
      <c r="H248" s="596" t="s">
        <v>796</v>
      </c>
      <c r="I248" s="576"/>
      <c r="J248" s="576"/>
      <c r="K248" s="579">
        <f>K246+K247</f>
        <v>18425000</v>
      </c>
      <c r="L248" s="597" t="s">
        <v>255</v>
      </c>
      <c r="M248" s="597" t="s">
        <v>46</v>
      </c>
      <c r="N248" s="22" t="str">
        <f>IF(AND('331-CT'!$E$7=TH!H248,OR(L248="331",M248="331")),"331",IF(AND(OR(L248="131",M248="131"),H248='131-CT'!$E$7),"131",""))</f>
        <v/>
      </c>
      <c r="O248" s="22" t="str">
        <f>IF(AND($B248&gt;='111'!$N$11,$B248&lt;='111'!$O$11,OR($L248=$O$7,$M248=$O$7)),"x","")</f>
        <v/>
      </c>
      <c r="P248" s="22" t="str">
        <f>IF(AND($L248=$O$7,$B248&lt;'111'!$N$11),"x","")</f>
        <v/>
      </c>
      <c r="Q248" s="22" t="str">
        <f>IF(AND($M248=$O$7,$B248&lt;'111'!$N$11),"x","")</f>
        <v>x</v>
      </c>
      <c r="R248" s="22" t="str">
        <f>IF(ISERROR(FIND('112'!$M$9,G248,1)),"",IF((AND(FIND('112'!$M$9,G248,1)&gt;=1,$B248&gt;='112'!$N$8,$B248&lt;='112'!$O$8,OR($L248='112'!$I$6,$M248='112'!$I$6))),"x",""))</f>
        <v/>
      </c>
      <c r="S248" s="22" t="str">
        <f>IF(ISERROR(FIND('112'!$M$9,G248,1)),"",IF((AND(LEFT(G248,2)=LEFT('112'!$M$9,2),B248&lt;'112'!$N$8,$L248='112'!$I$6)),"x",""))</f>
        <v/>
      </c>
      <c r="T248" s="22" t="str">
        <f>IF(ISERROR(FIND('112'!$M$9,G248,1)),"",IF((AND(RIGHT(G248,2)=RIGHT('112'!$M$9,2),B248&lt;'112'!$N$8,$M248='112'!$I$6)),"x",""))</f>
        <v/>
      </c>
      <c r="U248" s="22" t="str">
        <f>IF(AND(B248&gt;='IN-NX'!$P$3,B248&lt;='IN-NX'!$Q$3,'IN-NX'!$D$7=D248,OR(LEFT(L248,2)="15",AND(LEFT(M248,2)&lt;&gt;"15",LEFT(M248,2)&lt;&gt;"33"))),"x","")</f>
        <v/>
      </c>
      <c r="V248" s="22" t="str">
        <f>IF(AND(OR(LEFT(TH!L248,2)="15",LEFT(TH!M248,2)="15"),'152-CT'!$J$8=TH!F248),"x","")</f>
        <v/>
      </c>
      <c r="W248" s="22" t="str">
        <f>IF(AND(OR(LEFT(TH!L248,2)="15",LEFT(TH!M248,2)="15"),TK!$E$7=TH!F248),"x","")</f>
        <v/>
      </c>
      <c r="X248" s="22" t="str">
        <f>IF(OR(TH!L248=TH!$X$7,M248=TH!$X$7),"x","")</f>
        <v/>
      </c>
      <c r="Y248" s="22" t="str">
        <f>IF(AND(B248&lt;=NKC!$N$8,B248&gt;=NKC!$M$8),"x","")</f>
        <v>x</v>
      </c>
      <c r="Z248" s="598"/>
      <c r="AA248" s="598"/>
      <c r="AB248" s="598"/>
      <c r="AC248" s="598"/>
      <c r="AD248" s="598"/>
      <c r="AE248" s="598"/>
    </row>
    <row r="249" spans="1:31" s="406" customFormat="1" ht="15.75" customHeight="1">
      <c r="A249" s="123" t="str">
        <f>IF(B249&lt;&gt;"",IF(AND(B249&gt;=_TM1,B249&lt;=_TM2,OR(TH!L250="1111",TH!M250="1111")),TH!D250,""),"")</f>
        <v/>
      </c>
      <c r="B249" s="12">
        <f t="shared" si="9"/>
        <v>8</v>
      </c>
      <c r="C249" s="108">
        <f t="shared" si="10"/>
        <v>42613</v>
      </c>
      <c r="D249" s="108" t="s">
        <v>463</v>
      </c>
      <c r="E249" s="108">
        <v>42613</v>
      </c>
      <c r="F249" s="112" t="s">
        <v>444</v>
      </c>
      <c r="G249" s="303" t="s">
        <v>447</v>
      </c>
      <c r="H249" s="115" t="s">
        <v>442</v>
      </c>
      <c r="I249" s="139">
        <v>12830</v>
      </c>
      <c r="J249" s="139">
        <v>780</v>
      </c>
      <c r="K249" s="13">
        <f>ROUND(I249*J249,0)</f>
        <v>10007400</v>
      </c>
      <c r="L249" s="116" t="s">
        <v>156</v>
      </c>
      <c r="M249" s="116" t="s">
        <v>8</v>
      </c>
      <c r="N249" s="22" t="str">
        <f>IF(AND('331-CT'!$E$7=TH!H249,OR(L249="331",M249="331")),"331",IF(AND(OR(L249="131",M249="131"),H249='131-CT'!$E$7),"131",""))</f>
        <v>331</v>
      </c>
      <c r="O249" s="22" t="str">
        <f>IF(AND($B249&gt;='111'!$N$11,$B249&lt;='111'!$O$11,OR($L249=$O$7,$M249=$O$7)),"x","")</f>
        <v/>
      </c>
      <c r="P249" s="22" t="str">
        <f>IF(AND($L249=$O$7,$B249&lt;'111'!$N$11),"x","")</f>
        <v/>
      </c>
      <c r="Q249" s="22" t="str">
        <f>IF(AND($M249=$O$7,$B249&lt;'111'!$N$11),"x","")</f>
        <v/>
      </c>
      <c r="R249" s="22" t="str">
        <f>IF(ISERROR(FIND('112'!$M$9,G249,1)),"",IF((AND(FIND('112'!$M$9,G249,1)&gt;=1,$B249&gt;='112'!$N$8,$B249&lt;='112'!$O$8,OR($L249='112'!$I$6,$M249='112'!$I$6))),"x",""))</f>
        <v/>
      </c>
      <c r="S249" s="22" t="str">
        <f>IF(ISERROR(FIND('112'!$M$9,G249,1)),"",IF((AND(LEFT(G249,2)=LEFT('112'!$M$9,2),B249&lt;'112'!$N$8,$L249='112'!$I$6)),"x",""))</f>
        <v/>
      </c>
      <c r="T249" s="22" t="str">
        <f>IF(ISERROR(FIND('112'!$M$9,G249,1)),"",IF((AND(RIGHT(G249,2)=RIGHT('112'!$M$9,2),B249&lt;'112'!$N$8,$M249='112'!$I$6)),"x",""))</f>
        <v/>
      </c>
      <c r="U249" s="22" t="str">
        <f>IF(AND(B249&gt;='IN-NX'!$P$3,B249&lt;='IN-NX'!$Q$3,'IN-NX'!$D$7=D249,OR(LEFT(L249,2)="15",AND(LEFT(M249,2)&lt;&gt;"15",LEFT(M249,2)&lt;&gt;"33"))),"x","")</f>
        <v/>
      </c>
      <c r="V249" s="22" t="str">
        <f>IF(AND(OR(LEFT(TH!L249,2)="15",LEFT(TH!M249,2)="15"),'152-CT'!$J$8=TH!F249),"x","")</f>
        <v/>
      </c>
      <c r="W249" s="22" t="str">
        <f>IF(AND(OR(LEFT(TH!L249,2)="15",LEFT(TH!M249,2)="15"),TK!$E$7=TH!F249),"x","")</f>
        <v>x</v>
      </c>
      <c r="X249" s="22" t="str">
        <f>IF(OR(TH!L249=TH!$X$7,M249=TH!$X$7),"x","")</f>
        <v/>
      </c>
      <c r="Y249" s="22" t="str">
        <f>IF(AND(B249&lt;=NKC!$N$8,B249&gt;=NKC!$M$8),"x","")</f>
        <v>x</v>
      </c>
      <c r="Z249" s="580">
        <v>3</v>
      </c>
    </row>
    <row r="250" spans="1:31" s="406" customFormat="1" ht="15.75" customHeight="1">
      <c r="A250" s="123" t="str">
        <f>IF(B250&lt;&gt;"",IF(AND(B250&gt;=_TM1,B250&lt;=_TM2,OR(TH!L251="1111",TH!M251="1111")),TH!D251,""),"")</f>
        <v/>
      </c>
      <c r="B250" s="12">
        <f t="shared" si="9"/>
        <v>8</v>
      </c>
      <c r="C250" s="108">
        <f t="shared" si="10"/>
        <v>42613</v>
      </c>
      <c r="D250" s="108" t="s">
        <v>463</v>
      </c>
      <c r="E250" s="108">
        <v>42613</v>
      </c>
      <c r="F250" s="112" t="s">
        <v>445</v>
      </c>
      <c r="G250" s="303" t="s">
        <v>447</v>
      </c>
      <c r="H250" s="115" t="s">
        <v>442</v>
      </c>
      <c r="I250" s="139"/>
      <c r="J250" s="139"/>
      <c r="K250" s="410">
        <v>1000740</v>
      </c>
      <c r="L250" s="116" t="s">
        <v>9</v>
      </c>
      <c r="M250" s="116" t="s">
        <v>8</v>
      </c>
      <c r="N250" s="22" t="str">
        <f>IF(AND('331-CT'!$E$7=TH!H250,OR(L250="331",M250="331")),"331",IF(AND(OR(L250="131",M250="131"),H250='131-CT'!$E$7),"131",""))</f>
        <v>331</v>
      </c>
      <c r="O250" s="22" t="str">
        <f>IF(AND($B250&gt;='111'!$N$11,$B250&lt;='111'!$O$11,OR($L250=$O$7,$M250=$O$7)),"x","")</f>
        <v/>
      </c>
      <c r="P250" s="22" t="str">
        <f>IF(AND($L250=$O$7,$B250&lt;'111'!$N$11),"x","")</f>
        <v/>
      </c>
      <c r="Q250" s="22" t="str">
        <f>IF(AND($M250=$O$7,$B250&lt;'111'!$N$11),"x","")</f>
        <v/>
      </c>
      <c r="R250" s="22" t="str">
        <f>IF(ISERROR(FIND('112'!$M$9,G250,1)),"",IF((AND(FIND('112'!$M$9,G250,1)&gt;=1,$B250&gt;='112'!$N$8,$B250&lt;='112'!$O$8,OR($L250='112'!$I$6,$M250='112'!$I$6))),"x",""))</f>
        <v/>
      </c>
      <c r="S250" s="22" t="str">
        <f>IF(ISERROR(FIND('112'!$M$9,G250,1)),"",IF((AND(LEFT(G250,2)=LEFT('112'!$M$9,2),B250&lt;'112'!$N$8,$L250='112'!$I$6)),"x",""))</f>
        <v/>
      </c>
      <c r="T250" s="22" t="str">
        <f>IF(ISERROR(FIND('112'!$M$9,G250,1)),"",IF((AND(RIGHT(G250,2)=RIGHT('112'!$M$9,2),B250&lt;'112'!$N$8,$M250='112'!$I$6)),"x",""))</f>
        <v/>
      </c>
      <c r="U250" s="22" t="str">
        <f>IF(AND(B250&gt;='IN-NX'!$P$3,B250&lt;='IN-NX'!$Q$3,'IN-NX'!$D$7=D250,OR(LEFT(L250,2)="15",AND(LEFT(M250,2)&lt;&gt;"15",LEFT(M250,2)&lt;&gt;"33"))),"x","")</f>
        <v/>
      </c>
      <c r="V250" s="22" t="str">
        <f>IF(AND(OR(LEFT(TH!L250,2)="15",LEFT(TH!M250,2)="15"),'152-CT'!$J$8=TH!F250),"x","")</f>
        <v/>
      </c>
      <c r="W250" s="22" t="str">
        <f>IF(AND(OR(LEFT(TH!L250,2)="15",LEFT(TH!M250,2)="15"),TK!$E$7=TH!F250),"x","")</f>
        <v/>
      </c>
      <c r="X250" s="22" t="str">
        <f>IF(OR(TH!L250=TH!$X$7,M250=TH!$X$7),"x","")</f>
        <v/>
      </c>
      <c r="Y250" s="22" t="str">
        <f>IF(AND(B250&lt;=NKC!$N$8,B250&gt;=NKC!$M$8),"x","")</f>
        <v>x</v>
      </c>
      <c r="Z250" s="580">
        <v>3</v>
      </c>
    </row>
    <row r="251" spans="1:31" s="406" customFormat="1" ht="15.75" customHeight="1">
      <c r="A251" s="123" t="str">
        <f>IF(B251&lt;&gt;"",IF(AND(B251&gt;=_TM1,B251&lt;=_TM2,OR(TH!L252="1111",TH!M252="1111")),TH!D252,""),"")</f>
        <v/>
      </c>
      <c r="B251" s="12">
        <f t="shared" si="9"/>
        <v>8</v>
      </c>
      <c r="C251" s="108">
        <f t="shared" si="10"/>
        <v>42613</v>
      </c>
      <c r="D251" s="108" t="s">
        <v>641</v>
      </c>
      <c r="E251" s="108">
        <v>42613</v>
      </c>
      <c r="F251" s="112" t="s">
        <v>465</v>
      </c>
      <c r="G251" s="303" t="s">
        <v>447</v>
      </c>
      <c r="H251" s="115" t="s">
        <v>442</v>
      </c>
      <c r="I251" s="139"/>
      <c r="J251" s="139"/>
      <c r="K251" s="410">
        <v>11008140</v>
      </c>
      <c r="L251" s="116" t="s">
        <v>8</v>
      </c>
      <c r="M251" s="116" t="s">
        <v>46</v>
      </c>
      <c r="N251" s="22" t="str">
        <f>IF(AND('331-CT'!$E$7=TH!H251,OR(L251="331",M251="331")),"331",IF(AND(OR(L251="131",M251="131"),H251='131-CT'!$E$7),"131",""))</f>
        <v>331</v>
      </c>
      <c r="O251" s="22" t="str">
        <f>IF(AND($B251&gt;='111'!$N$11,$B251&lt;='111'!$O$11,OR($L251=$O$7,$M251=$O$7)),"x","")</f>
        <v/>
      </c>
      <c r="P251" s="22" t="str">
        <f>IF(AND($L251=$O$7,$B251&lt;'111'!$N$11),"x","")</f>
        <v/>
      </c>
      <c r="Q251" s="22" t="str">
        <f>IF(AND($M251=$O$7,$B251&lt;'111'!$N$11),"x","")</f>
        <v>x</v>
      </c>
      <c r="R251" s="22" t="str">
        <f>IF(ISERROR(FIND('112'!$M$9,G251,1)),"",IF((AND(FIND('112'!$M$9,G251,1)&gt;=1,$B251&gt;='112'!$N$8,$B251&lt;='112'!$O$8,OR($L251='112'!$I$6,$M251='112'!$I$6))),"x",""))</f>
        <v/>
      </c>
      <c r="S251" s="22" t="str">
        <f>IF(ISERROR(FIND('112'!$M$9,G251,1)),"",IF((AND(LEFT(G251,2)=LEFT('112'!$M$9,2),B251&lt;'112'!$N$8,$L251='112'!$I$6)),"x",""))</f>
        <v/>
      </c>
      <c r="T251" s="22" t="str">
        <f>IF(ISERROR(FIND('112'!$M$9,G251,1)),"",IF((AND(RIGHT(G251,2)=RIGHT('112'!$M$9,2),B251&lt;'112'!$N$8,$M251='112'!$I$6)),"x",""))</f>
        <v/>
      </c>
      <c r="U251" s="22" t="str">
        <f>IF(AND(B251&gt;='IN-NX'!$P$3,B251&lt;='IN-NX'!$Q$3,'IN-NX'!$D$7=D251,OR(LEFT(L251,2)="15",AND(LEFT(M251,2)&lt;&gt;"15",LEFT(M251,2)&lt;&gt;"33"))),"x","")</f>
        <v/>
      </c>
      <c r="V251" s="22" t="str">
        <f>IF(AND(OR(LEFT(TH!L251,2)="15",LEFT(TH!M251,2)="15"),'152-CT'!$J$8=TH!F251),"x","")</f>
        <v/>
      </c>
      <c r="W251" s="22" t="str">
        <f>IF(AND(OR(LEFT(TH!L251,2)="15",LEFT(TH!M251,2)="15"),TK!$E$7=TH!F251),"x","")</f>
        <v/>
      </c>
      <c r="X251" s="22" t="str">
        <f>IF(OR(TH!L251=TH!$X$7,M251=TH!$X$7),"x","")</f>
        <v/>
      </c>
      <c r="Y251" s="22" t="str">
        <f>IF(AND(B251&lt;=NKC!$N$8,B251&gt;=NKC!$M$8),"x","")</f>
        <v>x</v>
      </c>
      <c r="Z251" s="580"/>
    </row>
    <row r="252" spans="1:31" s="406" customFormat="1" ht="15.75" customHeight="1">
      <c r="A252" s="123" t="str">
        <f>IF(B252&lt;&gt;"",IF(AND(B252&gt;=_TM1,B252&lt;=_TM2,OR(TH!L253="1111",TH!M253="1111")),TH!D253,""),"")</f>
        <v/>
      </c>
      <c r="B252" s="12">
        <f t="shared" si="9"/>
        <v>8</v>
      </c>
      <c r="C252" s="108">
        <f t="shared" si="10"/>
        <v>42613</v>
      </c>
      <c r="D252" s="113" t="s">
        <v>642</v>
      </c>
      <c r="E252" s="108">
        <v>42613</v>
      </c>
      <c r="F252" s="112" t="s">
        <v>626</v>
      </c>
      <c r="G252" s="303"/>
      <c r="H252" s="115" t="s">
        <v>488</v>
      </c>
      <c r="I252" s="139"/>
      <c r="J252" s="139"/>
      <c r="K252" s="410">
        <f>ROUND((15*15000+5*25000+6*30000+2*40000)/1.1,0)</f>
        <v>554545</v>
      </c>
      <c r="L252" s="411" t="s">
        <v>254</v>
      </c>
      <c r="M252" s="411" t="s">
        <v>46</v>
      </c>
      <c r="N252" s="22" t="str">
        <f>IF(AND('331-CT'!$E$7=TH!H252,OR(L252="331",M252="331")),"331",IF(AND(OR(L252="131",M252="131"),H252='131-CT'!$E$7),"131",""))</f>
        <v/>
      </c>
      <c r="O252" s="22" t="str">
        <f>IF(AND($B252&gt;='111'!$N$11,$B252&lt;='111'!$O$11,OR($L252=$O$7,$M252=$O$7)),"x","")</f>
        <v/>
      </c>
      <c r="P252" s="22" t="str">
        <f>IF(AND($L252=$O$7,$B252&lt;'111'!$N$11),"x","")</f>
        <v/>
      </c>
      <c r="Q252" s="22" t="str">
        <f>IF(AND($M252=$O$7,$B252&lt;'111'!$N$11),"x","")</f>
        <v>x</v>
      </c>
      <c r="R252" s="22" t="str">
        <f>IF(ISERROR(FIND('112'!$M$9,G252,1)),"",IF((AND(FIND('112'!$M$9,G252,1)&gt;=1,$B252&gt;='112'!$N$8,$B252&lt;='112'!$O$8,OR($L252='112'!$I$6,$M252='112'!$I$6))),"x",""))</f>
        <v/>
      </c>
      <c r="S252" s="22" t="str">
        <f>IF(ISERROR(FIND('112'!$M$9,G252,1)),"",IF((AND(LEFT(G252,2)=LEFT('112'!$M$9,2),B252&lt;'112'!$N$8,$L252='112'!$I$6)),"x",""))</f>
        <v/>
      </c>
      <c r="T252" s="22" t="str">
        <f>IF(ISERROR(FIND('112'!$M$9,G252,1)),"",IF((AND(RIGHT(G252,2)=RIGHT('112'!$M$9,2),B252&lt;'112'!$N$8,$M252='112'!$I$6)),"x",""))</f>
        <v/>
      </c>
      <c r="U252" s="22" t="str">
        <f>IF(AND(B252&gt;='IN-NX'!$P$3,B252&lt;='IN-NX'!$Q$3,'IN-NX'!$D$7=D252,OR(LEFT(L252,2)="15",AND(LEFT(M252,2)&lt;&gt;"15",LEFT(M252,2)&lt;&gt;"33"))),"x","")</f>
        <v/>
      </c>
      <c r="V252" s="22" t="str">
        <f>IF(AND(OR(LEFT(TH!L252,2)="15",LEFT(TH!M252,2)="15"),'152-CT'!$J$8=TH!F252),"x","")</f>
        <v/>
      </c>
      <c r="W252" s="22" t="str">
        <f>IF(AND(OR(LEFT(TH!L252,2)="15",LEFT(TH!M252,2)="15"),TK!$E$7=TH!F252),"x","")</f>
        <v/>
      </c>
      <c r="X252" s="22" t="str">
        <f>IF(OR(TH!L252=TH!$X$7,M252=TH!$X$7),"x","")</f>
        <v/>
      </c>
      <c r="Y252" s="22" t="str">
        <f>IF(AND(B252&lt;=NKC!$N$8,B252&gt;=NKC!$M$8),"x","")</f>
        <v>x</v>
      </c>
      <c r="Z252" s="580">
        <v>3</v>
      </c>
      <c r="AD252" s="130"/>
      <c r="AE252" s="130"/>
    </row>
    <row r="253" spans="1:31" s="406" customFormat="1" ht="15.75" customHeight="1">
      <c r="A253" s="123" t="str">
        <f>IF(B253&lt;&gt;"",IF(AND(B253&gt;=_TM1,B253&lt;=_TM2,OR(TH!L254="1111",TH!M254="1111")),TH!D254,""),"")</f>
        <v/>
      </c>
      <c r="B253" s="12">
        <f t="shared" si="9"/>
        <v>8</v>
      </c>
      <c r="C253" s="108">
        <f t="shared" si="10"/>
        <v>42613</v>
      </c>
      <c r="D253" s="113" t="s">
        <v>642</v>
      </c>
      <c r="E253" s="108">
        <v>42613</v>
      </c>
      <c r="F253" s="112" t="s">
        <v>627</v>
      </c>
      <c r="G253" s="303"/>
      <c r="H253" s="115"/>
      <c r="I253" s="139"/>
      <c r="J253" s="139"/>
      <c r="K253" s="410">
        <v>55455</v>
      </c>
      <c r="L253" s="411" t="s">
        <v>9</v>
      </c>
      <c r="M253" s="411" t="s">
        <v>46</v>
      </c>
      <c r="N253" s="22" t="str">
        <f>IF(AND('331-CT'!$E$7=TH!H253,OR(L253="331",M253="331")),"331",IF(AND(OR(L253="131",M253="131"),H253='131-CT'!$E$7),"131",""))</f>
        <v/>
      </c>
      <c r="O253" s="22" t="str">
        <f>IF(AND($B253&gt;='111'!$N$11,$B253&lt;='111'!$O$11,OR($L253=$O$7,$M253=$O$7)),"x","")</f>
        <v/>
      </c>
      <c r="P253" s="22" t="str">
        <f>IF(AND($L253=$O$7,$B253&lt;'111'!$N$11),"x","")</f>
        <v/>
      </c>
      <c r="Q253" s="22" t="str">
        <f>IF(AND($M253=$O$7,$B253&lt;'111'!$N$11),"x","")</f>
        <v>x</v>
      </c>
      <c r="R253" s="22" t="str">
        <f>IF(ISERROR(FIND('112'!$M$9,G253,1)),"",IF((AND(FIND('112'!$M$9,G253,1)&gt;=1,$B253&gt;='112'!$N$8,$B253&lt;='112'!$O$8,OR($L253='112'!$I$6,$M253='112'!$I$6))),"x",""))</f>
        <v/>
      </c>
      <c r="S253" s="22" t="str">
        <f>IF(ISERROR(FIND('112'!$M$9,G253,1)),"",IF((AND(LEFT(G253,2)=LEFT('112'!$M$9,2),B253&lt;'112'!$N$8,$L253='112'!$I$6)),"x",""))</f>
        <v/>
      </c>
      <c r="T253" s="22" t="str">
        <f>IF(ISERROR(FIND('112'!$M$9,G253,1)),"",IF((AND(RIGHT(G253,2)=RIGHT('112'!$M$9,2),B253&lt;'112'!$N$8,$M253='112'!$I$6)),"x",""))</f>
        <v/>
      </c>
      <c r="U253" s="22" t="str">
        <f>IF(AND(B253&gt;='IN-NX'!$P$3,B253&lt;='IN-NX'!$Q$3,'IN-NX'!$D$7=D253,OR(LEFT(L253,2)="15",AND(LEFT(M253,2)&lt;&gt;"15",LEFT(M253,2)&lt;&gt;"33"))),"x","")</f>
        <v/>
      </c>
      <c r="V253" s="22" t="str">
        <f>IF(AND(OR(LEFT(TH!L253,2)="15",LEFT(TH!M253,2)="15"),'152-CT'!$J$8=TH!F253),"x","")</f>
        <v/>
      </c>
      <c r="W253" s="22" t="str">
        <f>IF(AND(OR(LEFT(TH!L253,2)="15",LEFT(TH!M253,2)="15"),TK!$E$7=TH!F253),"x","")</f>
        <v/>
      </c>
      <c r="X253" s="22" t="str">
        <f>IF(OR(TH!L253=TH!$X$7,M253=TH!$X$7),"x","")</f>
        <v/>
      </c>
      <c r="Y253" s="22" t="str">
        <f>IF(AND(B253&lt;=NKC!$N$8,B253&gt;=NKC!$M$8),"x","")</f>
        <v>x</v>
      </c>
      <c r="Z253" s="580">
        <v>3</v>
      </c>
      <c r="AD253" s="130"/>
      <c r="AE253" s="130"/>
    </row>
    <row r="254" spans="1:31" s="130" customFormat="1" ht="15.75" customHeight="1">
      <c r="A254" s="123" t="str">
        <f>IF(B254&lt;&gt;"",IF(AND(B254&gt;=_TM1,B254&lt;=_TM2,OR(TH!L255="1111",TH!M255="1111")),TH!D255,""),"")</f>
        <v/>
      </c>
      <c r="B254" s="12">
        <f t="shared" si="9"/>
        <v>8</v>
      </c>
      <c r="C254" s="108">
        <f t="shared" si="10"/>
        <v>42613</v>
      </c>
      <c r="D254" s="108" t="s">
        <v>469</v>
      </c>
      <c r="E254" s="113">
        <v>42613</v>
      </c>
      <c r="F254" s="112" t="s">
        <v>484</v>
      </c>
      <c r="G254" s="303" t="s">
        <v>474</v>
      </c>
      <c r="H254" s="4" t="s">
        <v>371</v>
      </c>
      <c r="I254" s="139"/>
      <c r="J254" s="139"/>
      <c r="K254" s="410">
        <v>22752620</v>
      </c>
      <c r="L254" s="411" t="s">
        <v>24</v>
      </c>
      <c r="M254" s="411" t="s">
        <v>252</v>
      </c>
      <c r="N254" s="22" t="str">
        <f>IF(AND('331-CT'!$E$7=TH!H254,OR(L254="331",M254="331")),"331",IF(AND(OR(L254="131",M254="131"),H254='131-CT'!$E$7),"131",""))</f>
        <v/>
      </c>
      <c r="O254" s="22" t="str">
        <f>IF(AND($B254&gt;='111'!$N$11,$B254&lt;='111'!$O$11,OR($L254=$O$7,$M254=$O$7)),"x","")</f>
        <v/>
      </c>
      <c r="P254" s="22" t="str">
        <f>IF(AND($L254=$O$7,$B254&lt;'111'!$N$11),"x","")</f>
        <v/>
      </c>
      <c r="Q254" s="22" t="str">
        <f>IF(AND($M254=$O$7,$B254&lt;'111'!$N$11),"x","")</f>
        <v/>
      </c>
      <c r="R254" s="22" t="str">
        <f>IF(ISERROR(FIND('112'!$M$9,G254,1)),"",IF((AND(FIND('112'!$M$9,G254,1)&gt;=1,$B254&gt;='112'!$N$8,$B254&lt;='112'!$O$8,OR($L254='112'!$I$6,$M254='112'!$I$6))),"x",""))</f>
        <v/>
      </c>
      <c r="S254" s="22" t="str">
        <f>IF(ISERROR(FIND('112'!$M$9,G254,1)),"",IF((AND(LEFT(G254,2)=LEFT('112'!$M$9,2),B254&lt;'112'!$N$8,$L254='112'!$I$6)),"x",""))</f>
        <v>x</v>
      </c>
      <c r="T254" s="22" t="str">
        <f>IF(ISERROR(FIND('112'!$M$9,G254,1)),"",IF((AND(RIGHT(G254,2)=RIGHT('112'!$M$9,2),B254&lt;'112'!$N$8,$M254='112'!$I$6)),"x",""))</f>
        <v/>
      </c>
      <c r="U254" s="22" t="str">
        <f>IF(AND(B254&gt;='IN-NX'!$P$3,B254&lt;='IN-NX'!$Q$3,'IN-NX'!$D$7=D254,OR(LEFT(L254,2)="15",AND(LEFT(M254,2)&lt;&gt;"15",LEFT(M254,2)&lt;&gt;"33"))),"x","")</f>
        <v/>
      </c>
      <c r="V254" s="22" t="str">
        <f>IF(AND(OR(LEFT(TH!L254,2)="15",LEFT(TH!M254,2)="15"),'152-CT'!$J$8=TH!F254),"x","")</f>
        <v/>
      </c>
      <c r="W254" s="22" t="str">
        <f>IF(AND(OR(LEFT(TH!L254,2)="15",LEFT(TH!M254,2)="15"),TK!$E$7=TH!F254),"x","")</f>
        <v/>
      </c>
      <c r="X254" s="22" t="str">
        <f>IF(OR(TH!L254=TH!$X$7,M254=TH!$X$7),"x","")</f>
        <v/>
      </c>
      <c r="Y254" s="22" t="str">
        <f>IF(AND(B254&lt;=NKC!$N$8,B254&gt;=NKC!$M$8),"x","")</f>
        <v>x</v>
      </c>
      <c r="Z254" s="580"/>
      <c r="AA254" s="406"/>
      <c r="AB254" s="406"/>
      <c r="AC254" s="406"/>
    </row>
    <row r="255" spans="1:31" s="130" customFormat="1" ht="15.75" customHeight="1">
      <c r="A255" s="123" t="str">
        <f>IF(B255&lt;&gt;"",IF(AND(B255&gt;=_TM1,B255&lt;=_TM2,OR(TH!L256="1111",TH!M256="1111")),TH!D256,""),"")</f>
        <v/>
      </c>
      <c r="B255" s="12">
        <f t="shared" si="9"/>
        <v>8</v>
      </c>
      <c r="C255" s="108">
        <f t="shared" si="10"/>
        <v>42613</v>
      </c>
      <c r="D255" s="108" t="s">
        <v>593</v>
      </c>
      <c r="E255" s="113">
        <v>42613</v>
      </c>
      <c r="F255" s="112" t="s">
        <v>502</v>
      </c>
      <c r="G255" s="303" t="s">
        <v>740</v>
      </c>
      <c r="H255" s="4" t="s">
        <v>367</v>
      </c>
      <c r="I255" s="139">
        <v>1500</v>
      </c>
      <c r="J255" s="139">
        <v>13800</v>
      </c>
      <c r="K255" s="13">
        <f>ROUND(I255*J255,0)</f>
        <v>20700000</v>
      </c>
      <c r="L255" s="116" t="s">
        <v>252</v>
      </c>
      <c r="M255" s="411" t="s">
        <v>169</v>
      </c>
      <c r="N255" s="22" t="str">
        <f>IF(AND('331-CT'!$E$7=TH!H255,OR(L255="331",M255="331")),"331",IF(AND(OR(L255="131",M255="131"),H255='131-CT'!$E$7),"131",""))</f>
        <v/>
      </c>
      <c r="O255" s="22" t="str">
        <f>IF(AND($B255&gt;='111'!$N$11,$B255&lt;='111'!$O$11,OR($L255=$O$7,$M255=$O$7)),"x","")</f>
        <v/>
      </c>
      <c r="P255" s="22" t="str">
        <f>IF(AND($L255=$O$7,$B255&lt;'111'!$N$11),"x","")</f>
        <v/>
      </c>
      <c r="Q255" s="22" t="str">
        <f>IF(AND($M255=$O$7,$B255&lt;'111'!$N$11),"x","")</f>
        <v/>
      </c>
      <c r="R255" s="22" t="str">
        <f>IF(ISERROR(FIND('112'!$M$9,G255,1)),"",IF((AND(FIND('112'!$M$9,G255,1)&gt;=1,$B255&gt;='112'!$N$8,$B255&lt;='112'!$O$8,OR($L255='112'!$I$6,$M255='112'!$I$6))),"x",""))</f>
        <v/>
      </c>
      <c r="S255" s="22" t="str">
        <f>IF(ISERROR(FIND('112'!$M$9,G255,1)),"",IF((AND(LEFT(G255,2)=LEFT('112'!$M$9,2),B255&lt;'112'!$N$8,$L255='112'!$I$6)),"x",""))</f>
        <v/>
      </c>
      <c r="T255" s="22" t="str">
        <f>IF(ISERROR(FIND('112'!$M$9,G255,1)),"",IF((AND(RIGHT(G255,2)=RIGHT('112'!$M$9,2),B255&lt;'112'!$N$8,$M255='112'!$I$6)),"x",""))</f>
        <v/>
      </c>
      <c r="U255" s="22" t="str">
        <f>IF(AND(B255&gt;='IN-NX'!$P$3,B255&lt;='IN-NX'!$Q$3,'IN-NX'!$D$7=D255,OR(LEFT(L255,2)="15",AND(LEFT(M255,2)&lt;&gt;"15",LEFT(M255,2)&lt;&gt;"33"))),"x","")</f>
        <v/>
      </c>
      <c r="V255" s="22" t="str">
        <f>IF(AND(OR(LEFT(TH!L255,2)="15",LEFT(TH!M255,2)="15"),'152-CT'!$J$8=TH!F255),"x","")</f>
        <v/>
      </c>
      <c r="W255" s="22" t="str">
        <f>IF(AND(OR(LEFT(TH!L255,2)="15",LEFT(TH!M255,2)="15"),TK!$E$7=TH!F255),"x","")</f>
        <v/>
      </c>
      <c r="X255" s="22" t="str">
        <f>IF(OR(TH!L255=TH!$X$7,M255=TH!$X$7),"x","")</f>
        <v/>
      </c>
      <c r="Y255" s="22" t="str">
        <f>IF(AND(B255&lt;=NKC!$N$8,B255&gt;=NKC!$M$8),"x","")</f>
        <v>x</v>
      </c>
      <c r="Z255" s="580"/>
      <c r="AA255" s="406"/>
      <c r="AB255" s="406"/>
    </row>
    <row r="256" spans="1:31" s="406" customFormat="1" ht="15.75" customHeight="1">
      <c r="A256" s="123" t="str">
        <f>IF(B256&lt;&gt;"",IF(AND(B256&gt;=_TM1,B256&lt;=_TM2,OR(TH!L257="1111",TH!M257="1111")),TH!D257,""),"")</f>
        <v/>
      </c>
      <c r="B256" s="12">
        <f t="shared" si="9"/>
        <v>8</v>
      </c>
      <c r="C256" s="108">
        <f t="shared" si="10"/>
        <v>42613</v>
      </c>
      <c r="D256" s="108" t="s">
        <v>593</v>
      </c>
      <c r="E256" s="113">
        <v>42613</v>
      </c>
      <c r="F256" s="112" t="s">
        <v>502</v>
      </c>
      <c r="G256" s="303" t="s">
        <v>740</v>
      </c>
      <c r="H256" s="4" t="s">
        <v>367</v>
      </c>
      <c r="I256" s="139">
        <v>400</v>
      </c>
      <c r="J256" s="139">
        <v>13400</v>
      </c>
      <c r="K256" s="13">
        <f>ROUND(I256*J256,0)</f>
        <v>5360000</v>
      </c>
      <c r="L256" s="116" t="s">
        <v>252</v>
      </c>
      <c r="M256" s="411" t="s">
        <v>169</v>
      </c>
      <c r="N256" s="22" t="str">
        <f>IF(AND('331-CT'!$E$7=TH!H256,OR(L256="331",M256="331")),"331",IF(AND(OR(L256="131",M256="131"),H256='131-CT'!$E$7),"131",""))</f>
        <v/>
      </c>
      <c r="O256" s="22" t="str">
        <f>IF(AND($B256&gt;='111'!$N$11,$B256&lt;='111'!$O$11,OR($L256=$O$7,$M256=$O$7)),"x","")</f>
        <v/>
      </c>
      <c r="P256" s="22" t="str">
        <f>IF(AND($L256=$O$7,$B256&lt;'111'!$N$11),"x","")</f>
        <v/>
      </c>
      <c r="Q256" s="22" t="str">
        <f>IF(AND($M256=$O$7,$B256&lt;'111'!$N$11),"x","")</f>
        <v/>
      </c>
      <c r="R256" s="22" t="str">
        <f>IF(ISERROR(FIND('112'!$M$9,G256,1)),"",IF((AND(FIND('112'!$M$9,G256,1)&gt;=1,$B256&gt;='112'!$N$8,$B256&lt;='112'!$O$8,OR($L256='112'!$I$6,$M256='112'!$I$6))),"x",""))</f>
        <v/>
      </c>
      <c r="S256" s="22" t="str">
        <f>IF(ISERROR(FIND('112'!$M$9,G256,1)),"",IF((AND(LEFT(G256,2)=LEFT('112'!$M$9,2),B256&lt;'112'!$N$8,$L256='112'!$I$6)),"x",""))</f>
        <v/>
      </c>
      <c r="T256" s="22" t="str">
        <f>IF(ISERROR(FIND('112'!$M$9,G256,1)),"",IF((AND(RIGHT(G256,2)=RIGHT('112'!$M$9,2),B256&lt;'112'!$N$8,$M256='112'!$I$6)),"x",""))</f>
        <v/>
      </c>
      <c r="U256" s="22" t="str">
        <f>IF(AND(B256&gt;='IN-NX'!$P$3,B256&lt;='IN-NX'!$Q$3,'IN-NX'!$D$7=D256,OR(LEFT(L256,2)="15",AND(LEFT(M256,2)&lt;&gt;"15",LEFT(M256,2)&lt;&gt;"33"))),"x","")</f>
        <v/>
      </c>
      <c r="V256" s="22" t="str">
        <f>IF(AND(OR(LEFT(TH!L256,2)="15",LEFT(TH!M256,2)="15"),'152-CT'!$J$8=TH!F256),"x","")</f>
        <v/>
      </c>
      <c r="W256" s="22" t="str">
        <f>IF(AND(OR(LEFT(TH!L256,2)="15",LEFT(TH!M256,2)="15"),TK!$E$7=TH!F256),"x","")</f>
        <v/>
      </c>
      <c r="X256" s="22" t="str">
        <f>IF(OR(TH!L256=TH!$X$7,M256=TH!$X$7),"x","")</f>
        <v/>
      </c>
      <c r="Y256" s="22" t="str">
        <f>IF(AND(B256&lt;=NKC!$N$8,B256&gt;=NKC!$M$8),"x","")</f>
        <v>x</v>
      </c>
      <c r="Z256" s="580"/>
      <c r="AC256" s="130"/>
      <c r="AD256" s="130"/>
      <c r="AE256" s="130"/>
    </row>
    <row r="257" spans="1:31" s="406" customFormat="1" ht="15.75" customHeight="1">
      <c r="A257" s="123" t="str">
        <f>IF(B257&lt;&gt;"",IF(AND(B257&gt;=_TM1,B257&lt;=_TM2,OR(TH!L258="1111",TH!M258="1111")),TH!D258,""),"")</f>
        <v/>
      </c>
      <c r="B257" s="12">
        <f t="shared" si="9"/>
        <v>8</v>
      </c>
      <c r="C257" s="108">
        <f t="shared" si="10"/>
        <v>42613</v>
      </c>
      <c r="D257" s="108" t="s">
        <v>593</v>
      </c>
      <c r="E257" s="113">
        <v>42613</v>
      </c>
      <c r="F257" s="112" t="s">
        <v>377</v>
      </c>
      <c r="G257" s="303" t="s">
        <v>740</v>
      </c>
      <c r="H257" s="4" t="s">
        <v>367</v>
      </c>
      <c r="I257" s="139">
        <v>3800</v>
      </c>
      <c r="J257" s="139">
        <v>1300</v>
      </c>
      <c r="K257" s="13">
        <f>ROUND(I257*J257,0)</f>
        <v>4940000</v>
      </c>
      <c r="L257" s="116" t="s">
        <v>252</v>
      </c>
      <c r="M257" s="411" t="s">
        <v>169</v>
      </c>
      <c r="N257" s="22" t="str">
        <f>IF(AND('331-CT'!$E$7=TH!H257,OR(L257="331",M257="331")),"331",IF(AND(OR(L257="131",M257="131"),H257='131-CT'!$E$7),"131",""))</f>
        <v/>
      </c>
      <c r="O257" s="22" t="str">
        <f>IF(AND($B257&gt;='111'!$N$11,$B257&lt;='111'!$O$11,OR($L257=$O$7,$M257=$O$7)),"x","")</f>
        <v/>
      </c>
      <c r="P257" s="22" t="str">
        <f>IF(AND($L257=$O$7,$B257&lt;'111'!$N$11),"x","")</f>
        <v/>
      </c>
      <c r="Q257" s="22" t="str">
        <f>IF(AND($M257=$O$7,$B257&lt;'111'!$N$11),"x","")</f>
        <v/>
      </c>
      <c r="R257" s="22" t="str">
        <f>IF(ISERROR(FIND('112'!$M$9,G257,1)),"",IF((AND(FIND('112'!$M$9,G257,1)&gt;=1,$B257&gt;='112'!$N$8,$B257&lt;='112'!$O$8,OR($L257='112'!$I$6,$M257='112'!$I$6))),"x",""))</f>
        <v/>
      </c>
      <c r="S257" s="22" t="str">
        <f>IF(ISERROR(FIND('112'!$M$9,G257,1)),"",IF((AND(LEFT(G257,2)=LEFT('112'!$M$9,2),B257&lt;'112'!$N$8,$L257='112'!$I$6)),"x",""))</f>
        <v/>
      </c>
      <c r="T257" s="22" t="str">
        <f>IF(ISERROR(FIND('112'!$M$9,G257,1)),"",IF((AND(RIGHT(G257,2)=RIGHT('112'!$M$9,2),B257&lt;'112'!$N$8,$M257='112'!$I$6)),"x",""))</f>
        <v/>
      </c>
      <c r="U257" s="22" t="str">
        <f>IF(AND(B257&gt;='IN-NX'!$P$3,B257&lt;='IN-NX'!$Q$3,'IN-NX'!$D$7=D257,OR(LEFT(L257,2)="15",AND(LEFT(M257,2)&lt;&gt;"15",LEFT(M257,2)&lt;&gt;"33"))),"x","")</f>
        <v/>
      </c>
      <c r="V257" s="22" t="str">
        <f>IF(AND(OR(LEFT(TH!L257,2)="15",LEFT(TH!M257,2)="15"),'152-CT'!$J$8=TH!F257),"x","")</f>
        <v/>
      </c>
      <c r="W257" s="22" t="str">
        <f>IF(AND(OR(LEFT(TH!L257,2)="15",LEFT(TH!M257,2)="15"),TK!$E$7=TH!F257),"x","")</f>
        <v/>
      </c>
      <c r="X257" s="22" t="str">
        <f>IF(OR(TH!L257=TH!$X$7,M257=TH!$X$7),"x","")</f>
        <v/>
      </c>
      <c r="Y257" s="22" t="str">
        <f>IF(AND(B257&lt;=NKC!$N$8,B257&gt;=NKC!$M$8),"x","")</f>
        <v>x</v>
      </c>
      <c r="Z257" s="580"/>
      <c r="AB257" s="130"/>
      <c r="AC257" s="130"/>
      <c r="AD257" s="130"/>
      <c r="AE257" s="130"/>
    </row>
    <row r="258" spans="1:31" s="130" customFormat="1" ht="15.75" customHeight="1">
      <c r="A258" s="123" t="str">
        <f>IF(B258&lt;&gt;"",IF(AND(B258&gt;=_TM1,B258&lt;=_TM2,OR(TH!L259="1111",TH!M259="1111")),TH!D259,""),"")</f>
        <v/>
      </c>
      <c r="B258" s="12">
        <f t="shared" si="9"/>
        <v>8</v>
      </c>
      <c r="C258" s="108">
        <f t="shared" si="10"/>
        <v>42613</v>
      </c>
      <c r="D258" s="108" t="s">
        <v>593</v>
      </c>
      <c r="E258" s="113">
        <v>42613</v>
      </c>
      <c r="F258" s="112" t="s">
        <v>496</v>
      </c>
      <c r="G258" s="303" t="s">
        <v>740</v>
      </c>
      <c r="H258" s="4" t="s">
        <v>367</v>
      </c>
      <c r="I258" s="139"/>
      <c r="J258" s="139"/>
      <c r="K258" s="13">
        <v>3100000</v>
      </c>
      <c r="L258" s="116" t="s">
        <v>252</v>
      </c>
      <c r="M258" s="411" t="s">
        <v>352</v>
      </c>
      <c r="N258" s="22" t="str">
        <f>IF(AND('331-CT'!$E$7=TH!H258,OR(L258="331",M258="331")),"331",IF(AND(OR(L258="131",M258="131"),H258='131-CT'!$E$7),"131",""))</f>
        <v/>
      </c>
      <c r="O258" s="22" t="str">
        <f>IF(AND($B258&gt;='111'!$N$11,$B258&lt;='111'!$O$11,OR($L258=$O$7,$M258=$O$7)),"x","")</f>
        <v/>
      </c>
      <c r="P258" s="22" t="str">
        <f>IF(AND($L258=$O$7,$B258&lt;'111'!$N$11),"x","")</f>
        <v/>
      </c>
      <c r="Q258" s="22" t="str">
        <f>IF(AND($M258=$O$7,$B258&lt;'111'!$N$11),"x","")</f>
        <v/>
      </c>
      <c r="R258" s="22" t="str">
        <f>IF(ISERROR(FIND('112'!$M$9,G258,1)),"",IF((AND(FIND('112'!$M$9,G258,1)&gt;=1,$B258&gt;='112'!$N$8,$B258&lt;='112'!$O$8,OR($L258='112'!$I$6,$M258='112'!$I$6))),"x",""))</f>
        <v/>
      </c>
      <c r="S258" s="22" t="str">
        <f>IF(ISERROR(FIND('112'!$M$9,G258,1)),"",IF((AND(LEFT(G258,2)=LEFT('112'!$M$9,2),B258&lt;'112'!$N$8,$L258='112'!$I$6)),"x",""))</f>
        <v/>
      </c>
      <c r="T258" s="22" t="str">
        <f>IF(ISERROR(FIND('112'!$M$9,G258,1)),"",IF((AND(RIGHT(G258,2)=RIGHT('112'!$M$9,2),B258&lt;'112'!$N$8,$M258='112'!$I$6)),"x",""))</f>
        <v/>
      </c>
      <c r="U258" s="22" t="str">
        <f>IF(AND(B258&gt;='IN-NX'!$P$3,B258&lt;='IN-NX'!$Q$3,'IN-NX'!$D$7=D258,OR(LEFT(L258,2)="15",AND(LEFT(M258,2)&lt;&gt;"15",LEFT(M258,2)&lt;&gt;"33"))),"x","")</f>
        <v/>
      </c>
      <c r="V258" s="22" t="str">
        <f>IF(AND(OR(LEFT(TH!L258,2)="15",LEFT(TH!M258,2)="15"),'152-CT'!$J$8=TH!F258),"x","")</f>
        <v/>
      </c>
      <c r="W258" s="22" t="str">
        <f>IF(AND(OR(LEFT(TH!L258,2)="15",LEFT(TH!M258,2)="15"),TK!$E$7=TH!F258),"x","")</f>
        <v/>
      </c>
      <c r="X258" s="22" t="str">
        <f>IF(OR(TH!L258=TH!$X$7,M258=TH!$X$7),"x","")</f>
        <v/>
      </c>
      <c r="Y258" s="22" t="str">
        <f>IF(AND(B258&lt;=NKC!$N$8,B258&gt;=NKC!$M$8),"x","")</f>
        <v>x</v>
      </c>
      <c r="Z258" s="580"/>
      <c r="AA258" s="406"/>
      <c r="AB258" s="406"/>
    </row>
    <row r="259" spans="1:31" s="406" customFormat="1" ht="15.75" customHeight="1">
      <c r="A259" s="123" t="str">
        <f>IF(B259&lt;&gt;"",IF(AND(B259&gt;=_TM1,B259&lt;=_TM2,OR(TH!L260="1111",TH!M260="1111")),TH!D260,""),"")</f>
        <v/>
      </c>
      <c r="B259" s="12">
        <f t="shared" si="9"/>
        <v>8</v>
      </c>
      <c r="C259" s="108">
        <f t="shared" si="10"/>
        <v>42613</v>
      </c>
      <c r="D259" s="108" t="s">
        <v>594</v>
      </c>
      <c r="E259" s="113">
        <v>42613</v>
      </c>
      <c r="F259" s="112" t="s">
        <v>520</v>
      </c>
      <c r="G259" s="303" t="s">
        <v>741</v>
      </c>
      <c r="H259" s="4" t="s">
        <v>365</v>
      </c>
      <c r="I259" s="139">
        <v>819</v>
      </c>
      <c r="J259" s="139">
        <v>5000</v>
      </c>
      <c r="K259" s="13">
        <f>ROUND(I259*J259,0)</f>
        <v>4095000</v>
      </c>
      <c r="L259" s="116" t="s">
        <v>252</v>
      </c>
      <c r="M259" s="411" t="s">
        <v>169</v>
      </c>
      <c r="N259" s="22" t="str">
        <f>IF(AND('331-CT'!$E$7=TH!H259,OR(L259="331",M259="331")),"331",IF(AND(OR(L259="131",M259="131"),H259='131-CT'!$E$7),"131",""))</f>
        <v/>
      </c>
      <c r="O259" s="22" t="str">
        <f>IF(AND($B259&gt;='111'!$N$11,$B259&lt;='111'!$O$11,OR($L259=$O$7,$M259=$O$7)),"x","")</f>
        <v/>
      </c>
      <c r="P259" s="22" t="str">
        <f>IF(AND($L259=$O$7,$B259&lt;'111'!$N$11),"x","")</f>
        <v/>
      </c>
      <c r="Q259" s="22" t="str">
        <f>IF(AND($M259=$O$7,$B259&lt;'111'!$N$11),"x","")</f>
        <v/>
      </c>
      <c r="R259" s="22" t="str">
        <f>IF(ISERROR(FIND('112'!$M$9,G259,1)),"",IF((AND(FIND('112'!$M$9,G259,1)&gt;=1,$B259&gt;='112'!$N$8,$B259&lt;='112'!$O$8,OR($L259='112'!$I$6,$M259='112'!$I$6))),"x",""))</f>
        <v/>
      </c>
      <c r="S259" s="22" t="str">
        <f>IF(ISERROR(FIND('112'!$M$9,G259,1)),"",IF((AND(LEFT(G259,2)=LEFT('112'!$M$9,2),B259&lt;'112'!$N$8,$L259='112'!$I$6)),"x",""))</f>
        <v/>
      </c>
      <c r="T259" s="22" t="str">
        <f>IF(ISERROR(FIND('112'!$M$9,G259,1)),"",IF((AND(RIGHT(G259,2)=RIGHT('112'!$M$9,2),B259&lt;'112'!$N$8,$M259='112'!$I$6)),"x",""))</f>
        <v/>
      </c>
      <c r="U259" s="22" t="str">
        <f>IF(AND(B259&gt;='IN-NX'!$P$3,B259&lt;='IN-NX'!$Q$3,'IN-NX'!$D$7=D259,OR(LEFT(L259,2)="15",AND(LEFT(M259,2)&lt;&gt;"15",LEFT(M259,2)&lt;&gt;"33"))),"x","")</f>
        <v/>
      </c>
      <c r="V259" s="22" t="str">
        <f>IF(AND(OR(LEFT(TH!L259,2)="15",LEFT(TH!M259,2)="15"),'152-CT'!$J$8=TH!F259),"x","")</f>
        <v/>
      </c>
      <c r="W259" s="22" t="str">
        <f>IF(AND(OR(LEFT(TH!L259,2)="15",LEFT(TH!M259,2)="15"),TK!$E$7=TH!F259),"x","")</f>
        <v/>
      </c>
      <c r="X259" s="22" t="str">
        <f>IF(OR(TH!L259=TH!$X$7,M259=TH!$X$7),"x","")</f>
        <v/>
      </c>
      <c r="Y259" s="22" t="str">
        <f>IF(AND(B259&lt;=NKC!$N$8,B259&gt;=NKC!$M$8),"x","")</f>
        <v>x</v>
      </c>
      <c r="Z259" s="580"/>
      <c r="AC259" s="130"/>
      <c r="AD259" s="130"/>
      <c r="AE259" s="130"/>
    </row>
    <row r="260" spans="1:31" s="406" customFormat="1" ht="15.75" customHeight="1">
      <c r="A260" s="123" t="str">
        <f>IF(B260&lt;&gt;"",IF(AND(B260&gt;=_TM1,B260&lt;=_TM2,OR(TH!L261="1111",TH!M261="1111")),TH!D261,""),"")</f>
        <v/>
      </c>
      <c r="B260" s="12">
        <f t="shared" si="9"/>
        <v>8</v>
      </c>
      <c r="C260" s="108">
        <f t="shared" si="10"/>
        <v>42613</v>
      </c>
      <c r="D260" s="108" t="s">
        <v>594</v>
      </c>
      <c r="E260" s="113">
        <v>42613</v>
      </c>
      <c r="F260" s="112" t="s">
        <v>546</v>
      </c>
      <c r="G260" s="303" t="s">
        <v>741</v>
      </c>
      <c r="H260" s="4" t="s">
        <v>365</v>
      </c>
      <c r="I260" s="139">
        <v>610</v>
      </c>
      <c r="J260" s="139">
        <v>5550</v>
      </c>
      <c r="K260" s="13">
        <f>ROUND(I260*J260,0)</f>
        <v>3385500</v>
      </c>
      <c r="L260" s="116" t="s">
        <v>252</v>
      </c>
      <c r="M260" s="411" t="s">
        <v>169</v>
      </c>
      <c r="N260" s="22" t="str">
        <f>IF(AND('331-CT'!$E$7=TH!H260,OR(L260="331",M260="331")),"331",IF(AND(OR(L260="131",M260="131"),H260='131-CT'!$E$7),"131",""))</f>
        <v/>
      </c>
      <c r="O260" s="22" t="str">
        <f>IF(AND($B260&gt;='111'!$N$11,$B260&lt;='111'!$O$11,OR($L260=$O$7,$M260=$O$7)),"x","")</f>
        <v/>
      </c>
      <c r="P260" s="22" t="str">
        <f>IF(AND($L260=$O$7,$B260&lt;'111'!$N$11),"x","")</f>
        <v/>
      </c>
      <c r="Q260" s="22" t="str">
        <f>IF(AND($M260=$O$7,$B260&lt;'111'!$N$11),"x","")</f>
        <v/>
      </c>
      <c r="R260" s="22" t="str">
        <f>IF(ISERROR(FIND('112'!$M$9,G260,1)),"",IF((AND(FIND('112'!$M$9,G260,1)&gt;=1,$B260&gt;='112'!$N$8,$B260&lt;='112'!$O$8,OR($L260='112'!$I$6,$M260='112'!$I$6))),"x",""))</f>
        <v/>
      </c>
      <c r="S260" s="22" t="str">
        <f>IF(ISERROR(FIND('112'!$M$9,G260,1)),"",IF((AND(LEFT(G260,2)=LEFT('112'!$M$9,2),B260&lt;'112'!$N$8,$L260='112'!$I$6)),"x",""))</f>
        <v/>
      </c>
      <c r="T260" s="22" t="str">
        <f>IF(ISERROR(FIND('112'!$M$9,G260,1)),"",IF((AND(RIGHT(G260,2)=RIGHT('112'!$M$9,2),B260&lt;'112'!$N$8,$M260='112'!$I$6)),"x",""))</f>
        <v/>
      </c>
      <c r="U260" s="22" t="str">
        <f>IF(AND(B260&gt;='IN-NX'!$P$3,B260&lt;='IN-NX'!$Q$3,'IN-NX'!$D$7=D260,OR(LEFT(L260,2)="15",AND(LEFT(M260,2)&lt;&gt;"15",LEFT(M260,2)&lt;&gt;"33"))),"x","")</f>
        <v/>
      </c>
      <c r="V260" s="22" t="str">
        <f>IF(AND(OR(LEFT(TH!L260,2)="15",LEFT(TH!M260,2)="15"),'152-CT'!$J$8=TH!F260),"x","")</f>
        <v/>
      </c>
      <c r="W260" s="22" t="str">
        <f>IF(AND(OR(LEFT(TH!L260,2)="15",LEFT(TH!M260,2)="15"),TK!$E$7=TH!F260),"x","")</f>
        <v/>
      </c>
      <c r="X260" s="22" t="str">
        <f>IF(OR(TH!L260=TH!$X$7,M260=TH!$X$7),"x","")</f>
        <v/>
      </c>
      <c r="Y260" s="22" t="str">
        <f>IF(AND(B260&lt;=NKC!$N$8,B260&gt;=NKC!$M$8),"x","")</f>
        <v>x</v>
      </c>
      <c r="Z260" s="580"/>
      <c r="AB260" s="130"/>
      <c r="AC260" s="130"/>
      <c r="AD260" s="130"/>
      <c r="AE260" s="130"/>
    </row>
    <row r="261" spans="1:31" s="406" customFormat="1" ht="15.75" customHeight="1">
      <c r="A261" s="123" t="str">
        <f>IF(B261&lt;&gt;"",IF(AND(B261&gt;=_TM1,B261&lt;=_TM2,OR(TH!L262="1111",TH!M262="1111")),TH!D262,""),"")</f>
        <v/>
      </c>
      <c r="B261" s="12">
        <f t="shared" si="9"/>
        <v>8</v>
      </c>
      <c r="C261" s="108">
        <f t="shared" si="10"/>
        <v>42613</v>
      </c>
      <c r="D261" s="108" t="s">
        <v>594</v>
      </c>
      <c r="E261" s="113">
        <v>42613</v>
      </c>
      <c r="F261" s="112" t="s">
        <v>522</v>
      </c>
      <c r="G261" s="303" t="s">
        <v>741</v>
      </c>
      <c r="H261" s="4" t="s">
        <v>365</v>
      </c>
      <c r="I261" s="139">
        <v>599</v>
      </c>
      <c r="J261" s="139">
        <v>9700</v>
      </c>
      <c r="K261" s="13">
        <f>ROUND(I261*J261,0)</f>
        <v>5810300</v>
      </c>
      <c r="L261" s="116" t="s">
        <v>252</v>
      </c>
      <c r="M261" s="411" t="s">
        <v>169</v>
      </c>
      <c r="N261" s="22" t="str">
        <f>IF(AND('331-CT'!$E$7=TH!H261,OR(L261="331",M261="331")),"331",IF(AND(OR(L261="131",M261="131"),H261='131-CT'!$E$7),"131",""))</f>
        <v/>
      </c>
      <c r="O261" s="22" t="str">
        <f>IF(AND($B261&gt;='111'!$N$11,$B261&lt;='111'!$O$11,OR($L261=$O$7,$M261=$O$7)),"x","")</f>
        <v/>
      </c>
      <c r="P261" s="22" t="str">
        <f>IF(AND($L261=$O$7,$B261&lt;'111'!$N$11),"x","")</f>
        <v/>
      </c>
      <c r="Q261" s="22" t="str">
        <f>IF(AND($M261=$O$7,$B261&lt;'111'!$N$11),"x","")</f>
        <v/>
      </c>
      <c r="R261" s="22" t="str">
        <f>IF(ISERROR(FIND('112'!$M$9,G261,1)),"",IF((AND(FIND('112'!$M$9,G261,1)&gt;=1,$B261&gt;='112'!$N$8,$B261&lt;='112'!$O$8,OR($L261='112'!$I$6,$M261='112'!$I$6))),"x",""))</f>
        <v/>
      </c>
      <c r="S261" s="22" t="str">
        <f>IF(ISERROR(FIND('112'!$M$9,G261,1)),"",IF((AND(LEFT(G261,2)=LEFT('112'!$M$9,2),B261&lt;'112'!$N$8,$L261='112'!$I$6)),"x",""))</f>
        <v/>
      </c>
      <c r="T261" s="22" t="str">
        <f>IF(ISERROR(FIND('112'!$M$9,G261,1)),"",IF((AND(RIGHT(G261,2)=RIGHT('112'!$M$9,2),B261&lt;'112'!$N$8,$M261='112'!$I$6)),"x",""))</f>
        <v/>
      </c>
      <c r="U261" s="22" t="str">
        <f>IF(AND(B261&gt;='IN-NX'!$P$3,B261&lt;='IN-NX'!$Q$3,'IN-NX'!$D$7=D261,OR(LEFT(L261,2)="15",AND(LEFT(M261,2)&lt;&gt;"15",LEFT(M261,2)&lt;&gt;"33"))),"x","")</f>
        <v/>
      </c>
      <c r="V261" s="22" t="str">
        <f>IF(AND(OR(LEFT(TH!L261,2)="15",LEFT(TH!M261,2)="15"),'152-CT'!$J$8=TH!F261),"x","")</f>
        <v/>
      </c>
      <c r="W261" s="22" t="str">
        <f>IF(AND(OR(LEFT(TH!L261,2)="15",LEFT(TH!M261,2)="15"),TK!$E$7=TH!F261),"x","")</f>
        <v/>
      </c>
      <c r="X261" s="22" t="str">
        <f>IF(OR(TH!L261=TH!$X$7,M261=TH!$X$7),"x","")</f>
        <v/>
      </c>
      <c r="Y261" s="22" t="str">
        <f>IF(AND(B261&lt;=NKC!$N$8,B261&gt;=NKC!$M$8),"x","")</f>
        <v>x</v>
      </c>
      <c r="Z261" s="580"/>
      <c r="AC261" s="130"/>
      <c r="AD261" s="130"/>
      <c r="AE261" s="130"/>
    </row>
    <row r="262" spans="1:31" s="406" customFormat="1" ht="15.75" customHeight="1">
      <c r="A262" s="123" t="str">
        <f>IF(B262&lt;&gt;"",IF(AND(B262&gt;=_TM1,B262&lt;=_TM2,OR(TH!L263="1111",TH!M263="1111")),TH!D263,""),"")</f>
        <v/>
      </c>
      <c r="B262" s="12">
        <f t="shared" si="9"/>
        <v>8</v>
      </c>
      <c r="C262" s="108">
        <f t="shared" si="10"/>
        <v>42613</v>
      </c>
      <c r="D262" s="108" t="s">
        <v>594</v>
      </c>
      <c r="E262" s="113">
        <v>42613</v>
      </c>
      <c r="F262" s="112" t="s">
        <v>625</v>
      </c>
      <c r="G262" s="303" t="s">
        <v>741</v>
      </c>
      <c r="H262" s="4" t="s">
        <v>365</v>
      </c>
      <c r="I262" s="139">
        <v>305</v>
      </c>
      <c r="J262" s="139">
        <v>10670</v>
      </c>
      <c r="K262" s="13">
        <f>ROUND(I262*J262,0)</f>
        <v>3254350</v>
      </c>
      <c r="L262" s="116" t="s">
        <v>252</v>
      </c>
      <c r="M262" s="411" t="s">
        <v>169</v>
      </c>
      <c r="N262" s="22" t="str">
        <f>IF(AND('331-CT'!$E$7=TH!H262,OR(L262="331",M262="331")),"331",IF(AND(OR(L262="131",M262="131"),H262='131-CT'!$E$7),"131",""))</f>
        <v/>
      </c>
      <c r="O262" s="22" t="str">
        <f>IF(AND($B262&gt;='111'!$N$11,$B262&lt;='111'!$O$11,OR($L262=$O$7,$M262=$O$7)),"x","")</f>
        <v/>
      </c>
      <c r="P262" s="22" t="str">
        <f>IF(AND($L262=$O$7,$B262&lt;'111'!$N$11),"x","")</f>
        <v/>
      </c>
      <c r="Q262" s="22" t="str">
        <f>IF(AND($M262=$O$7,$B262&lt;'111'!$N$11),"x","")</f>
        <v/>
      </c>
      <c r="R262" s="22" t="str">
        <f>IF(ISERROR(FIND('112'!$M$9,G262,1)),"",IF((AND(FIND('112'!$M$9,G262,1)&gt;=1,$B262&gt;='112'!$N$8,$B262&lt;='112'!$O$8,OR($L262='112'!$I$6,$M262='112'!$I$6))),"x",""))</f>
        <v/>
      </c>
      <c r="S262" s="22" t="str">
        <f>IF(ISERROR(FIND('112'!$M$9,G262,1)),"",IF((AND(LEFT(G262,2)=LEFT('112'!$M$9,2),B262&lt;'112'!$N$8,$L262='112'!$I$6)),"x",""))</f>
        <v/>
      </c>
      <c r="T262" s="22" t="str">
        <f>IF(ISERROR(FIND('112'!$M$9,G262,1)),"",IF((AND(RIGHT(G262,2)=RIGHT('112'!$M$9,2),B262&lt;'112'!$N$8,$M262='112'!$I$6)),"x",""))</f>
        <v/>
      </c>
      <c r="U262" s="22" t="str">
        <f>IF(AND(B262&gt;='IN-NX'!$P$3,B262&lt;='IN-NX'!$Q$3,'IN-NX'!$D$7=D262,OR(LEFT(L262,2)="15",AND(LEFT(M262,2)&lt;&gt;"15",LEFT(M262,2)&lt;&gt;"33"))),"x","")</f>
        <v/>
      </c>
      <c r="V262" s="22" t="str">
        <f>IF(AND(OR(LEFT(TH!L262,2)="15",LEFT(TH!M262,2)="15"),'152-CT'!$J$8=TH!F262),"x","")</f>
        <v/>
      </c>
      <c r="W262" s="22" t="str">
        <f>IF(AND(OR(LEFT(TH!L262,2)="15",LEFT(TH!M262,2)="15"),TK!$E$7=TH!F262),"x","")</f>
        <v/>
      </c>
      <c r="X262" s="22" t="str">
        <f>IF(OR(TH!L262=TH!$X$7,M262=TH!$X$7),"x","")</f>
        <v/>
      </c>
      <c r="Y262" s="22" t="str">
        <f>IF(AND(B262&lt;=NKC!$N$8,B262&gt;=NKC!$M$8),"x","")</f>
        <v>x</v>
      </c>
      <c r="Z262" s="580"/>
      <c r="AC262" s="130"/>
      <c r="AD262" s="130"/>
      <c r="AE262" s="130"/>
    </row>
    <row r="263" spans="1:31" s="406" customFormat="1" ht="15.75" customHeight="1">
      <c r="A263" s="123" t="str">
        <f>IF(B263&lt;&gt;"",IF(AND(B263&gt;=_TM1,B263&lt;=_TM2,OR(TH!L264="1111",TH!M264="1111")),TH!D264,""),"")</f>
        <v/>
      </c>
      <c r="B263" s="12">
        <f t="shared" si="9"/>
        <v>8</v>
      </c>
      <c r="C263" s="108">
        <f t="shared" si="10"/>
        <v>42613</v>
      </c>
      <c r="D263" s="108" t="s">
        <v>594</v>
      </c>
      <c r="E263" s="113">
        <v>42613</v>
      </c>
      <c r="F263" s="112" t="s">
        <v>496</v>
      </c>
      <c r="G263" s="303" t="s">
        <v>741</v>
      </c>
      <c r="H263" s="4" t="s">
        <v>365</v>
      </c>
      <c r="I263" s="139"/>
      <c r="J263" s="139"/>
      <c r="K263" s="13">
        <v>1654515</v>
      </c>
      <c r="L263" s="116" t="s">
        <v>252</v>
      </c>
      <c r="M263" s="411" t="s">
        <v>352</v>
      </c>
      <c r="N263" s="22" t="str">
        <f>IF(AND('331-CT'!$E$7=TH!H263,OR(L263="331",M263="331")),"331",IF(AND(OR(L263="131",M263="131"),H263='131-CT'!$E$7),"131",""))</f>
        <v/>
      </c>
      <c r="O263" s="22" t="str">
        <f>IF(AND($B263&gt;='111'!$N$11,$B263&lt;='111'!$O$11,OR($L263=$O$7,$M263=$O$7)),"x","")</f>
        <v/>
      </c>
      <c r="P263" s="22" t="str">
        <f>IF(AND($L263=$O$7,$B263&lt;'111'!$N$11),"x","")</f>
        <v/>
      </c>
      <c r="Q263" s="22" t="str">
        <f>IF(AND($M263=$O$7,$B263&lt;'111'!$N$11),"x","")</f>
        <v/>
      </c>
      <c r="R263" s="22" t="str">
        <f>IF(ISERROR(FIND('112'!$M$9,G263,1)),"",IF((AND(FIND('112'!$M$9,G263,1)&gt;=1,$B263&gt;='112'!$N$8,$B263&lt;='112'!$O$8,OR($L263='112'!$I$6,$M263='112'!$I$6))),"x",""))</f>
        <v/>
      </c>
      <c r="S263" s="22" t="str">
        <f>IF(ISERROR(FIND('112'!$M$9,G263,1)),"",IF((AND(LEFT(G263,2)=LEFT('112'!$M$9,2),B263&lt;'112'!$N$8,$L263='112'!$I$6)),"x",""))</f>
        <v/>
      </c>
      <c r="T263" s="22" t="str">
        <f>IF(ISERROR(FIND('112'!$M$9,G263,1)),"",IF((AND(RIGHT(G263,2)=RIGHT('112'!$M$9,2),B263&lt;'112'!$N$8,$M263='112'!$I$6)),"x",""))</f>
        <v/>
      </c>
      <c r="U263" s="22" t="str">
        <f>IF(AND(B263&gt;='IN-NX'!$P$3,B263&lt;='IN-NX'!$Q$3,'IN-NX'!$D$7=D263,OR(LEFT(L263,2)="15",AND(LEFT(M263,2)&lt;&gt;"15",LEFT(M263,2)&lt;&gt;"33"))),"x","")</f>
        <v/>
      </c>
      <c r="V263" s="22" t="str">
        <f>IF(AND(OR(LEFT(TH!L263,2)="15",LEFT(TH!M263,2)="15"),'152-CT'!$J$8=TH!F263),"x","")</f>
        <v/>
      </c>
      <c r="W263" s="22" t="str">
        <f>IF(AND(OR(LEFT(TH!L263,2)="15",LEFT(TH!M263,2)="15"),TK!$E$7=TH!F263),"x","")</f>
        <v/>
      </c>
      <c r="X263" s="22" t="str">
        <f>IF(OR(TH!L263=TH!$X$7,M263=TH!$X$7),"x","")</f>
        <v/>
      </c>
      <c r="Y263" s="22" t="str">
        <f>IF(AND(B263&lt;=NKC!$N$8,B263&gt;=NKC!$M$8),"x","")</f>
        <v>x</v>
      </c>
      <c r="Z263" s="580"/>
      <c r="AC263" s="130"/>
      <c r="AD263" s="130"/>
      <c r="AE263" s="130"/>
    </row>
    <row r="264" spans="1:31" s="406" customFormat="1" ht="15.75" customHeight="1">
      <c r="A264" s="123" t="str">
        <f>IF(B264&lt;&gt;"",IF(AND(B264&gt;=_TM1,B264&lt;=_TM2,OR(TH!L265="1111",TH!M265="1111")),TH!D265,""),"")</f>
        <v/>
      </c>
      <c r="B264" s="12">
        <f t="shared" si="9"/>
        <v>9</v>
      </c>
      <c r="C264" s="108">
        <f t="shared" si="10"/>
        <v>42614</v>
      </c>
      <c r="D264" s="108" t="s">
        <v>1018</v>
      </c>
      <c r="E264" s="113">
        <v>42614</v>
      </c>
      <c r="F264" s="112" t="s">
        <v>485</v>
      </c>
      <c r="G264" s="303" t="s">
        <v>474</v>
      </c>
      <c r="H264" s="4" t="s">
        <v>475</v>
      </c>
      <c r="I264" s="139"/>
      <c r="J264" s="139"/>
      <c r="K264" s="13">
        <v>7000000</v>
      </c>
      <c r="L264" s="411" t="s">
        <v>46</v>
      </c>
      <c r="M264" s="411" t="s">
        <v>24</v>
      </c>
      <c r="N264" s="22" t="str">
        <f>IF(AND('331-CT'!$E$7=TH!H264,OR(L264="331",M264="331")),"331",IF(AND(OR(L264="131",M264="131"),H264='131-CT'!$E$7),"131",""))</f>
        <v/>
      </c>
      <c r="O264" s="22" t="str">
        <f>IF(AND($B264&gt;='111'!$N$11,$B264&lt;='111'!$O$11,OR($L264=$O$7,$M264=$O$7)),"x","")</f>
        <v/>
      </c>
      <c r="P264" s="22" t="str">
        <f>IF(AND($L264=$O$7,$B264&lt;'111'!$N$11),"x","")</f>
        <v>x</v>
      </c>
      <c r="Q264" s="22" t="str">
        <f>IF(AND($M264=$O$7,$B264&lt;'111'!$N$11),"x","")</f>
        <v/>
      </c>
      <c r="R264" s="22" t="str">
        <f>IF(ISERROR(FIND('112'!$M$9,G264,1)),"",IF((AND(FIND('112'!$M$9,G264,1)&gt;=1,$B264&gt;='112'!$N$8,$B264&lt;='112'!$O$8,OR($L264='112'!$I$6,$M264='112'!$I$6))),"x",""))</f>
        <v/>
      </c>
      <c r="S264" s="22" t="str">
        <f>IF(ISERROR(FIND('112'!$M$9,G264,1)),"",IF((AND(LEFT(G264,2)=LEFT('112'!$M$9,2),B264&lt;'112'!$N$8,$L264='112'!$I$6)),"x",""))</f>
        <v/>
      </c>
      <c r="T264" s="22" t="str">
        <f>IF(ISERROR(FIND('112'!$M$9,G264,1)),"",IF((AND(RIGHT(G264,2)=RIGHT('112'!$M$9,2),B264&lt;'112'!$N$8,$M264='112'!$I$6)),"x",""))</f>
        <v>x</v>
      </c>
      <c r="U264" s="22" t="str">
        <f>IF(AND(B264&gt;='IN-NX'!$P$3,B264&lt;='IN-NX'!$Q$3,'IN-NX'!$D$7=D264,OR(LEFT(L264,2)="15",AND(LEFT(M264,2)&lt;&gt;"15",LEFT(M264,2)&lt;&gt;"33"))),"x","")</f>
        <v/>
      </c>
      <c r="V264" s="22" t="str">
        <f>IF(AND(OR(LEFT(TH!L264,2)="15",LEFT(TH!M264,2)="15"),'152-CT'!$J$8=TH!F264),"x","")</f>
        <v/>
      </c>
      <c r="W264" s="22" t="str">
        <f>IF(AND(OR(LEFT(TH!L264,2)="15",LEFT(TH!M264,2)="15"),TK!$E$7=TH!F264),"x","")</f>
        <v/>
      </c>
      <c r="X264" s="22" t="str">
        <f>IF(OR(TH!L264=TH!$X$7,M264=TH!$X$7),"x","")</f>
        <v/>
      </c>
      <c r="Y264" s="22" t="str">
        <f>IF(AND(B264&lt;=NKC!$N$8,B264&gt;=NKC!$M$8),"x","")</f>
        <v>x</v>
      </c>
      <c r="Z264" s="580"/>
    </row>
    <row r="265" spans="1:31" s="406" customFormat="1" ht="15.75" customHeight="1">
      <c r="A265" s="123" t="str">
        <f>IF(B265&lt;&gt;"",IF(AND(B265&gt;=_TM1,B265&lt;=_TM2,OR(TH!L266="1111",TH!M266="1111")),TH!D266,""),"")</f>
        <v/>
      </c>
      <c r="B265" s="12">
        <f t="shared" si="9"/>
        <v>9</v>
      </c>
      <c r="C265" s="108">
        <f t="shared" si="10"/>
        <v>42614</v>
      </c>
      <c r="D265" s="108" t="s">
        <v>470</v>
      </c>
      <c r="E265" s="113">
        <v>42614</v>
      </c>
      <c r="F265" s="112" t="s">
        <v>465</v>
      </c>
      <c r="G265" s="303" t="s">
        <v>474</v>
      </c>
      <c r="H265" s="4" t="s">
        <v>398</v>
      </c>
      <c r="I265" s="139"/>
      <c r="J265" s="139"/>
      <c r="K265" s="410">
        <v>15000000</v>
      </c>
      <c r="L265" s="116" t="s">
        <v>8</v>
      </c>
      <c r="M265" s="116" t="s">
        <v>24</v>
      </c>
      <c r="N265" s="22" t="str">
        <f>IF(AND('331-CT'!$E$7=TH!H265,OR(L265="331",M265="331")),"331",IF(AND(OR(L265="131",M265="131"),H265='131-CT'!$E$7),"131",""))</f>
        <v/>
      </c>
      <c r="O265" s="22" t="str">
        <f>IF(AND($B265&gt;='111'!$N$11,$B265&lt;='111'!$O$11,OR($L265=$O$7,$M265=$O$7)),"x","")</f>
        <v/>
      </c>
      <c r="P265" s="22" t="str">
        <f>IF(AND($L265=$O$7,$B265&lt;'111'!$N$11),"x","")</f>
        <v/>
      </c>
      <c r="Q265" s="22" t="str">
        <f>IF(AND($M265=$O$7,$B265&lt;'111'!$N$11),"x","")</f>
        <v/>
      </c>
      <c r="R265" s="22" t="str">
        <f>IF(ISERROR(FIND('112'!$M$9,G265,1)),"",IF((AND(FIND('112'!$M$9,G265,1)&gt;=1,$B265&gt;='112'!$N$8,$B265&lt;='112'!$O$8,OR($L265='112'!$I$6,$M265='112'!$I$6))),"x",""))</f>
        <v/>
      </c>
      <c r="S265" s="22" t="str">
        <f>IF(ISERROR(FIND('112'!$M$9,G265,1)),"",IF((AND(LEFT(G265,2)=LEFT('112'!$M$9,2),B265&lt;'112'!$N$8,$L265='112'!$I$6)),"x",""))</f>
        <v/>
      </c>
      <c r="T265" s="22" t="str">
        <f>IF(ISERROR(FIND('112'!$M$9,G265,1)),"",IF((AND(RIGHT(G265,2)=RIGHT('112'!$M$9,2),B265&lt;'112'!$N$8,$M265='112'!$I$6)),"x",""))</f>
        <v>x</v>
      </c>
      <c r="U265" s="22" t="str">
        <f>IF(AND(B265&gt;='IN-NX'!$P$3,B265&lt;='IN-NX'!$Q$3,'IN-NX'!$D$7=D265,OR(LEFT(L265,2)="15",AND(LEFT(M265,2)&lt;&gt;"15",LEFT(M265,2)&lt;&gt;"33"))),"x","")</f>
        <v/>
      </c>
      <c r="V265" s="22" t="str">
        <f>IF(AND(OR(LEFT(TH!L265,2)="15",LEFT(TH!M265,2)="15"),'152-CT'!$J$8=TH!F265),"x","")</f>
        <v/>
      </c>
      <c r="W265" s="22" t="str">
        <f>IF(AND(OR(LEFT(TH!L265,2)="15",LEFT(TH!M265,2)="15"),TK!$E$7=TH!F265),"x","")</f>
        <v/>
      </c>
      <c r="X265" s="22" t="str">
        <f>IF(OR(TH!L265=TH!$X$7,M265=TH!$X$7),"x","")</f>
        <v/>
      </c>
      <c r="Y265" s="22" t="str">
        <f>IF(AND(B265&lt;=NKC!$N$8,B265&gt;=NKC!$M$8),"x","")</f>
        <v>x</v>
      </c>
      <c r="Z265" s="580"/>
      <c r="AC265" s="130"/>
    </row>
    <row r="266" spans="1:31" s="406" customFormat="1" ht="15.75" customHeight="1">
      <c r="A266" s="123" t="str">
        <f>IF(B266&lt;&gt;"",IF(AND(B266&gt;=_TM1,B266&lt;=_TM2,OR(TH!L267="1111",TH!M267="1111")),TH!D267,""),"")</f>
        <v/>
      </c>
      <c r="B266" s="12">
        <f t="shared" si="9"/>
        <v>9</v>
      </c>
      <c r="C266" s="108">
        <f t="shared" si="10"/>
        <v>42614</v>
      </c>
      <c r="D266" s="108" t="s">
        <v>470</v>
      </c>
      <c r="E266" s="113">
        <v>42614</v>
      </c>
      <c r="F266" s="112" t="s">
        <v>480</v>
      </c>
      <c r="G266" s="303" t="s">
        <v>474</v>
      </c>
      <c r="H266" s="4"/>
      <c r="I266" s="139"/>
      <c r="J266" s="139"/>
      <c r="K266" s="410">
        <v>20000</v>
      </c>
      <c r="L266" s="116" t="s">
        <v>82</v>
      </c>
      <c r="M266" s="116" t="s">
        <v>24</v>
      </c>
      <c r="N266" s="22" t="str">
        <f>IF(AND('331-CT'!$E$7=TH!H266,OR(L266="331",M266="331")),"331",IF(AND(OR(L266="131",M266="131"),H266='131-CT'!$E$7),"131",""))</f>
        <v/>
      </c>
      <c r="O266" s="22" t="str">
        <f>IF(AND($B266&gt;='111'!$N$11,$B266&lt;='111'!$O$11,OR($L266=$O$7,$M266=$O$7)),"x","")</f>
        <v/>
      </c>
      <c r="P266" s="22" t="str">
        <f>IF(AND($L266=$O$7,$B266&lt;'111'!$N$11),"x","")</f>
        <v/>
      </c>
      <c r="Q266" s="22" t="str">
        <f>IF(AND($M266=$O$7,$B266&lt;'111'!$N$11),"x","")</f>
        <v/>
      </c>
      <c r="R266" s="22" t="str">
        <f>IF(ISERROR(FIND('112'!$M$9,G266,1)),"",IF((AND(FIND('112'!$M$9,G266,1)&gt;=1,$B266&gt;='112'!$N$8,$B266&lt;='112'!$O$8,OR($L266='112'!$I$6,$M266='112'!$I$6))),"x",""))</f>
        <v/>
      </c>
      <c r="S266" s="22" t="str">
        <f>IF(ISERROR(FIND('112'!$M$9,G266,1)),"",IF((AND(LEFT(G266,2)=LEFT('112'!$M$9,2),B266&lt;'112'!$N$8,$L266='112'!$I$6)),"x",""))</f>
        <v/>
      </c>
      <c r="T266" s="22" t="str">
        <f>IF(ISERROR(FIND('112'!$M$9,G266,1)),"",IF((AND(RIGHT(G266,2)=RIGHT('112'!$M$9,2),B266&lt;'112'!$N$8,$M266='112'!$I$6)),"x",""))</f>
        <v>x</v>
      </c>
      <c r="U266" s="22" t="str">
        <f>IF(AND(B266&gt;='IN-NX'!$P$3,B266&lt;='IN-NX'!$Q$3,'IN-NX'!$D$7=D266,OR(LEFT(L266,2)="15",AND(LEFT(M266,2)&lt;&gt;"15",LEFT(M266,2)&lt;&gt;"33"))),"x","")</f>
        <v/>
      </c>
      <c r="V266" s="22" t="str">
        <f>IF(AND(OR(LEFT(TH!L266,2)="15",LEFT(TH!M266,2)="15"),'152-CT'!$J$8=TH!F266),"x","")</f>
        <v/>
      </c>
      <c r="W266" s="22" t="str">
        <f>IF(AND(OR(LEFT(TH!L266,2)="15",LEFT(TH!M266,2)="15"),TK!$E$7=TH!F266),"x","")</f>
        <v/>
      </c>
      <c r="X266" s="22" t="str">
        <f>IF(OR(TH!L266=TH!$X$7,M266=TH!$X$7),"x","")</f>
        <v>x</v>
      </c>
      <c r="Y266" s="22" t="str">
        <f>IF(AND(B266&lt;=NKC!$N$8,B266&gt;=NKC!$M$8),"x","")</f>
        <v>x</v>
      </c>
      <c r="Z266" s="580">
        <v>3</v>
      </c>
    </row>
    <row r="267" spans="1:31" s="406" customFormat="1" ht="15.75" customHeight="1">
      <c r="A267" s="123" t="str">
        <f>IF(B267&lt;&gt;"",IF(AND(B267&gt;=_TM1,B267&lt;=_TM2,OR(TH!L268="1111",TH!M268="1111")),TH!D268,""),"")</f>
        <v/>
      </c>
      <c r="B267" s="12">
        <f t="shared" si="9"/>
        <v>9</v>
      </c>
      <c r="C267" s="108">
        <f t="shared" si="10"/>
        <v>42614</v>
      </c>
      <c r="D267" s="108" t="s">
        <v>470</v>
      </c>
      <c r="E267" s="113">
        <v>42614</v>
      </c>
      <c r="F267" s="112" t="s">
        <v>481</v>
      </c>
      <c r="G267" s="303" t="s">
        <v>474</v>
      </c>
      <c r="H267" s="4"/>
      <c r="I267" s="139"/>
      <c r="J267" s="139"/>
      <c r="K267" s="410">
        <v>2000</v>
      </c>
      <c r="L267" s="116" t="s">
        <v>9</v>
      </c>
      <c r="M267" s="116" t="s">
        <v>24</v>
      </c>
      <c r="N267" s="22" t="str">
        <f>IF(AND('331-CT'!$E$7=TH!H267,OR(L267="331",M267="331")),"331",IF(AND(OR(L267="131",M267="131"),H267='131-CT'!$E$7),"131",""))</f>
        <v/>
      </c>
      <c r="O267" s="22" t="str">
        <f>IF(AND($B267&gt;='111'!$N$11,$B267&lt;='111'!$O$11,OR($L267=$O$7,$M267=$O$7)),"x","")</f>
        <v/>
      </c>
      <c r="P267" s="22" t="str">
        <f>IF(AND($L267=$O$7,$B267&lt;'111'!$N$11),"x","")</f>
        <v/>
      </c>
      <c r="Q267" s="22" t="str">
        <f>IF(AND($M267=$O$7,$B267&lt;'111'!$N$11),"x","")</f>
        <v/>
      </c>
      <c r="R267" s="22" t="str">
        <f>IF(ISERROR(FIND('112'!$M$9,G267,1)),"",IF((AND(FIND('112'!$M$9,G267,1)&gt;=1,$B267&gt;='112'!$N$8,$B267&lt;='112'!$O$8,OR($L267='112'!$I$6,$M267='112'!$I$6))),"x",""))</f>
        <v/>
      </c>
      <c r="S267" s="22" t="str">
        <f>IF(ISERROR(FIND('112'!$M$9,G267,1)),"",IF((AND(LEFT(G267,2)=LEFT('112'!$M$9,2),B267&lt;'112'!$N$8,$L267='112'!$I$6)),"x",""))</f>
        <v/>
      </c>
      <c r="T267" s="22" t="str">
        <f>IF(ISERROR(FIND('112'!$M$9,G267,1)),"",IF((AND(RIGHT(G267,2)=RIGHT('112'!$M$9,2),B267&lt;'112'!$N$8,$M267='112'!$I$6)),"x",""))</f>
        <v>x</v>
      </c>
      <c r="U267" s="22" t="str">
        <f>IF(AND(B267&gt;='IN-NX'!$P$3,B267&lt;='IN-NX'!$Q$3,'IN-NX'!$D$7=D267,OR(LEFT(L267,2)="15",AND(LEFT(M267,2)&lt;&gt;"15",LEFT(M267,2)&lt;&gt;"33"))),"x","")</f>
        <v/>
      </c>
      <c r="V267" s="22" t="str">
        <f>IF(AND(OR(LEFT(TH!L267,2)="15",LEFT(TH!M267,2)="15"),'152-CT'!$J$8=TH!F267),"x","")</f>
        <v/>
      </c>
      <c r="W267" s="22" t="str">
        <f>IF(AND(OR(LEFT(TH!L267,2)="15",LEFT(TH!M267,2)="15"),TK!$E$7=TH!F267),"x","")</f>
        <v/>
      </c>
      <c r="X267" s="22" t="str">
        <f>IF(OR(TH!L267=TH!$X$7,M267=TH!$X$7),"x","")</f>
        <v/>
      </c>
      <c r="Y267" s="22" t="str">
        <f>IF(AND(B267&lt;=NKC!$N$8,B267&gt;=NKC!$M$8),"x","")</f>
        <v>x</v>
      </c>
      <c r="Z267" s="580">
        <v>3</v>
      </c>
    </row>
    <row r="268" spans="1:31" s="406" customFormat="1" ht="15.75" customHeight="1">
      <c r="A268" s="123" t="str">
        <f>IF(B268&lt;&gt;"",IF(AND(B268&gt;=_TM1,B268&lt;=_TM2,OR(TH!L269="1111",TH!M269="1111")),TH!D269,""),"")</f>
        <v/>
      </c>
      <c r="B268" s="12">
        <f t="shared" si="9"/>
        <v>9</v>
      </c>
      <c r="C268" s="108">
        <f t="shared" si="10"/>
        <v>42614</v>
      </c>
      <c r="D268" s="108" t="s">
        <v>595</v>
      </c>
      <c r="E268" s="113">
        <v>42614</v>
      </c>
      <c r="F268" s="112" t="s">
        <v>540</v>
      </c>
      <c r="G268" s="303" t="s">
        <v>742</v>
      </c>
      <c r="H268" s="4" t="s">
        <v>623</v>
      </c>
      <c r="I268" s="139">
        <v>504</v>
      </c>
      <c r="J268" s="139">
        <v>6400</v>
      </c>
      <c r="K268" s="13">
        <f>ROUND(I268*J268,0)</f>
        <v>3225600</v>
      </c>
      <c r="L268" s="116" t="s">
        <v>252</v>
      </c>
      <c r="M268" s="411" t="s">
        <v>169</v>
      </c>
      <c r="N268" s="22" t="str">
        <f>IF(AND('331-CT'!$E$7=TH!H268,OR(L268="331",M268="331")),"331",IF(AND(OR(L268="131",M268="131"),H268='131-CT'!$E$7),"131",""))</f>
        <v/>
      </c>
      <c r="O268" s="22" t="str">
        <f>IF(AND($B268&gt;='111'!$N$11,$B268&lt;='111'!$O$11,OR($L268=$O$7,$M268=$O$7)),"x","")</f>
        <v/>
      </c>
      <c r="P268" s="22" t="str">
        <f>IF(AND($L268=$O$7,$B268&lt;'111'!$N$11),"x","")</f>
        <v/>
      </c>
      <c r="Q268" s="22" t="str">
        <f>IF(AND($M268=$O$7,$B268&lt;'111'!$N$11),"x","")</f>
        <v/>
      </c>
      <c r="R268" s="22" t="str">
        <f>IF(ISERROR(FIND('112'!$M$9,G268,1)),"",IF((AND(FIND('112'!$M$9,G268,1)&gt;=1,$B268&gt;='112'!$N$8,$B268&lt;='112'!$O$8,OR($L268='112'!$I$6,$M268='112'!$I$6))),"x",""))</f>
        <v/>
      </c>
      <c r="S268" s="22" t="str">
        <f>IF(ISERROR(FIND('112'!$M$9,G268,1)),"",IF((AND(LEFT(G268,2)=LEFT('112'!$M$9,2),B268&lt;'112'!$N$8,$L268='112'!$I$6)),"x",""))</f>
        <v/>
      </c>
      <c r="T268" s="22" t="str">
        <f>IF(ISERROR(FIND('112'!$M$9,G268,1)),"",IF((AND(RIGHT(G268,2)=RIGHT('112'!$M$9,2),B268&lt;'112'!$N$8,$M268='112'!$I$6)),"x",""))</f>
        <v/>
      </c>
      <c r="U268" s="22" t="str">
        <f>IF(AND(B268&gt;='IN-NX'!$P$3,B268&lt;='IN-NX'!$Q$3,'IN-NX'!$D$7=D268,OR(LEFT(L268,2)="15",AND(LEFT(M268,2)&lt;&gt;"15",LEFT(M268,2)&lt;&gt;"33"))),"x","")</f>
        <v/>
      </c>
      <c r="V268" s="22" t="str">
        <f>IF(AND(OR(LEFT(TH!L268,2)="15",LEFT(TH!M268,2)="15"),'152-CT'!$J$8=TH!F268),"x","")</f>
        <v/>
      </c>
      <c r="W268" s="22" t="str">
        <f>IF(AND(OR(LEFT(TH!L268,2)="15",LEFT(TH!M268,2)="15"),TK!$E$7=TH!F268),"x","")</f>
        <v/>
      </c>
      <c r="X268" s="22" t="str">
        <f>IF(OR(TH!L268=TH!$X$7,M268=TH!$X$7),"x","")</f>
        <v/>
      </c>
      <c r="Y268" s="22" t="str">
        <f>IF(AND(B268&lt;=NKC!$N$8,B268&gt;=NKC!$M$8),"x","")</f>
        <v>x</v>
      </c>
      <c r="Z268" s="580"/>
      <c r="AC268" s="130"/>
      <c r="AD268" s="130"/>
      <c r="AE268" s="130"/>
    </row>
    <row r="269" spans="1:31" s="406" customFormat="1" ht="15.75" customHeight="1">
      <c r="A269" s="123" t="str">
        <f>IF(B269&lt;&gt;"",IF(AND(B269&gt;=_TM1,B269&lt;=_TM2,OR(TH!L270="1111",TH!M270="1111")),TH!D270,""),"")</f>
        <v/>
      </c>
      <c r="B269" s="12">
        <f t="shared" si="9"/>
        <v>9</v>
      </c>
      <c r="C269" s="108">
        <f t="shared" si="10"/>
        <v>42614</v>
      </c>
      <c r="D269" s="108" t="s">
        <v>595</v>
      </c>
      <c r="E269" s="113">
        <v>42614</v>
      </c>
      <c r="F269" s="112" t="s">
        <v>496</v>
      </c>
      <c r="G269" s="303" t="s">
        <v>742</v>
      </c>
      <c r="H269" s="4" t="s">
        <v>623</v>
      </c>
      <c r="I269" s="139"/>
      <c r="J269" s="139"/>
      <c r="K269" s="13">
        <v>322560</v>
      </c>
      <c r="L269" s="116" t="s">
        <v>252</v>
      </c>
      <c r="M269" s="411" t="s">
        <v>352</v>
      </c>
      <c r="N269" s="22" t="str">
        <f>IF(AND('331-CT'!$E$7=TH!H269,OR(L269="331",M269="331")),"331",IF(AND(OR(L269="131",M269="131"),H269='131-CT'!$E$7),"131",""))</f>
        <v/>
      </c>
      <c r="O269" s="22" t="str">
        <f>IF(AND($B269&gt;='111'!$N$11,$B269&lt;='111'!$O$11,OR($L269=$O$7,$M269=$O$7)),"x","")</f>
        <v/>
      </c>
      <c r="P269" s="22" t="str">
        <f>IF(AND($L269=$O$7,$B269&lt;'111'!$N$11),"x","")</f>
        <v/>
      </c>
      <c r="Q269" s="22" t="str">
        <f>IF(AND($M269=$O$7,$B269&lt;'111'!$N$11),"x","")</f>
        <v/>
      </c>
      <c r="R269" s="22" t="str">
        <f>IF(ISERROR(FIND('112'!$M$9,G269,1)),"",IF((AND(FIND('112'!$M$9,G269,1)&gt;=1,$B269&gt;='112'!$N$8,$B269&lt;='112'!$O$8,OR($L269='112'!$I$6,$M269='112'!$I$6))),"x",""))</f>
        <v/>
      </c>
      <c r="S269" s="22" t="str">
        <f>IF(ISERROR(FIND('112'!$M$9,G269,1)),"",IF((AND(LEFT(G269,2)=LEFT('112'!$M$9,2),B269&lt;'112'!$N$8,$L269='112'!$I$6)),"x",""))</f>
        <v/>
      </c>
      <c r="T269" s="22" t="str">
        <f>IF(ISERROR(FIND('112'!$M$9,G269,1)),"",IF((AND(RIGHT(G269,2)=RIGHT('112'!$M$9,2),B269&lt;'112'!$N$8,$M269='112'!$I$6)),"x",""))</f>
        <v/>
      </c>
      <c r="U269" s="22" t="str">
        <f>IF(AND(B269&gt;='IN-NX'!$P$3,B269&lt;='IN-NX'!$Q$3,'IN-NX'!$D$7=D269,OR(LEFT(L269,2)="15",AND(LEFT(M269,2)&lt;&gt;"15",LEFT(M269,2)&lt;&gt;"33"))),"x","")</f>
        <v/>
      </c>
      <c r="V269" s="22" t="str">
        <f>IF(AND(OR(LEFT(TH!L269,2)="15",LEFT(TH!M269,2)="15"),'152-CT'!$J$8=TH!F269),"x","")</f>
        <v/>
      </c>
      <c r="W269" s="22" t="str">
        <f>IF(AND(OR(LEFT(TH!L269,2)="15",LEFT(TH!M269,2)="15"),TK!$E$7=TH!F269),"x","")</f>
        <v/>
      </c>
      <c r="X269" s="22" t="str">
        <f>IF(OR(TH!L269=TH!$X$7,M269=TH!$X$7),"x","")</f>
        <v/>
      </c>
      <c r="Y269" s="22" t="str">
        <f>IF(AND(B269&lt;=NKC!$N$8,B269&gt;=NKC!$M$8),"x","")</f>
        <v>x</v>
      </c>
      <c r="Z269" s="580"/>
      <c r="AB269" s="130"/>
      <c r="AC269" s="130"/>
      <c r="AD269" s="130"/>
      <c r="AE269" s="130"/>
    </row>
    <row r="270" spans="1:31" s="406" customFormat="1" ht="15.75" customHeight="1">
      <c r="A270" s="123" t="str">
        <f>IF(B270&lt;&gt;"",IF(AND(B270&gt;=_TM1,B270&lt;=_TM2,OR(TH!L271="1111",TH!M271="1111")),TH!D271,""),"")</f>
        <v/>
      </c>
      <c r="B270" s="12">
        <f t="shared" si="9"/>
        <v>9</v>
      </c>
      <c r="C270" s="108">
        <f t="shared" si="10"/>
        <v>42614</v>
      </c>
      <c r="D270" s="108" t="s">
        <v>596</v>
      </c>
      <c r="E270" s="113">
        <v>42614</v>
      </c>
      <c r="F270" s="112" t="s">
        <v>541</v>
      </c>
      <c r="G270" s="303" t="s">
        <v>743</v>
      </c>
      <c r="H270" s="4" t="s">
        <v>371</v>
      </c>
      <c r="I270" s="139">
        <f>1330*2</f>
        <v>2660</v>
      </c>
      <c r="J270" s="139">
        <v>7350</v>
      </c>
      <c r="K270" s="13">
        <f>ROUND(I270*J270,0)</f>
        <v>19551000</v>
      </c>
      <c r="L270" s="116" t="s">
        <v>252</v>
      </c>
      <c r="M270" s="411" t="s">
        <v>169</v>
      </c>
      <c r="N270" s="22" t="str">
        <f>IF(AND('331-CT'!$E$7=TH!H270,OR(L270="331",M270="331")),"331",IF(AND(OR(L270="131",M270="131"),H270='131-CT'!$E$7),"131",""))</f>
        <v/>
      </c>
      <c r="O270" s="22" t="str">
        <f>IF(AND($B270&gt;='111'!$N$11,$B270&lt;='111'!$O$11,OR($L270=$O$7,$M270=$O$7)),"x","")</f>
        <v/>
      </c>
      <c r="P270" s="22" t="str">
        <f>IF(AND($L270=$O$7,$B270&lt;'111'!$N$11),"x","")</f>
        <v/>
      </c>
      <c r="Q270" s="22" t="str">
        <f>IF(AND($M270=$O$7,$B270&lt;'111'!$N$11),"x","")</f>
        <v/>
      </c>
      <c r="R270" s="22" t="str">
        <f>IF(ISERROR(FIND('112'!$M$9,G270,1)),"",IF((AND(FIND('112'!$M$9,G270,1)&gt;=1,$B270&gt;='112'!$N$8,$B270&lt;='112'!$O$8,OR($L270='112'!$I$6,$M270='112'!$I$6))),"x",""))</f>
        <v/>
      </c>
      <c r="S270" s="22" t="str">
        <f>IF(ISERROR(FIND('112'!$M$9,G270,1)),"",IF((AND(LEFT(G270,2)=LEFT('112'!$M$9,2),B270&lt;'112'!$N$8,$L270='112'!$I$6)),"x",""))</f>
        <v/>
      </c>
      <c r="T270" s="22" t="str">
        <f>IF(ISERROR(FIND('112'!$M$9,G270,1)),"",IF((AND(RIGHT(G270,2)=RIGHT('112'!$M$9,2),B270&lt;'112'!$N$8,$M270='112'!$I$6)),"x",""))</f>
        <v/>
      </c>
      <c r="U270" s="22" t="str">
        <f>IF(AND(B270&gt;='IN-NX'!$P$3,B270&lt;='IN-NX'!$Q$3,'IN-NX'!$D$7=D270,OR(LEFT(L270,2)="15",AND(LEFT(M270,2)&lt;&gt;"15",LEFT(M270,2)&lt;&gt;"33"))),"x","")</f>
        <v/>
      </c>
      <c r="V270" s="22" t="str">
        <f>IF(AND(OR(LEFT(TH!L270,2)="15",LEFT(TH!M270,2)="15"),'152-CT'!$J$8=TH!F270),"x","")</f>
        <v/>
      </c>
      <c r="W270" s="22" t="str">
        <f>IF(AND(OR(LEFT(TH!L270,2)="15",LEFT(TH!M270,2)="15"),TK!$E$7=TH!F270),"x","")</f>
        <v/>
      </c>
      <c r="X270" s="22" t="str">
        <f>IF(OR(TH!L270=TH!$X$7,M270=TH!$X$7),"x","")</f>
        <v/>
      </c>
      <c r="Y270" s="22" t="str">
        <f>IF(AND(B270&lt;=NKC!$N$8,B270&gt;=NKC!$M$8),"x","")</f>
        <v>x</v>
      </c>
      <c r="Z270" s="580"/>
      <c r="AC270" s="130"/>
      <c r="AD270" s="130"/>
      <c r="AE270" s="130"/>
    </row>
    <row r="271" spans="1:31" s="406" customFormat="1" ht="15.75" customHeight="1">
      <c r="A271" s="123" t="str">
        <f>IF(B271&lt;&gt;"",IF(AND(B271&gt;=_TM1,B271&lt;=_TM2,OR(TH!L272="1111",TH!M272="1111")),TH!D272,""),"")</f>
        <v/>
      </c>
      <c r="B271" s="12">
        <f t="shared" si="9"/>
        <v>9</v>
      </c>
      <c r="C271" s="108">
        <f t="shared" si="10"/>
        <v>42614</v>
      </c>
      <c r="D271" s="108" t="s">
        <v>596</v>
      </c>
      <c r="E271" s="113">
        <v>42614</v>
      </c>
      <c r="F271" s="112" t="s">
        <v>496</v>
      </c>
      <c r="G271" s="303" t="s">
        <v>743</v>
      </c>
      <c r="H271" s="4" t="s">
        <v>371</v>
      </c>
      <c r="I271" s="139"/>
      <c r="J271" s="139"/>
      <c r="K271" s="13">
        <v>1955100</v>
      </c>
      <c r="L271" s="116" t="s">
        <v>252</v>
      </c>
      <c r="M271" s="411" t="s">
        <v>352</v>
      </c>
      <c r="N271" s="22" t="str">
        <f>IF(AND('331-CT'!$E$7=TH!H271,OR(L271="331",M271="331")),"331",IF(AND(OR(L271="131",M271="131"),H271='131-CT'!$E$7),"131",""))</f>
        <v/>
      </c>
      <c r="O271" s="22" t="str">
        <f>IF(AND($B271&gt;='111'!$N$11,$B271&lt;='111'!$O$11,OR($L271=$O$7,$M271=$O$7)),"x","")</f>
        <v/>
      </c>
      <c r="P271" s="22" t="str">
        <f>IF(AND($L271=$O$7,$B271&lt;'111'!$N$11),"x","")</f>
        <v/>
      </c>
      <c r="Q271" s="22" t="str">
        <f>IF(AND($M271=$O$7,$B271&lt;'111'!$N$11),"x","")</f>
        <v/>
      </c>
      <c r="R271" s="22" t="str">
        <f>IF(ISERROR(FIND('112'!$M$9,G271,1)),"",IF((AND(FIND('112'!$M$9,G271,1)&gt;=1,$B271&gt;='112'!$N$8,$B271&lt;='112'!$O$8,OR($L271='112'!$I$6,$M271='112'!$I$6))),"x",""))</f>
        <v/>
      </c>
      <c r="S271" s="22" t="str">
        <f>IF(ISERROR(FIND('112'!$M$9,G271,1)),"",IF((AND(LEFT(G271,2)=LEFT('112'!$M$9,2),B271&lt;'112'!$N$8,$L271='112'!$I$6)),"x",""))</f>
        <v/>
      </c>
      <c r="T271" s="22" t="str">
        <f>IF(ISERROR(FIND('112'!$M$9,G271,1)),"",IF((AND(RIGHT(G271,2)=RIGHT('112'!$M$9,2),B271&lt;'112'!$N$8,$M271='112'!$I$6)),"x",""))</f>
        <v/>
      </c>
      <c r="U271" s="22" t="str">
        <f>IF(AND(B271&gt;='IN-NX'!$P$3,B271&lt;='IN-NX'!$Q$3,'IN-NX'!$D$7=D271,OR(LEFT(L271,2)="15",AND(LEFT(M271,2)&lt;&gt;"15",LEFT(M271,2)&lt;&gt;"33"))),"x","")</f>
        <v/>
      </c>
      <c r="V271" s="22" t="str">
        <f>IF(AND(OR(LEFT(TH!L271,2)="15",LEFT(TH!M271,2)="15"),'152-CT'!$J$8=TH!F271),"x","")</f>
        <v/>
      </c>
      <c r="W271" s="22" t="str">
        <f>IF(AND(OR(LEFT(TH!L271,2)="15",LEFT(TH!M271,2)="15"),TK!$E$7=TH!F271),"x","")</f>
        <v/>
      </c>
      <c r="X271" s="22" t="str">
        <f>IF(OR(TH!L271=TH!$X$7,M271=TH!$X$7),"x","")</f>
        <v/>
      </c>
      <c r="Y271" s="22" t="str">
        <f>IF(AND(B271&lt;=NKC!$N$8,B271&gt;=NKC!$M$8),"x","")</f>
        <v>x</v>
      </c>
      <c r="Z271" s="580"/>
      <c r="AC271" s="130"/>
      <c r="AD271" s="130"/>
      <c r="AE271" s="130"/>
    </row>
    <row r="272" spans="1:31" s="406" customFormat="1" ht="15.75" customHeight="1">
      <c r="A272" s="123" t="str">
        <f>IF(B272&lt;&gt;"",IF(AND(B272&gt;=_TM1,B272&lt;=_TM2,OR(TH!L273="1111",TH!M273="1111")),TH!D273,""),"")</f>
        <v/>
      </c>
      <c r="B272" s="12">
        <f t="shared" si="9"/>
        <v>9</v>
      </c>
      <c r="C272" s="108">
        <f t="shared" si="10"/>
        <v>42618</v>
      </c>
      <c r="D272" s="108" t="s">
        <v>1019</v>
      </c>
      <c r="E272" s="113">
        <v>42618</v>
      </c>
      <c r="F272" s="114" t="s">
        <v>484</v>
      </c>
      <c r="G272" s="303" t="s">
        <v>1026</v>
      </c>
      <c r="H272" s="4" t="s">
        <v>366</v>
      </c>
      <c r="I272" s="139"/>
      <c r="J272" s="139"/>
      <c r="K272" s="13">
        <f>5925150+4790940+2549250</f>
        <v>13265340</v>
      </c>
      <c r="L272" s="116" t="s">
        <v>46</v>
      </c>
      <c r="M272" s="411" t="s">
        <v>252</v>
      </c>
      <c r="N272" s="22" t="str">
        <f>IF(AND('331-CT'!$E$7=TH!H272,OR(L272="331",M272="331")),"331",IF(AND(OR(L272="131",M272="131"),H272='131-CT'!$E$7),"131",""))</f>
        <v/>
      </c>
      <c r="O272" s="22" t="str">
        <f>IF(AND($B272&gt;='111'!$N$11,$B272&lt;='111'!$O$11,OR($L272=$O$7,$M272=$O$7)),"x","")</f>
        <v/>
      </c>
      <c r="P272" s="22" t="str">
        <f>IF(AND($L272=$O$7,$B272&lt;'111'!$N$11),"x","")</f>
        <v>x</v>
      </c>
      <c r="Q272" s="22" t="str">
        <f>IF(AND($M272=$O$7,$B272&lt;'111'!$N$11),"x","")</f>
        <v/>
      </c>
      <c r="R272" s="22" t="str">
        <f>IF(ISERROR(FIND('112'!$M$9,G272,1)),"",IF((AND(FIND('112'!$M$9,G272,1)&gt;=1,$B272&gt;='112'!$N$8,$B272&lt;='112'!$O$8,OR($L272='112'!$I$6,$M272='112'!$I$6))),"x",""))</f>
        <v/>
      </c>
      <c r="S272" s="22" t="str">
        <f>IF(ISERROR(FIND('112'!$M$9,G272,1)),"",IF((AND(LEFT(G272,2)=LEFT('112'!$M$9,2),B272&lt;'112'!$N$8,$L272='112'!$I$6)),"x",""))</f>
        <v/>
      </c>
      <c r="T272" s="22" t="str">
        <f>IF(ISERROR(FIND('112'!$M$9,G272,1)),"",IF((AND(RIGHT(G272,2)=RIGHT('112'!$M$9,2),B272&lt;'112'!$N$8,$M272='112'!$I$6)),"x",""))</f>
        <v/>
      </c>
      <c r="U272" s="22" t="str">
        <f>IF(AND(B272&gt;='IN-NX'!$P$3,B272&lt;='IN-NX'!$Q$3,'IN-NX'!$D$7=D272,OR(LEFT(L272,2)="15",AND(LEFT(M272,2)&lt;&gt;"15",LEFT(M272,2)&lt;&gt;"33"))),"x","")</f>
        <v/>
      </c>
      <c r="V272" s="22" t="str">
        <f>IF(AND(OR(LEFT(TH!L272,2)="15",LEFT(TH!M272,2)="15"),'152-CT'!$J$8=TH!F272),"x","")</f>
        <v/>
      </c>
      <c r="W272" s="22" t="str">
        <f>IF(AND(OR(LEFT(TH!L272,2)="15",LEFT(TH!M272,2)="15"),TK!$E$7=TH!F272),"x","")</f>
        <v/>
      </c>
      <c r="X272" s="22" t="str">
        <f>IF(OR(TH!L272=TH!$X$7,M272=TH!$X$7),"x","")</f>
        <v/>
      </c>
      <c r="Y272" s="22" t="str">
        <f>IF(AND(B272&lt;=NKC!$N$8,B272&gt;=NKC!$M$8),"x","")</f>
        <v>x</v>
      </c>
      <c r="Z272" s="580"/>
      <c r="AC272" s="130"/>
      <c r="AD272" s="130"/>
      <c r="AE272" s="130"/>
    </row>
    <row r="273" spans="1:31" s="406" customFormat="1" ht="15.75" customHeight="1">
      <c r="A273" s="123" t="str">
        <f>IF(B273&lt;&gt;"",IF(AND(B273&gt;=_TM1,B273&lt;=_TM2,OR(TH!L274="1111",TH!M274="1111")),TH!D274,""),"")</f>
        <v/>
      </c>
      <c r="B273" s="12">
        <f t="shared" ref="B273:B336" si="11">IF(C273&lt;&gt;"",MONTH(C273),"")</f>
        <v>9</v>
      </c>
      <c r="C273" s="108">
        <f t="shared" si="10"/>
        <v>42618</v>
      </c>
      <c r="D273" s="108" t="s">
        <v>597</v>
      </c>
      <c r="E273" s="113">
        <v>42618</v>
      </c>
      <c r="F273" s="112" t="s">
        <v>651</v>
      </c>
      <c r="G273" s="303" t="s">
        <v>744</v>
      </c>
      <c r="H273" s="4" t="s">
        <v>371</v>
      </c>
      <c r="I273" s="139">
        <f>412</f>
        <v>412</v>
      </c>
      <c r="J273" s="139">
        <v>11800</v>
      </c>
      <c r="K273" s="13">
        <f>ROUND(I273*J273,0)</f>
        <v>4861600</v>
      </c>
      <c r="L273" s="116" t="s">
        <v>252</v>
      </c>
      <c r="M273" s="411" t="s">
        <v>169</v>
      </c>
      <c r="N273" s="22" t="str">
        <f>IF(AND('331-CT'!$E$7=TH!H273,OR(L273="331",M273="331")),"331",IF(AND(OR(L273="131",M273="131"),H273='131-CT'!$E$7),"131",""))</f>
        <v/>
      </c>
      <c r="O273" s="22" t="str">
        <f>IF(AND($B273&gt;='111'!$N$11,$B273&lt;='111'!$O$11,OR($L273=$O$7,$M273=$O$7)),"x","")</f>
        <v/>
      </c>
      <c r="P273" s="22" t="str">
        <f>IF(AND($L273=$O$7,$B273&lt;'111'!$N$11),"x","")</f>
        <v/>
      </c>
      <c r="Q273" s="22" t="str">
        <f>IF(AND($M273=$O$7,$B273&lt;'111'!$N$11),"x","")</f>
        <v/>
      </c>
      <c r="R273" s="22" t="str">
        <f>IF(ISERROR(FIND('112'!$M$9,G273,1)),"",IF((AND(FIND('112'!$M$9,G273,1)&gt;=1,$B273&gt;='112'!$N$8,$B273&lt;='112'!$O$8,OR($L273='112'!$I$6,$M273='112'!$I$6))),"x",""))</f>
        <v/>
      </c>
      <c r="S273" s="22" t="str">
        <f>IF(ISERROR(FIND('112'!$M$9,G273,1)),"",IF((AND(LEFT(G273,2)=LEFT('112'!$M$9,2),B273&lt;'112'!$N$8,$L273='112'!$I$6)),"x",""))</f>
        <v/>
      </c>
      <c r="T273" s="22" t="str">
        <f>IF(ISERROR(FIND('112'!$M$9,G273,1)),"",IF((AND(RIGHT(G273,2)=RIGHT('112'!$M$9,2),B273&lt;'112'!$N$8,$M273='112'!$I$6)),"x",""))</f>
        <v/>
      </c>
      <c r="U273" s="22" t="str">
        <f>IF(AND(B273&gt;='IN-NX'!$P$3,B273&lt;='IN-NX'!$Q$3,'IN-NX'!$D$7=D273,OR(LEFT(L273,2)="15",AND(LEFT(M273,2)&lt;&gt;"15",LEFT(M273,2)&lt;&gt;"33"))),"x","")</f>
        <v/>
      </c>
      <c r="V273" s="22" t="str">
        <f>IF(AND(OR(LEFT(TH!L273,2)="15",LEFT(TH!M273,2)="15"),'152-CT'!$J$8=TH!F273),"x","")</f>
        <v/>
      </c>
      <c r="W273" s="22" t="str">
        <f>IF(AND(OR(LEFT(TH!L273,2)="15",LEFT(TH!M273,2)="15"),TK!$E$7=TH!F273),"x","")</f>
        <v/>
      </c>
      <c r="X273" s="22" t="str">
        <f>IF(OR(TH!L273=TH!$X$7,M273=TH!$X$7),"x","")</f>
        <v/>
      </c>
      <c r="Y273" s="22" t="str">
        <f>IF(AND(B273&lt;=NKC!$N$8,B273&gt;=NKC!$M$8),"x","")</f>
        <v>x</v>
      </c>
      <c r="Z273" s="580"/>
      <c r="AC273" s="130"/>
      <c r="AD273" s="130"/>
      <c r="AE273" s="130"/>
    </row>
    <row r="274" spans="1:31" s="406" customFormat="1" ht="15.75" customHeight="1">
      <c r="A274" s="123" t="str">
        <f>IF(B274&lt;&gt;"",IF(AND(B274&gt;=_TM1,B274&lt;=_TM2,OR(TH!L275="1111",TH!M275="1111")),TH!D275,""),"")</f>
        <v/>
      </c>
      <c r="B274" s="12">
        <f t="shared" si="11"/>
        <v>9</v>
      </c>
      <c r="C274" s="108">
        <f t="shared" si="10"/>
        <v>42618</v>
      </c>
      <c r="D274" s="108" t="s">
        <v>597</v>
      </c>
      <c r="E274" s="113">
        <v>42618</v>
      </c>
      <c r="F274" s="112" t="s">
        <v>500</v>
      </c>
      <c r="G274" s="303" t="s">
        <v>744</v>
      </c>
      <c r="H274" s="4" t="s">
        <v>371</v>
      </c>
      <c r="I274" s="139">
        <f>102+51+51+102+76</f>
        <v>382</v>
      </c>
      <c r="J274" s="139">
        <v>9400</v>
      </c>
      <c r="K274" s="13">
        <f>ROUND(I274*J274,0)</f>
        <v>3590800</v>
      </c>
      <c r="L274" s="116" t="s">
        <v>252</v>
      </c>
      <c r="M274" s="411" t="s">
        <v>169</v>
      </c>
      <c r="N274" s="22" t="str">
        <f>IF(AND('331-CT'!$E$7=TH!H274,OR(L274="331",M274="331")),"331",IF(AND(OR(L274="131",M274="131"),H274='131-CT'!$E$7),"131",""))</f>
        <v/>
      </c>
      <c r="O274" s="22" t="str">
        <f>IF(AND($B274&gt;='111'!$N$11,$B274&lt;='111'!$O$11,OR($L274=$O$7,$M274=$O$7)),"x","")</f>
        <v/>
      </c>
      <c r="P274" s="22" t="str">
        <f>IF(AND($L274=$O$7,$B274&lt;'111'!$N$11),"x","")</f>
        <v/>
      </c>
      <c r="Q274" s="22" t="str">
        <f>IF(AND($M274=$O$7,$B274&lt;'111'!$N$11),"x","")</f>
        <v/>
      </c>
      <c r="R274" s="22" t="str">
        <f>IF(ISERROR(FIND('112'!$M$9,G274,1)),"",IF((AND(FIND('112'!$M$9,G274,1)&gt;=1,$B274&gt;='112'!$N$8,$B274&lt;='112'!$O$8,OR($L274='112'!$I$6,$M274='112'!$I$6))),"x",""))</f>
        <v/>
      </c>
      <c r="S274" s="22" t="str">
        <f>IF(ISERROR(FIND('112'!$M$9,G274,1)),"",IF((AND(LEFT(G274,2)=LEFT('112'!$M$9,2),B274&lt;'112'!$N$8,$L274='112'!$I$6)),"x",""))</f>
        <v/>
      </c>
      <c r="T274" s="22" t="str">
        <f>IF(ISERROR(FIND('112'!$M$9,G274,1)),"",IF((AND(RIGHT(G274,2)=RIGHT('112'!$M$9,2),B274&lt;'112'!$N$8,$M274='112'!$I$6)),"x",""))</f>
        <v/>
      </c>
      <c r="U274" s="22" t="str">
        <f>IF(AND(B274&gt;='IN-NX'!$P$3,B274&lt;='IN-NX'!$Q$3,'IN-NX'!$D$7=D274,OR(LEFT(L274,2)="15",AND(LEFT(M274,2)&lt;&gt;"15",LEFT(M274,2)&lt;&gt;"33"))),"x","")</f>
        <v/>
      </c>
      <c r="V274" s="22" t="str">
        <f>IF(AND(OR(LEFT(TH!L274,2)="15",LEFT(TH!M274,2)="15"),'152-CT'!$J$8=TH!F274),"x","")</f>
        <v/>
      </c>
      <c r="W274" s="22" t="str">
        <f>IF(AND(OR(LEFT(TH!L274,2)="15",LEFT(TH!M274,2)="15"),TK!$E$7=TH!F274),"x","")</f>
        <v/>
      </c>
      <c r="X274" s="22" t="str">
        <f>IF(OR(TH!L274=TH!$X$7,M274=TH!$X$7),"x","")</f>
        <v/>
      </c>
      <c r="Y274" s="22" t="str">
        <f>IF(AND(B274&lt;=NKC!$N$8,B274&gt;=NKC!$M$8),"x","")</f>
        <v>x</v>
      </c>
      <c r="Z274" s="580"/>
      <c r="AC274" s="130"/>
      <c r="AD274" s="130"/>
      <c r="AE274" s="130"/>
    </row>
    <row r="275" spans="1:31" s="406" customFormat="1" ht="15.75" customHeight="1">
      <c r="A275" s="123" t="str">
        <f>IF(B275&lt;&gt;"",IF(AND(B275&gt;=_TM1,B275&lt;=_TM2,OR(TH!L276="1111",TH!M276="1111")),TH!D276,""),"")</f>
        <v/>
      </c>
      <c r="B275" s="12">
        <f t="shared" si="11"/>
        <v>9</v>
      </c>
      <c r="C275" s="108">
        <f t="shared" si="10"/>
        <v>42618</v>
      </c>
      <c r="D275" s="108" t="s">
        <v>597</v>
      </c>
      <c r="E275" s="113">
        <v>42618</v>
      </c>
      <c r="F275" s="112" t="s">
        <v>500</v>
      </c>
      <c r="G275" s="303" t="s">
        <v>744</v>
      </c>
      <c r="H275" s="4" t="s">
        <v>371</v>
      </c>
      <c r="I275" s="139">
        <v>110</v>
      </c>
      <c r="J275" s="139">
        <v>16700</v>
      </c>
      <c r="K275" s="13">
        <f>ROUND(I275*J275,0)</f>
        <v>1837000</v>
      </c>
      <c r="L275" s="116" t="s">
        <v>252</v>
      </c>
      <c r="M275" s="411" t="s">
        <v>169</v>
      </c>
      <c r="N275" s="22" t="str">
        <f>IF(AND('331-CT'!$E$7=TH!H275,OR(L275="331",M275="331")),"331",IF(AND(OR(L275="131",M275="131"),H275='131-CT'!$E$7),"131",""))</f>
        <v/>
      </c>
      <c r="O275" s="22" t="str">
        <f>IF(AND($B275&gt;='111'!$N$11,$B275&lt;='111'!$O$11,OR($L275=$O$7,$M275=$O$7)),"x","")</f>
        <v/>
      </c>
      <c r="P275" s="22" t="str">
        <f>IF(AND($L275=$O$7,$B275&lt;'111'!$N$11),"x","")</f>
        <v/>
      </c>
      <c r="Q275" s="22" t="str">
        <f>IF(AND($M275=$O$7,$B275&lt;'111'!$N$11),"x","")</f>
        <v/>
      </c>
      <c r="R275" s="22" t="str">
        <f>IF(ISERROR(FIND('112'!$M$9,G275,1)),"",IF((AND(FIND('112'!$M$9,G275,1)&gt;=1,$B275&gt;='112'!$N$8,$B275&lt;='112'!$O$8,OR($L275='112'!$I$6,$M275='112'!$I$6))),"x",""))</f>
        <v/>
      </c>
      <c r="S275" s="22" t="str">
        <f>IF(ISERROR(FIND('112'!$M$9,G275,1)),"",IF((AND(LEFT(G275,2)=LEFT('112'!$M$9,2),B275&lt;'112'!$N$8,$L275='112'!$I$6)),"x",""))</f>
        <v/>
      </c>
      <c r="T275" s="22" t="str">
        <f>IF(ISERROR(FIND('112'!$M$9,G275,1)),"",IF((AND(RIGHT(G275,2)=RIGHT('112'!$M$9,2),B275&lt;'112'!$N$8,$M275='112'!$I$6)),"x",""))</f>
        <v/>
      </c>
      <c r="U275" s="22" t="str">
        <f>IF(AND(B275&gt;='IN-NX'!$P$3,B275&lt;='IN-NX'!$Q$3,'IN-NX'!$D$7=D275,OR(LEFT(L275,2)="15",AND(LEFT(M275,2)&lt;&gt;"15",LEFT(M275,2)&lt;&gt;"33"))),"x","")</f>
        <v/>
      </c>
      <c r="V275" s="22" t="str">
        <f>IF(AND(OR(LEFT(TH!L275,2)="15",LEFT(TH!M275,2)="15"),'152-CT'!$J$8=TH!F275),"x","")</f>
        <v/>
      </c>
      <c r="W275" s="22" t="str">
        <f>IF(AND(OR(LEFT(TH!L275,2)="15",LEFT(TH!M275,2)="15"),TK!$E$7=TH!F275),"x","")</f>
        <v/>
      </c>
      <c r="X275" s="22" t="str">
        <f>IF(OR(TH!L275=TH!$X$7,M275=TH!$X$7),"x","")</f>
        <v/>
      </c>
      <c r="Y275" s="22" t="str">
        <f>IF(AND(B275&lt;=NKC!$N$8,B275&gt;=NKC!$M$8),"x","")</f>
        <v>x</v>
      </c>
      <c r="Z275" s="580"/>
      <c r="AC275" s="130"/>
      <c r="AD275" s="130"/>
      <c r="AE275" s="130"/>
    </row>
    <row r="276" spans="1:31" s="406" customFormat="1" ht="15.75" customHeight="1">
      <c r="A276" s="123" t="str">
        <f>IF(B276&lt;&gt;"",IF(AND(B276&gt;=_TM1,B276&lt;=_TM2,OR(TH!L277="1111",TH!M277="1111")),TH!D277,""),"")</f>
        <v/>
      </c>
      <c r="B276" s="12">
        <f t="shared" si="11"/>
        <v>9</v>
      </c>
      <c r="C276" s="108">
        <f t="shared" si="10"/>
        <v>42618</v>
      </c>
      <c r="D276" s="108" t="s">
        <v>597</v>
      </c>
      <c r="E276" s="113">
        <v>42618</v>
      </c>
      <c r="F276" s="112" t="s">
        <v>652</v>
      </c>
      <c r="G276" s="303" t="s">
        <v>744</v>
      </c>
      <c r="H276" s="4" t="s">
        <v>371</v>
      </c>
      <c r="I276" s="139">
        <v>110</v>
      </c>
      <c r="J276" s="139">
        <v>6300</v>
      </c>
      <c r="K276" s="13">
        <f>ROUND(I276*J276,0)</f>
        <v>693000</v>
      </c>
      <c r="L276" s="116" t="s">
        <v>252</v>
      </c>
      <c r="M276" s="411" t="s">
        <v>169</v>
      </c>
      <c r="N276" s="22" t="str">
        <f>IF(AND('331-CT'!$E$7=TH!H276,OR(L276="331",M276="331")),"331",IF(AND(OR(L276="131",M276="131"),H276='131-CT'!$E$7),"131",""))</f>
        <v/>
      </c>
      <c r="O276" s="22" t="str">
        <f>IF(AND($B276&gt;='111'!$N$11,$B276&lt;='111'!$O$11,OR($L276=$O$7,$M276=$O$7)),"x","")</f>
        <v/>
      </c>
      <c r="P276" s="22" t="str">
        <f>IF(AND($L276=$O$7,$B276&lt;'111'!$N$11),"x","")</f>
        <v/>
      </c>
      <c r="Q276" s="22" t="str">
        <f>IF(AND($M276=$O$7,$B276&lt;'111'!$N$11),"x","")</f>
        <v/>
      </c>
      <c r="R276" s="22" t="str">
        <f>IF(ISERROR(FIND('112'!$M$9,G276,1)),"",IF((AND(FIND('112'!$M$9,G276,1)&gt;=1,$B276&gt;='112'!$N$8,$B276&lt;='112'!$O$8,OR($L276='112'!$I$6,$M276='112'!$I$6))),"x",""))</f>
        <v/>
      </c>
      <c r="S276" s="22" t="str">
        <f>IF(ISERROR(FIND('112'!$M$9,G276,1)),"",IF((AND(LEFT(G276,2)=LEFT('112'!$M$9,2),B276&lt;'112'!$N$8,$L276='112'!$I$6)),"x",""))</f>
        <v/>
      </c>
      <c r="T276" s="22" t="str">
        <f>IF(ISERROR(FIND('112'!$M$9,G276,1)),"",IF((AND(RIGHT(G276,2)=RIGHT('112'!$M$9,2),B276&lt;'112'!$N$8,$M276='112'!$I$6)),"x",""))</f>
        <v/>
      </c>
      <c r="U276" s="22" t="str">
        <f>IF(AND(B276&gt;='IN-NX'!$P$3,B276&lt;='IN-NX'!$Q$3,'IN-NX'!$D$7=D276,OR(LEFT(L276,2)="15",AND(LEFT(M276,2)&lt;&gt;"15",LEFT(M276,2)&lt;&gt;"33"))),"x","")</f>
        <v/>
      </c>
      <c r="V276" s="22" t="str">
        <f>IF(AND(OR(LEFT(TH!L276,2)="15",LEFT(TH!M276,2)="15"),'152-CT'!$J$8=TH!F276),"x","")</f>
        <v/>
      </c>
      <c r="W276" s="22" t="str">
        <f>IF(AND(OR(LEFT(TH!L276,2)="15",LEFT(TH!M276,2)="15"),TK!$E$7=TH!F276),"x","")</f>
        <v/>
      </c>
      <c r="X276" s="22" t="str">
        <f>IF(OR(TH!L276=TH!$X$7,M276=TH!$X$7),"x","")</f>
        <v/>
      </c>
      <c r="Y276" s="22" t="str">
        <f>IF(AND(B276&lt;=NKC!$N$8,B276&gt;=NKC!$M$8),"x","")</f>
        <v>x</v>
      </c>
      <c r="Z276" s="580"/>
      <c r="AB276" s="130"/>
      <c r="AC276" s="130"/>
      <c r="AD276" s="130"/>
      <c r="AE276" s="130"/>
    </row>
    <row r="277" spans="1:31" s="406" customFormat="1" ht="15.75" customHeight="1">
      <c r="A277" s="123" t="str">
        <f>IF(B277&lt;&gt;"",IF(AND(B277&gt;=_TM1,B277&lt;=_TM2,OR(TH!L278="1111",TH!M278="1111")),TH!D278,""),"")</f>
        <v/>
      </c>
      <c r="B277" s="12">
        <f t="shared" si="11"/>
        <v>9</v>
      </c>
      <c r="C277" s="108">
        <f t="shared" si="10"/>
        <v>42618</v>
      </c>
      <c r="D277" s="108" t="s">
        <v>597</v>
      </c>
      <c r="E277" s="113">
        <v>42618</v>
      </c>
      <c r="F277" s="112" t="s">
        <v>496</v>
      </c>
      <c r="G277" s="303" t="s">
        <v>744</v>
      </c>
      <c r="H277" s="4" t="s">
        <v>371</v>
      </c>
      <c r="I277" s="139"/>
      <c r="J277" s="139"/>
      <c r="K277" s="13">
        <v>1098240</v>
      </c>
      <c r="L277" s="116" t="s">
        <v>252</v>
      </c>
      <c r="M277" s="411" t="s">
        <v>352</v>
      </c>
      <c r="N277" s="22" t="str">
        <f>IF(AND('331-CT'!$E$7=TH!H277,OR(L277="331",M277="331")),"331",IF(AND(OR(L277="131",M277="131"),H277='131-CT'!$E$7),"131",""))</f>
        <v/>
      </c>
      <c r="O277" s="22" t="str">
        <f>IF(AND($B277&gt;='111'!$N$11,$B277&lt;='111'!$O$11,OR($L277=$O$7,$M277=$O$7)),"x","")</f>
        <v/>
      </c>
      <c r="P277" s="22" t="str">
        <f>IF(AND($L277=$O$7,$B277&lt;'111'!$N$11),"x","")</f>
        <v/>
      </c>
      <c r="Q277" s="22" t="str">
        <f>IF(AND($M277=$O$7,$B277&lt;'111'!$N$11),"x","")</f>
        <v/>
      </c>
      <c r="R277" s="22" t="str">
        <f>IF(ISERROR(FIND('112'!$M$9,G277,1)),"",IF((AND(FIND('112'!$M$9,G277,1)&gt;=1,$B277&gt;='112'!$N$8,$B277&lt;='112'!$O$8,OR($L277='112'!$I$6,$M277='112'!$I$6))),"x",""))</f>
        <v/>
      </c>
      <c r="S277" s="22" t="str">
        <f>IF(ISERROR(FIND('112'!$M$9,G277,1)),"",IF((AND(LEFT(G277,2)=LEFT('112'!$M$9,2),B277&lt;'112'!$N$8,$L277='112'!$I$6)),"x",""))</f>
        <v/>
      </c>
      <c r="T277" s="22" t="str">
        <f>IF(ISERROR(FIND('112'!$M$9,G277,1)),"",IF((AND(RIGHT(G277,2)=RIGHT('112'!$M$9,2),B277&lt;'112'!$N$8,$M277='112'!$I$6)),"x",""))</f>
        <v/>
      </c>
      <c r="U277" s="22" t="str">
        <f>IF(AND(B277&gt;='IN-NX'!$P$3,B277&lt;='IN-NX'!$Q$3,'IN-NX'!$D$7=D277,OR(LEFT(L277,2)="15",AND(LEFT(M277,2)&lt;&gt;"15",LEFT(M277,2)&lt;&gt;"33"))),"x","")</f>
        <v/>
      </c>
      <c r="V277" s="22" t="str">
        <f>IF(AND(OR(LEFT(TH!L277,2)="15",LEFT(TH!M277,2)="15"),'152-CT'!$J$8=TH!F277),"x","")</f>
        <v/>
      </c>
      <c r="W277" s="22" t="str">
        <f>IF(AND(OR(LEFT(TH!L277,2)="15",LEFT(TH!M277,2)="15"),TK!$E$7=TH!F277),"x","")</f>
        <v/>
      </c>
      <c r="X277" s="22" t="str">
        <f>IF(OR(TH!L277=TH!$X$7,M277=TH!$X$7),"x","")</f>
        <v/>
      </c>
      <c r="Y277" s="22" t="str">
        <f>IF(AND(B277&lt;=NKC!$N$8,B277&gt;=NKC!$M$8),"x","")</f>
        <v>x</v>
      </c>
      <c r="Z277" s="580"/>
      <c r="AC277" s="130"/>
      <c r="AD277" s="130"/>
      <c r="AE277" s="130"/>
    </row>
    <row r="278" spans="1:31" s="406" customFormat="1" ht="15.75" customHeight="1">
      <c r="A278" s="123" t="str">
        <f>IF(B278&lt;&gt;"",IF(AND(B278&gt;=_TM1,B278&lt;=_TM2,OR(TH!L279="1111",TH!M279="1111")),TH!D279,""),"")</f>
        <v/>
      </c>
      <c r="B278" s="12">
        <f t="shared" si="11"/>
        <v>9</v>
      </c>
      <c r="C278" s="108">
        <f t="shared" si="10"/>
        <v>42618</v>
      </c>
      <c r="D278" s="108" t="s">
        <v>598</v>
      </c>
      <c r="E278" s="113">
        <v>42618</v>
      </c>
      <c r="F278" s="112" t="s">
        <v>653</v>
      </c>
      <c r="G278" s="303" t="s">
        <v>745</v>
      </c>
      <c r="H278" s="4" t="s">
        <v>371</v>
      </c>
      <c r="I278" s="139">
        <f>13+13+13+13+13</f>
        <v>65</v>
      </c>
      <c r="J278" s="139">
        <v>15600</v>
      </c>
      <c r="K278" s="13">
        <f>ROUND(I278*J278,0)</f>
        <v>1014000</v>
      </c>
      <c r="L278" s="116" t="s">
        <v>252</v>
      </c>
      <c r="M278" s="411" t="s">
        <v>169</v>
      </c>
      <c r="N278" s="22" t="str">
        <f>IF(AND('331-CT'!$E$7=TH!H278,OR(L278="331",M278="331")),"331",IF(AND(OR(L278="131",M278="131"),H278='131-CT'!$E$7),"131",""))</f>
        <v/>
      </c>
      <c r="O278" s="22" t="str">
        <f>IF(AND($B278&gt;='111'!$N$11,$B278&lt;='111'!$O$11,OR($L278=$O$7,$M278=$O$7)),"x","")</f>
        <v/>
      </c>
      <c r="P278" s="22" t="str">
        <f>IF(AND($L278=$O$7,$B278&lt;'111'!$N$11),"x","")</f>
        <v/>
      </c>
      <c r="Q278" s="22" t="str">
        <f>IF(AND($M278=$O$7,$B278&lt;'111'!$N$11),"x","")</f>
        <v/>
      </c>
      <c r="R278" s="22" t="str">
        <f>IF(ISERROR(FIND('112'!$M$9,G278,1)),"",IF((AND(FIND('112'!$M$9,G278,1)&gt;=1,$B278&gt;='112'!$N$8,$B278&lt;='112'!$O$8,OR($L278='112'!$I$6,$M278='112'!$I$6))),"x",""))</f>
        <v/>
      </c>
      <c r="S278" s="22" t="str">
        <f>IF(ISERROR(FIND('112'!$M$9,G278,1)),"",IF((AND(LEFT(G278,2)=LEFT('112'!$M$9,2),B278&lt;'112'!$N$8,$L278='112'!$I$6)),"x",""))</f>
        <v/>
      </c>
      <c r="T278" s="22" t="str">
        <f>IF(ISERROR(FIND('112'!$M$9,G278,1)),"",IF((AND(RIGHT(G278,2)=RIGHT('112'!$M$9,2),B278&lt;'112'!$N$8,$M278='112'!$I$6)),"x",""))</f>
        <v/>
      </c>
      <c r="U278" s="22" t="str">
        <f>IF(AND(B278&gt;='IN-NX'!$P$3,B278&lt;='IN-NX'!$Q$3,'IN-NX'!$D$7=D278,OR(LEFT(L278,2)="15",AND(LEFT(M278,2)&lt;&gt;"15",LEFT(M278,2)&lt;&gt;"33"))),"x","")</f>
        <v/>
      </c>
      <c r="V278" s="22" t="str">
        <f>IF(AND(OR(LEFT(TH!L278,2)="15",LEFT(TH!M278,2)="15"),'152-CT'!$J$8=TH!F278),"x","")</f>
        <v/>
      </c>
      <c r="W278" s="22" t="str">
        <f>IF(AND(OR(LEFT(TH!L278,2)="15",LEFT(TH!M278,2)="15"),TK!$E$7=TH!F278),"x","")</f>
        <v/>
      </c>
      <c r="X278" s="22" t="str">
        <f>IF(OR(TH!L278=TH!$X$7,M278=TH!$X$7),"x","")</f>
        <v/>
      </c>
      <c r="Y278" s="22" t="str">
        <f>IF(AND(B278&lt;=NKC!$N$8,B278&gt;=NKC!$M$8),"x","")</f>
        <v>x</v>
      </c>
      <c r="Z278" s="580"/>
      <c r="AC278" s="130"/>
      <c r="AD278" s="130"/>
      <c r="AE278" s="130"/>
    </row>
    <row r="279" spans="1:31" s="406" customFormat="1" ht="15.75" customHeight="1">
      <c r="A279" s="123" t="str">
        <f>IF(B279&lt;&gt;"",IF(AND(B279&gt;=_TM1,B279&lt;=_TM2,OR(TH!L280="1111",TH!M280="1111")),TH!D280,""),"")</f>
        <v/>
      </c>
      <c r="B279" s="12">
        <f t="shared" si="11"/>
        <v>9</v>
      </c>
      <c r="C279" s="108">
        <f t="shared" si="10"/>
        <v>42618</v>
      </c>
      <c r="D279" s="108" t="s">
        <v>598</v>
      </c>
      <c r="E279" s="113">
        <v>42618</v>
      </c>
      <c r="F279" s="112" t="s">
        <v>654</v>
      </c>
      <c r="G279" s="303" t="s">
        <v>745</v>
      </c>
      <c r="H279" s="4" t="s">
        <v>371</v>
      </c>
      <c r="I279" s="139">
        <f>580+337</f>
        <v>917</v>
      </c>
      <c r="J279" s="139">
        <v>7900</v>
      </c>
      <c r="K279" s="13">
        <f>ROUND(I279*J279,0)</f>
        <v>7244300</v>
      </c>
      <c r="L279" s="116" t="s">
        <v>252</v>
      </c>
      <c r="M279" s="411" t="s">
        <v>169</v>
      </c>
      <c r="N279" s="22" t="str">
        <f>IF(AND('331-CT'!$E$7=TH!H279,OR(L279="331",M279="331")),"331",IF(AND(OR(L279="131",M279="131"),H279='131-CT'!$E$7),"131",""))</f>
        <v/>
      </c>
      <c r="O279" s="22" t="str">
        <f>IF(AND($B279&gt;='111'!$N$11,$B279&lt;='111'!$O$11,OR($L279=$O$7,$M279=$O$7)),"x","")</f>
        <v/>
      </c>
      <c r="P279" s="22" t="str">
        <f>IF(AND($L279=$O$7,$B279&lt;'111'!$N$11),"x","")</f>
        <v/>
      </c>
      <c r="Q279" s="22" t="str">
        <f>IF(AND($M279=$O$7,$B279&lt;'111'!$N$11),"x","")</f>
        <v/>
      </c>
      <c r="R279" s="22" t="str">
        <f>IF(ISERROR(FIND('112'!$M$9,G279,1)),"",IF((AND(FIND('112'!$M$9,G279,1)&gt;=1,$B279&gt;='112'!$N$8,$B279&lt;='112'!$O$8,OR($L279='112'!$I$6,$M279='112'!$I$6))),"x",""))</f>
        <v/>
      </c>
      <c r="S279" s="22" t="str">
        <f>IF(ISERROR(FIND('112'!$M$9,G279,1)),"",IF((AND(LEFT(G279,2)=LEFT('112'!$M$9,2),B279&lt;'112'!$N$8,$L279='112'!$I$6)),"x",""))</f>
        <v/>
      </c>
      <c r="T279" s="22" t="str">
        <f>IF(ISERROR(FIND('112'!$M$9,G279,1)),"",IF((AND(RIGHT(G279,2)=RIGHT('112'!$M$9,2),B279&lt;'112'!$N$8,$M279='112'!$I$6)),"x",""))</f>
        <v/>
      </c>
      <c r="U279" s="22" t="str">
        <f>IF(AND(B279&gt;='IN-NX'!$P$3,B279&lt;='IN-NX'!$Q$3,'IN-NX'!$D$7=D279,OR(LEFT(L279,2)="15",AND(LEFT(M279,2)&lt;&gt;"15",LEFT(M279,2)&lt;&gt;"33"))),"x","")</f>
        <v/>
      </c>
      <c r="V279" s="22" t="str">
        <f>IF(AND(OR(LEFT(TH!L279,2)="15",LEFT(TH!M279,2)="15"),'152-CT'!$J$8=TH!F279),"x","")</f>
        <v/>
      </c>
      <c r="W279" s="22" t="str">
        <f>IF(AND(OR(LEFT(TH!L279,2)="15",LEFT(TH!M279,2)="15"),TK!$E$7=TH!F279),"x","")</f>
        <v/>
      </c>
      <c r="X279" s="22" t="str">
        <f>IF(OR(TH!L279=TH!$X$7,M279=TH!$X$7),"x","")</f>
        <v/>
      </c>
      <c r="Y279" s="22" t="str">
        <f>IF(AND(B279&lt;=NKC!$N$8,B279&gt;=NKC!$M$8),"x","")</f>
        <v>x</v>
      </c>
      <c r="Z279" s="580"/>
      <c r="AC279" s="130"/>
      <c r="AD279" s="130"/>
      <c r="AE279" s="130"/>
    </row>
    <row r="280" spans="1:31" s="406" customFormat="1" ht="15.75" customHeight="1">
      <c r="A280" s="123" t="str">
        <f>IF(B280&lt;&gt;"",IF(AND(B280&gt;=_TM1,B280&lt;=_TM2,OR(TH!L281="1111",TH!M281="1111")),TH!D281,""),"")</f>
        <v/>
      </c>
      <c r="B280" s="12">
        <f t="shared" si="11"/>
        <v>9</v>
      </c>
      <c r="C280" s="108">
        <f t="shared" si="10"/>
        <v>42618</v>
      </c>
      <c r="D280" s="108" t="s">
        <v>598</v>
      </c>
      <c r="E280" s="113">
        <v>42618</v>
      </c>
      <c r="F280" s="112" t="s">
        <v>500</v>
      </c>
      <c r="G280" s="303" t="s">
        <v>745</v>
      </c>
      <c r="H280" s="4" t="s">
        <v>371</v>
      </c>
      <c r="I280" s="139">
        <v>72</v>
      </c>
      <c r="J280" s="139">
        <v>9400</v>
      </c>
      <c r="K280" s="13">
        <f>ROUND(I280*J280,0)</f>
        <v>676800</v>
      </c>
      <c r="L280" s="116" t="s">
        <v>252</v>
      </c>
      <c r="M280" s="411" t="s">
        <v>169</v>
      </c>
      <c r="N280" s="22" t="str">
        <f>IF(AND('331-CT'!$E$7=TH!H280,OR(L280="331",M280="331")),"331",IF(AND(OR(L280="131",M280="131"),H280='131-CT'!$E$7),"131",""))</f>
        <v/>
      </c>
      <c r="O280" s="22" t="str">
        <f>IF(AND($B280&gt;='111'!$N$11,$B280&lt;='111'!$O$11,OR($L280=$O$7,$M280=$O$7)),"x","")</f>
        <v/>
      </c>
      <c r="P280" s="22" t="str">
        <f>IF(AND($L280=$O$7,$B280&lt;'111'!$N$11),"x","")</f>
        <v/>
      </c>
      <c r="Q280" s="22" t="str">
        <f>IF(AND($M280=$O$7,$B280&lt;'111'!$N$11),"x","")</f>
        <v/>
      </c>
      <c r="R280" s="22" t="str">
        <f>IF(ISERROR(FIND('112'!$M$9,G280,1)),"",IF((AND(FIND('112'!$M$9,G280,1)&gt;=1,$B280&gt;='112'!$N$8,$B280&lt;='112'!$O$8,OR($L280='112'!$I$6,$M280='112'!$I$6))),"x",""))</f>
        <v/>
      </c>
      <c r="S280" s="22" t="str">
        <f>IF(ISERROR(FIND('112'!$M$9,G280,1)),"",IF((AND(LEFT(G280,2)=LEFT('112'!$M$9,2),B280&lt;'112'!$N$8,$L280='112'!$I$6)),"x",""))</f>
        <v/>
      </c>
      <c r="T280" s="22" t="str">
        <f>IF(ISERROR(FIND('112'!$M$9,G280,1)),"",IF((AND(RIGHT(G280,2)=RIGHT('112'!$M$9,2),B280&lt;'112'!$N$8,$M280='112'!$I$6)),"x",""))</f>
        <v/>
      </c>
      <c r="U280" s="22" t="str">
        <f>IF(AND(B280&gt;='IN-NX'!$P$3,B280&lt;='IN-NX'!$Q$3,'IN-NX'!$D$7=D280,OR(LEFT(L280,2)="15",AND(LEFT(M280,2)&lt;&gt;"15",LEFT(M280,2)&lt;&gt;"33"))),"x","")</f>
        <v/>
      </c>
      <c r="V280" s="22" t="str">
        <f>IF(AND(OR(LEFT(TH!L280,2)="15",LEFT(TH!M280,2)="15"),'152-CT'!$J$8=TH!F280),"x","")</f>
        <v/>
      </c>
      <c r="W280" s="22" t="str">
        <f>IF(AND(OR(LEFT(TH!L280,2)="15",LEFT(TH!M280,2)="15"),TK!$E$7=TH!F280),"x","")</f>
        <v/>
      </c>
      <c r="X280" s="22" t="str">
        <f>IF(OR(TH!L280=TH!$X$7,M280=TH!$X$7),"x","")</f>
        <v/>
      </c>
      <c r="Y280" s="22" t="str">
        <f>IF(AND(B280&lt;=NKC!$N$8,B280&gt;=NKC!$M$8),"x","")</f>
        <v>x</v>
      </c>
      <c r="Z280" s="580"/>
      <c r="AC280" s="130"/>
      <c r="AD280" s="130"/>
      <c r="AE280" s="130"/>
    </row>
    <row r="281" spans="1:31" s="406" customFormat="1" ht="15.75" customHeight="1">
      <c r="A281" s="123" t="str">
        <f>IF(B281&lt;&gt;"",IF(AND(B281&gt;=_TM1,B281&lt;=_TM2,OR(TH!L282="1111",TH!M282="1111")),TH!D282,""),"")</f>
        <v/>
      </c>
      <c r="B281" s="12">
        <f t="shared" si="11"/>
        <v>9</v>
      </c>
      <c r="C281" s="108">
        <f t="shared" ref="C281:C344" si="12">E281</f>
        <v>42618</v>
      </c>
      <c r="D281" s="108" t="s">
        <v>598</v>
      </c>
      <c r="E281" s="113">
        <v>42618</v>
      </c>
      <c r="F281" s="112" t="s">
        <v>496</v>
      </c>
      <c r="G281" s="303" t="s">
        <v>745</v>
      </c>
      <c r="H281" s="4" t="s">
        <v>371</v>
      </c>
      <c r="I281" s="139"/>
      <c r="J281" s="139"/>
      <c r="K281" s="13">
        <v>893510</v>
      </c>
      <c r="L281" s="116" t="s">
        <v>252</v>
      </c>
      <c r="M281" s="411" t="s">
        <v>352</v>
      </c>
      <c r="N281" s="22" t="str">
        <f>IF(AND('331-CT'!$E$7=TH!H281,OR(L281="331",M281="331")),"331",IF(AND(OR(L281="131",M281="131"),H281='131-CT'!$E$7),"131",""))</f>
        <v/>
      </c>
      <c r="O281" s="22" t="str">
        <f>IF(AND($B281&gt;='111'!$N$11,$B281&lt;='111'!$O$11,OR($L281=$O$7,$M281=$O$7)),"x","")</f>
        <v/>
      </c>
      <c r="P281" s="22" t="str">
        <f>IF(AND($L281=$O$7,$B281&lt;'111'!$N$11),"x","")</f>
        <v/>
      </c>
      <c r="Q281" s="22" t="str">
        <f>IF(AND($M281=$O$7,$B281&lt;'111'!$N$11),"x","")</f>
        <v/>
      </c>
      <c r="R281" s="22" t="str">
        <f>IF(ISERROR(FIND('112'!$M$9,G281,1)),"",IF((AND(FIND('112'!$M$9,G281,1)&gt;=1,$B281&gt;='112'!$N$8,$B281&lt;='112'!$O$8,OR($L281='112'!$I$6,$M281='112'!$I$6))),"x",""))</f>
        <v/>
      </c>
      <c r="S281" s="22" t="str">
        <f>IF(ISERROR(FIND('112'!$M$9,G281,1)),"",IF((AND(LEFT(G281,2)=LEFT('112'!$M$9,2),B281&lt;'112'!$N$8,$L281='112'!$I$6)),"x",""))</f>
        <v/>
      </c>
      <c r="T281" s="22" t="str">
        <f>IF(ISERROR(FIND('112'!$M$9,G281,1)),"",IF((AND(RIGHT(G281,2)=RIGHT('112'!$M$9,2),B281&lt;'112'!$N$8,$M281='112'!$I$6)),"x",""))</f>
        <v/>
      </c>
      <c r="U281" s="22" t="str">
        <f>IF(AND(B281&gt;='IN-NX'!$P$3,B281&lt;='IN-NX'!$Q$3,'IN-NX'!$D$7=D281,OR(LEFT(L281,2)="15",AND(LEFT(M281,2)&lt;&gt;"15",LEFT(M281,2)&lt;&gt;"33"))),"x","")</f>
        <v/>
      </c>
      <c r="V281" s="22" t="str">
        <f>IF(AND(OR(LEFT(TH!L281,2)="15",LEFT(TH!M281,2)="15"),'152-CT'!$J$8=TH!F281),"x","")</f>
        <v/>
      </c>
      <c r="W281" s="22" t="str">
        <f>IF(AND(OR(LEFT(TH!L281,2)="15",LEFT(TH!M281,2)="15"),TK!$E$7=TH!F281),"x","")</f>
        <v/>
      </c>
      <c r="X281" s="22" t="str">
        <f>IF(OR(TH!L281=TH!$X$7,M281=TH!$X$7),"x","")</f>
        <v/>
      </c>
      <c r="Y281" s="22" t="str">
        <f>IF(AND(B281&lt;=NKC!$N$8,B281&gt;=NKC!$M$8),"x","")</f>
        <v>x</v>
      </c>
      <c r="Z281" s="580"/>
      <c r="AC281" s="130"/>
      <c r="AD281" s="130"/>
      <c r="AE281" s="130"/>
    </row>
    <row r="282" spans="1:31" s="406" customFormat="1" ht="15.75" customHeight="1">
      <c r="A282" s="123" t="str">
        <f>IF(B282&lt;&gt;"",IF(AND(B282&gt;=_TM1,B282&lt;=_TM2,OR(TH!L283="1111",TH!M283="1111")),TH!D283,""),"")</f>
        <v/>
      </c>
      <c r="B282" s="12">
        <f t="shared" si="11"/>
        <v>9</v>
      </c>
      <c r="C282" s="108">
        <f t="shared" si="12"/>
        <v>42619</v>
      </c>
      <c r="D282" s="108" t="s">
        <v>1020</v>
      </c>
      <c r="E282" s="113">
        <v>42619</v>
      </c>
      <c r="F282" s="114" t="s">
        <v>484</v>
      </c>
      <c r="G282" s="303" t="s">
        <v>1024</v>
      </c>
      <c r="H282" s="4" t="s">
        <v>618</v>
      </c>
      <c r="I282" s="139"/>
      <c r="J282" s="139"/>
      <c r="K282" s="13">
        <f>1429120+1825340+2347950</f>
        <v>5602410</v>
      </c>
      <c r="L282" s="116" t="s">
        <v>46</v>
      </c>
      <c r="M282" s="411" t="s">
        <v>252</v>
      </c>
      <c r="N282" s="22" t="str">
        <f>IF(AND('331-CT'!$E$7=TH!H282,OR(L282="331",M282="331")),"331",IF(AND(OR(L282="131",M282="131"),H282='131-CT'!$E$7),"131",""))</f>
        <v/>
      </c>
      <c r="O282" s="22" t="str">
        <f>IF(AND($B282&gt;='111'!$N$11,$B282&lt;='111'!$O$11,OR($L282=$O$7,$M282=$O$7)),"x","")</f>
        <v/>
      </c>
      <c r="P282" s="22" t="str">
        <f>IF(AND($L282=$O$7,$B282&lt;'111'!$N$11),"x","")</f>
        <v>x</v>
      </c>
      <c r="Q282" s="22" t="str">
        <f>IF(AND($M282=$O$7,$B282&lt;'111'!$N$11),"x","")</f>
        <v/>
      </c>
      <c r="R282" s="22" t="str">
        <f>IF(ISERROR(FIND('112'!$M$9,G282,1)),"",IF((AND(FIND('112'!$M$9,G282,1)&gt;=1,$B282&gt;='112'!$N$8,$B282&lt;='112'!$O$8,OR($L282='112'!$I$6,$M282='112'!$I$6))),"x",""))</f>
        <v/>
      </c>
      <c r="S282" s="22" t="str">
        <f>IF(ISERROR(FIND('112'!$M$9,G282,1)),"",IF((AND(LEFT(G282,2)=LEFT('112'!$M$9,2),B282&lt;'112'!$N$8,$L282='112'!$I$6)),"x",""))</f>
        <v/>
      </c>
      <c r="T282" s="22" t="str">
        <f>IF(ISERROR(FIND('112'!$M$9,G282,1)),"",IF((AND(RIGHT(G282,2)=RIGHT('112'!$M$9,2),B282&lt;'112'!$N$8,$M282='112'!$I$6)),"x",""))</f>
        <v/>
      </c>
      <c r="U282" s="22" t="str">
        <f>IF(AND(B282&gt;='IN-NX'!$P$3,B282&lt;='IN-NX'!$Q$3,'IN-NX'!$D$7=D282,OR(LEFT(L282,2)="15",AND(LEFT(M282,2)&lt;&gt;"15",LEFT(M282,2)&lt;&gt;"33"))),"x","")</f>
        <v/>
      </c>
      <c r="V282" s="22" t="str">
        <f>IF(AND(OR(LEFT(TH!L282,2)="15",LEFT(TH!M282,2)="15"),'152-CT'!$J$8=TH!F282),"x","")</f>
        <v/>
      </c>
      <c r="W282" s="22" t="str">
        <f>IF(AND(OR(LEFT(TH!L282,2)="15",LEFT(TH!M282,2)="15"),TK!$E$7=TH!F282),"x","")</f>
        <v/>
      </c>
      <c r="X282" s="22" t="str">
        <f>IF(OR(TH!L282=TH!$X$7,M282=TH!$X$7),"x","")</f>
        <v/>
      </c>
      <c r="Y282" s="22" t="str">
        <f>IF(AND(B282&lt;=NKC!$N$8,B282&gt;=NKC!$M$8),"x","")</f>
        <v>x</v>
      </c>
      <c r="Z282" s="580"/>
      <c r="AC282" s="130"/>
      <c r="AD282" s="130"/>
      <c r="AE282" s="130"/>
    </row>
    <row r="283" spans="1:31" s="406" customFormat="1" ht="15.75" customHeight="1">
      <c r="A283" s="123" t="str">
        <f>IF(B283&lt;&gt;"",IF(AND(B283&gt;=_TM1,B283&lt;=_TM2,OR(TH!L284="1111",TH!M284="1111")),TH!D284,""),"")</f>
        <v/>
      </c>
      <c r="B283" s="12">
        <f t="shared" si="11"/>
        <v>9</v>
      </c>
      <c r="C283" s="108">
        <f t="shared" si="12"/>
        <v>42619</v>
      </c>
      <c r="D283" s="108" t="s">
        <v>599</v>
      </c>
      <c r="E283" s="113">
        <v>42619</v>
      </c>
      <c r="F283" s="112" t="s">
        <v>510</v>
      </c>
      <c r="G283" s="303" t="s">
        <v>746</v>
      </c>
      <c r="H283" s="4" t="s">
        <v>690</v>
      </c>
      <c r="I283" s="139">
        <f>523+513</f>
        <v>1036</v>
      </c>
      <c r="J283" s="139">
        <v>5900</v>
      </c>
      <c r="K283" s="13">
        <f>ROUND(I283*J283,0)</f>
        <v>6112400</v>
      </c>
      <c r="L283" s="116" t="s">
        <v>252</v>
      </c>
      <c r="M283" s="411" t="s">
        <v>169</v>
      </c>
      <c r="N283" s="22" t="str">
        <f>IF(AND('331-CT'!$E$7=TH!H283,OR(L283="331",M283="331")),"331",IF(AND(OR(L283="131",M283="131"),H283='131-CT'!$E$7),"131",""))</f>
        <v/>
      </c>
      <c r="O283" s="22" t="str">
        <f>IF(AND($B283&gt;='111'!$N$11,$B283&lt;='111'!$O$11,OR($L283=$O$7,$M283=$O$7)),"x","")</f>
        <v/>
      </c>
      <c r="P283" s="22" t="str">
        <f>IF(AND($L283=$O$7,$B283&lt;'111'!$N$11),"x","")</f>
        <v/>
      </c>
      <c r="Q283" s="22" t="str">
        <f>IF(AND($M283=$O$7,$B283&lt;'111'!$N$11),"x","")</f>
        <v/>
      </c>
      <c r="R283" s="22" t="str">
        <f>IF(ISERROR(FIND('112'!$M$9,G283,1)),"",IF((AND(FIND('112'!$M$9,G283,1)&gt;=1,$B283&gt;='112'!$N$8,$B283&lt;='112'!$O$8,OR($L283='112'!$I$6,$M283='112'!$I$6))),"x",""))</f>
        <v/>
      </c>
      <c r="S283" s="22" t="str">
        <f>IF(ISERROR(FIND('112'!$M$9,G283,1)),"",IF((AND(LEFT(G283,2)=LEFT('112'!$M$9,2),B283&lt;'112'!$N$8,$L283='112'!$I$6)),"x",""))</f>
        <v/>
      </c>
      <c r="T283" s="22" t="str">
        <f>IF(ISERROR(FIND('112'!$M$9,G283,1)),"",IF((AND(RIGHT(G283,2)=RIGHT('112'!$M$9,2),B283&lt;'112'!$N$8,$M283='112'!$I$6)),"x",""))</f>
        <v/>
      </c>
      <c r="U283" s="22" t="str">
        <f>IF(AND(B283&gt;='IN-NX'!$P$3,B283&lt;='IN-NX'!$Q$3,'IN-NX'!$D$7=D283,OR(LEFT(L283,2)="15",AND(LEFT(M283,2)&lt;&gt;"15",LEFT(M283,2)&lt;&gt;"33"))),"x","")</f>
        <v/>
      </c>
      <c r="V283" s="22" t="str">
        <f>IF(AND(OR(LEFT(TH!L283,2)="15",LEFT(TH!M283,2)="15"),'152-CT'!$J$8=TH!F283),"x","")</f>
        <v/>
      </c>
      <c r="W283" s="22" t="str">
        <f>IF(AND(OR(LEFT(TH!L283,2)="15",LEFT(TH!M283,2)="15"),TK!$E$7=TH!F283),"x","")</f>
        <v/>
      </c>
      <c r="X283" s="22" t="str">
        <f>IF(OR(TH!L283=TH!$X$7,M283=TH!$X$7),"x","")</f>
        <v/>
      </c>
      <c r="Y283" s="22" t="str">
        <f>IF(AND(B283&lt;=NKC!$N$8,B283&gt;=NKC!$M$8),"x","")</f>
        <v>x</v>
      </c>
      <c r="Z283" s="580"/>
      <c r="AC283" s="130"/>
      <c r="AD283" s="130"/>
      <c r="AE283" s="130"/>
    </row>
    <row r="284" spans="1:31" s="406" customFormat="1" ht="15.75" customHeight="1">
      <c r="A284" s="123" t="str">
        <f>IF(B284&lt;&gt;"",IF(AND(B284&gt;=_TM1,B284&lt;=_TM2,OR(TH!L285="1111",TH!M285="1111")),TH!D285,""),"")</f>
        <v/>
      </c>
      <c r="B284" s="12">
        <f t="shared" si="11"/>
        <v>9</v>
      </c>
      <c r="C284" s="108">
        <f t="shared" si="12"/>
        <v>42619</v>
      </c>
      <c r="D284" s="108" t="s">
        <v>599</v>
      </c>
      <c r="E284" s="113">
        <v>42619</v>
      </c>
      <c r="F284" s="112" t="s">
        <v>496</v>
      </c>
      <c r="G284" s="303" t="s">
        <v>746</v>
      </c>
      <c r="H284" s="4" t="s">
        <v>690</v>
      </c>
      <c r="I284" s="139"/>
      <c r="J284" s="139"/>
      <c r="K284" s="13">
        <v>611240</v>
      </c>
      <c r="L284" s="116" t="s">
        <v>252</v>
      </c>
      <c r="M284" s="411" t="s">
        <v>352</v>
      </c>
      <c r="N284" s="22" t="str">
        <f>IF(AND('331-CT'!$E$7=TH!H284,OR(L284="331",M284="331")),"331",IF(AND(OR(L284="131",M284="131"),H284='131-CT'!$E$7),"131",""))</f>
        <v/>
      </c>
      <c r="O284" s="22" t="str">
        <f>IF(AND($B284&gt;='111'!$N$11,$B284&lt;='111'!$O$11,OR($L284=$O$7,$M284=$O$7)),"x","")</f>
        <v/>
      </c>
      <c r="P284" s="22" t="str">
        <f>IF(AND($L284=$O$7,$B284&lt;'111'!$N$11),"x","")</f>
        <v/>
      </c>
      <c r="Q284" s="22" t="str">
        <f>IF(AND($M284=$O$7,$B284&lt;'111'!$N$11),"x","")</f>
        <v/>
      </c>
      <c r="R284" s="22" t="str">
        <f>IF(ISERROR(FIND('112'!$M$9,G284,1)),"",IF((AND(FIND('112'!$M$9,G284,1)&gt;=1,$B284&gt;='112'!$N$8,$B284&lt;='112'!$O$8,OR($L284='112'!$I$6,$M284='112'!$I$6))),"x",""))</f>
        <v/>
      </c>
      <c r="S284" s="22" t="str">
        <f>IF(ISERROR(FIND('112'!$M$9,G284,1)),"",IF((AND(LEFT(G284,2)=LEFT('112'!$M$9,2),B284&lt;'112'!$N$8,$L284='112'!$I$6)),"x",""))</f>
        <v/>
      </c>
      <c r="T284" s="22" t="str">
        <f>IF(ISERROR(FIND('112'!$M$9,G284,1)),"",IF((AND(RIGHT(G284,2)=RIGHT('112'!$M$9,2),B284&lt;'112'!$N$8,$M284='112'!$I$6)),"x",""))</f>
        <v/>
      </c>
      <c r="U284" s="22" t="str">
        <f>IF(AND(B284&gt;='IN-NX'!$P$3,B284&lt;='IN-NX'!$Q$3,'IN-NX'!$D$7=D284,OR(LEFT(L284,2)="15",AND(LEFT(M284,2)&lt;&gt;"15",LEFT(M284,2)&lt;&gt;"33"))),"x","")</f>
        <v/>
      </c>
      <c r="V284" s="22" t="str">
        <f>IF(AND(OR(LEFT(TH!L284,2)="15",LEFT(TH!M284,2)="15"),'152-CT'!$J$8=TH!F284),"x","")</f>
        <v/>
      </c>
      <c r="W284" s="22" t="str">
        <f>IF(AND(OR(LEFT(TH!L284,2)="15",LEFT(TH!M284,2)="15"),TK!$E$7=TH!F284),"x","")</f>
        <v/>
      </c>
      <c r="X284" s="22" t="str">
        <f>IF(OR(TH!L284=TH!$X$7,M284=TH!$X$7),"x","")</f>
        <v/>
      </c>
      <c r="Y284" s="22" t="str">
        <f>IF(AND(B284&lt;=NKC!$N$8,B284&gt;=NKC!$M$8),"x","")</f>
        <v>x</v>
      </c>
      <c r="Z284" s="580"/>
      <c r="AB284" s="130"/>
      <c r="AC284" s="130"/>
      <c r="AD284" s="130"/>
      <c r="AE284" s="130"/>
    </row>
    <row r="285" spans="1:31" s="406" customFormat="1" ht="15.75" customHeight="1">
      <c r="A285" s="123" t="str">
        <f>IF(B285&lt;&gt;"",IF(AND(B285&gt;=_TM1,B285&lt;=_TM2,OR(TH!L286="1111",TH!M286="1111")),TH!D286,""),"")</f>
        <v/>
      </c>
      <c r="B285" s="12">
        <f t="shared" si="11"/>
        <v>9</v>
      </c>
      <c r="C285" s="108">
        <f t="shared" si="12"/>
        <v>42619</v>
      </c>
      <c r="D285" s="108" t="s">
        <v>600</v>
      </c>
      <c r="E285" s="113">
        <v>42619</v>
      </c>
      <c r="F285" s="112" t="s">
        <v>532</v>
      </c>
      <c r="G285" s="303" t="s">
        <v>747</v>
      </c>
      <c r="H285" s="4" t="s">
        <v>617</v>
      </c>
      <c r="I285" s="139">
        <v>212</v>
      </c>
      <c r="J285" s="139">
        <v>9300</v>
      </c>
      <c r="K285" s="13">
        <f>ROUND(I285*J285,0)</f>
        <v>1971600</v>
      </c>
      <c r="L285" s="116" t="s">
        <v>252</v>
      </c>
      <c r="M285" s="411" t="s">
        <v>169</v>
      </c>
      <c r="N285" s="22" t="str">
        <f>IF(AND('331-CT'!$E$7=TH!H285,OR(L285="331",M285="331")),"331",IF(AND(OR(L285="131",M285="131"),H285='131-CT'!$E$7),"131",""))</f>
        <v/>
      </c>
      <c r="O285" s="22" t="str">
        <f>IF(AND($B285&gt;='111'!$N$11,$B285&lt;='111'!$O$11,OR($L285=$O$7,$M285=$O$7)),"x","")</f>
        <v/>
      </c>
      <c r="P285" s="22" t="str">
        <f>IF(AND($L285=$O$7,$B285&lt;'111'!$N$11),"x","")</f>
        <v/>
      </c>
      <c r="Q285" s="22" t="str">
        <f>IF(AND($M285=$O$7,$B285&lt;'111'!$N$11),"x","")</f>
        <v/>
      </c>
      <c r="R285" s="22" t="str">
        <f>IF(ISERROR(FIND('112'!$M$9,G285,1)),"",IF((AND(FIND('112'!$M$9,G285,1)&gt;=1,$B285&gt;='112'!$N$8,$B285&lt;='112'!$O$8,OR($L285='112'!$I$6,$M285='112'!$I$6))),"x",""))</f>
        <v/>
      </c>
      <c r="S285" s="22" t="str">
        <f>IF(ISERROR(FIND('112'!$M$9,G285,1)),"",IF((AND(LEFT(G285,2)=LEFT('112'!$M$9,2),B285&lt;'112'!$N$8,$L285='112'!$I$6)),"x",""))</f>
        <v/>
      </c>
      <c r="T285" s="22" t="str">
        <f>IF(ISERROR(FIND('112'!$M$9,G285,1)),"",IF((AND(RIGHT(G285,2)=RIGHT('112'!$M$9,2),B285&lt;'112'!$N$8,$M285='112'!$I$6)),"x",""))</f>
        <v/>
      </c>
      <c r="U285" s="22" t="str">
        <f>IF(AND(B285&gt;='IN-NX'!$P$3,B285&lt;='IN-NX'!$Q$3,'IN-NX'!$D$7=D285,OR(LEFT(L285,2)="15",AND(LEFT(M285,2)&lt;&gt;"15",LEFT(M285,2)&lt;&gt;"33"))),"x","")</f>
        <v/>
      </c>
      <c r="V285" s="22" t="str">
        <f>IF(AND(OR(LEFT(TH!L285,2)="15",LEFT(TH!M285,2)="15"),'152-CT'!$J$8=TH!F285),"x","")</f>
        <v/>
      </c>
      <c r="W285" s="22" t="str">
        <f>IF(AND(OR(LEFT(TH!L285,2)="15",LEFT(TH!M285,2)="15"),TK!$E$7=TH!F285),"x","")</f>
        <v/>
      </c>
      <c r="X285" s="22" t="str">
        <f>IF(OR(TH!L285=TH!$X$7,M285=TH!$X$7),"x","")</f>
        <v/>
      </c>
      <c r="Y285" s="22" t="str">
        <f>IF(AND(B285&lt;=NKC!$N$8,B285&gt;=NKC!$M$8),"x","")</f>
        <v>x</v>
      </c>
      <c r="Z285" s="580"/>
      <c r="AC285" s="130"/>
      <c r="AD285" s="130"/>
      <c r="AE285" s="130"/>
    </row>
    <row r="286" spans="1:31" s="406" customFormat="1" ht="15.75" customHeight="1">
      <c r="A286" s="123" t="str">
        <f>IF(B286&lt;&gt;"",IF(AND(B286&gt;=_TM1,B286&lt;=_TM2,OR(TH!L287="1111",TH!M287="1111")),TH!D287,""),"")</f>
        <v/>
      </c>
      <c r="B286" s="12">
        <f t="shared" si="11"/>
        <v>9</v>
      </c>
      <c r="C286" s="108">
        <f t="shared" si="12"/>
        <v>42619</v>
      </c>
      <c r="D286" s="108" t="s">
        <v>600</v>
      </c>
      <c r="E286" s="113">
        <v>42619</v>
      </c>
      <c r="F286" s="112" t="s">
        <v>542</v>
      </c>
      <c r="G286" s="303" t="s">
        <v>747</v>
      </c>
      <c r="H286" s="4" t="s">
        <v>617</v>
      </c>
      <c r="I286" s="139"/>
      <c r="J286" s="139"/>
      <c r="K286" s="13">
        <v>197160</v>
      </c>
      <c r="L286" s="116" t="s">
        <v>252</v>
      </c>
      <c r="M286" s="411" t="s">
        <v>352</v>
      </c>
      <c r="N286" s="22" t="str">
        <f>IF(AND('331-CT'!$E$7=TH!H286,OR(L286="331",M286="331")),"331",IF(AND(OR(L286="131",M286="131"),H286='131-CT'!$E$7),"131",""))</f>
        <v/>
      </c>
      <c r="O286" s="22" t="str">
        <f>IF(AND($B286&gt;='111'!$N$11,$B286&lt;='111'!$O$11,OR($L286=$O$7,$M286=$O$7)),"x","")</f>
        <v/>
      </c>
      <c r="P286" s="22" t="str">
        <f>IF(AND($L286=$O$7,$B286&lt;'111'!$N$11),"x","")</f>
        <v/>
      </c>
      <c r="Q286" s="22" t="str">
        <f>IF(AND($M286=$O$7,$B286&lt;'111'!$N$11),"x","")</f>
        <v/>
      </c>
      <c r="R286" s="22" t="str">
        <f>IF(ISERROR(FIND('112'!$M$9,G286,1)),"",IF((AND(FIND('112'!$M$9,G286,1)&gt;=1,$B286&gt;='112'!$N$8,$B286&lt;='112'!$O$8,OR($L286='112'!$I$6,$M286='112'!$I$6))),"x",""))</f>
        <v/>
      </c>
      <c r="S286" s="22" t="str">
        <f>IF(ISERROR(FIND('112'!$M$9,G286,1)),"",IF((AND(LEFT(G286,2)=LEFT('112'!$M$9,2),B286&lt;'112'!$N$8,$L286='112'!$I$6)),"x",""))</f>
        <v/>
      </c>
      <c r="T286" s="22" t="str">
        <f>IF(ISERROR(FIND('112'!$M$9,G286,1)),"",IF((AND(RIGHT(G286,2)=RIGHT('112'!$M$9,2),B286&lt;'112'!$N$8,$M286='112'!$I$6)),"x",""))</f>
        <v/>
      </c>
      <c r="U286" s="22" t="str">
        <f>IF(AND(B286&gt;='IN-NX'!$P$3,B286&lt;='IN-NX'!$Q$3,'IN-NX'!$D$7=D286,OR(LEFT(L286,2)="15",AND(LEFT(M286,2)&lt;&gt;"15",LEFT(M286,2)&lt;&gt;"33"))),"x","")</f>
        <v/>
      </c>
      <c r="V286" s="22" t="str">
        <f>IF(AND(OR(LEFT(TH!L286,2)="15",LEFT(TH!M286,2)="15"),'152-CT'!$J$8=TH!F286),"x","")</f>
        <v/>
      </c>
      <c r="W286" s="22" t="str">
        <f>IF(AND(OR(LEFT(TH!L286,2)="15",LEFT(TH!M286,2)="15"),TK!$E$7=TH!F286),"x","")</f>
        <v/>
      </c>
      <c r="X286" s="22" t="str">
        <f>IF(OR(TH!L286=TH!$X$7,M286=TH!$X$7),"x","")</f>
        <v/>
      </c>
      <c r="Y286" s="22" t="str">
        <f>IF(AND(B286&lt;=NKC!$N$8,B286&gt;=NKC!$M$8),"x","")</f>
        <v>x</v>
      </c>
      <c r="Z286" s="580"/>
      <c r="AC286" s="130"/>
      <c r="AD286" s="130"/>
      <c r="AE286" s="130"/>
    </row>
    <row r="287" spans="1:31" s="406" customFormat="1" ht="15.75" customHeight="1">
      <c r="A287" s="123" t="str">
        <f>IF(B287&lt;&gt;"",IF(AND(B287&gt;=_TM1,B287&lt;=_TM2,OR(TH!L288="1111",TH!M288="1111")),TH!D288,""),"")</f>
        <v/>
      </c>
      <c r="B287" s="12">
        <f t="shared" si="11"/>
        <v>9</v>
      </c>
      <c r="C287" s="108">
        <f t="shared" si="12"/>
        <v>42619</v>
      </c>
      <c r="D287" s="108" t="s">
        <v>1034</v>
      </c>
      <c r="E287" s="113">
        <v>42619</v>
      </c>
      <c r="F287" s="114" t="s">
        <v>484</v>
      </c>
      <c r="G287" s="303" t="s">
        <v>747</v>
      </c>
      <c r="H287" s="4" t="s">
        <v>617</v>
      </c>
      <c r="I287" s="139"/>
      <c r="J287" s="139"/>
      <c r="K287" s="13">
        <v>2168760</v>
      </c>
      <c r="L287" s="116" t="s">
        <v>46</v>
      </c>
      <c r="M287" s="411" t="s">
        <v>252</v>
      </c>
      <c r="N287" s="22" t="str">
        <f>IF(AND('331-CT'!$E$7=TH!H287,OR(L287="331",M287="331")),"331",IF(AND(OR(L287="131",M287="131"),H287='131-CT'!$E$7),"131",""))</f>
        <v/>
      </c>
      <c r="O287" s="22" t="str">
        <f>IF(AND($B287&gt;='111'!$N$11,$B287&lt;='111'!$O$11,OR($L287=$O$7,$M287=$O$7)),"x","")</f>
        <v/>
      </c>
      <c r="P287" s="22" t="str">
        <f>IF(AND($L287=$O$7,$B287&lt;'111'!$N$11),"x","")</f>
        <v>x</v>
      </c>
      <c r="Q287" s="22" t="str">
        <f>IF(AND($M287=$O$7,$B287&lt;'111'!$N$11),"x","")</f>
        <v/>
      </c>
      <c r="R287" s="22" t="str">
        <f>IF(ISERROR(FIND('112'!$M$9,G287,1)),"",IF((AND(FIND('112'!$M$9,G287,1)&gt;=1,$B287&gt;='112'!$N$8,$B287&lt;='112'!$O$8,OR($L287='112'!$I$6,$M287='112'!$I$6))),"x",""))</f>
        <v/>
      </c>
      <c r="S287" s="22" t="str">
        <f>IF(ISERROR(FIND('112'!$M$9,G287,1)),"",IF((AND(LEFT(G287,2)=LEFT('112'!$M$9,2),B287&lt;'112'!$N$8,$L287='112'!$I$6)),"x",""))</f>
        <v/>
      </c>
      <c r="T287" s="22" t="str">
        <f>IF(ISERROR(FIND('112'!$M$9,G287,1)),"",IF((AND(RIGHT(G287,2)=RIGHT('112'!$M$9,2),B287&lt;'112'!$N$8,$M287='112'!$I$6)),"x",""))</f>
        <v/>
      </c>
      <c r="U287" s="22" t="str">
        <f>IF(AND(B287&gt;='IN-NX'!$P$3,B287&lt;='IN-NX'!$Q$3,'IN-NX'!$D$7=D287,OR(LEFT(L287,2)="15",AND(LEFT(M287,2)&lt;&gt;"15",LEFT(M287,2)&lt;&gt;"33"))),"x","")</f>
        <v/>
      </c>
      <c r="V287" s="22" t="str">
        <f>IF(AND(OR(LEFT(TH!L287,2)="15",LEFT(TH!M287,2)="15"),'152-CT'!$J$8=TH!F287),"x","")</f>
        <v/>
      </c>
      <c r="W287" s="22" t="str">
        <f>IF(AND(OR(LEFT(TH!L287,2)="15",LEFT(TH!M287,2)="15"),TK!$E$7=TH!F287),"x","")</f>
        <v/>
      </c>
      <c r="X287" s="22" t="str">
        <f>IF(OR(TH!L287=TH!$X$7,M287=TH!$X$7),"x","")</f>
        <v/>
      </c>
      <c r="Y287" s="22" t="str">
        <f>IF(AND(B287&lt;=NKC!$N$8,B287&gt;=NKC!$M$8),"x","")</f>
        <v>x</v>
      </c>
      <c r="Z287" s="580"/>
      <c r="AC287" s="130"/>
      <c r="AD287" s="130"/>
      <c r="AE287" s="130"/>
    </row>
    <row r="288" spans="1:31" s="406" customFormat="1" ht="15.75" customHeight="1">
      <c r="A288" s="123" t="str">
        <f>IF(B288&lt;&gt;"",IF(AND(B288&gt;=_TM1,B288&lt;=_TM2,OR(TH!L289="1111",TH!M289="1111")),TH!D289,""),"")</f>
        <v/>
      </c>
      <c r="B288" s="12">
        <f t="shared" si="11"/>
        <v>9</v>
      </c>
      <c r="C288" s="108">
        <f t="shared" si="12"/>
        <v>42619</v>
      </c>
      <c r="D288" s="108" t="s">
        <v>601</v>
      </c>
      <c r="E288" s="113">
        <v>42619</v>
      </c>
      <c r="F288" s="112" t="s">
        <v>664</v>
      </c>
      <c r="G288" s="303" t="s">
        <v>748</v>
      </c>
      <c r="H288" s="4" t="s">
        <v>618</v>
      </c>
      <c r="I288" s="139">
        <v>212</v>
      </c>
      <c r="J288" s="139">
        <v>9400</v>
      </c>
      <c r="K288" s="13">
        <f>ROUND(I288*J288,0)</f>
        <v>1992800</v>
      </c>
      <c r="L288" s="116" t="s">
        <v>252</v>
      </c>
      <c r="M288" s="411" t="s">
        <v>169</v>
      </c>
      <c r="N288" s="22" t="str">
        <f>IF(AND('331-CT'!$E$7=TH!H288,OR(L288="331",M288="331")),"331",IF(AND(OR(L288="131",M288="131"),H288='131-CT'!$E$7),"131",""))</f>
        <v/>
      </c>
      <c r="O288" s="22" t="str">
        <f>IF(AND($B288&gt;='111'!$N$11,$B288&lt;='111'!$O$11,OR($L288=$O$7,$M288=$O$7)),"x","")</f>
        <v/>
      </c>
      <c r="P288" s="22" t="str">
        <f>IF(AND($L288=$O$7,$B288&lt;'111'!$N$11),"x","")</f>
        <v/>
      </c>
      <c r="Q288" s="22" t="str">
        <f>IF(AND($M288=$O$7,$B288&lt;'111'!$N$11),"x","")</f>
        <v/>
      </c>
      <c r="R288" s="22" t="str">
        <f>IF(ISERROR(FIND('112'!$M$9,G288,1)),"",IF((AND(FIND('112'!$M$9,G288,1)&gt;=1,$B288&gt;='112'!$N$8,$B288&lt;='112'!$O$8,OR($L288='112'!$I$6,$M288='112'!$I$6))),"x",""))</f>
        <v/>
      </c>
      <c r="S288" s="22" t="str">
        <f>IF(ISERROR(FIND('112'!$M$9,G288,1)),"",IF((AND(LEFT(G288,2)=LEFT('112'!$M$9,2),B288&lt;'112'!$N$8,$L288='112'!$I$6)),"x",""))</f>
        <v/>
      </c>
      <c r="T288" s="22" t="str">
        <f>IF(ISERROR(FIND('112'!$M$9,G288,1)),"",IF((AND(RIGHT(G288,2)=RIGHT('112'!$M$9,2),B288&lt;'112'!$N$8,$M288='112'!$I$6)),"x",""))</f>
        <v/>
      </c>
      <c r="U288" s="22" t="str">
        <f>IF(AND(B288&gt;='IN-NX'!$P$3,B288&lt;='IN-NX'!$Q$3,'IN-NX'!$D$7=D288,OR(LEFT(L288,2)="15",AND(LEFT(M288,2)&lt;&gt;"15",LEFT(M288,2)&lt;&gt;"33"))),"x","")</f>
        <v/>
      </c>
      <c r="V288" s="22" t="str">
        <f>IF(AND(OR(LEFT(TH!L288,2)="15",LEFT(TH!M288,2)="15"),'152-CT'!$J$8=TH!F288),"x","")</f>
        <v/>
      </c>
      <c r="W288" s="22" t="str">
        <f>IF(AND(OR(LEFT(TH!L288,2)="15",LEFT(TH!M288,2)="15"),TK!$E$7=TH!F288),"x","")</f>
        <v/>
      </c>
      <c r="X288" s="22" t="str">
        <f>IF(OR(TH!L288=TH!$X$7,M288=TH!$X$7),"x","")</f>
        <v/>
      </c>
      <c r="Y288" s="22" t="str">
        <f>IF(AND(B288&lt;=NKC!$N$8,B288&gt;=NKC!$M$8),"x","")</f>
        <v>x</v>
      </c>
      <c r="Z288" s="580"/>
      <c r="AC288" s="130"/>
      <c r="AD288" s="130"/>
      <c r="AE288" s="130"/>
    </row>
    <row r="289" spans="1:31" s="406" customFormat="1" ht="15.75" customHeight="1">
      <c r="A289" s="123" t="str">
        <f>IF(B289&lt;&gt;"",IF(AND(B289&gt;=_TM1,B289&lt;=_TM2,OR(TH!L290="1111",TH!M290="1111")),TH!D290,""),"")</f>
        <v/>
      </c>
      <c r="B289" s="12">
        <f t="shared" si="11"/>
        <v>9</v>
      </c>
      <c r="C289" s="108">
        <f t="shared" si="12"/>
        <v>42619</v>
      </c>
      <c r="D289" s="108" t="s">
        <v>601</v>
      </c>
      <c r="E289" s="113">
        <v>42619</v>
      </c>
      <c r="F289" s="112" t="s">
        <v>496</v>
      </c>
      <c r="G289" s="303" t="s">
        <v>748</v>
      </c>
      <c r="H289" s="4" t="s">
        <v>618</v>
      </c>
      <c r="I289" s="139"/>
      <c r="J289" s="139"/>
      <c r="K289" s="13">
        <v>199280</v>
      </c>
      <c r="L289" s="116" t="s">
        <v>252</v>
      </c>
      <c r="M289" s="411" t="s">
        <v>352</v>
      </c>
      <c r="N289" s="22" t="str">
        <f>IF(AND('331-CT'!$E$7=TH!H289,OR(L289="331",M289="331")),"331",IF(AND(OR(L289="131",M289="131"),H289='131-CT'!$E$7),"131",""))</f>
        <v/>
      </c>
      <c r="O289" s="22" t="str">
        <f>IF(AND($B289&gt;='111'!$N$11,$B289&lt;='111'!$O$11,OR($L289=$O$7,$M289=$O$7)),"x","")</f>
        <v/>
      </c>
      <c r="P289" s="22" t="str">
        <f>IF(AND($L289=$O$7,$B289&lt;'111'!$N$11),"x","")</f>
        <v/>
      </c>
      <c r="Q289" s="22" t="str">
        <f>IF(AND($M289=$O$7,$B289&lt;'111'!$N$11),"x","")</f>
        <v/>
      </c>
      <c r="R289" s="22" t="str">
        <f>IF(ISERROR(FIND('112'!$M$9,G289,1)),"",IF((AND(FIND('112'!$M$9,G289,1)&gt;=1,$B289&gt;='112'!$N$8,$B289&lt;='112'!$O$8,OR($L289='112'!$I$6,$M289='112'!$I$6))),"x",""))</f>
        <v/>
      </c>
      <c r="S289" s="22" t="str">
        <f>IF(ISERROR(FIND('112'!$M$9,G289,1)),"",IF((AND(LEFT(G289,2)=LEFT('112'!$M$9,2),B289&lt;'112'!$N$8,$L289='112'!$I$6)),"x",""))</f>
        <v/>
      </c>
      <c r="T289" s="22" t="str">
        <f>IF(ISERROR(FIND('112'!$M$9,G289,1)),"",IF((AND(RIGHT(G289,2)=RIGHT('112'!$M$9,2),B289&lt;'112'!$N$8,$M289='112'!$I$6)),"x",""))</f>
        <v/>
      </c>
      <c r="U289" s="22" t="str">
        <f>IF(AND(B289&gt;='IN-NX'!$P$3,B289&lt;='IN-NX'!$Q$3,'IN-NX'!$D$7=D289,OR(LEFT(L289,2)="15",AND(LEFT(M289,2)&lt;&gt;"15",LEFT(M289,2)&lt;&gt;"33"))),"x","")</f>
        <v/>
      </c>
      <c r="V289" s="22" t="str">
        <f>IF(AND(OR(LEFT(TH!L289,2)="15",LEFT(TH!M289,2)="15"),'152-CT'!$J$8=TH!F289),"x","")</f>
        <v/>
      </c>
      <c r="W289" s="22" t="str">
        <f>IF(AND(OR(LEFT(TH!L289,2)="15",LEFT(TH!M289,2)="15"),TK!$E$7=TH!F289),"x","")</f>
        <v/>
      </c>
      <c r="X289" s="22" t="str">
        <f>IF(OR(TH!L289=TH!$X$7,M289=TH!$X$7),"x","")</f>
        <v/>
      </c>
      <c r="Y289" s="22" t="str">
        <f>IF(AND(B289&lt;=NKC!$N$8,B289&gt;=NKC!$M$8),"x","")</f>
        <v>x</v>
      </c>
      <c r="Z289" s="580"/>
      <c r="AC289" s="130"/>
      <c r="AD289" s="130"/>
      <c r="AE289" s="130"/>
    </row>
    <row r="290" spans="1:31" s="406" customFormat="1" ht="15.75" customHeight="1">
      <c r="A290" s="123" t="str">
        <f>IF(B290&lt;&gt;"",IF(AND(B290&gt;=_TM1,B290&lt;=_TM2,OR(TH!L291="1111",TH!M291="1111")),TH!D291,""),"")</f>
        <v/>
      </c>
      <c r="B290" s="12">
        <f t="shared" si="11"/>
        <v>9</v>
      </c>
      <c r="C290" s="108">
        <f t="shared" si="12"/>
        <v>42619</v>
      </c>
      <c r="D290" s="108" t="s">
        <v>602</v>
      </c>
      <c r="E290" s="113">
        <v>42619</v>
      </c>
      <c r="F290" s="112" t="s">
        <v>532</v>
      </c>
      <c r="G290" s="303" t="s">
        <v>749</v>
      </c>
      <c r="H290" s="4" t="s">
        <v>551</v>
      </c>
      <c r="I290" s="139">
        <f>65+62+55+65</f>
        <v>247</v>
      </c>
      <c r="J290" s="139">
        <v>10200</v>
      </c>
      <c r="K290" s="13">
        <f>ROUND(I290*J290,0)</f>
        <v>2519400</v>
      </c>
      <c r="L290" s="116" t="s">
        <v>252</v>
      </c>
      <c r="M290" s="411" t="s">
        <v>169</v>
      </c>
      <c r="N290" s="22" t="str">
        <f>IF(AND('331-CT'!$E$7=TH!H290,OR(L290="331",M290="331")),"331",IF(AND(OR(L290="131",M290="131"),H290='131-CT'!$E$7),"131",""))</f>
        <v/>
      </c>
      <c r="O290" s="22" t="str">
        <f>IF(AND($B290&gt;='111'!$N$11,$B290&lt;='111'!$O$11,OR($L290=$O$7,$M290=$O$7)),"x","")</f>
        <v/>
      </c>
      <c r="P290" s="22" t="str">
        <f>IF(AND($L290=$O$7,$B290&lt;'111'!$N$11),"x","")</f>
        <v/>
      </c>
      <c r="Q290" s="22" t="str">
        <f>IF(AND($M290=$O$7,$B290&lt;'111'!$N$11),"x","")</f>
        <v/>
      </c>
      <c r="R290" s="22" t="str">
        <f>IF(ISERROR(FIND('112'!$M$9,G290,1)),"",IF((AND(FIND('112'!$M$9,G290,1)&gt;=1,$B290&gt;='112'!$N$8,$B290&lt;='112'!$O$8,OR($L290='112'!$I$6,$M290='112'!$I$6))),"x",""))</f>
        <v/>
      </c>
      <c r="S290" s="22" t="str">
        <f>IF(ISERROR(FIND('112'!$M$9,G290,1)),"",IF((AND(LEFT(G290,2)=LEFT('112'!$M$9,2),B290&lt;'112'!$N$8,$L290='112'!$I$6)),"x",""))</f>
        <v/>
      </c>
      <c r="T290" s="22" t="str">
        <f>IF(ISERROR(FIND('112'!$M$9,G290,1)),"",IF((AND(RIGHT(G290,2)=RIGHT('112'!$M$9,2),B290&lt;'112'!$N$8,$M290='112'!$I$6)),"x",""))</f>
        <v/>
      </c>
      <c r="U290" s="22" t="str">
        <f>IF(AND(B290&gt;='IN-NX'!$P$3,B290&lt;='IN-NX'!$Q$3,'IN-NX'!$D$7=D290,OR(LEFT(L290,2)="15",AND(LEFT(M290,2)&lt;&gt;"15",LEFT(M290,2)&lt;&gt;"33"))),"x","")</f>
        <v/>
      </c>
      <c r="V290" s="22" t="str">
        <f>IF(AND(OR(LEFT(TH!L290,2)="15",LEFT(TH!M290,2)="15"),'152-CT'!$J$8=TH!F290),"x","")</f>
        <v/>
      </c>
      <c r="W290" s="22" t="str">
        <f>IF(AND(OR(LEFT(TH!L290,2)="15",LEFT(TH!M290,2)="15"),TK!$E$7=TH!F290),"x","")</f>
        <v/>
      </c>
      <c r="X290" s="22" t="str">
        <f>IF(OR(TH!L290=TH!$X$7,M290=TH!$X$7),"x","")</f>
        <v/>
      </c>
      <c r="Y290" s="22" t="str">
        <f>IF(AND(B290&lt;=NKC!$N$8,B290&gt;=NKC!$M$8),"x","")</f>
        <v>x</v>
      </c>
      <c r="Z290" s="580"/>
      <c r="AC290" s="130"/>
      <c r="AD290" s="130"/>
      <c r="AE290" s="130"/>
    </row>
    <row r="291" spans="1:31" s="406" customFormat="1" ht="15.75" customHeight="1">
      <c r="A291" s="123" t="str">
        <f>IF(B291&lt;&gt;"",IF(AND(B291&gt;=_TM1,B291&lt;=_TM2,OR(TH!L292="1111",TH!M292="1111")),TH!D292,""),"")</f>
        <v/>
      </c>
      <c r="B291" s="12">
        <f t="shared" si="11"/>
        <v>9</v>
      </c>
      <c r="C291" s="108">
        <f t="shared" si="12"/>
        <v>42619</v>
      </c>
      <c r="D291" s="108" t="s">
        <v>602</v>
      </c>
      <c r="E291" s="113">
        <v>42619</v>
      </c>
      <c r="F291" s="112" t="s">
        <v>542</v>
      </c>
      <c r="G291" s="303" t="s">
        <v>749</v>
      </c>
      <c r="H291" s="4" t="s">
        <v>551</v>
      </c>
      <c r="I291" s="139"/>
      <c r="J291" s="139"/>
      <c r="K291" s="13">
        <v>251940</v>
      </c>
      <c r="L291" s="116" t="s">
        <v>252</v>
      </c>
      <c r="M291" s="411" t="s">
        <v>352</v>
      </c>
      <c r="N291" s="22" t="str">
        <f>IF(AND('331-CT'!$E$7=TH!H291,OR(L291="331",M291="331")),"331",IF(AND(OR(L291="131",M291="131"),H291='131-CT'!$E$7),"131",""))</f>
        <v/>
      </c>
      <c r="O291" s="22" t="str">
        <f>IF(AND($B291&gt;='111'!$N$11,$B291&lt;='111'!$O$11,OR($L291=$O$7,$M291=$O$7)),"x","")</f>
        <v/>
      </c>
      <c r="P291" s="22" t="str">
        <f>IF(AND($L291=$O$7,$B291&lt;'111'!$N$11),"x","")</f>
        <v/>
      </c>
      <c r="Q291" s="22" t="str">
        <f>IF(AND($M291=$O$7,$B291&lt;'111'!$N$11),"x","")</f>
        <v/>
      </c>
      <c r="R291" s="22" t="str">
        <f>IF(ISERROR(FIND('112'!$M$9,G291,1)),"",IF((AND(FIND('112'!$M$9,G291,1)&gt;=1,$B291&gt;='112'!$N$8,$B291&lt;='112'!$O$8,OR($L291='112'!$I$6,$M291='112'!$I$6))),"x",""))</f>
        <v/>
      </c>
      <c r="S291" s="22" t="str">
        <f>IF(ISERROR(FIND('112'!$M$9,G291,1)),"",IF((AND(LEFT(G291,2)=LEFT('112'!$M$9,2),B291&lt;'112'!$N$8,$L291='112'!$I$6)),"x",""))</f>
        <v/>
      </c>
      <c r="T291" s="22" t="str">
        <f>IF(ISERROR(FIND('112'!$M$9,G291,1)),"",IF((AND(RIGHT(G291,2)=RIGHT('112'!$M$9,2),B291&lt;'112'!$N$8,$M291='112'!$I$6)),"x",""))</f>
        <v/>
      </c>
      <c r="U291" s="22" t="str">
        <f>IF(AND(B291&gt;='IN-NX'!$P$3,B291&lt;='IN-NX'!$Q$3,'IN-NX'!$D$7=D291,OR(LEFT(L291,2)="15",AND(LEFT(M291,2)&lt;&gt;"15",LEFT(M291,2)&lt;&gt;"33"))),"x","")</f>
        <v/>
      </c>
      <c r="V291" s="22" t="str">
        <f>IF(AND(OR(LEFT(TH!L291,2)="15",LEFT(TH!M291,2)="15"),'152-CT'!$J$8=TH!F291),"x","")</f>
        <v/>
      </c>
      <c r="W291" s="22" t="str">
        <f>IF(AND(OR(LEFT(TH!L291,2)="15",LEFT(TH!M291,2)="15"),TK!$E$7=TH!F291),"x","")</f>
        <v/>
      </c>
      <c r="X291" s="22" t="str">
        <f>IF(OR(TH!L291=TH!$X$7,M291=TH!$X$7),"x","")</f>
        <v/>
      </c>
      <c r="Y291" s="22" t="str">
        <f>IF(AND(B291&lt;=NKC!$N$8,B291&gt;=NKC!$M$8),"x","")</f>
        <v>x</v>
      </c>
      <c r="Z291" s="580"/>
      <c r="AC291" s="130"/>
      <c r="AD291" s="130"/>
      <c r="AE291" s="130"/>
    </row>
    <row r="292" spans="1:31" s="406" customFormat="1" ht="15.75" customHeight="1">
      <c r="A292" s="123" t="str">
        <f>IF(B292&lt;&gt;"",IF(AND(B292&gt;=_TM1,B292&lt;=_TM2,OR(TH!L293="1111",TH!M293="1111")),TH!D293,""),"")</f>
        <v/>
      </c>
      <c r="B292" s="12">
        <f t="shared" si="11"/>
        <v>9</v>
      </c>
      <c r="C292" s="108">
        <f t="shared" si="12"/>
        <v>42619</v>
      </c>
      <c r="D292" s="108" t="s">
        <v>1035</v>
      </c>
      <c r="E292" s="113">
        <v>42619</v>
      </c>
      <c r="F292" s="114" t="s">
        <v>484</v>
      </c>
      <c r="G292" s="303" t="s">
        <v>749</v>
      </c>
      <c r="H292" s="4" t="s">
        <v>551</v>
      </c>
      <c r="I292" s="139"/>
      <c r="J292" s="139"/>
      <c r="K292" s="13">
        <v>2771340</v>
      </c>
      <c r="L292" s="116" t="s">
        <v>46</v>
      </c>
      <c r="M292" s="411" t="s">
        <v>252</v>
      </c>
      <c r="N292" s="22" t="str">
        <f>IF(AND('331-CT'!$E$7=TH!H292,OR(L292="331",M292="331")),"331",IF(AND(OR(L292="131",M292="131"),H292='131-CT'!$E$7),"131",""))</f>
        <v/>
      </c>
      <c r="O292" s="22" t="str">
        <f>IF(AND($B292&gt;='111'!$N$11,$B292&lt;='111'!$O$11,OR($L292=$O$7,$M292=$O$7)),"x","")</f>
        <v/>
      </c>
      <c r="P292" s="22" t="str">
        <f>IF(AND($L292=$O$7,$B292&lt;'111'!$N$11),"x","")</f>
        <v>x</v>
      </c>
      <c r="Q292" s="22" t="str">
        <f>IF(AND($M292=$O$7,$B292&lt;'111'!$N$11),"x","")</f>
        <v/>
      </c>
      <c r="R292" s="22" t="str">
        <f>IF(ISERROR(FIND('112'!$M$9,G292,1)),"",IF((AND(FIND('112'!$M$9,G292,1)&gt;=1,$B292&gt;='112'!$N$8,$B292&lt;='112'!$O$8,OR($L292='112'!$I$6,$M292='112'!$I$6))),"x",""))</f>
        <v/>
      </c>
      <c r="S292" s="22" t="str">
        <f>IF(ISERROR(FIND('112'!$M$9,G292,1)),"",IF((AND(LEFT(G292,2)=LEFT('112'!$M$9,2),B292&lt;'112'!$N$8,$L292='112'!$I$6)),"x",""))</f>
        <v/>
      </c>
      <c r="T292" s="22" t="str">
        <f>IF(ISERROR(FIND('112'!$M$9,G292,1)),"",IF((AND(RIGHT(G292,2)=RIGHT('112'!$M$9,2),B292&lt;'112'!$N$8,$M292='112'!$I$6)),"x",""))</f>
        <v/>
      </c>
      <c r="U292" s="22" t="str">
        <f>IF(AND(B292&gt;='IN-NX'!$P$3,B292&lt;='IN-NX'!$Q$3,'IN-NX'!$D$7=D292,OR(LEFT(L292,2)="15",AND(LEFT(M292,2)&lt;&gt;"15",LEFT(M292,2)&lt;&gt;"33"))),"x","")</f>
        <v/>
      </c>
      <c r="V292" s="22" t="str">
        <f>IF(AND(OR(LEFT(TH!L292,2)="15",LEFT(TH!M292,2)="15"),'152-CT'!$J$8=TH!F292),"x","")</f>
        <v/>
      </c>
      <c r="W292" s="22" t="str">
        <f>IF(AND(OR(LEFT(TH!L292,2)="15",LEFT(TH!M292,2)="15"),TK!$E$7=TH!F292),"x","")</f>
        <v/>
      </c>
      <c r="X292" s="22" t="str">
        <f>IF(OR(TH!L292=TH!$X$7,M292=TH!$X$7),"x","")</f>
        <v/>
      </c>
      <c r="Y292" s="22" t="str">
        <f>IF(AND(B292&lt;=NKC!$N$8,B292&gt;=NKC!$M$8),"x","")</f>
        <v>x</v>
      </c>
      <c r="Z292" s="580"/>
      <c r="AC292" s="130"/>
      <c r="AD292" s="130"/>
      <c r="AE292" s="130"/>
    </row>
    <row r="293" spans="1:31" s="406" customFormat="1" ht="15.75" customHeight="1">
      <c r="A293" s="123" t="str">
        <f>IF(B293&lt;&gt;"",IF(AND(B293&gt;=_TM1,B293&lt;=_TM2,OR(TH!L294="1111",TH!M294="1111")),TH!D294,""),"")</f>
        <v/>
      </c>
      <c r="B293" s="12">
        <f t="shared" si="11"/>
        <v>9</v>
      </c>
      <c r="C293" s="108">
        <f t="shared" si="12"/>
        <v>42620</v>
      </c>
      <c r="D293" s="113" t="s">
        <v>1001</v>
      </c>
      <c r="E293" s="108">
        <v>42620</v>
      </c>
      <c r="F293" s="112" t="s">
        <v>411</v>
      </c>
      <c r="G293" s="303" t="s">
        <v>429</v>
      </c>
      <c r="H293" s="115" t="s">
        <v>428</v>
      </c>
      <c r="I293" s="139"/>
      <c r="J293" s="139"/>
      <c r="K293" s="410">
        <v>5638527</v>
      </c>
      <c r="L293" s="411" t="s">
        <v>254</v>
      </c>
      <c r="M293" s="411" t="s">
        <v>46</v>
      </c>
      <c r="N293" s="22" t="str">
        <f>IF(AND('331-CT'!$E$7=TH!H293,OR(L293="331",M293="331")),"331",IF(AND(OR(L293="131",M293="131"),H293='131-CT'!$E$7),"131",""))</f>
        <v/>
      </c>
      <c r="O293" s="22" t="str">
        <f>IF(AND($B293&gt;='111'!$N$11,$B293&lt;='111'!$O$11,OR($L293=$O$7,$M293=$O$7)),"x","")</f>
        <v/>
      </c>
      <c r="P293" s="22" t="str">
        <f>IF(AND($L293=$O$7,$B293&lt;'111'!$N$11),"x","")</f>
        <v/>
      </c>
      <c r="Q293" s="22" t="str">
        <f>IF(AND($M293=$O$7,$B293&lt;'111'!$N$11),"x","")</f>
        <v>x</v>
      </c>
      <c r="R293" s="22" t="str">
        <f>IF(ISERROR(FIND('112'!$M$9,G293,1)),"",IF((AND(FIND('112'!$M$9,G293,1)&gt;=1,$B293&gt;='112'!$N$8,$B293&lt;='112'!$O$8,OR($L293='112'!$I$6,$M293='112'!$I$6))),"x",""))</f>
        <v/>
      </c>
      <c r="S293" s="22" t="str">
        <f>IF(ISERROR(FIND('112'!$M$9,G293,1)),"",IF((AND(LEFT(G293,2)=LEFT('112'!$M$9,2),B293&lt;'112'!$N$8,$L293='112'!$I$6)),"x",""))</f>
        <v/>
      </c>
      <c r="T293" s="22" t="str">
        <f>IF(ISERROR(FIND('112'!$M$9,G293,1)),"",IF((AND(RIGHT(G293,2)=RIGHT('112'!$M$9,2),B293&lt;'112'!$N$8,$M293='112'!$I$6)),"x",""))</f>
        <v/>
      </c>
      <c r="U293" s="22" t="str">
        <f>IF(AND(B293&gt;='IN-NX'!$P$3,B293&lt;='IN-NX'!$Q$3,'IN-NX'!$D$7=D293,OR(LEFT(L293,2)="15",AND(LEFT(M293,2)&lt;&gt;"15",LEFT(M293,2)&lt;&gt;"33"))),"x","")</f>
        <v/>
      </c>
      <c r="V293" s="22" t="str">
        <f>IF(AND(OR(LEFT(TH!L293,2)="15",LEFT(TH!M293,2)="15"),'152-CT'!$J$8=TH!F293),"x","")</f>
        <v/>
      </c>
      <c r="W293" s="22" t="str">
        <f>IF(AND(OR(LEFT(TH!L293,2)="15",LEFT(TH!M293,2)="15"),TK!$E$7=TH!F293),"x","")</f>
        <v/>
      </c>
      <c r="X293" s="22" t="str">
        <f>IF(OR(TH!L293=TH!$X$7,M293=TH!$X$7),"x","")</f>
        <v/>
      </c>
      <c r="Y293" s="22" t="str">
        <f>IF(AND(B293&lt;=NKC!$N$8,B293&gt;=NKC!$M$8),"x","")</f>
        <v>x</v>
      </c>
      <c r="Z293" s="580">
        <v>3</v>
      </c>
    </row>
    <row r="294" spans="1:31" s="406" customFormat="1" ht="15.75" customHeight="1">
      <c r="A294" s="123" t="str">
        <f>IF(B294&lt;&gt;"",IF(AND(B294&gt;=_TM1,B294&lt;=_TM2,OR(TH!L295="1111",TH!M295="1111")),TH!D295,""),"")</f>
        <v/>
      </c>
      <c r="B294" s="12">
        <f t="shared" si="11"/>
        <v>9</v>
      </c>
      <c r="C294" s="108">
        <f t="shared" si="12"/>
        <v>42620</v>
      </c>
      <c r="D294" s="113" t="s">
        <v>1001</v>
      </c>
      <c r="E294" s="108">
        <v>42620</v>
      </c>
      <c r="F294" s="112" t="s">
        <v>412</v>
      </c>
      <c r="G294" s="303" t="s">
        <v>429</v>
      </c>
      <c r="H294" s="115" t="s">
        <v>428</v>
      </c>
      <c r="I294" s="139"/>
      <c r="J294" s="139"/>
      <c r="K294" s="410">
        <v>563853</v>
      </c>
      <c r="L294" s="411" t="s">
        <v>9</v>
      </c>
      <c r="M294" s="411" t="s">
        <v>46</v>
      </c>
      <c r="N294" s="22" t="str">
        <f>IF(AND('331-CT'!$E$7=TH!H294,OR(L294="331",M294="331")),"331",IF(AND(OR(L294="131",M294="131"),H294='131-CT'!$E$7),"131",""))</f>
        <v/>
      </c>
      <c r="O294" s="22" t="str">
        <f>IF(AND($B294&gt;='111'!$N$11,$B294&lt;='111'!$O$11,OR($L294=$O$7,$M294=$O$7)),"x","")</f>
        <v/>
      </c>
      <c r="P294" s="22" t="str">
        <f>IF(AND($L294=$O$7,$B294&lt;'111'!$N$11),"x","")</f>
        <v/>
      </c>
      <c r="Q294" s="22" t="str">
        <f>IF(AND($M294=$O$7,$B294&lt;'111'!$N$11),"x","")</f>
        <v>x</v>
      </c>
      <c r="R294" s="22" t="str">
        <f>IF(ISERROR(FIND('112'!$M$9,G294,1)),"",IF((AND(FIND('112'!$M$9,G294,1)&gt;=1,$B294&gt;='112'!$N$8,$B294&lt;='112'!$O$8,OR($L294='112'!$I$6,$M294='112'!$I$6))),"x",""))</f>
        <v/>
      </c>
      <c r="S294" s="22" t="str">
        <f>IF(ISERROR(FIND('112'!$M$9,G294,1)),"",IF((AND(LEFT(G294,2)=LEFT('112'!$M$9,2),B294&lt;'112'!$N$8,$L294='112'!$I$6)),"x",""))</f>
        <v/>
      </c>
      <c r="T294" s="22" t="str">
        <f>IF(ISERROR(FIND('112'!$M$9,G294,1)),"",IF((AND(RIGHT(G294,2)=RIGHT('112'!$M$9,2),B294&lt;'112'!$N$8,$M294='112'!$I$6)),"x",""))</f>
        <v/>
      </c>
      <c r="U294" s="22" t="str">
        <f>IF(AND(B294&gt;='IN-NX'!$P$3,B294&lt;='IN-NX'!$Q$3,'IN-NX'!$D$7=D294,OR(LEFT(L294,2)="15",AND(LEFT(M294,2)&lt;&gt;"15",LEFT(M294,2)&lt;&gt;"33"))),"x","")</f>
        <v/>
      </c>
      <c r="V294" s="22" t="str">
        <f>IF(AND(OR(LEFT(TH!L294,2)="15",LEFT(TH!M294,2)="15"),'152-CT'!$J$8=TH!F294),"x","")</f>
        <v/>
      </c>
      <c r="W294" s="22" t="str">
        <f>IF(AND(OR(LEFT(TH!L294,2)="15",LEFT(TH!M294,2)="15"),TK!$E$7=TH!F294),"x","")</f>
        <v/>
      </c>
      <c r="X294" s="22" t="str">
        <f>IF(OR(TH!L294=TH!$X$7,M294=TH!$X$7),"x","")</f>
        <v/>
      </c>
      <c r="Y294" s="22" t="str">
        <f>IF(AND(B294&lt;=NKC!$N$8,B294&gt;=NKC!$M$8),"x","")</f>
        <v>x</v>
      </c>
      <c r="Z294" s="580">
        <v>3</v>
      </c>
    </row>
    <row r="295" spans="1:31" s="406" customFormat="1" ht="15.75" customHeight="1">
      <c r="A295" s="123" t="str">
        <f>IF(B295&lt;&gt;"",IF(AND(B295&gt;=_TM1,B295&lt;=_TM2,OR(TH!L296="1111",TH!M296="1111")),TH!D296,""),"")</f>
        <v/>
      </c>
      <c r="B295" s="12">
        <f t="shared" si="11"/>
        <v>9</v>
      </c>
      <c r="C295" s="108">
        <f t="shared" si="12"/>
        <v>42620</v>
      </c>
      <c r="D295" s="108" t="s">
        <v>603</v>
      </c>
      <c r="E295" s="113">
        <v>42620</v>
      </c>
      <c r="F295" s="112" t="s">
        <v>529</v>
      </c>
      <c r="G295" s="303" t="s">
        <v>750</v>
      </c>
      <c r="H295" s="4" t="s">
        <v>369</v>
      </c>
      <c r="I295" s="139">
        <v>60</v>
      </c>
      <c r="J295" s="139">
        <v>47449</v>
      </c>
      <c r="K295" s="13">
        <f>ROUND(I295*J295,0)</f>
        <v>2846940</v>
      </c>
      <c r="L295" s="116" t="s">
        <v>252</v>
      </c>
      <c r="M295" s="411" t="s">
        <v>169</v>
      </c>
      <c r="N295" s="22" t="str">
        <f>IF(AND('331-CT'!$E$7=TH!H295,OR(L295="331",M295="331")),"331",IF(AND(OR(L295="131",M295="131"),H295='131-CT'!$E$7),"131",""))</f>
        <v>131</v>
      </c>
      <c r="O295" s="22" t="str">
        <f>IF(AND($B295&gt;='111'!$N$11,$B295&lt;='111'!$O$11,OR($L295=$O$7,$M295=$O$7)),"x","")</f>
        <v/>
      </c>
      <c r="P295" s="22" t="str">
        <f>IF(AND($L295=$O$7,$B295&lt;'111'!$N$11),"x","")</f>
        <v/>
      </c>
      <c r="Q295" s="22" t="str">
        <f>IF(AND($M295=$O$7,$B295&lt;'111'!$N$11),"x","")</f>
        <v/>
      </c>
      <c r="R295" s="22" t="str">
        <f>IF(ISERROR(FIND('112'!$M$9,G295,1)),"",IF((AND(FIND('112'!$M$9,G295,1)&gt;=1,$B295&gt;='112'!$N$8,$B295&lt;='112'!$O$8,OR($L295='112'!$I$6,$M295='112'!$I$6))),"x",""))</f>
        <v/>
      </c>
      <c r="S295" s="22" t="str">
        <f>IF(ISERROR(FIND('112'!$M$9,G295,1)),"",IF((AND(LEFT(G295,2)=LEFT('112'!$M$9,2),B295&lt;'112'!$N$8,$L295='112'!$I$6)),"x",""))</f>
        <v/>
      </c>
      <c r="T295" s="22" t="str">
        <f>IF(ISERROR(FIND('112'!$M$9,G295,1)),"",IF((AND(RIGHT(G295,2)=RIGHT('112'!$M$9,2),B295&lt;'112'!$N$8,$M295='112'!$I$6)),"x",""))</f>
        <v/>
      </c>
      <c r="U295" s="22" t="str">
        <f>IF(AND(B295&gt;='IN-NX'!$P$3,B295&lt;='IN-NX'!$Q$3,'IN-NX'!$D$7=D295,OR(LEFT(L295,2)="15",AND(LEFT(M295,2)&lt;&gt;"15",LEFT(M295,2)&lt;&gt;"33"))),"x","")</f>
        <v/>
      </c>
      <c r="V295" s="22" t="str">
        <f>IF(AND(OR(LEFT(TH!L295,2)="15",LEFT(TH!M295,2)="15"),'152-CT'!$J$8=TH!F295),"x","")</f>
        <v/>
      </c>
      <c r="W295" s="22" t="str">
        <f>IF(AND(OR(LEFT(TH!L295,2)="15",LEFT(TH!M295,2)="15"),TK!$E$7=TH!F295),"x","")</f>
        <v/>
      </c>
      <c r="X295" s="22" t="str">
        <f>IF(OR(TH!L295=TH!$X$7,M295=TH!$X$7),"x","")</f>
        <v/>
      </c>
      <c r="Y295" s="22" t="str">
        <f>IF(AND(B295&lt;=NKC!$N$8,B295&gt;=NKC!$M$8),"x","")</f>
        <v>x</v>
      </c>
      <c r="Z295" s="580"/>
      <c r="AB295" s="130"/>
      <c r="AC295" s="130"/>
      <c r="AD295" s="130"/>
      <c r="AE295" s="130"/>
    </row>
    <row r="296" spans="1:31" s="406" customFormat="1" ht="15.75" customHeight="1">
      <c r="A296" s="123" t="str">
        <f>IF(B296&lt;&gt;"",IF(AND(B296&gt;=_TM1,B296&lt;=_TM2,OR(TH!L297="1111",TH!M297="1111")),TH!D297,""),"")</f>
        <v/>
      </c>
      <c r="B296" s="12">
        <f t="shared" si="11"/>
        <v>9</v>
      </c>
      <c r="C296" s="108">
        <f t="shared" si="12"/>
        <v>42620</v>
      </c>
      <c r="D296" s="108" t="s">
        <v>603</v>
      </c>
      <c r="E296" s="113">
        <v>42620</v>
      </c>
      <c r="F296" s="112" t="s">
        <v>666</v>
      </c>
      <c r="G296" s="303" t="s">
        <v>750</v>
      </c>
      <c r="H296" s="4" t="s">
        <v>369</v>
      </c>
      <c r="I296" s="139">
        <v>20</v>
      </c>
      <c r="J296" s="139">
        <v>54530</v>
      </c>
      <c r="K296" s="13">
        <f>ROUND(I296*J296,0)</f>
        <v>1090600</v>
      </c>
      <c r="L296" s="116" t="s">
        <v>252</v>
      </c>
      <c r="M296" s="411" t="s">
        <v>169</v>
      </c>
      <c r="N296" s="22" t="str">
        <f>IF(AND('331-CT'!$E$7=TH!H296,OR(L296="331",M296="331")),"331",IF(AND(OR(L296="131",M296="131"),H296='131-CT'!$E$7),"131",""))</f>
        <v>131</v>
      </c>
      <c r="O296" s="22" t="str">
        <f>IF(AND($B296&gt;='111'!$N$11,$B296&lt;='111'!$O$11,OR($L296=$O$7,$M296=$O$7)),"x","")</f>
        <v/>
      </c>
      <c r="P296" s="22" t="str">
        <f>IF(AND($L296=$O$7,$B296&lt;'111'!$N$11),"x","")</f>
        <v/>
      </c>
      <c r="Q296" s="22" t="str">
        <f>IF(AND($M296=$O$7,$B296&lt;'111'!$N$11),"x","")</f>
        <v/>
      </c>
      <c r="R296" s="22" t="str">
        <f>IF(ISERROR(FIND('112'!$M$9,G296,1)),"",IF((AND(FIND('112'!$M$9,G296,1)&gt;=1,$B296&gt;='112'!$N$8,$B296&lt;='112'!$O$8,OR($L296='112'!$I$6,$M296='112'!$I$6))),"x",""))</f>
        <v/>
      </c>
      <c r="S296" s="22" t="str">
        <f>IF(ISERROR(FIND('112'!$M$9,G296,1)),"",IF((AND(LEFT(G296,2)=LEFT('112'!$M$9,2),B296&lt;'112'!$N$8,$L296='112'!$I$6)),"x",""))</f>
        <v/>
      </c>
      <c r="T296" s="22" t="str">
        <f>IF(ISERROR(FIND('112'!$M$9,G296,1)),"",IF((AND(RIGHT(G296,2)=RIGHT('112'!$M$9,2),B296&lt;'112'!$N$8,$M296='112'!$I$6)),"x",""))</f>
        <v/>
      </c>
      <c r="U296" s="22" t="str">
        <f>IF(AND(B296&gt;='IN-NX'!$P$3,B296&lt;='IN-NX'!$Q$3,'IN-NX'!$D$7=D296,OR(LEFT(L296,2)="15",AND(LEFT(M296,2)&lt;&gt;"15",LEFT(M296,2)&lt;&gt;"33"))),"x","")</f>
        <v/>
      </c>
      <c r="V296" s="22" t="str">
        <f>IF(AND(OR(LEFT(TH!L296,2)="15",LEFT(TH!M296,2)="15"),'152-CT'!$J$8=TH!F296),"x","")</f>
        <v/>
      </c>
      <c r="W296" s="22" t="str">
        <f>IF(AND(OR(LEFT(TH!L296,2)="15",LEFT(TH!M296,2)="15"),TK!$E$7=TH!F296),"x","")</f>
        <v/>
      </c>
      <c r="X296" s="22" t="str">
        <f>IF(OR(TH!L296=TH!$X$7,M296=TH!$X$7),"x","")</f>
        <v/>
      </c>
      <c r="Y296" s="22" t="str">
        <f>IF(AND(B296&lt;=NKC!$N$8,B296&gt;=NKC!$M$8),"x","")</f>
        <v>x</v>
      </c>
      <c r="Z296" s="580"/>
      <c r="AC296" s="130"/>
      <c r="AD296" s="130"/>
      <c r="AE296" s="130"/>
    </row>
    <row r="297" spans="1:31" s="406" customFormat="1" ht="15.75" customHeight="1">
      <c r="A297" s="123" t="str">
        <f>IF(B297&lt;&gt;"",IF(AND(B297&gt;=_TM1,B297&lt;=_TM2,OR(TH!L298="1111",TH!M298="1111")),TH!D298,""),"")</f>
        <v/>
      </c>
      <c r="B297" s="12">
        <f t="shared" si="11"/>
        <v>9</v>
      </c>
      <c r="C297" s="108">
        <f t="shared" si="12"/>
        <v>42620</v>
      </c>
      <c r="D297" s="108" t="s">
        <v>603</v>
      </c>
      <c r="E297" s="113">
        <v>42620</v>
      </c>
      <c r="F297" s="112" t="s">
        <v>496</v>
      </c>
      <c r="G297" s="303" t="s">
        <v>750</v>
      </c>
      <c r="H297" s="4" t="s">
        <v>369</v>
      </c>
      <c r="I297" s="139"/>
      <c r="J297" s="139"/>
      <c r="K297" s="13">
        <v>393754</v>
      </c>
      <c r="L297" s="116" t="s">
        <v>252</v>
      </c>
      <c r="M297" s="411" t="s">
        <v>352</v>
      </c>
      <c r="N297" s="22" t="str">
        <f>IF(AND('331-CT'!$E$7=TH!H297,OR(L297="331",M297="331")),"331",IF(AND(OR(L297="131",M297="131"),H297='131-CT'!$E$7),"131",""))</f>
        <v>131</v>
      </c>
      <c r="O297" s="22" t="str">
        <f>IF(AND($B297&gt;='111'!$N$11,$B297&lt;='111'!$O$11,OR($L297=$O$7,$M297=$O$7)),"x","")</f>
        <v/>
      </c>
      <c r="P297" s="22" t="str">
        <f>IF(AND($L297=$O$7,$B297&lt;'111'!$N$11),"x","")</f>
        <v/>
      </c>
      <c r="Q297" s="22" t="str">
        <f>IF(AND($M297=$O$7,$B297&lt;'111'!$N$11),"x","")</f>
        <v/>
      </c>
      <c r="R297" s="22" t="str">
        <f>IF(ISERROR(FIND('112'!$M$9,G297,1)),"",IF((AND(FIND('112'!$M$9,G297,1)&gt;=1,$B297&gt;='112'!$N$8,$B297&lt;='112'!$O$8,OR($L297='112'!$I$6,$M297='112'!$I$6))),"x",""))</f>
        <v/>
      </c>
      <c r="S297" s="22" t="str">
        <f>IF(ISERROR(FIND('112'!$M$9,G297,1)),"",IF((AND(LEFT(G297,2)=LEFT('112'!$M$9,2),B297&lt;'112'!$N$8,$L297='112'!$I$6)),"x",""))</f>
        <v/>
      </c>
      <c r="T297" s="22" t="str">
        <f>IF(ISERROR(FIND('112'!$M$9,G297,1)),"",IF((AND(RIGHT(G297,2)=RIGHT('112'!$M$9,2),B297&lt;'112'!$N$8,$M297='112'!$I$6)),"x",""))</f>
        <v/>
      </c>
      <c r="U297" s="22" t="str">
        <f>IF(AND(B297&gt;='IN-NX'!$P$3,B297&lt;='IN-NX'!$Q$3,'IN-NX'!$D$7=D297,OR(LEFT(L297,2)="15",AND(LEFT(M297,2)&lt;&gt;"15",LEFT(M297,2)&lt;&gt;"33"))),"x","")</f>
        <v/>
      </c>
      <c r="V297" s="22" t="str">
        <f>IF(AND(OR(LEFT(TH!L297,2)="15",LEFT(TH!M297,2)="15"),'152-CT'!$J$8=TH!F297),"x","")</f>
        <v/>
      </c>
      <c r="W297" s="22" t="str">
        <f>IF(AND(OR(LEFT(TH!L297,2)="15",LEFT(TH!M297,2)="15"),TK!$E$7=TH!F297),"x","")</f>
        <v/>
      </c>
      <c r="X297" s="22" t="str">
        <f>IF(OR(TH!L297=TH!$X$7,M297=TH!$X$7),"x","")</f>
        <v/>
      </c>
      <c r="Y297" s="22" t="str">
        <f>IF(AND(B297&lt;=NKC!$N$8,B297&gt;=NKC!$M$8),"x","")</f>
        <v>x</v>
      </c>
      <c r="Z297" s="580"/>
      <c r="AC297" s="130"/>
      <c r="AD297" s="130"/>
      <c r="AE297" s="130"/>
    </row>
    <row r="298" spans="1:31" s="406" customFormat="1" ht="15.75" customHeight="1">
      <c r="A298" s="123" t="str">
        <f>IF(B298&lt;&gt;"",IF(AND(B298&gt;=_TM1,B298&lt;=_TM2,OR(TH!L299="1111",TH!M299="1111")),TH!D299,""),"")</f>
        <v/>
      </c>
      <c r="B298" s="12">
        <f t="shared" si="11"/>
        <v>9</v>
      </c>
      <c r="C298" s="108">
        <f t="shared" si="12"/>
        <v>42620</v>
      </c>
      <c r="D298" s="108" t="s">
        <v>1036</v>
      </c>
      <c r="E298" s="113">
        <v>42620</v>
      </c>
      <c r="F298" s="114" t="s">
        <v>484</v>
      </c>
      <c r="G298" s="303" t="s">
        <v>750</v>
      </c>
      <c r="H298" s="4" t="s">
        <v>369</v>
      </c>
      <c r="I298" s="139"/>
      <c r="J298" s="139"/>
      <c r="K298" s="13">
        <v>4331294</v>
      </c>
      <c r="L298" s="116" t="s">
        <v>46</v>
      </c>
      <c r="M298" s="411" t="s">
        <v>252</v>
      </c>
      <c r="N298" s="22" t="str">
        <f>IF(AND('331-CT'!$E$7=TH!H298,OR(L298="331",M298="331")),"331",IF(AND(OR(L298="131",M298="131"),H298='131-CT'!$E$7),"131",""))</f>
        <v>131</v>
      </c>
      <c r="O298" s="22" t="str">
        <f>IF(AND($B298&gt;='111'!$N$11,$B298&lt;='111'!$O$11,OR($L298=$O$7,$M298=$O$7)),"x","")</f>
        <v/>
      </c>
      <c r="P298" s="22" t="str">
        <f>IF(AND($L298=$O$7,$B298&lt;'111'!$N$11),"x","")</f>
        <v>x</v>
      </c>
      <c r="Q298" s="22" t="str">
        <f>IF(AND($M298=$O$7,$B298&lt;'111'!$N$11),"x","")</f>
        <v/>
      </c>
      <c r="R298" s="22" t="str">
        <f>IF(ISERROR(FIND('112'!$M$9,G298,1)),"",IF((AND(FIND('112'!$M$9,G298,1)&gt;=1,$B298&gt;='112'!$N$8,$B298&lt;='112'!$O$8,OR($L298='112'!$I$6,$M298='112'!$I$6))),"x",""))</f>
        <v/>
      </c>
      <c r="S298" s="22" t="str">
        <f>IF(ISERROR(FIND('112'!$M$9,G298,1)),"",IF((AND(LEFT(G298,2)=LEFT('112'!$M$9,2),B298&lt;'112'!$N$8,$L298='112'!$I$6)),"x",""))</f>
        <v/>
      </c>
      <c r="T298" s="22" t="str">
        <f>IF(ISERROR(FIND('112'!$M$9,G298,1)),"",IF((AND(RIGHT(G298,2)=RIGHT('112'!$M$9,2),B298&lt;'112'!$N$8,$M298='112'!$I$6)),"x",""))</f>
        <v/>
      </c>
      <c r="U298" s="22" t="str">
        <f>IF(AND(B298&gt;='IN-NX'!$P$3,B298&lt;='IN-NX'!$Q$3,'IN-NX'!$D$7=D298,OR(LEFT(L298,2)="15",AND(LEFT(M298,2)&lt;&gt;"15",LEFT(M298,2)&lt;&gt;"33"))),"x","")</f>
        <v/>
      </c>
      <c r="V298" s="22" t="str">
        <f>IF(AND(OR(LEFT(TH!L298,2)="15",LEFT(TH!M298,2)="15"),'152-CT'!$J$8=TH!F298),"x","")</f>
        <v/>
      </c>
      <c r="W298" s="22" t="str">
        <f>IF(AND(OR(LEFT(TH!L298,2)="15",LEFT(TH!M298,2)="15"),TK!$E$7=TH!F298),"x","")</f>
        <v/>
      </c>
      <c r="X298" s="22" t="str">
        <f>IF(OR(TH!L298=TH!$X$7,M298=TH!$X$7),"x","")</f>
        <v/>
      </c>
      <c r="Y298" s="22" t="str">
        <f>IF(AND(B298&lt;=NKC!$N$8,B298&gt;=NKC!$M$8),"x","")</f>
        <v>x</v>
      </c>
      <c r="Z298" s="580"/>
      <c r="AC298" s="130"/>
      <c r="AD298" s="130"/>
      <c r="AE298" s="130"/>
    </row>
    <row r="299" spans="1:31" s="406" customFormat="1" ht="15.75" customHeight="1">
      <c r="A299" s="123" t="str">
        <f>IF(B299&lt;&gt;"",IF(AND(B299&gt;=_TM1,B299&lt;=_TM2,OR(TH!L300="1111",TH!M300="1111")),TH!D300,""),"")</f>
        <v/>
      </c>
      <c r="B299" s="12">
        <f t="shared" si="11"/>
        <v>9</v>
      </c>
      <c r="C299" s="108">
        <f t="shared" si="12"/>
        <v>42621</v>
      </c>
      <c r="D299" s="108" t="s">
        <v>604</v>
      </c>
      <c r="E299" s="113">
        <v>42621</v>
      </c>
      <c r="F299" s="112" t="s">
        <v>543</v>
      </c>
      <c r="G299" s="303" t="s">
        <v>751</v>
      </c>
      <c r="H299" s="4" t="s">
        <v>622</v>
      </c>
      <c r="I299" s="139">
        <v>1027</v>
      </c>
      <c r="J299" s="139">
        <v>6700</v>
      </c>
      <c r="K299" s="13">
        <f>ROUND(I299*J299,0)</f>
        <v>6880900</v>
      </c>
      <c r="L299" s="116" t="s">
        <v>252</v>
      </c>
      <c r="M299" s="411" t="s">
        <v>169</v>
      </c>
      <c r="N299" s="22" t="str">
        <f>IF(AND('331-CT'!$E$7=TH!H299,OR(L299="331",M299="331")),"331",IF(AND(OR(L299="131",M299="131"),H299='131-CT'!$E$7),"131",""))</f>
        <v/>
      </c>
      <c r="O299" s="22" t="str">
        <f>IF(AND($B299&gt;='111'!$N$11,$B299&lt;='111'!$O$11,OR($L299=$O$7,$M299=$O$7)),"x","")</f>
        <v/>
      </c>
      <c r="P299" s="22" t="str">
        <f>IF(AND($L299=$O$7,$B299&lt;'111'!$N$11),"x","")</f>
        <v/>
      </c>
      <c r="Q299" s="22" t="str">
        <f>IF(AND($M299=$O$7,$B299&lt;'111'!$N$11),"x","")</f>
        <v/>
      </c>
      <c r="R299" s="22" t="str">
        <f>IF(ISERROR(FIND('112'!$M$9,G299,1)),"",IF((AND(FIND('112'!$M$9,G299,1)&gt;=1,$B299&gt;='112'!$N$8,$B299&lt;='112'!$O$8,OR($L299='112'!$I$6,$M299='112'!$I$6))),"x",""))</f>
        <v/>
      </c>
      <c r="S299" s="22" t="str">
        <f>IF(ISERROR(FIND('112'!$M$9,G299,1)),"",IF((AND(LEFT(G299,2)=LEFT('112'!$M$9,2),B299&lt;'112'!$N$8,$L299='112'!$I$6)),"x",""))</f>
        <v/>
      </c>
      <c r="T299" s="22" t="str">
        <f>IF(ISERROR(FIND('112'!$M$9,G299,1)),"",IF((AND(RIGHT(G299,2)=RIGHT('112'!$M$9,2),B299&lt;'112'!$N$8,$M299='112'!$I$6)),"x",""))</f>
        <v/>
      </c>
      <c r="U299" s="22" t="str">
        <f>IF(AND(B299&gt;='IN-NX'!$P$3,B299&lt;='IN-NX'!$Q$3,'IN-NX'!$D$7=D299,OR(LEFT(L299,2)="15",AND(LEFT(M299,2)&lt;&gt;"15",LEFT(M299,2)&lt;&gt;"33"))),"x","")</f>
        <v/>
      </c>
      <c r="V299" s="22" t="str">
        <f>IF(AND(OR(LEFT(TH!L299,2)="15",LEFT(TH!M299,2)="15"),'152-CT'!$J$8=TH!F299),"x","")</f>
        <v/>
      </c>
      <c r="W299" s="22" t="str">
        <f>IF(AND(OR(LEFT(TH!L299,2)="15",LEFT(TH!M299,2)="15"),TK!$E$7=TH!F299),"x","")</f>
        <v/>
      </c>
      <c r="X299" s="22" t="str">
        <f>IF(OR(TH!L299=TH!$X$7,M299=TH!$X$7),"x","")</f>
        <v/>
      </c>
      <c r="Y299" s="22" t="str">
        <f>IF(AND(B299&lt;=NKC!$N$8,B299&gt;=NKC!$M$8),"x","")</f>
        <v>x</v>
      </c>
      <c r="Z299" s="580"/>
      <c r="AC299" s="130"/>
      <c r="AD299" s="130"/>
      <c r="AE299" s="130"/>
    </row>
    <row r="300" spans="1:31" s="406" customFormat="1" ht="15.75" customHeight="1">
      <c r="A300" s="123" t="str">
        <f>IF(B300&lt;&gt;"",IF(AND(B300&gt;=_TM1,B300&lt;=_TM2,OR(TH!L301="1111",TH!M301="1111")),TH!D301,""),"")</f>
        <v/>
      </c>
      <c r="B300" s="12">
        <f t="shared" si="11"/>
        <v>9</v>
      </c>
      <c r="C300" s="108">
        <f t="shared" si="12"/>
        <v>42621</v>
      </c>
      <c r="D300" s="108" t="s">
        <v>604</v>
      </c>
      <c r="E300" s="113">
        <v>42621</v>
      </c>
      <c r="F300" s="112" t="s">
        <v>496</v>
      </c>
      <c r="G300" s="303" t="s">
        <v>751</v>
      </c>
      <c r="H300" s="4" t="s">
        <v>622</v>
      </c>
      <c r="I300" s="139"/>
      <c r="J300" s="139"/>
      <c r="K300" s="13">
        <v>688090</v>
      </c>
      <c r="L300" s="116" t="s">
        <v>252</v>
      </c>
      <c r="M300" s="411" t="s">
        <v>352</v>
      </c>
      <c r="N300" s="22" t="str">
        <f>IF(AND('331-CT'!$E$7=TH!H300,OR(L300="331",M300="331")),"331",IF(AND(OR(L300="131",M300="131"),H300='131-CT'!$E$7),"131",""))</f>
        <v/>
      </c>
      <c r="O300" s="22" t="str">
        <f>IF(AND($B300&gt;='111'!$N$11,$B300&lt;='111'!$O$11,OR($L300=$O$7,$M300=$O$7)),"x","")</f>
        <v/>
      </c>
      <c r="P300" s="22" t="str">
        <f>IF(AND($L300=$O$7,$B300&lt;'111'!$N$11),"x","")</f>
        <v/>
      </c>
      <c r="Q300" s="22" t="str">
        <f>IF(AND($M300=$O$7,$B300&lt;'111'!$N$11),"x","")</f>
        <v/>
      </c>
      <c r="R300" s="22" t="str">
        <f>IF(ISERROR(FIND('112'!$M$9,G300,1)),"",IF((AND(FIND('112'!$M$9,G300,1)&gt;=1,$B300&gt;='112'!$N$8,$B300&lt;='112'!$O$8,OR($L300='112'!$I$6,$M300='112'!$I$6))),"x",""))</f>
        <v/>
      </c>
      <c r="S300" s="22" t="str">
        <f>IF(ISERROR(FIND('112'!$M$9,G300,1)),"",IF((AND(LEFT(G300,2)=LEFT('112'!$M$9,2),B300&lt;'112'!$N$8,$L300='112'!$I$6)),"x",""))</f>
        <v/>
      </c>
      <c r="T300" s="22" t="str">
        <f>IF(ISERROR(FIND('112'!$M$9,G300,1)),"",IF((AND(RIGHT(G300,2)=RIGHT('112'!$M$9,2),B300&lt;'112'!$N$8,$M300='112'!$I$6)),"x",""))</f>
        <v/>
      </c>
      <c r="U300" s="22" t="str">
        <f>IF(AND(B300&gt;='IN-NX'!$P$3,B300&lt;='IN-NX'!$Q$3,'IN-NX'!$D$7=D300,OR(LEFT(L300,2)="15",AND(LEFT(M300,2)&lt;&gt;"15",LEFT(M300,2)&lt;&gt;"33"))),"x","")</f>
        <v/>
      </c>
      <c r="V300" s="22" t="str">
        <f>IF(AND(OR(LEFT(TH!L300,2)="15",LEFT(TH!M300,2)="15"),'152-CT'!$J$8=TH!F300),"x","")</f>
        <v/>
      </c>
      <c r="W300" s="22" t="str">
        <f>IF(AND(OR(LEFT(TH!L300,2)="15",LEFT(TH!M300,2)="15"),TK!$E$7=TH!F300),"x","")</f>
        <v/>
      </c>
      <c r="X300" s="22" t="str">
        <f>IF(OR(TH!L300=TH!$X$7,M300=TH!$X$7),"x","")</f>
        <v/>
      </c>
      <c r="Y300" s="22" t="str">
        <f>IF(AND(B300&lt;=NKC!$N$8,B300&gt;=NKC!$M$8),"x","")</f>
        <v>x</v>
      </c>
      <c r="Z300" s="580"/>
      <c r="AC300" s="130"/>
      <c r="AD300" s="130"/>
      <c r="AE300" s="130"/>
    </row>
    <row r="301" spans="1:31" s="406" customFormat="1" ht="15.75" customHeight="1">
      <c r="A301" s="123" t="str">
        <f>IF(B301&lt;&gt;"",IF(AND(B301&gt;=_TM1,B301&lt;=_TM2,OR(TH!L302="1111",TH!M302="1111")),TH!D302,""),"")</f>
        <v/>
      </c>
      <c r="B301" s="12">
        <f t="shared" si="11"/>
        <v>9</v>
      </c>
      <c r="C301" s="108">
        <f t="shared" si="12"/>
        <v>42621</v>
      </c>
      <c r="D301" s="108" t="s">
        <v>1037</v>
      </c>
      <c r="E301" s="113">
        <v>42621</v>
      </c>
      <c r="F301" s="114" t="s">
        <v>484</v>
      </c>
      <c r="G301" s="303" t="s">
        <v>751</v>
      </c>
      <c r="H301" s="4" t="s">
        <v>622</v>
      </c>
      <c r="I301" s="139"/>
      <c r="J301" s="139"/>
      <c r="K301" s="13">
        <v>7568990</v>
      </c>
      <c r="L301" s="116" t="s">
        <v>46</v>
      </c>
      <c r="M301" s="411" t="s">
        <v>252</v>
      </c>
      <c r="N301" s="22" t="str">
        <f>IF(AND('331-CT'!$E$7=TH!H301,OR(L301="331",M301="331")),"331",IF(AND(OR(L301="131",M301="131"),H301='131-CT'!$E$7),"131",""))</f>
        <v/>
      </c>
      <c r="O301" s="22" t="str">
        <f>IF(AND($B301&gt;='111'!$N$11,$B301&lt;='111'!$O$11,OR($L301=$O$7,$M301=$O$7)),"x","")</f>
        <v/>
      </c>
      <c r="P301" s="22" t="str">
        <f>IF(AND($L301=$O$7,$B301&lt;'111'!$N$11),"x","")</f>
        <v>x</v>
      </c>
      <c r="Q301" s="22" t="str">
        <f>IF(AND($M301=$O$7,$B301&lt;'111'!$N$11),"x","")</f>
        <v/>
      </c>
      <c r="R301" s="22" t="str">
        <f>IF(ISERROR(FIND('112'!$M$9,G301,1)),"",IF((AND(FIND('112'!$M$9,G301,1)&gt;=1,$B301&gt;='112'!$N$8,$B301&lt;='112'!$O$8,OR($L301='112'!$I$6,$M301='112'!$I$6))),"x",""))</f>
        <v/>
      </c>
      <c r="S301" s="22" t="str">
        <f>IF(ISERROR(FIND('112'!$M$9,G301,1)),"",IF((AND(LEFT(G301,2)=LEFT('112'!$M$9,2),B301&lt;'112'!$N$8,$L301='112'!$I$6)),"x",""))</f>
        <v/>
      </c>
      <c r="T301" s="22" t="str">
        <f>IF(ISERROR(FIND('112'!$M$9,G301,1)),"",IF((AND(RIGHT(G301,2)=RIGHT('112'!$M$9,2),B301&lt;'112'!$N$8,$M301='112'!$I$6)),"x",""))</f>
        <v/>
      </c>
      <c r="U301" s="22" t="str">
        <f>IF(AND(B301&gt;='IN-NX'!$P$3,B301&lt;='IN-NX'!$Q$3,'IN-NX'!$D$7=D301,OR(LEFT(L301,2)="15",AND(LEFT(M301,2)&lt;&gt;"15",LEFT(M301,2)&lt;&gt;"33"))),"x","")</f>
        <v/>
      </c>
      <c r="V301" s="22" t="str">
        <f>IF(AND(OR(LEFT(TH!L301,2)="15",LEFT(TH!M301,2)="15"),'152-CT'!$J$8=TH!F301),"x","")</f>
        <v/>
      </c>
      <c r="W301" s="22" t="str">
        <f>IF(AND(OR(LEFT(TH!L301,2)="15",LEFT(TH!M301,2)="15"),TK!$E$7=TH!F301),"x","")</f>
        <v/>
      </c>
      <c r="X301" s="22" t="str">
        <f>IF(OR(TH!L301=TH!$X$7,M301=TH!$X$7),"x","")</f>
        <v/>
      </c>
      <c r="Y301" s="22" t="str">
        <f>IF(AND(B301&lt;=NKC!$N$8,B301&gt;=NKC!$M$8),"x","")</f>
        <v>x</v>
      </c>
      <c r="Z301" s="580"/>
      <c r="AC301" s="130"/>
      <c r="AD301" s="130"/>
      <c r="AE301" s="130"/>
    </row>
    <row r="302" spans="1:31" s="406" customFormat="1" ht="15.75" customHeight="1">
      <c r="A302" s="123" t="str">
        <f>IF(B302&lt;&gt;"",IF(AND(B302&gt;=_TM1,B302&lt;=_TM2,OR(TH!L303="1111",TH!M303="1111")),TH!D303,""),"")</f>
        <v/>
      </c>
      <c r="B302" s="12">
        <f t="shared" si="11"/>
        <v>9</v>
      </c>
      <c r="C302" s="108">
        <f t="shared" si="12"/>
        <v>42621</v>
      </c>
      <c r="D302" s="108" t="s">
        <v>605</v>
      </c>
      <c r="E302" s="113">
        <v>42621</v>
      </c>
      <c r="F302" s="112" t="s">
        <v>646</v>
      </c>
      <c r="G302" s="303" t="s">
        <v>752</v>
      </c>
      <c r="H302" s="4" t="s">
        <v>372</v>
      </c>
      <c r="I302" s="139">
        <v>300</v>
      </c>
      <c r="J302" s="139">
        <v>12400</v>
      </c>
      <c r="K302" s="13">
        <f>ROUND(I302*J302,0)</f>
        <v>3720000</v>
      </c>
      <c r="L302" s="116" t="s">
        <v>252</v>
      </c>
      <c r="M302" s="411" t="s">
        <v>169</v>
      </c>
      <c r="N302" s="22" t="str">
        <f>IF(AND('331-CT'!$E$7=TH!H302,OR(L302="331",M302="331")),"331",IF(AND(OR(L302="131",M302="131"),H302='131-CT'!$E$7),"131",""))</f>
        <v/>
      </c>
      <c r="O302" s="22" t="str">
        <f>IF(AND($B302&gt;='111'!$N$11,$B302&lt;='111'!$O$11,OR($L302=$O$7,$M302=$O$7)),"x","")</f>
        <v/>
      </c>
      <c r="P302" s="22" t="str">
        <f>IF(AND($L302=$O$7,$B302&lt;'111'!$N$11),"x","")</f>
        <v/>
      </c>
      <c r="Q302" s="22" t="str">
        <f>IF(AND($M302=$O$7,$B302&lt;'111'!$N$11),"x","")</f>
        <v/>
      </c>
      <c r="R302" s="22" t="str">
        <f>IF(ISERROR(FIND('112'!$M$9,G302,1)),"",IF((AND(FIND('112'!$M$9,G302,1)&gt;=1,$B302&gt;='112'!$N$8,$B302&lt;='112'!$O$8,OR($L302='112'!$I$6,$M302='112'!$I$6))),"x",""))</f>
        <v/>
      </c>
      <c r="S302" s="22" t="str">
        <f>IF(ISERROR(FIND('112'!$M$9,G302,1)),"",IF((AND(LEFT(G302,2)=LEFT('112'!$M$9,2),B302&lt;'112'!$N$8,$L302='112'!$I$6)),"x",""))</f>
        <v/>
      </c>
      <c r="T302" s="22" t="str">
        <f>IF(ISERROR(FIND('112'!$M$9,G302,1)),"",IF((AND(RIGHT(G302,2)=RIGHT('112'!$M$9,2),B302&lt;'112'!$N$8,$M302='112'!$I$6)),"x",""))</f>
        <v/>
      </c>
      <c r="U302" s="22" t="str">
        <f>IF(AND(B302&gt;='IN-NX'!$P$3,B302&lt;='IN-NX'!$Q$3,'IN-NX'!$D$7=D302,OR(LEFT(L302,2)="15",AND(LEFT(M302,2)&lt;&gt;"15",LEFT(M302,2)&lt;&gt;"33"))),"x","")</f>
        <v/>
      </c>
      <c r="V302" s="22" t="str">
        <f>IF(AND(OR(LEFT(TH!L302,2)="15",LEFT(TH!M302,2)="15"),'152-CT'!$J$8=TH!F302),"x","")</f>
        <v/>
      </c>
      <c r="W302" s="22" t="str">
        <f>IF(AND(OR(LEFT(TH!L302,2)="15",LEFT(TH!M302,2)="15"),TK!$E$7=TH!F302),"x","")</f>
        <v/>
      </c>
      <c r="X302" s="22" t="str">
        <f>IF(OR(TH!L302=TH!$X$7,M302=TH!$X$7),"x","")</f>
        <v/>
      </c>
      <c r="Y302" s="22" t="str">
        <f>IF(AND(B302&lt;=NKC!$N$8,B302&gt;=NKC!$M$8),"x","")</f>
        <v>x</v>
      </c>
      <c r="Z302" s="580"/>
      <c r="AC302" s="130"/>
      <c r="AD302" s="130"/>
      <c r="AE302" s="130"/>
    </row>
    <row r="303" spans="1:31" s="406" customFormat="1" ht="15.75" customHeight="1">
      <c r="A303" s="123" t="str">
        <f>IF(B303&lt;&gt;"",IF(AND(B303&gt;=_TM1,B303&lt;=_TM2,OR(TH!L304="1111",TH!M304="1111")),TH!D304,""),"")</f>
        <v/>
      </c>
      <c r="B303" s="12">
        <f t="shared" si="11"/>
        <v>9</v>
      </c>
      <c r="C303" s="108">
        <f t="shared" si="12"/>
        <v>42621</v>
      </c>
      <c r="D303" s="108" t="s">
        <v>605</v>
      </c>
      <c r="E303" s="113">
        <v>42621</v>
      </c>
      <c r="F303" s="112" t="s">
        <v>647</v>
      </c>
      <c r="G303" s="303" t="s">
        <v>752</v>
      </c>
      <c r="H303" s="4" t="s">
        <v>372</v>
      </c>
      <c r="I303" s="139">
        <v>300</v>
      </c>
      <c r="J303" s="139">
        <v>14200</v>
      </c>
      <c r="K303" s="13">
        <f>ROUND(I303*J303,0)</f>
        <v>4260000</v>
      </c>
      <c r="L303" s="116" t="s">
        <v>252</v>
      </c>
      <c r="M303" s="411" t="s">
        <v>169</v>
      </c>
      <c r="N303" s="22" t="str">
        <f>IF(AND('331-CT'!$E$7=TH!H303,OR(L303="331",M303="331")),"331",IF(AND(OR(L303="131",M303="131"),H303='131-CT'!$E$7),"131",""))</f>
        <v/>
      </c>
      <c r="O303" s="22" t="str">
        <f>IF(AND($B303&gt;='111'!$N$11,$B303&lt;='111'!$O$11,OR($L303=$O$7,$M303=$O$7)),"x","")</f>
        <v/>
      </c>
      <c r="P303" s="22" t="str">
        <f>IF(AND($L303=$O$7,$B303&lt;'111'!$N$11),"x","")</f>
        <v/>
      </c>
      <c r="Q303" s="22" t="str">
        <f>IF(AND($M303=$O$7,$B303&lt;'111'!$N$11),"x","")</f>
        <v/>
      </c>
      <c r="R303" s="22" t="str">
        <f>IF(ISERROR(FIND('112'!$M$9,G303,1)),"",IF((AND(FIND('112'!$M$9,G303,1)&gt;=1,$B303&gt;='112'!$N$8,$B303&lt;='112'!$O$8,OR($L303='112'!$I$6,$M303='112'!$I$6))),"x",""))</f>
        <v/>
      </c>
      <c r="S303" s="22" t="str">
        <f>IF(ISERROR(FIND('112'!$M$9,G303,1)),"",IF((AND(LEFT(G303,2)=LEFT('112'!$M$9,2),B303&lt;'112'!$N$8,$L303='112'!$I$6)),"x",""))</f>
        <v/>
      </c>
      <c r="T303" s="22" t="str">
        <f>IF(ISERROR(FIND('112'!$M$9,G303,1)),"",IF((AND(RIGHT(G303,2)=RIGHT('112'!$M$9,2),B303&lt;'112'!$N$8,$M303='112'!$I$6)),"x",""))</f>
        <v/>
      </c>
      <c r="U303" s="22" t="str">
        <f>IF(AND(B303&gt;='IN-NX'!$P$3,B303&lt;='IN-NX'!$Q$3,'IN-NX'!$D$7=D303,OR(LEFT(L303,2)="15",AND(LEFT(M303,2)&lt;&gt;"15",LEFT(M303,2)&lt;&gt;"33"))),"x","")</f>
        <v/>
      </c>
      <c r="V303" s="22" t="str">
        <f>IF(AND(OR(LEFT(TH!L303,2)="15",LEFT(TH!M303,2)="15"),'152-CT'!$J$8=TH!F303),"x","")</f>
        <v/>
      </c>
      <c r="W303" s="22" t="str">
        <f>IF(AND(OR(LEFT(TH!L303,2)="15",LEFT(TH!M303,2)="15"),TK!$E$7=TH!F303),"x","")</f>
        <v/>
      </c>
      <c r="X303" s="22" t="str">
        <f>IF(OR(TH!L303=TH!$X$7,M303=TH!$X$7),"x","")</f>
        <v/>
      </c>
      <c r="Y303" s="22" t="str">
        <f>IF(AND(B303&lt;=NKC!$N$8,B303&gt;=NKC!$M$8),"x","")</f>
        <v>x</v>
      </c>
      <c r="Z303" s="580"/>
      <c r="AC303" s="130"/>
      <c r="AD303" s="130"/>
      <c r="AE303" s="130"/>
    </row>
    <row r="304" spans="1:31" s="130" customFormat="1" ht="15.75" customHeight="1">
      <c r="A304" s="123" t="str">
        <f>IF(B304&lt;&gt;"",IF(AND(B304&gt;=_TM1,B304&lt;=_TM2,OR(TH!L305="1111",TH!M305="1111")),TH!D305,""),"")</f>
        <v/>
      </c>
      <c r="B304" s="12">
        <f t="shared" si="11"/>
        <v>9</v>
      </c>
      <c r="C304" s="108">
        <f t="shared" si="12"/>
        <v>42621</v>
      </c>
      <c r="D304" s="108" t="s">
        <v>605</v>
      </c>
      <c r="E304" s="113">
        <v>42621</v>
      </c>
      <c r="F304" s="112" t="s">
        <v>650</v>
      </c>
      <c r="G304" s="303" t="s">
        <v>752</v>
      </c>
      <c r="H304" s="4" t="s">
        <v>372</v>
      </c>
      <c r="I304" s="139">
        <v>300</v>
      </c>
      <c r="J304" s="139">
        <v>15300</v>
      </c>
      <c r="K304" s="13">
        <f>ROUND(I304*J304,0)</f>
        <v>4590000</v>
      </c>
      <c r="L304" s="116" t="s">
        <v>252</v>
      </c>
      <c r="M304" s="411" t="s">
        <v>169</v>
      </c>
      <c r="N304" s="22" t="str">
        <f>IF(AND('331-CT'!$E$7=TH!H304,OR(L304="331",M304="331")),"331",IF(AND(OR(L304="131",M304="131"),H304='131-CT'!$E$7),"131",""))</f>
        <v/>
      </c>
      <c r="O304" s="22" t="str">
        <f>IF(AND($B304&gt;='111'!$N$11,$B304&lt;='111'!$O$11,OR($L304=$O$7,$M304=$O$7)),"x","")</f>
        <v/>
      </c>
      <c r="P304" s="22" t="str">
        <f>IF(AND($L304=$O$7,$B304&lt;'111'!$N$11),"x","")</f>
        <v/>
      </c>
      <c r="Q304" s="22" t="str">
        <f>IF(AND($M304=$O$7,$B304&lt;'111'!$N$11),"x","")</f>
        <v/>
      </c>
      <c r="R304" s="22" t="str">
        <f>IF(ISERROR(FIND('112'!$M$9,G304,1)),"",IF((AND(FIND('112'!$M$9,G304,1)&gt;=1,$B304&gt;='112'!$N$8,$B304&lt;='112'!$O$8,OR($L304='112'!$I$6,$M304='112'!$I$6))),"x",""))</f>
        <v/>
      </c>
      <c r="S304" s="22" t="str">
        <f>IF(ISERROR(FIND('112'!$M$9,G304,1)),"",IF((AND(LEFT(G304,2)=LEFT('112'!$M$9,2),B304&lt;'112'!$N$8,$L304='112'!$I$6)),"x",""))</f>
        <v/>
      </c>
      <c r="T304" s="22" t="str">
        <f>IF(ISERROR(FIND('112'!$M$9,G304,1)),"",IF((AND(RIGHT(G304,2)=RIGHT('112'!$M$9,2),B304&lt;'112'!$N$8,$M304='112'!$I$6)),"x",""))</f>
        <v/>
      </c>
      <c r="U304" s="22" t="str">
        <f>IF(AND(B304&gt;='IN-NX'!$P$3,B304&lt;='IN-NX'!$Q$3,'IN-NX'!$D$7=D304,OR(LEFT(L304,2)="15",AND(LEFT(M304,2)&lt;&gt;"15",LEFT(M304,2)&lt;&gt;"33"))),"x","")</f>
        <v/>
      </c>
      <c r="V304" s="22" t="str">
        <f>IF(AND(OR(LEFT(TH!L304,2)="15",LEFT(TH!M304,2)="15"),'152-CT'!$J$8=TH!F304),"x","")</f>
        <v/>
      </c>
      <c r="W304" s="22" t="str">
        <f>IF(AND(OR(LEFT(TH!L304,2)="15",LEFT(TH!M304,2)="15"),TK!$E$7=TH!F304),"x","")</f>
        <v/>
      </c>
      <c r="X304" s="22" t="str">
        <f>IF(OR(TH!L304=TH!$X$7,M304=TH!$X$7),"x","")</f>
        <v/>
      </c>
      <c r="Y304" s="22" t="str">
        <f>IF(AND(B304&lt;=NKC!$N$8,B304&gt;=NKC!$M$8),"x","")</f>
        <v>x</v>
      </c>
      <c r="Z304" s="580"/>
      <c r="AA304" s="406"/>
    </row>
    <row r="305" spans="1:31" s="406" customFormat="1" ht="15.75" customHeight="1">
      <c r="A305" s="123" t="str">
        <f>IF(B305&lt;&gt;"",IF(AND(B305&gt;=_TM1,B305&lt;=_TM2,OR(TH!L306="1111",TH!M306="1111")),TH!D306,""),"")</f>
        <v/>
      </c>
      <c r="B305" s="12">
        <f t="shared" si="11"/>
        <v>9</v>
      </c>
      <c r="C305" s="108">
        <f t="shared" si="12"/>
        <v>42621</v>
      </c>
      <c r="D305" s="108" t="s">
        <v>605</v>
      </c>
      <c r="E305" s="113">
        <v>42621</v>
      </c>
      <c r="F305" s="112" t="s">
        <v>648</v>
      </c>
      <c r="G305" s="303" t="s">
        <v>752</v>
      </c>
      <c r="H305" s="4" t="s">
        <v>372</v>
      </c>
      <c r="I305" s="139">
        <v>300</v>
      </c>
      <c r="J305" s="139">
        <v>16500</v>
      </c>
      <c r="K305" s="13">
        <f>ROUND(I305*J305,0)</f>
        <v>4950000</v>
      </c>
      <c r="L305" s="116" t="s">
        <v>252</v>
      </c>
      <c r="M305" s="411" t="s">
        <v>169</v>
      </c>
      <c r="N305" s="22" t="str">
        <f>IF(AND('331-CT'!$E$7=TH!H305,OR(L305="331",M305="331")),"331",IF(AND(OR(L305="131",M305="131"),H305='131-CT'!$E$7),"131",""))</f>
        <v/>
      </c>
      <c r="O305" s="22" t="str">
        <f>IF(AND($B305&gt;='111'!$N$11,$B305&lt;='111'!$O$11,OR($L305=$O$7,$M305=$O$7)),"x","")</f>
        <v/>
      </c>
      <c r="P305" s="22" t="str">
        <f>IF(AND($L305=$O$7,$B305&lt;'111'!$N$11),"x","")</f>
        <v/>
      </c>
      <c r="Q305" s="22" t="str">
        <f>IF(AND($M305=$O$7,$B305&lt;'111'!$N$11),"x","")</f>
        <v/>
      </c>
      <c r="R305" s="22" t="str">
        <f>IF(ISERROR(FIND('112'!$M$9,G305,1)),"",IF((AND(FIND('112'!$M$9,G305,1)&gt;=1,$B305&gt;='112'!$N$8,$B305&lt;='112'!$O$8,OR($L305='112'!$I$6,$M305='112'!$I$6))),"x",""))</f>
        <v/>
      </c>
      <c r="S305" s="22" t="str">
        <f>IF(ISERROR(FIND('112'!$M$9,G305,1)),"",IF((AND(LEFT(G305,2)=LEFT('112'!$M$9,2),B305&lt;'112'!$N$8,$L305='112'!$I$6)),"x",""))</f>
        <v/>
      </c>
      <c r="T305" s="22" t="str">
        <f>IF(ISERROR(FIND('112'!$M$9,G305,1)),"",IF((AND(RIGHT(G305,2)=RIGHT('112'!$M$9,2),B305&lt;'112'!$N$8,$M305='112'!$I$6)),"x",""))</f>
        <v/>
      </c>
      <c r="U305" s="22" t="str">
        <f>IF(AND(B305&gt;='IN-NX'!$P$3,B305&lt;='IN-NX'!$Q$3,'IN-NX'!$D$7=D305,OR(LEFT(L305,2)="15",AND(LEFT(M305,2)&lt;&gt;"15",LEFT(M305,2)&lt;&gt;"33"))),"x","")</f>
        <v/>
      </c>
      <c r="V305" s="22" t="str">
        <f>IF(AND(OR(LEFT(TH!L305,2)="15",LEFT(TH!M305,2)="15"),'152-CT'!$J$8=TH!F305),"x","")</f>
        <v/>
      </c>
      <c r="W305" s="22" t="str">
        <f>IF(AND(OR(LEFT(TH!L305,2)="15",LEFT(TH!M305,2)="15"),TK!$E$7=TH!F305),"x","")</f>
        <v/>
      </c>
      <c r="X305" s="22" t="str">
        <f>IF(OR(TH!L305=TH!$X$7,M305=TH!$X$7),"x","")</f>
        <v/>
      </c>
      <c r="Y305" s="22" t="str">
        <f>IF(AND(B305&lt;=NKC!$N$8,B305&gt;=NKC!$M$8),"x","")</f>
        <v>x</v>
      </c>
      <c r="Z305" s="580"/>
      <c r="AC305" s="130"/>
      <c r="AD305" s="130"/>
      <c r="AE305" s="130"/>
    </row>
    <row r="306" spans="1:31" s="406" customFormat="1" ht="15.75" customHeight="1">
      <c r="A306" s="123" t="str">
        <f>IF(B306&lt;&gt;"",IF(AND(B306&gt;=_TM1,B306&lt;=_TM2,OR(TH!L307="1111",TH!M307="1111")),TH!D307,""),"")</f>
        <v/>
      </c>
      <c r="B306" s="12">
        <f t="shared" si="11"/>
        <v>9</v>
      </c>
      <c r="C306" s="108">
        <f t="shared" si="12"/>
        <v>42621</v>
      </c>
      <c r="D306" s="108" t="s">
        <v>605</v>
      </c>
      <c r="E306" s="113">
        <v>42621</v>
      </c>
      <c r="F306" s="112" t="s">
        <v>649</v>
      </c>
      <c r="G306" s="303" t="s">
        <v>752</v>
      </c>
      <c r="H306" s="4" t="s">
        <v>372</v>
      </c>
      <c r="I306" s="139">
        <v>300</v>
      </c>
      <c r="J306" s="139">
        <v>19700</v>
      </c>
      <c r="K306" s="13">
        <f>ROUND(I306*J306,0)</f>
        <v>5910000</v>
      </c>
      <c r="L306" s="116" t="s">
        <v>252</v>
      </c>
      <c r="M306" s="411" t="s">
        <v>169</v>
      </c>
      <c r="N306" s="22" t="str">
        <f>IF(AND('331-CT'!$E$7=TH!H306,OR(L306="331",M306="331")),"331",IF(AND(OR(L306="131",M306="131"),H306='131-CT'!$E$7),"131",""))</f>
        <v/>
      </c>
      <c r="O306" s="22" t="str">
        <f>IF(AND($B306&gt;='111'!$N$11,$B306&lt;='111'!$O$11,OR($L306=$O$7,$M306=$O$7)),"x","")</f>
        <v/>
      </c>
      <c r="P306" s="22" t="str">
        <f>IF(AND($L306=$O$7,$B306&lt;'111'!$N$11),"x","")</f>
        <v/>
      </c>
      <c r="Q306" s="22" t="str">
        <f>IF(AND($M306=$O$7,$B306&lt;'111'!$N$11),"x","")</f>
        <v/>
      </c>
      <c r="R306" s="22" t="str">
        <f>IF(ISERROR(FIND('112'!$M$9,G306,1)),"",IF((AND(FIND('112'!$M$9,G306,1)&gt;=1,$B306&gt;='112'!$N$8,$B306&lt;='112'!$O$8,OR($L306='112'!$I$6,$M306='112'!$I$6))),"x",""))</f>
        <v/>
      </c>
      <c r="S306" s="22" t="str">
        <f>IF(ISERROR(FIND('112'!$M$9,G306,1)),"",IF((AND(LEFT(G306,2)=LEFT('112'!$M$9,2),B306&lt;'112'!$N$8,$L306='112'!$I$6)),"x",""))</f>
        <v/>
      </c>
      <c r="T306" s="22" t="str">
        <f>IF(ISERROR(FIND('112'!$M$9,G306,1)),"",IF((AND(RIGHT(G306,2)=RIGHT('112'!$M$9,2),B306&lt;'112'!$N$8,$M306='112'!$I$6)),"x",""))</f>
        <v/>
      </c>
      <c r="U306" s="22" t="str">
        <f>IF(AND(B306&gt;='IN-NX'!$P$3,B306&lt;='IN-NX'!$Q$3,'IN-NX'!$D$7=D306,OR(LEFT(L306,2)="15",AND(LEFT(M306,2)&lt;&gt;"15",LEFT(M306,2)&lt;&gt;"33"))),"x","")</f>
        <v/>
      </c>
      <c r="V306" s="22" t="str">
        <f>IF(AND(OR(LEFT(TH!L306,2)="15",LEFT(TH!M306,2)="15"),'152-CT'!$J$8=TH!F306),"x","")</f>
        <v/>
      </c>
      <c r="W306" s="22" t="str">
        <f>IF(AND(OR(LEFT(TH!L306,2)="15",LEFT(TH!M306,2)="15"),TK!$E$7=TH!F306),"x","")</f>
        <v/>
      </c>
      <c r="X306" s="22" t="str">
        <f>IF(OR(TH!L306=TH!$X$7,M306=TH!$X$7),"x","")</f>
        <v/>
      </c>
      <c r="Y306" s="22" t="str">
        <f>IF(AND(B306&lt;=NKC!$N$8,B306&gt;=NKC!$M$8),"x","")</f>
        <v>x</v>
      </c>
      <c r="Z306" s="580"/>
      <c r="AC306" s="130"/>
      <c r="AD306" s="130"/>
      <c r="AE306" s="130"/>
    </row>
    <row r="307" spans="1:31" s="406" customFormat="1" ht="15.75" customHeight="1">
      <c r="A307" s="123" t="str">
        <f>IF(B307&lt;&gt;"",IF(AND(B307&gt;=_TM1,B307&lt;=_TM2,OR(TH!L308="1111",TH!M308="1111")),TH!D308,""),"")</f>
        <v/>
      </c>
      <c r="B307" s="12">
        <f t="shared" si="11"/>
        <v>9</v>
      </c>
      <c r="C307" s="108">
        <f t="shared" si="12"/>
        <v>42621</v>
      </c>
      <c r="D307" s="108" t="s">
        <v>605</v>
      </c>
      <c r="E307" s="113">
        <v>42621</v>
      </c>
      <c r="F307" s="112" t="s">
        <v>496</v>
      </c>
      <c r="G307" s="303" t="s">
        <v>752</v>
      </c>
      <c r="H307" s="4" t="s">
        <v>372</v>
      </c>
      <c r="I307" s="139"/>
      <c r="J307" s="139"/>
      <c r="K307" s="13">
        <v>2343000</v>
      </c>
      <c r="L307" s="116" t="s">
        <v>252</v>
      </c>
      <c r="M307" s="411" t="s">
        <v>352</v>
      </c>
      <c r="N307" s="22" t="str">
        <f>IF(AND('331-CT'!$E$7=TH!H307,OR(L307="331",M307="331")),"331",IF(AND(OR(L307="131",M307="131"),H307='131-CT'!$E$7),"131",""))</f>
        <v/>
      </c>
      <c r="O307" s="22" t="str">
        <f>IF(AND($B307&gt;='111'!$N$11,$B307&lt;='111'!$O$11,OR($L307=$O$7,$M307=$O$7)),"x","")</f>
        <v/>
      </c>
      <c r="P307" s="22" t="str">
        <f>IF(AND($L307=$O$7,$B307&lt;'111'!$N$11),"x","")</f>
        <v/>
      </c>
      <c r="Q307" s="22" t="str">
        <f>IF(AND($M307=$O$7,$B307&lt;'111'!$N$11),"x","")</f>
        <v/>
      </c>
      <c r="R307" s="22" t="str">
        <f>IF(ISERROR(FIND('112'!$M$9,G307,1)),"",IF((AND(FIND('112'!$M$9,G307,1)&gt;=1,$B307&gt;='112'!$N$8,$B307&lt;='112'!$O$8,OR($L307='112'!$I$6,$M307='112'!$I$6))),"x",""))</f>
        <v/>
      </c>
      <c r="S307" s="22" t="str">
        <f>IF(ISERROR(FIND('112'!$M$9,G307,1)),"",IF((AND(LEFT(G307,2)=LEFT('112'!$M$9,2),B307&lt;'112'!$N$8,$L307='112'!$I$6)),"x",""))</f>
        <v/>
      </c>
      <c r="T307" s="22" t="str">
        <f>IF(ISERROR(FIND('112'!$M$9,G307,1)),"",IF((AND(RIGHT(G307,2)=RIGHT('112'!$M$9,2),B307&lt;'112'!$N$8,$M307='112'!$I$6)),"x",""))</f>
        <v/>
      </c>
      <c r="U307" s="22" t="str">
        <f>IF(AND(B307&gt;='IN-NX'!$P$3,B307&lt;='IN-NX'!$Q$3,'IN-NX'!$D$7=D307,OR(LEFT(L307,2)="15",AND(LEFT(M307,2)&lt;&gt;"15",LEFT(M307,2)&lt;&gt;"33"))),"x","")</f>
        <v/>
      </c>
      <c r="V307" s="22" t="str">
        <f>IF(AND(OR(LEFT(TH!L307,2)="15",LEFT(TH!M307,2)="15"),'152-CT'!$J$8=TH!F307),"x","")</f>
        <v/>
      </c>
      <c r="W307" s="22" t="str">
        <f>IF(AND(OR(LEFT(TH!L307,2)="15",LEFT(TH!M307,2)="15"),TK!$E$7=TH!F307),"x","")</f>
        <v/>
      </c>
      <c r="X307" s="22" t="str">
        <f>IF(OR(TH!L307=TH!$X$7,M307=TH!$X$7),"x","")</f>
        <v/>
      </c>
      <c r="Y307" s="22" t="str">
        <f>IF(AND(B307&lt;=NKC!$N$8,B307&gt;=NKC!$M$8),"x","")</f>
        <v>x</v>
      </c>
      <c r="Z307" s="580"/>
      <c r="AC307" s="130"/>
      <c r="AD307" s="130"/>
      <c r="AE307" s="130"/>
    </row>
    <row r="308" spans="1:31" s="406" customFormat="1" ht="15.75" customHeight="1">
      <c r="A308" s="123" t="str">
        <f>IF(B308&lt;&gt;"",IF(AND(B308&gt;=_TM1,B308&lt;=_TM2,OR(TH!L309="1111",TH!M309="1111")),TH!D309,""),"")</f>
        <v/>
      </c>
      <c r="B308" s="12">
        <f t="shared" si="11"/>
        <v>9</v>
      </c>
      <c r="C308" s="108">
        <f t="shared" si="12"/>
        <v>42622</v>
      </c>
      <c r="D308" s="113" t="s">
        <v>1002</v>
      </c>
      <c r="E308" s="108">
        <v>42622</v>
      </c>
      <c r="F308" s="112" t="s">
        <v>355</v>
      </c>
      <c r="G308" s="303" t="s">
        <v>426</v>
      </c>
      <c r="H308" s="115" t="s">
        <v>427</v>
      </c>
      <c r="I308" s="139"/>
      <c r="J308" s="139"/>
      <c r="K308" s="410">
        <v>1760000</v>
      </c>
      <c r="L308" s="411" t="s">
        <v>160</v>
      </c>
      <c r="M308" s="411" t="s">
        <v>46</v>
      </c>
      <c r="N308" s="22" t="str">
        <f>IF(AND('331-CT'!$E$7=TH!H308,OR(L308="331",M308="331")),"331",IF(AND(OR(L308="131",M308="131"),H308='131-CT'!$E$7),"131",""))</f>
        <v/>
      </c>
      <c r="O308" s="22" t="str">
        <f>IF(AND($B308&gt;='111'!$N$11,$B308&lt;='111'!$O$11,OR($L308=$O$7,$M308=$O$7)),"x","")</f>
        <v/>
      </c>
      <c r="P308" s="22" t="str">
        <f>IF(AND($L308=$O$7,$B308&lt;'111'!$N$11),"x","")</f>
        <v/>
      </c>
      <c r="Q308" s="22" t="str">
        <f>IF(AND($M308=$O$7,$B308&lt;'111'!$N$11),"x","")</f>
        <v>x</v>
      </c>
      <c r="R308" s="22" t="str">
        <f>IF(ISERROR(FIND('112'!$M$9,G308,1)),"",IF((AND(FIND('112'!$M$9,G308,1)&gt;=1,$B308&gt;='112'!$N$8,$B308&lt;='112'!$O$8,OR($L308='112'!$I$6,$M308='112'!$I$6))),"x",""))</f>
        <v/>
      </c>
      <c r="S308" s="22" t="str">
        <f>IF(ISERROR(FIND('112'!$M$9,G308,1)),"",IF((AND(LEFT(G308,2)=LEFT('112'!$M$9,2),B308&lt;'112'!$N$8,$L308='112'!$I$6)),"x",""))</f>
        <v/>
      </c>
      <c r="T308" s="22" t="str">
        <f>IF(ISERROR(FIND('112'!$M$9,G308,1)),"",IF((AND(RIGHT(G308,2)=RIGHT('112'!$M$9,2),B308&lt;'112'!$N$8,$M308='112'!$I$6)),"x",""))</f>
        <v/>
      </c>
      <c r="U308" s="22" t="str">
        <f>IF(AND(B308&gt;='IN-NX'!$P$3,B308&lt;='IN-NX'!$Q$3,'IN-NX'!$D$7=D308,OR(LEFT(L308,2)="15",AND(LEFT(M308,2)&lt;&gt;"15",LEFT(M308,2)&lt;&gt;"33"))),"x","")</f>
        <v/>
      </c>
      <c r="V308" s="22" t="str">
        <f>IF(AND(OR(LEFT(TH!L308,2)="15",LEFT(TH!M308,2)="15"),'152-CT'!$J$8=TH!F308),"x","")</f>
        <v/>
      </c>
      <c r="W308" s="22" t="str">
        <f>IF(AND(OR(LEFT(TH!L308,2)="15",LEFT(TH!M308,2)="15"),TK!$E$7=TH!F308),"x","")</f>
        <v/>
      </c>
      <c r="X308" s="22" t="str">
        <f>IF(OR(TH!L308=TH!$X$7,M308=TH!$X$7),"x","")</f>
        <v/>
      </c>
      <c r="Y308" s="22" t="str">
        <f>IF(AND(B308&lt;=NKC!$N$8,B308&gt;=NKC!$M$8),"x","")</f>
        <v>x</v>
      </c>
      <c r="Z308" s="580">
        <v>3</v>
      </c>
    </row>
    <row r="309" spans="1:31" s="406" customFormat="1" ht="15.75" customHeight="1">
      <c r="A309" s="123" t="str">
        <f>IF(B309&lt;&gt;"",IF(AND(B309&gt;=_TM1,B309&lt;=_TM2,OR(TH!L310="1111",TH!M310="1111")),TH!D310,""),"")</f>
        <v/>
      </c>
      <c r="B309" s="12">
        <f t="shared" si="11"/>
        <v>9</v>
      </c>
      <c r="C309" s="108">
        <f t="shared" si="12"/>
        <v>42622</v>
      </c>
      <c r="D309" s="113" t="s">
        <v>1002</v>
      </c>
      <c r="E309" s="108">
        <v>42622</v>
      </c>
      <c r="F309" s="112" t="s">
        <v>425</v>
      </c>
      <c r="G309" s="303" t="s">
        <v>426</v>
      </c>
      <c r="H309" s="115" t="s">
        <v>427</v>
      </c>
      <c r="I309" s="139"/>
      <c r="J309" s="139"/>
      <c r="K309" s="410">
        <v>176000</v>
      </c>
      <c r="L309" s="411" t="s">
        <v>9</v>
      </c>
      <c r="M309" s="411" t="s">
        <v>46</v>
      </c>
      <c r="N309" s="22" t="str">
        <f>IF(AND('331-CT'!$E$7=TH!H309,OR(L309="331",M309="331")),"331",IF(AND(OR(L309="131",M309="131"),H309='131-CT'!$E$7),"131",""))</f>
        <v/>
      </c>
      <c r="O309" s="22" t="str">
        <f>IF(AND($B309&gt;='111'!$N$11,$B309&lt;='111'!$O$11,OR($L309=$O$7,$M309=$O$7)),"x","")</f>
        <v/>
      </c>
      <c r="P309" s="22" t="str">
        <f>IF(AND($L309=$O$7,$B309&lt;'111'!$N$11),"x","")</f>
        <v/>
      </c>
      <c r="Q309" s="22" t="str">
        <f>IF(AND($M309=$O$7,$B309&lt;'111'!$N$11),"x","")</f>
        <v>x</v>
      </c>
      <c r="R309" s="22" t="str">
        <f>IF(ISERROR(FIND('112'!$M$9,G309,1)),"",IF((AND(FIND('112'!$M$9,G309,1)&gt;=1,$B309&gt;='112'!$N$8,$B309&lt;='112'!$O$8,OR($L309='112'!$I$6,$M309='112'!$I$6))),"x",""))</f>
        <v/>
      </c>
      <c r="S309" s="22" t="str">
        <f>IF(ISERROR(FIND('112'!$M$9,G309,1)),"",IF((AND(LEFT(G309,2)=LEFT('112'!$M$9,2),B309&lt;'112'!$N$8,$L309='112'!$I$6)),"x",""))</f>
        <v/>
      </c>
      <c r="T309" s="22" t="str">
        <f>IF(ISERROR(FIND('112'!$M$9,G309,1)),"",IF((AND(RIGHT(G309,2)=RIGHT('112'!$M$9,2),B309&lt;'112'!$N$8,$M309='112'!$I$6)),"x",""))</f>
        <v/>
      </c>
      <c r="U309" s="22" t="str">
        <f>IF(AND(B309&gt;='IN-NX'!$P$3,B309&lt;='IN-NX'!$Q$3,'IN-NX'!$D$7=D309,OR(LEFT(L309,2)="15",AND(LEFT(M309,2)&lt;&gt;"15",LEFT(M309,2)&lt;&gt;"33"))),"x","")</f>
        <v/>
      </c>
      <c r="V309" s="22" t="str">
        <f>IF(AND(OR(LEFT(TH!L309,2)="15",LEFT(TH!M309,2)="15"),'152-CT'!$J$8=TH!F309),"x","")</f>
        <v/>
      </c>
      <c r="W309" s="22" t="str">
        <f>IF(AND(OR(LEFT(TH!L309,2)="15",LEFT(TH!M309,2)="15"),TK!$E$7=TH!F309),"x","")</f>
        <v/>
      </c>
      <c r="X309" s="22" t="str">
        <f>IF(OR(TH!L309=TH!$X$7,M309=TH!$X$7),"x","")</f>
        <v/>
      </c>
      <c r="Y309" s="22" t="str">
        <f>IF(AND(B309&lt;=NKC!$N$8,B309&gt;=NKC!$M$8),"x","")</f>
        <v>x</v>
      </c>
      <c r="Z309" s="580">
        <v>3</v>
      </c>
    </row>
    <row r="310" spans="1:31" s="406" customFormat="1" ht="15.75" customHeight="1">
      <c r="A310" s="123" t="str">
        <f>IF(B310&lt;&gt;"",IF(AND(B310&gt;=_TM1,B310&lt;=_TM2,OR(TH!L311="1111",TH!M311="1111")),TH!D311,""),"")</f>
        <v/>
      </c>
      <c r="B310" s="12">
        <f t="shared" si="11"/>
        <v>9</v>
      </c>
      <c r="C310" s="108">
        <f t="shared" si="12"/>
        <v>42622</v>
      </c>
      <c r="D310" s="108" t="s">
        <v>469</v>
      </c>
      <c r="E310" s="113">
        <v>42622</v>
      </c>
      <c r="F310" s="112" t="s">
        <v>484</v>
      </c>
      <c r="G310" s="303" t="s">
        <v>474</v>
      </c>
      <c r="H310" s="4" t="s">
        <v>367</v>
      </c>
      <c r="I310" s="139"/>
      <c r="J310" s="139"/>
      <c r="K310" s="410">
        <v>34100000</v>
      </c>
      <c r="L310" s="411" t="s">
        <v>24</v>
      </c>
      <c r="M310" s="411" t="s">
        <v>252</v>
      </c>
      <c r="N310" s="22" t="str">
        <f>IF(AND('331-CT'!$E$7=TH!H310,OR(L310="331",M310="331")),"331",IF(AND(OR(L310="131",M310="131"),H310='131-CT'!$E$7),"131",""))</f>
        <v/>
      </c>
      <c r="O310" s="22" t="str">
        <f>IF(AND($B310&gt;='111'!$N$11,$B310&lt;='111'!$O$11,OR($L310=$O$7,$M310=$O$7)),"x","")</f>
        <v/>
      </c>
      <c r="P310" s="22" t="str">
        <f>IF(AND($L310=$O$7,$B310&lt;'111'!$N$11),"x","")</f>
        <v/>
      </c>
      <c r="Q310" s="22" t="str">
        <f>IF(AND($M310=$O$7,$B310&lt;'111'!$N$11),"x","")</f>
        <v/>
      </c>
      <c r="R310" s="22" t="str">
        <f>IF(ISERROR(FIND('112'!$M$9,G310,1)),"",IF((AND(FIND('112'!$M$9,G310,1)&gt;=1,$B310&gt;='112'!$N$8,$B310&lt;='112'!$O$8,OR($L310='112'!$I$6,$M310='112'!$I$6))),"x",""))</f>
        <v/>
      </c>
      <c r="S310" s="22" t="str">
        <f>IF(ISERROR(FIND('112'!$M$9,G310,1)),"",IF((AND(LEFT(G310,2)=LEFT('112'!$M$9,2),B310&lt;'112'!$N$8,$L310='112'!$I$6)),"x",""))</f>
        <v>x</v>
      </c>
      <c r="T310" s="22" t="str">
        <f>IF(ISERROR(FIND('112'!$M$9,G310,1)),"",IF((AND(RIGHT(G310,2)=RIGHT('112'!$M$9,2),B310&lt;'112'!$N$8,$M310='112'!$I$6)),"x",""))</f>
        <v/>
      </c>
      <c r="U310" s="22" t="str">
        <f>IF(AND(B310&gt;='IN-NX'!$P$3,B310&lt;='IN-NX'!$Q$3,'IN-NX'!$D$7=D310,OR(LEFT(L310,2)="15",AND(LEFT(M310,2)&lt;&gt;"15",LEFT(M310,2)&lt;&gt;"33"))),"x","")</f>
        <v/>
      </c>
      <c r="V310" s="22" t="str">
        <f>IF(AND(OR(LEFT(TH!L310,2)="15",LEFT(TH!M310,2)="15"),'152-CT'!$J$8=TH!F310),"x","")</f>
        <v/>
      </c>
      <c r="W310" s="22" t="str">
        <f>IF(AND(OR(LEFT(TH!L310,2)="15",LEFT(TH!M310,2)="15"),TK!$E$7=TH!F310),"x","")</f>
        <v/>
      </c>
      <c r="X310" s="22" t="str">
        <f>IF(OR(TH!L310=TH!$X$7,M310=TH!$X$7),"x","")</f>
        <v/>
      </c>
      <c r="Y310" s="22" t="str">
        <f>IF(AND(B310&lt;=NKC!$N$8,B310&gt;=NKC!$M$8),"x","")</f>
        <v>x</v>
      </c>
      <c r="Z310" s="580"/>
    </row>
    <row r="311" spans="1:31" s="406" customFormat="1" ht="15.75" customHeight="1">
      <c r="A311" s="123" t="str">
        <f>IF(B311&lt;&gt;"",IF(AND(B311&gt;=_TM1,B311&lt;=_TM2,OR(TH!L312="1111",TH!M312="1111")),TH!D312,""),"")</f>
        <v/>
      </c>
      <c r="B311" s="12">
        <f t="shared" si="11"/>
        <v>9</v>
      </c>
      <c r="C311" s="108">
        <f t="shared" si="12"/>
        <v>42622</v>
      </c>
      <c r="D311" s="108" t="s">
        <v>1003</v>
      </c>
      <c r="E311" s="113">
        <v>42622</v>
      </c>
      <c r="F311" s="112" t="s">
        <v>471</v>
      </c>
      <c r="G311" s="303" t="s">
        <v>474</v>
      </c>
      <c r="H311" s="4" t="s">
        <v>475</v>
      </c>
      <c r="I311" s="139"/>
      <c r="J311" s="139"/>
      <c r="K311" s="13">
        <v>5200000</v>
      </c>
      <c r="L311" s="116" t="s">
        <v>24</v>
      </c>
      <c r="M311" s="116" t="s">
        <v>46</v>
      </c>
      <c r="N311" s="22" t="str">
        <f>IF(AND('331-CT'!$E$7=TH!H311,OR(L311="331",M311="331")),"331",IF(AND(OR(L311="131",M311="131"),H311='131-CT'!$E$7),"131",""))</f>
        <v/>
      </c>
      <c r="O311" s="22" t="str">
        <f>IF(AND($B311&gt;='111'!$N$11,$B311&lt;='111'!$O$11,OR($L311=$O$7,$M311=$O$7)),"x","")</f>
        <v/>
      </c>
      <c r="P311" s="22" t="str">
        <f>IF(AND($L311=$O$7,$B311&lt;'111'!$N$11),"x","")</f>
        <v/>
      </c>
      <c r="Q311" s="22" t="str">
        <f>IF(AND($M311=$O$7,$B311&lt;'111'!$N$11),"x","")</f>
        <v>x</v>
      </c>
      <c r="R311" s="22" t="str">
        <f>IF(ISERROR(FIND('112'!$M$9,G311,1)),"",IF((AND(FIND('112'!$M$9,G311,1)&gt;=1,$B311&gt;='112'!$N$8,$B311&lt;='112'!$O$8,OR($L311='112'!$I$6,$M311='112'!$I$6))),"x",""))</f>
        <v/>
      </c>
      <c r="S311" s="22" t="str">
        <f>IF(ISERROR(FIND('112'!$M$9,G311,1)),"",IF((AND(LEFT(G311,2)=LEFT('112'!$M$9,2),B311&lt;'112'!$N$8,$L311='112'!$I$6)),"x",""))</f>
        <v>x</v>
      </c>
      <c r="T311" s="22" t="str">
        <f>IF(ISERROR(FIND('112'!$M$9,G311,1)),"",IF((AND(RIGHT(G311,2)=RIGHT('112'!$M$9,2),B311&lt;'112'!$N$8,$M311='112'!$I$6)),"x",""))</f>
        <v/>
      </c>
      <c r="U311" s="22" t="str">
        <f>IF(AND(B311&gt;='IN-NX'!$P$3,B311&lt;='IN-NX'!$Q$3,'IN-NX'!$D$7=D311,OR(LEFT(L311,2)="15",AND(LEFT(M311,2)&lt;&gt;"15",LEFT(M311,2)&lt;&gt;"33"))),"x","")</f>
        <v/>
      </c>
      <c r="V311" s="22" t="str">
        <f>IF(AND(OR(LEFT(TH!L311,2)="15",LEFT(TH!M311,2)="15"),'152-CT'!$J$8=TH!F311),"x","")</f>
        <v/>
      </c>
      <c r="W311" s="22" t="str">
        <f>IF(AND(OR(LEFT(TH!L311,2)="15",LEFT(TH!M311,2)="15"),TK!$E$7=TH!F311),"x","")</f>
        <v/>
      </c>
      <c r="X311" s="22" t="str">
        <f>IF(OR(TH!L311=TH!$X$7,M311=TH!$X$7),"x","")</f>
        <v/>
      </c>
      <c r="Y311" s="22" t="str">
        <f>IF(AND(B311&lt;=NKC!$N$8,B311&gt;=NKC!$M$8),"x","")</f>
        <v>x</v>
      </c>
      <c r="Z311" s="580"/>
    </row>
    <row r="312" spans="1:31" s="406" customFormat="1" ht="15.75" customHeight="1">
      <c r="A312" s="123" t="str">
        <f>IF(B312&lt;&gt;"",IF(AND(B312&gt;=_TM1,B312&lt;=_TM2,OR(TH!L313="1111",TH!M313="1111")),TH!D313,""),"")</f>
        <v/>
      </c>
      <c r="B312" s="12">
        <f t="shared" si="11"/>
        <v>9</v>
      </c>
      <c r="C312" s="108">
        <f t="shared" si="12"/>
        <v>42622</v>
      </c>
      <c r="D312" s="108" t="s">
        <v>470</v>
      </c>
      <c r="E312" s="113">
        <v>42622</v>
      </c>
      <c r="F312" s="112" t="s">
        <v>465</v>
      </c>
      <c r="G312" s="303" t="s">
        <v>474</v>
      </c>
      <c r="H312" s="4" t="s">
        <v>399</v>
      </c>
      <c r="I312" s="139"/>
      <c r="J312" s="139"/>
      <c r="K312" s="410">
        <v>40000000</v>
      </c>
      <c r="L312" s="116" t="s">
        <v>8</v>
      </c>
      <c r="M312" s="116" t="s">
        <v>24</v>
      </c>
      <c r="N312" s="22" t="str">
        <f>IF(AND('331-CT'!$E$7=TH!H312,OR(L312="331",M312="331")),"331",IF(AND(OR(L312="131",M312="131"),H312='131-CT'!$E$7),"131",""))</f>
        <v/>
      </c>
      <c r="O312" s="22" t="str">
        <f>IF(AND($B312&gt;='111'!$N$11,$B312&lt;='111'!$O$11,OR($L312=$O$7,$M312=$O$7)),"x","")</f>
        <v/>
      </c>
      <c r="P312" s="22" t="str">
        <f>IF(AND($L312=$O$7,$B312&lt;'111'!$N$11),"x","")</f>
        <v/>
      </c>
      <c r="Q312" s="22" t="str">
        <f>IF(AND($M312=$O$7,$B312&lt;'111'!$N$11),"x","")</f>
        <v/>
      </c>
      <c r="R312" s="22" t="str">
        <f>IF(ISERROR(FIND('112'!$M$9,G312,1)),"",IF((AND(FIND('112'!$M$9,G312,1)&gt;=1,$B312&gt;='112'!$N$8,$B312&lt;='112'!$O$8,OR($L312='112'!$I$6,$M312='112'!$I$6))),"x",""))</f>
        <v/>
      </c>
      <c r="S312" s="22" t="str">
        <f>IF(ISERROR(FIND('112'!$M$9,G312,1)),"",IF((AND(LEFT(G312,2)=LEFT('112'!$M$9,2),B312&lt;'112'!$N$8,$L312='112'!$I$6)),"x",""))</f>
        <v/>
      </c>
      <c r="T312" s="22" t="str">
        <f>IF(ISERROR(FIND('112'!$M$9,G312,1)),"",IF((AND(RIGHT(G312,2)=RIGHT('112'!$M$9,2),B312&lt;'112'!$N$8,$M312='112'!$I$6)),"x",""))</f>
        <v>x</v>
      </c>
      <c r="U312" s="22" t="str">
        <f>IF(AND(B312&gt;='IN-NX'!$P$3,B312&lt;='IN-NX'!$Q$3,'IN-NX'!$D$7=D312,OR(LEFT(L312,2)="15",AND(LEFT(M312,2)&lt;&gt;"15",LEFT(M312,2)&lt;&gt;"33"))),"x","")</f>
        <v/>
      </c>
      <c r="V312" s="22" t="str">
        <f>IF(AND(OR(LEFT(TH!L312,2)="15",LEFT(TH!M312,2)="15"),'152-CT'!$J$8=TH!F312),"x","")</f>
        <v/>
      </c>
      <c r="W312" s="22" t="str">
        <f>IF(AND(OR(LEFT(TH!L312,2)="15",LEFT(TH!M312,2)="15"),TK!$E$7=TH!F312),"x","")</f>
        <v/>
      </c>
      <c r="X312" s="22" t="str">
        <f>IF(OR(TH!L312=TH!$X$7,M312=TH!$X$7),"x","")</f>
        <v/>
      </c>
      <c r="Y312" s="22" t="str">
        <f>IF(AND(B312&lt;=NKC!$N$8,B312&gt;=NKC!$M$8),"x","")</f>
        <v>x</v>
      </c>
      <c r="Z312" s="580"/>
    </row>
    <row r="313" spans="1:31" s="563" customFormat="1" ht="15.75" customHeight="1">
      <c r="A313" s="123" t="str">
        <f>IF(B313&lt;&gt;"",IF(AND(B313&gt;=_TM1,B313&lt;=_TM2,OR(TH!L314="1111",TH!M314="1111")),TH!D314,""),"")</f>
        <v/>
      </c>
      <c r="B313" s="12">
        <f t="shared" si="11"/>
        <v>9</v>
      </c>
      <c r="C313" s="108">
        <f t="shared" si="12"/>
        <v>42622</v>
      </c>
      <c r="D313" s="108" t="s">
        <v>470</v>
      </c>
      <c r="E313" s="113">
        <v>42622</v>
      </c>
      <c r="F313" s="112" t="s">
        <v>480</v>
      </c>
      <c r="G313" s="303" t="s">
        <v>474</v>
      </c>
      <c r="H313" s="4"/>
      <c r="I313" s="139"/>
      <c r="J313" s="139"/>
      <c r="K313" s="410">
        <v>10000</v>
      </c>
      <c r="L313" s="116" t="s">
        <v>82</v>
      </c>
      <c r="M313" s="116" t="s">
        <v>24</v>
      </c>
      <c r="N313" s="22" t="str">
        <f>IF(AND('331-CT'!$E$7=TH!H313,OR(L313="331",M313="331")),"331",IF(AND(OR(L313="131",M313="131"),H313='131-CT'!$E$7),"131",""))</f>
        <v/>
      </c>
      <c r="O313" s="22" t="str">
        <f>IF(AND($B313&gt;='111'!$N$11,$B313&lt;='111'!$O$11,OR($L313=$O$7,$M313=$O$7)),"x","")</f>
        <v/>
      </c>
      <c r="P313" s="22" t="str">
        <f>IF(AND($L313=$O$7,$B313&lt;'111'!$N$11),"x","")</f>
        <v/>
      </c>
      <c r="Q313" s="22" t="str">
        <f>IF(AND($M313=$O$7,$B313&lt;'111'!$N$11),"x","")</f>
        <v/>
      </c>
      <c r="R313" s="22" t="str">
        <f>IF(ISERROR(FIND('112'!$M$9,G313,1)),"",IF((AND(FIND('112'!$M$9,G313,1)&gt;=1,$B313&gt;='112'!$N$8,$B313&lt;='112'!$O$8,OR($L313='112'!$I$6,$M313='112'!$I$6))),"x",""))</f>
        <v/>
      </c>
      <c r="S313" s="22" t="str">
        <f>IF(ISERROR(FIND('112'!$M$9,G313,1)),"",IF((AND(LEFT(G313,2)=LEFT('112'!$M$9,2),B313&lt;'112'!$N$8,$L313='112'!$I$6)),"x",""))</f>
        <v/>
      </c>
      <c r="T313" s="22" t="str">
        <f>IF(ISERROR(FIND('112'!$M$9,G313,1)),"",IF((AND(RIGHT(G313,2)=RIGHT('112'!$M$9,2),B313&lt;'112'!$N$8,$M313='112'!$I$6)),"x",""))</f>
        <v>x</v>
      </c>
      <c r="U313" s="22" t="str">
        <f>IF(AND(B313&gt;='IN-NX'!$P$3,B313&lt;='IN-NX'!$Q$3,'IN-NX'!$D$7=D313,OR(LEFT(L313,2)="15",AND(LEFT(M313,2)&lt;&gt;"15",LEFT(M313,2)&lt;&gt;"33"))),"x","")</f>
        <v/>
      </c>
      <c r="V313" s="22" t="str">
        <f>IF(AND(OR(LEFT(TH!L313,2)="15",LEFT(TH!M313,2)="15"),'152-CT'!$J$8=TH!F313),"x","")</f>
        <v/>
      </c>
      <c r="W313" s="22" t="str">
        <f>IF(AND(OR(LEFT(TH!L313,2)="15",LEFT(TH!M313,2)="15"),TK!$E$7=TH!F313),"x","")</f>
        <v/>
      </c>
      <c r="X313" s="22" t="str">
        <f>IF(OR(TH!L313=TH!$X$7,M313=TH!$X$7),"x","")</f>
        <v>x</v>
      </c>
      <c r="Y313" s="22" t="str">
        <f>IF(AND(B313&lt;=NKC!$N$8,B313&gt;=NKC!$M$8),"x","")</f>
        <v>x</v>
      </c>
      <c r="Z313" s="580">
        <v>3</v>
      </c>
      <c r="AA313" s="406"/>
      <c r="AB313" s="406"/>
      <c r="AC313" s="130"/>
      <c r="AD313" s="406"/>
      <c r="AE313" s="406"/>
    </row>
    <row r="314" spans="1:31" s="406" customFormat="1" ht="15.75" customHeight="1">
      <c r="A314" s="123" t="str">
        <f>IF(B314&lt;&gt;"",IF(AND(B314&gt;=_TM1,B314&lt;=_TM2,OR(TH!L315="1111",TH!M315="1111")),TH!D315,""),"")</f>
        <v/>
      </c>
      <c r="B314" s="12">
        <f t="shared" si="11"/>
        <v>9</v>
      </c>
      <c r="C314" s="108">
        <f t="shared" si="12"/>
        <v>42622</v>
      </c>
      <c r="D314" s="108" t="s">
        <v>470</v>
      </c>
      <c r="E314" s="113">
        <v>42622</v>
      </c>
      <c r="F314" s="112" t="s">
        <v>481</v>
      </c>
      <c r="G314" s="303" t="s">
        <v>474</v>
      </c>
      <c r="H314" s="4"/>
      <c r="I314" s="139"/>
      <c r="J314" s="139"/>
      <c r="K314" s="410">
        <v>1000</v>
      </c>
      <c r="L314" s="116" t="s">
        <v>9</v>
      </c>
      <c r="M314" s="116" t="s">
        <v>24</v>
      </c>
      <c r="N314" s="22" t="str">
        <f>IF(AND('331-CT'!$E$7=TH!H314,OR(L314="331",M314="331")),"331",IF(AND(OR(L314="131",M314="131"),H314='131-CT'!$E$7),"131",""))</f>
        <v/>
      </c>
      <c r="O314" s="22" t="str">
        <f>IF(AND($B314&gt;='111'!$N$11,$B314&lt;='111'!$O$11,OR($L314=$O$7,$M314=$O$7)),"x","")</f>
        <v/>
      </c>
      <c r="P314" s="22" t="str">
        <f>IF(AND($L314=$O$7,$B314&lt;'111'!$N$11),"x","")</f>
        <v/>
      </c>
      <c r="Q314" s="22" t="str">
        <f>IF(AND($M314=$O$7,$B314&lt;'111'!$N$11),"x","")</f>
        <v/>
      </c>
      <c r="R314" s="22" t="str">
        <f>IF(ISERROR(FIND('112'!$M$9,G314,1)),"",IF((AND(FIND('112'!$M$9,G314,1)&gt;=1,$B314&gt;='112'!$N$8,$B314&lt;='112'!$O$8,OR($L314='112'!$I$6,$M314='112'!$I$6))),"x",""))</f>
        <v/>
      </c>
      <c r="S314" s="22" t="str">
        <f>IF(ISERROR(FIND('112'!$M$9,G314,1)),"",IF((AND(LEFT(G314,2)=LEFT('112'!$M$9,2),B314&lt;'112'!$N$8,$L314='112'!$I$6)),"x",""))</f>
        <v/>
      </c>
      <c r="T314" s="22" t="str">
        <f>IF(ISERROR(FIND('112'!$M$9,G314,1)),"",IF((AND(RIGHT(G314,2)=RIGHT('112'!$M$9,2),B314&lt;'112'!$N$8,$M314='112'!$I$6)),"x",""))</f>
        <v>x</v>
      </c>
      <c r="U314" s="22" t="str">
        <f>IF(AND(B314&gt;='IN-NX'!$P$3,B314&lt;='IN-NX'!$Q$3,'IN-NX'!$D$7=D314,OR(LEFT(L314,2)="15",AND(LEFT(M314,2)&lt;&gt;"15",LEFT(M314,2)&lt;&gt;"33"))),"x","")</f>
        <v/>
      </c>
      <c r="V314" s="22" t="str">
        <f>IF(AND(OR(LEFT(TH!L314,2)="15",LEFT(TH!M314,2)="15"),'152-CT'!$J$8=TH!F314),"x","")</f>
        <v/>
      </c>
      <c r="W314" s="22" t="str">
        <f>IF(AND(OR(LEFT(TH!L314,2)="15",LEFT(TH!M314,2)="15"),TK!$E$7=TH!F314),"x","")</f>
        <v/>
      </c>
      <c r="X314" s="22" t="str">
        <f>IF(OR(TH!L314=TH!$X$7,M314=TH!$X$7),"x","")</f>
        <v/>
      </c>
      <c r="Y314" s="22" t="str">
        <f>IF(AND(B314&lt;=NKC!$N$8,B314&gt;=NKC!$M$8),"x","")</f>
        <v>x</v>
      </c>
      <c r="Z314" s="580">
        <v>3</v>
      </c>
      <c r="AC314" s="130"/>
    </row>
    <row r="315" spans="1:31" s="406" customFormat="1" ht="15.75" customHeight="1">
      <c r="A315" s="123" t="str">
        <f>IF(B315&lt;&gt;"",IF(AND(B315&gt;=_TM1,B315&lt;=_TM2,OR(TH!L316="1111",TH!M316="1111")),TH!D316,""),"")</f>
        <v/>
      </c>
      <c r="B315" s="12">
        <f t="shared" si="11"/>
        <v>9</v>
      </c>
      <c r="C315" s="108">
        <f t="shared" si="12"/>
        <v>42624</v>
      </c>
      <c r="D315" s="108" t="s">
        <v>606</v>
      </c>
      <c r="E315" s="113">
        <v>42624</v>
      </c>
      <c r="F315" s="112" t="s">
        <v>545</v>
      </c>
      <c r="G315" s="303" t="s">
        <v>753</v>
      </c>
      <c r="H315" s="115" t="s">
        <v>544</v>
      </c>
      <c r="I315" s="139">
        <v>10520</v>
      </c>
      <c r="J315" s="139">
        <v>9000</v>
      </c>
      <c r="K315" s="13">
        <f>ROUND(I315*J315,0)</f>
        <v>94680000</v>
      </c>
      <c r="L315" s="116" t="s">
        <v>252</v>
      </c>
      <c r="M315" s="411" t="s">
        <v>169</v>
      </c>
      <c r="N315" s="22" t="str">
        <f>IF(AND('331-CT'!$E$7=TH!H315,OR(L315="331",M315="331")),"331",IF(AND(OR(L315="131",M315="131"),H315='131-CT'!$E$7),"131",""))</f>
        <v/>
      </c>
      <c r="O315" s="22" t="str">
        <f>IF(AND($B315&gt;='111'!$N$11,$B315&lt;='111'!$O$11,OR($L315=$O$7,$M315=$O$7)),"x","")</f>
        <v/>
      </c>
      <c r="P315" s="22" t="str">
        <f>IF(AND($L315=$O$7,$B315&lt;'111'!$N$11),"x","")</f>
        <v/>
      </c>
      <c r="Q315" s="22" t="str">
        <f>IF(AND($M315=$O$7,$B315&lt;'111'!$N$11),"x","")</f>
        <v/>
      </c>
      <c r="R315" s="22" t="str">
        <f>IF(ISERROR(FIND('112'!$M$9,G315,1)),"",IF((AND(FIND('112'!$M$9,G315,1)&gt;=1,$B315&gt;='112'!$N$8,$B315&lt;='112'!$O$8,OR($L315='112'!$I$6,$M315='112'!$I$6))),"x",""))</f>
        <v/>
      </c>
      <c r="S315" s="22" t="str">
        <f>IF(ISERROR(FIND('112'!$M$9,G315,1)),"",IF((AND(LEFT(G315,2)=LEFT('112'!$M$9,2),B315&lt;'112'!$N$8,$L315='112'!$I$6)),"x",""))</f>
        <v/>
      </c>
      <c r="T315" s="22" t="str">
        <f>IF(ISERROR(FIND('112'!$M$9,G315,1)),"",IF((AND(RIGHT(G315,2)=RIGHT('112'!$M$9,2),B315&lt;'112'!$N$8,$M315='112'!$I$6)),"x",""))</f>
        <v/>
      </c>
      <c r="U315" s="22" t="str">
        <f>IF(AND(B315&gt;='IN-NX'!$P$3,B315&lt;='IN-NX'!$Q$3,'IN-NX'!$D$7=D315,OR(LEFT(L315,2)="15",AND(LEFT(M315,2)&lt;&gt;"15",LEFT(M315,2)&lt;&gt;"33"))),"x","")</f>
        <v/>
      </c>
      <c r="V315" s="22" t="str">
        <f>IF(AND(OR(LEFT(TH!L315,2)="15",LEFT(TH!M315,2)="15"),'152-CT'!$J$8=TH!F315),"x","")</f>
        <v/>
      </c>
      <c r="W315" s="22" t="str">
        <f>IF(AND(OR(LEFT(TH!L315,2)="15",LEFT(TH!M315,2)="15"),TK!$E$7=TH!F315),"x","")</f>
        <v/>
      </c>
      <c r="X315" s="22" t="str">
        <f>IF(OR(TH!L315=TH!$X$7,M315=TH!$X$7),"x","")</f>
        <v/>
      </c>
      <c r="Y315" s="22" t="str">
        <f>IF(AND(B315&lt;=NKC!$N$8,B315&gt;=NKC!$M$8),"x","")</f>
        <v>x</v>
      </c>
      <c r="Z315" s="580"/>
      <c r="AB315" s="130"/>
      <c r="AC315" s="130"/>
      <c r="AD315" s="130"/>
      <c r="AE315" s="130"/>
    </row>
    <row r="316" spans="1:31" s="406" customFormat="1" ht="15.75" customHeight="1">
      <c r="A316" s="123" t="str">
        <f>IF(B316&lt;&gt;"",IF(AND(B316&gt;=_TM1,B316&lt;=_TM2,OR(TH!L317="1111",TH!M317="1111")),TH!D317,""),"")</f>
        <v/>
      </c>
      <c r="B316" s="12">
        <f t="shared" si="11"/>
        <v>9</v>
      </c>
      <c r="C316" s="108">
        <f t="shared" si="12"/>
        <v>42624</v>
      </c>
      <c r="D316" s="108" t="s">
        <v>606</v>
      </c>
      <c r="E316" s="113">
        <v>42624</v>
      </c>
      <c r="F316" s="112" t="s">
        <v>496</v>
      </c>
      <c r="G316" s="303" t="s">
        <v>753</v>
      </c>
      <c r="H316" s="115" t="s">
        <v>544</v>
      </c>
      <c r="I316" s="139"/>
      <c r="J316" s="139"/>
      <c r="K316" s="13">
        <v>9468000</v>
      </c>
      <c r="L316" s="116" t="s">
        <v>252</v>
      </c>
      <c r="M316" s="411" t="s">
        <v>352</v>
      </c>
      <c r="N316" s="22" t="str">
        <f>IF(AND('331-CT'!$E$7=TH!H316,OR(L316="331",M316="331")),"331",IF(AND(OR(L316="131",M316="131"),H316='131-CT'!$E$7),"131",""))</f>
        <v/>
      </c>
      <c r="O316" s="22" t="str">
        <f>IF(AND($B316&gt;='111'!$N$11,$B316&lt;='111'!$O$11,OR($L316=$O$7,$M316=$O$7)),"x","")</f>
        <v/>
      </c>
      <c r="P316" s="22" t="str">
        <f>IF(AND($L316=$O$7,$B316&lt;'111'!$N$11),"x","")</f>
        <v/>
      </c>
      <c r="Q316" s="22" t="str">
        <f>IF(AND($M316=$O$7,$B316&lt;'111'!$N$11),"x","")</f>
        <v/>
      </c>
      <c r="R316" s="22" t="str">
        <f>IF(ISERROR(FIND('112'!$M$9,G316,1)),"",IF((AND(FIND('112'!$M$9,G316,1)&gt;=1,$B316&gt;='112'!$N$8,$B316&lt;='112'!$O$8,OR($L316='112'!$I$6,$M316='112'!$I$6))),"x",""))</f>
        <v/>
      </c>
      <c r="S316" s="22" t="str">
        <f>IF(ISERROR(FIND('112'!$M$9,G316,1)),"",IF((AND(LEFT(G316,2)=LEFT('112'!$M$9,2),B316&lt;'112'!$N$8,$L316='112'!$I$6)),"x",""))</f>
        <v/>
      </c>
      <c r="T316" s="22" t="str">
        <f>IF(ISERROR(FIND('112'!$M$9,G316,1)),"",IF((AND(RIGHT(G316,2)=RIGHT('112'!$M$9,2),B316&lt;'112'!$N$8,$M316='112'!$I$6)),"x",""))</f>
        <v/>
      </c>
      <c r="U316" s="22" t="str">
        <f>IF(AND(B316&gt;='IN-NX'!$P$3,B316&lt;='IN-NX'!$Q$3,'IN-NX'!$D$7=D316,OR(LEFT(L316,2)="15",AND(LEFT(M316,2)&lt;&gt;"15",LEFT(M316,2)&lt;&gt;"33"))),"x","")</f>
        <v/>
      </c>
      <c r="V316" s="22" t="str">
        <f>IF(AND(OR(LEFT(TH!L316,2)="15",LEFT(TH!M316,2)="15"),'152-CT'!$J$8=TH!F316),"x","")</f>
        <v/>
      </c>
      <c r="W316" s="22" t="str">
        <f>IF(AND(OR(LEFT(TH!L316,2)="15",LEFT(TH!M316,2)="15"),TK!$E$7=TH!F316),"x","")</f>
        <v/>
      </c>
      <c r="X316" s="22" t="str">
        <f>IF(OR(TH!L316=TH!$X$7,M316=TH!$X$7),"x","")</f>
        <v/>
      </c>
      <c r="Y316" s="22" t="str">
        <f>IF(AND(B316&lt;=NKC!$N$8,B316&gt;=NKC!$M$8),"x","")</f>
        <v>x</v>
      </c>
      <c r="Z316" s="580"/>
      <c r="AC316" s="130"/>
      <c r="AD316" s="130"/>
      <c r="AE316" s="130"/>
    </row>
    <row r="317" spans="1:31" s="406" customFormat="1" ht="15.75" customHeight="1">
      <c r="A317" s="123" t="str">
        <f>IF(B317&lt;&gt;"",IF(AND(B317&gt;=_TM1,B317&lt;=_TM2,OR(TH!L318="1111",TH!M318="1111")),TH!D318,""),"")</f>
        <v/>
      </c>
      <c r="B317" s="12">
        <f t="shared" si="11"/>
        <v>9</v>
      </c>
      <c r="C317" s="108">
        <f t="shared" si="12"/>
        <v>42625</v>
      </c>
      <c r="D317" s="108" t="s">
        <v>945</v>
      </c>
      <c r="E317" s="113">
        <v>42625</v>
      </c>
      <c r="F317" s="112" t="s">
        <v>777</v>
      </c>
      <c r="G317" s="305" t="s">
        <v>983</v>
      </c>
      <c r="H317" s="115" t="s">
        <v>780</v>
      </c>
      <c r="I317" s="139">
        <v>21050</v>
      </c>
      <c r="J317" s="139">
        <v>750</v>
      </c>
      <c r="K317" s="13">
        <f>ROUND(I317*J317,0)</f>
        <v>15787500</v>
      </c>
      <c r="L317" s="116" t="s">
        <v>156</v>
      </c>
      <c r="M317" s="116" t="s">
        <v>8</v>
      </c>
      <c r="N317" s="22" t="str">
        <f>IF(AND('331-CT'!$E$7=TH!H317,OR(L317="331",M317="331")),"331",IF(AND(OR(L317="131",M317="131"),H317='131-CT'!$E$7),"131",""))</f>
        <v/>
      </c>
      <c r="O317" s="22" t="str">
        <f>IF(AND($B317&gt;='111'!$N$11,$B317&lt;='111'!$O$11,OR($L317=$O$7,$M317=$O$7)),"x","")</f>
        <v/>
      </c>
      <c r="P317" s="22" t="str">
        <f>IF(AND($L317=$O$7,$B317&lt;'111'!$N$11),"x","")</f>
        <v/>
      </c>
      <c r="Q317" s="22" t="str">
        <f>IF(AND($M317=$O$7,$B317&lt;'111'!$N$11),"x","")</f>
        <v/>
      </c>
      <c r="R317" s="22" t="str">
        <f>IF(ISERROR(FIND('112'!$M$9,G317,1)),"",IF((AND(FIND('112'!$M$9,G317,1)&gt;=1,$B317&gt;='112'!$N$8,$B317&lt;='112'!$O$8,OR($L317='112'!$I$6,$M317='112'!$I$6))),"x",""))</f>
        <v/>
      </c>
      <c r="S317" s="22" t="str">
        <f>IF(ISERROR(FIND('112'!$M$9,G317,1)),"",IF((AND(LEFT(G317,2)=LEFT('112'!$M$9,2),B317&lt;'112'!$N$8,$L317='112'!$I$6)),"x",""))</f>
        <v/>
      </c>
      <c r="T317" s="22" t="str">
        <f>IF(ISERROR(FIND('112'!$M$9,G317,1)),"",IF((AND(RIGHT(G317,2)=RIGHT('112'!$M$9,2),B317&lt;'112'!$N$8,$M317='112'!$I$6)),"x",""))</f>
        <v/>
      </c>
      <c r="U317" s="22" t="str">
        <f>IF(AND(B317&gt;='IN-NX'!$P$3,B317&lt;='IN-NX'!$Q$3,'IN-NX'!$D$7=D317,OR(LEFT(L317,2)="15",AND(LEFT(M317,2)&lt;&gt;"15",LEFT(M317,2)&lt;&gt;"33"))),"x","")</f>
        <v/>
      </c>
      <c r="V317" s="22" t="str">
        <f>IF(AND(OR(LEFT(TH!L317,2)="15",LEFT(TH!M317,2)="15"),'152-CT'!$J$8=TH!F317),"x","")</f>
        <v/>
      </c>
      <c r="W317" s="22" t="str">
        <f>IF(AND(OR(LEFT(TH!L317,2)="15",LEFT(TH!M317,2)="15"),TK!$E$7=TH!F317),"x","")</f>
        <v/>
      </c>
      <c r="X317" s="22" t="str">
        <f>IF(OR(TH!L317=TH!$X$7,M317=TH!$X$7),"x","")</f>
        <v/>
      </c>
      <c r="Y317" s="22" t="str">
        <f>IF(AND(B317&lt;=NKC!$N$8,B317&gt;=NKC!$M$8),"x","")</f>
        <v>x</v>
      </c>
      <c r="Z317" s="580">
        <v>4</v>
      </c>
      <c r="AC317" s="130"/>
      <c r="AD317" s="130"/>
      <c r="AE317" s="130"/>
    </row>
    <row r="318" spans="1:31" s="406" customFormat="1" ht="15.75" customHeight="1">
      <c r="A318" s="123" t="str">
        <f>IF(B318&lt;&gt;"",IF(AND(B318&gt;=_TM1,B318&lt;=_TM2,OR(TH!L319="1111",TH!M319="1111")),TH!D319,""),"")</f>
        <v/>
      </c>
      <c r="B318" s="12">
        <f t="shared" si="11"/>
        <v>9</v>
      </c>
      <c r="C318" s="108">
        <f t="shared" si="12"/>
        <v>42625</v>
      </c>
      <c r="D318" s="108" t="s">
        <v>945</v>
      </c>
      <c r="E318" s="113">
        <v>42625</v>
      </c>
      <c r="F318" s="112" t="s">
        <v>778</v>
      </c>
      <c r="G318" s="305" t="s">
        <v>983</v>
      </c>
      <c r="H318" s="115" t="s">
        <v>780</v>
      </c>
      <c r="I318" s="139"/>
      <c r="J318" s="139"/>
      <c r="K318" s="13">
        <v>1578750</v>
      </c>
      <c r="L318" s="116" t="s">
        <v>9</v>
      </c>
      <c r="M318" s="116" t="s">
        <v>8</v>
      </c>
      <c r="N318" s="22" t="str">
        <f>IF(AND('331-CT'!$E$7=TH!H318,OR(L318="331",M318="331")),"331",IF(AND(OR(L318="131",M318="131"),H318='131-CT'!$E$7),"131",""))</f>
        <v/>
      </c>
      <c r="O318" s="22" t="str">
        <f>IF(AND($B318&gt;='111'!$N$11,$B318&lt;='111'!$O$11,OR($L318=$O$7,$M318=$O$7)),"x","")</f>
        <v/>
      </c>
      <c r="P318" s="22" t="str">
        <f>IF(AND($L318=$O$7,$B318&lt;'111'!$N$11),"x","")</f>
        <v/>
      </c>
      <c r="Q318" s="22" t="str">
        <f>IF(AND($M318=$O$7,$B318&lt;'111'!$N$11),"x","")</f>
        <v/>
      </c>
      <c r="R318" s="22" t="str">
        <f>IF(ISERROR(FIND('112'!$M$9,G318,1)),"",IF((AND(FIND('112'!$M$9,G318,1)&gt;=1,$B318&gt;='112'!$N$8,$B318&lt;='112'!$O$8,OR($L318='112'!$I$6,$M318='112'!$I$6))),"x",""))</f>
        <v/>
      </c>
      <c r="S318" s="22" t="str">
        <f>IF(ISERROR(FIND('112'!$M$9,G318,1)),"",IF((AND(LEFT(G318,2)=LEFT('112'!$M$9,2),B318&lt;'112'!$N$8,$L318='112'!$I$6)),"x",""))</f>
        <v/>
      </c>
      <c r="T318" s="22" t="str">
        <f>IF(ISERROR(FIND('112'!$M$9,G318,1)),"",IF((AND(RIGHT(G318,2)=RIGHT('112'!$M$9,2),B318&lt;'112'!$N$8,$M318='112'!$I$6)),"x",""))</f>
        <v/>
      </c>
      <c r="U318" s="22" t="str">
        <f>IF(AND(B318&gt;='IN-NX'!$P$3,B318&lt;='IN-NX'!$Q$3,'IN-NX'!$D$7=D318,OR(LEFT(L318,2)="15",AND(LEFT(M318,2)&lt;&gt;"15",LEFT(M318,2)&lt;&gt;"33"))),"x","")</f>
        <v/>
      </c>
      <c r="V318" s="22" t="str">
        <f>IF(AND(OR(LEFT(TH!L318,2)="15",LEFT(TH!M318,2)="15"),'152-CT'!$J$8=TH!F318),"x","")</f>
        <v/>
      </c>
      <c r="W318" s="22" t="str">
        <f>IF(AND(OR(LEFT(TH!L318,2)="15",LEFT(TH!M318,2)="15"),TK!$E$7=TH!F318),"x","")</f>
        <v/>
      </c>
      <c r="X318" s="22" t="str">
        <f>IF(OR(TH!L318=TH!$X$7,M318=TH!$X$7),"x","")</f>
        <v/>
      </c>
      <c r="Y318" s="22" t="str">
        <f>IF(AND(B318&lt;=NKC!$N$8,B318&gt;=NKC!$M$8),"x","")</f>
        <v>x</v>
      </c>
      <c r="Z318" s="580">
        <v>4</v>
      </c>
      <c r="AB318" s="130"/>
      <c r="AC318" s="130"/>
      <c r="AD318" s="130"/>
      <c r="AE318" s="130"/>
    </row>
    <row r="319" spans="1:31" s="406" customFormat="1" ht="15.75" customHeight="1">
      <c r="A319" s="123" t="str">
        <f>IF(B319&lt;&gt;"",IF(AND(B319&gt;=_TM1,B319&lt;=_TM2,OR(TH!L320="1111",TH!M320="1111")),TH!D320,""),"")</f>
        <v/>
      </c>
      <c r="B319" s="12">
        <f t="shared" si="11"/>
        <v>9</v>
      </c>
      <c r="C319" s="108">
        <f t="shared" si="12"/>
        <v>42625</v>
      </c>
      <c r="D319" s="113" t="s">
        <v>1004</v>
      </c>
      <c r="E319" s="113">
        <v>42625</v>
      </c>
      <c r="F319" s="112" t="s">
        <v>465</v>
      </c>
      <c r="G319" s="305" t="s">
        <v>983</v>
      </c>
      <c r="H319" s="115" t="s">
        <v>780</v>
      </c>
      <c r="I319" s="139"/>
      <c r="J319" s="139"/>
      <c r="K319" s="13">
        <v>17366250</v>
      </c>
      <c r="L319" s="116" t="s">
        <v>8</v>
      </c>
      <c r="M319" s="411" t="s">
        <v>46</v>
      </c>
      <c r="N319" s="22" t="str">
        <f>IF(AND('331-CT'!$E$7=TH!H319,OR(L319="331",M319="331")),"331",IF(AND(OR(L319="131",M319="131"),H319='131-CT'!$E$7),"131",""))</f>
        <v/>
      </c>
      <c r="O319" s="22" t="str">
        <f>IF(AND($B319&gt;='111'!$N$11,$B319&lt;='111'!$O$11,OR($L319=$O$7,$M319=$O$7)),"x","")</f>
        <v/>
      </c>
      <c r="P319" s="22" t="str">
        <f>IF(AND($L319=$O$7,$B319&lt;'111'!$N$11),"x","")</f>
        <v/>
      </c>
      <c r="Q319" s="22" t="str">
        <f>IF(AND($M319=$O$7,$B319&lt;'111'!$N$11),"x","")</f>
        <v>x</v>
      </c>
      <c r="R319" s="22" t="str">
        <f>IF(ISERROR(FIND('112'!$M$9,G319,1)),"",IF((AND(FIND('112'!$M$9,G319,1)&gt;=1,$B319&gt;='112'!$N$8,$B319&lt;='112'!$O$8,OR($L319='112'!$I$6,$M319='112'!$I$6))),"x",""))</f>
        <v/>
      </c>
      <c r="S319" s="22" t="str">
        <f>IF(ISERROR(FIND('112'!$M$9,G319,1)),"",IF((AND(LEFT(G319,2)=LEFT('112'!$M$9,2),B319&lt;'112'!$N$8,$L319='112'!$I$6)),"x",""))</f>
        <v/>
      </c>
      <c r="T319" s="22" t="str">
        <f>IF(ISERROR(FIND('112'!$M$9,G319,1)),"",IF((AND(RIGHT(G319,2)=RIGHT('112'!$M$9,2),B319&lt;'112'!$N$8,$M319='112'!$I$6)),"x",""))</f>
        <v/>
      </c>
      <c r="U319" s="22" t="str">
        <f>IF(AND(B319&gt;='IN-NX'!$P$3,B319&lt;='IN-NX'!$Q$3,'IN-NX'!$D$7=D319,OR(LEFT(L319,2)="15",AND(LEFT(M319,2)&lt;&gt;"15",LEFT(M319,2)&lt;&gt;"33"))),"x","")</f>
        <v/>
      </c>
      <c r="V319" s="22" t="str">
        <f>IF(AND(OR(LEFT(TH!L319,2)="15",LEFT(TH!M319,2)="15"),'152-CT'!$J$8=TH!F319),"x","")</f>
        <v/>
      </c>
      <c r="W319" s="22" t="str">
        <f>IF(AND(OR(LEFT(TH!L319,2)="15",LEFT(TH!M319,2)="15"),TK!$E$7=TH!F319),"x","")</f>
        <v/>
      </c>
      <c r="X319" s="22" t="str">
        <f>IF(OR(TH!L319=TH!$X$7,M319=TH!$X$7),"x","")</f>
        <v/>
      </c>
      <c r="Y319" s="22" t="str">
        <f>IF(AND(B319&lt;=NKC!$N$8,B319&gt;=NKC!$M$8),"x","")</f>
        <v>x</v>
      </c>
      <c r="Z319" s="580"/>
      <c r="AC319" s="130"/>
      <c r="AD319" s="130"/>
      <c r="AE319" s="130"/>
    </row>
    <row r="320" spans="1:31" s="406" customFormat="1" ht="15.75" customHeight="1">
      <c r="A320" s="123" t="str">
        <f>IF(B320&lt;&gt;"",IF(AND(B320&gt;=_TM1,B320&lt;=_TM2,OR(TH!L321="1111",TH!M321="1111")),TH!D321,""),"")</f>
        <v/>
      </c>
      <c r="B320" s="12">
        <f t="shared" si="11"/>
        <v>9</v>
      </c>
      <c r="C320" s="108">
        <f t="shared" si="12"/>
        <v>42625</v>
      </c>
      <c r="D320" s="108" t="s">
        <v>469</v>
      </c>
      <c r="E320" s="113">
        <v>42625</v>
      </c>
      <c r="F320" s="112" t="s">
        <v>484</v>
      </c>
      <c r="G320" s="303" t="s">
        <v>474</v>
      </c>
      <c r="H320" s="4" t="s">
        <v>372</v>
      </c>
      <c r="I320" s="139"/>
      <c r="J320" s="139"/>
      <c r="K320" s="410">
        <v>25773000</v>
      </c>
      <c r="L320" s="411" t="s">
        <v>24</v>
      </c>
      <c r="M320" s="411" t="s">
        <v>252</v>
      </c>
      <c r="N320" s="22" t="str">
        <f>IF(AND('331-CT'!$E$7=TH!H320,OR(L320="331",M320="331")),"331",IF(AND(OR(L320="131",M320="131"),H320='131-CT'!$E$7),"131",""))</f>
        <v/>
      </c>
      <c r="O320" s="22" t="str">
        <f>IF(AND($B320&gt;='111'!$N$11,$B320&lt;='111'!$O$11,OR($L320=$O$7,$M320=$O$7)),"x","")</f>
        <v/>
      </c>
      <c r="P320" s="22" t="str">
        <f>IF(AND($L320=$O$7,$B320&lt;'111'!$N$11),"x","")</f>
        <v/>
      </c>
      <c r="Q320" s="22" t="str">
        <f>IF(AND($M320=$O$7,$B320&lt;'111'!$N$11),"x","")</f>
        <v/>
      </c>
      <c r="R320" s="22" t="str">
        <f>IF(ISERROR(FIND('112'!$M$9,G320,1)),"",IF((AND(FIND('112'!$M$9,G320,1)&gt;=1,$B320&gt;='112'!$N$8,$B320&lt;='112'!$O$8,OR($L320='112'!$I$6,$M320='112'!$I$6))),"x",""))</f>
        <v/>
      </c>
      <c r="S320" s="22" t="str">
        <f>IF(ISERROR(FIND('112'!$M$9,G320,1)),"",IF((AND(LEFT(G320,2)=LEFT('112'!$M$9,2),B320&lt;'112'!$N$8,$L320='112'!$I$6)),"x",""))</f>
        <v>x</v>
      </c>
      <c r="T320" s="22" t="str">
        <f>IF(ISERROR(FIND('112'!$M$9,G320,1)),"",IF((AND(RIGHT(G320,2)=RIGHT('112'!$M$9,2),B320&lt;'112'!$N$8,$M320='112'!$I$6)),"x",""))</f>
        <v/>
      </c>
      <c r="U320" s="22" t="str">
        <f>IF(AND(B320&gt;='IN-NX'!$P$3,B320&lt;='IN-NX'!$Q$3,'IN-NX'!$D$7=D320,OR(LEFT(L320,2)="15",AND(LEFT(M320,2)&lt;&gt;"15",LEFT(M320,2)&lt;&gt;"33"))),"x","")</f>
        <v/>
      </c>
      <c r="V320" s="22" t="str">
        <f>IF(AND(OR(LEFT(TH!L320,2)="15",LEFT(TH!M320,2)="15"),'152-CT'!$J$8=TH!F320),"x","")</f>
        <v/>
      </c>
      <c r="W320" s="22" t="str">
        <f>IF(AND(OR(LEFT(TH!L320,2)="15",LEFT(TH!M320,2)="15"),TK!$E$7=TH!F320),"x","")</f>
        <v/>
      </c>
      <c r="X320" s="22" t="str">
        <f>IF(OR(TH!L320=TH!$X$7,M320=TH!$X$7),"x","")</f>
        <v/>
      </c>
      <c r="Y320" s="22" t="str">
        <f>IF(AND(B320&lt;=NKC!$N$8,B320&gt;=NKC!$M$8),"x","")</f>
        <v>x</v>
      </c>
      <c r="Z320" s="580"/>
      <c r="AB320" s="130"/>
      <c r="AC320" s="130"/>
    </row>
    <row r="321" spans="1:31" s="130" customFormat="1" ht="15.75" customHeight="1">
      <c r="A321" s="123" t="str">
        <f>IF(B321&lt;&gt;"",IF(AND(B321&gt;=_TM1,B321&lt;=_TM2,OR(TH!L322="1111",TH!M322="1111")),TH!D322,""),"")</f>
        <v/>
      </c>
      <c r="B321" s="12">
        <f t="shared" si="11"/>
        <v>9</v>
      </c>
      <c r="C321" s="108">
        <f t="shared" si="12"/>
        <v>42625</v>
      </c>
      <c r="D321" s="108" t="s">
        <v>470</v>
      </c>
      <c r="E321" s="113">
        <v>42625</v>
      </c>
      <c r="F321" s="112" t="s">
        <v>479</v>
      </c>
      <c r="G321" s="303" t="s">
        <v>474</v>
      </c>
      <c r="H321" s="115" t="s">
        <v>624</v>
      </c>
      <c r="I321" s="139"/>
      <c r="J321" s="139"/>
      <c r="K321" s="13">
        <v>20700000</v>
      </c>
      <c r="L321" s="116" t="s">
        <v>8</v>
      </c>
      <c r="M321" s="116" t="s">
        <v>24</v>
      </c>
      <c r="N321" s="22" t="str">
        <f>IF(AND('331-CT'!$E$7=TH!H321,OR(L321="331",M321="331")),"331",IF(AND(OR(L321="131",M321="131"),H321='131-CT'!$E$7),"131",""))</f>
        <v/>
      </c>
      <c r="O321" s="22" t="str">
        <f>IF(AND($B321&gt;='111'!$N$11,$B321&lt;='111'!$O$11,OR($L321=$O$7,$M321=$O$7)),"x","")</f>
        <v/>
      </c>
      <c r="P321" s="22" t="str">
        <f>IF(AND($L321=$O$7,$B321&lt;'111'!$N$11),"x","")</f>
        <v/>
      </c>
      <c r="Q321" s="22" t="str">
        <f>IF(AND($M321=$O$7,$B321&lt;'111'!$N$11),"x","")</f>
        <v/>
      </c>
      <c r="R321" s="22" t="str">
        <f>IF(ISERROR(FIND('112'!$M$9,G321,1)),"",IF((AND(FIND('112'!$M$9,G321,1)&gt;=1,$B321&gt;='112'!$N$8,$B321&lt;='112'!$O$8,OR($L321='112'!$I$6,$M321='112'!$I$6))),"x",""))</f>
        <v/>
      </c>
      <c r="S321" s="22" t="str">
        <f>IF(ISERROR(FIND('112'!$M$9,G321,1)),"",IF((AND(LEFT(G321,2)=LEFT('112'!$M$9,2),B321&lt;'112'!$N$8,$L321='112'!$I$6)),"x",""))</f>
        <v/>
      </c>
      <c r="T321" s="22" t="str">
        <f>IF(ISERROR(FIND('112'!$M$9,G321,1)),"",IF((AND(RIGHT(G321,2)=RIGHT('112'!$M$9,2),B321&lt;'112'!$N$8,$M321='112'!$I$6)),"x",""))</f>
        <v>x</v>
      </c>
      <c r="U321" s="22" t="str">
        <f>IF(AND(B321&gt;='IN-NX'!$P$3,B321&lt;='IN-NX'!$Q$3,'IN-NX'!$D$7=D321,OR(LEFT(L321,2)="15",AND(LEFT(M321,2)&lt;&gt;"15",LEFT(M321,2)&lt;&gt;"33"))),"x","")</f>
        <v/>
      </c>
      <c r="V321" s="22" t="str">
        <f>IF(AND(OR(LEFT(TH!L321,2)="15",LEFT(TH!M321,2)="15"),'152-CT'!$J$8=TH!F321),"x","")</f>
        <v/>
      </c>
      <c r="W321" s="22" t="str">
        <f>IF(AND(OR(LEFT(TH!L321,2)="15",LEFT(TH!M321,2)="15"),TK!$E$7=TH!F321),"x","")</f>
        <v/>
      </c>
      <c r="X321" s="22" t="str">
        <f>IF(OR(TH!L321=TH!$X$7,M321=TH!$X$7),"x","")</f>
        <v/>
      </c>
      <c r="Y321" s="22" t="str">
        <f>IF(AND(B321&lt;=NKC!$N$8,B321&gt;=NKC!$M$8),"x","")</f>
        <v>x</v>
      </c>
      <c r="Z321" s="580"/>
      <c r="AA321" s="406"/>
      <c r="AB321" s="406"/>
      <c r="AD321" s="406"/>
      <c r="AE321" s="406"/>
    </row>
    <row r="322" spans="1:31" s="130" customFormat="1" ht="15.75" customHeight="1">
      <c r="A322" s="123" t="str">
        <f>IF(B322&lt;&gt;"",IF(AND(B322&gt;=_TM1,B322&lt;=_TM2,OR(TH!L323="1111",TH!M323="1111")),TH!D323,""),"")</f>
        <v/>
      </c>
      <c r="B322" s="12">
        <f t="shared" si="11"/>
        <v>9</v>
      </c>
      <c r="C322" s="108">
        <f t="shared" si="12"/>
        <v>42626</v>
      </c>
      <c r="D322" s="108" t="s">
        <v>1038</v>
      </c>
      <c r="E322" s="113">
        <v>42626</v>
      </c>
      <c r="F322" s="112" t="s">
        <v>485</v>
      </c>
      <c r="G322" s="303" t="s">
        <v>474</v>
      </c>
      <c r="H322" s="4" t="s">
        <v>488</v>
      </c>
      <c r="I322" s="139"/>
      <c r="J322" s="139"/>
      <c r="K322" s="410">
        <v>5000000</v>
      </c>
      <c r="L322" s="411" t="s">
        <v>46</v>
      </c>
      <c r="M322" s="411" t="s">
        <v>24</v>
      </c>
      <c r="N322" s="22" t="str">
        <f>IF(AND('331-CT'!$E$7=TH!H322,OR(L322="331",M322="331")),"331",IF(AND(OR(L322="131",M322="131"),H322='131-CT'!$E$7),"131",""))</f>
        <v/>
      </c>
      <c r="O322" s="22" t="str">
        <f>IF(AND($B322&gt;='111'!$N$11,$B322&lt;='111'!$O$11,OR($L322=$O$7,$M322=$O$7)),"x","")</f>
        <v/>
      </c>
      <c r="P322" s="22" t="str">
        <f>IF(AND($L322=$O$7,$B322&lt;'111'!$N$11),"x","")</f>
        <v>x</v>
      </c>
      <c r="Q322" s="22" t="str">
        <f>IF(AND($M322=$O$7,$B322&lt;'111'!$N$11),"x","")</f>
        <v/>
      </c>
      <c r="R322" s="22" t="str">
        <f>IF(ISERROR(FIND('112'!$M$9,G322,1)),"",IF((AND(FIND('112'!$M$9,G322,1)&gt;=1,$B322&gt;='112'!$N$8,$B322&lt;='112'!$O$8,OR($L322='112'!$I$6,$M322='112'!$I$6))),"x",""))</f>
        <v/>
      </c>
      <c r="S322" s="22" t="str">
        <f>IF(ISERROR(FIND('112'!$M$9,G322,1)),"",IF((AND(LEFT(G322,2)=LEFT('112'!$M$9,2),B322&lt;'112'!$N$8,$L322='112'!$I$6)),"x",""))</f>
        <v/>
      </c>
      <c r="T322" s="22" t="str">
        <f>IF(ISERROR(FIND('112'!$M$9,G322,1)),"",IF((AND(RIGHT(G322,2)=RIGHT('112'!$M$9,2),B322&lt;'112'!$N$8,$M322='112'!$I$6)),"x",""))</f>
        <v>x</v>
      </c>
      <c r="U322" s="22" t="str">
        <f>IF(AND(B322&gt;='IN-NX'!$P$3,B322&lt;='IN-NX'!$Q$3,'IN-NX'!$D$7=D322,OR(LEFT(L322,2)="15",AND(LEFT(M322,2)&lt;&gt;"15",LEFT(M322,2)&lt;&gt;"33"))),"x","")</f>
        <v/>
      </c>
      <c r="V322" s="22" t="str">
        <f>IF(AND(OR(LEFT(TH!L322,2)="15",LEFT(TH!M322,2)="15"),'152-CT'!$J$8=TH!F322),"x","")</f>
        <v/>
      </c>
      <c r="W322" s="22" t="str">
        <f>IF(AND(OR(LEFT(TH!L322,2)="15",LEFT(TH!M322,2)="15"),TK!$E$7=TH!F322),"x","")</f>
        <v/>
      </c>
      <c r="X322" s="22" t="str">
        <f>IF(OR(TH!L322=TH!$X$7,M322=TH!$X$7),"x","")</f>
        <v/>
      </c>
      <c r="Y322" s="22" t="str">
        <f>IF(AND(B322&lt;=NKC!$N$8,B322&gt;=NKC!$M$8),"x","")</f>
        <v>x</v>
      </c>
      <c r="Z322" s="580"/>
      <c r="AA322" s="406"/>
      <c r="AB322" s="406"/>
      <c r="AD322" s="406"/>
      <c r="AE322" s="406"/>
    </row>
    <row r="323" spans="1:31" s="406" customFormat="1" ht="15.75" customHeight="1">
      <c r="A323" s="123" t="str">
        <f>IF(B323&lt;&gt;"",IF(AND(B323&gt;=_TM1,B323&lt;=_TM2,OR(TH!L324="1111",TH!M324="1111")),TH!D324,""),"")</f>
        <v/>
      </c>
      <c r="B323" s="12">
        <f t="shared" si="11"/>
        <v>9</v>
      </c>
      <c r="C323" s="108">
        <f t="shared" si="12"/>
        <v>42626</v>
      </c>
      <c r="D323" s="108" t="s">
        <v>470</v>
      </c>
      <c r="E323" s="113">
        <v>42626</v>
      </c>
      <c r="F323" s="112" t="s">
        <v>489</v>
      </c>
      <c r="G323" s="303" t="s">
        <v>474</v>
      </c>
      <c r="H323" s="4"/>
      <c r="I323" s="139"/>
      <c r="J323" s="139"/>
      <c r="K323" s="13">
        <v>20000</v>
      </c>
      <c r="L323" s="116" t="s">
        <v>82</v>
      </c>
      <c r="M323" s="116" t="s">
        <v>24</v>
      </c>
      <c r="N323" s="22" t="str">
        <f>IF(AND('331-CT'!$E$7=TH!H323,OR(L323="331",M323="331")),"331",IF(AND(OR(L323="131",M323="131"),H323='131-CT'!$E$7),"131",""))</f>
        <v/>
      </c>
      <c r="O323" s="22" t="str">
        <f>IF(AND($B323&gt;='111'!$N$11,$B323&lt;='111'!$O$11,OR($L323=$O$7,$M323=$O$7)),"x","")</f>
        <v/>
      </c>
      <c r="P323" s="22" t="str">
        <f>IF(AND($L323=$O$7,$B323&lt;'111'!$N$11),"x","")</f>
        <v/>
      </c>
      <c r="Q323" s="22" t="str">
        <f>IF(AND($M323=$O$7,$B323&lt;'111'!$N$11),"x","")</f>
        <v/>
      </c>
      <c r="R323" s="22" t="str">
        <f>IF(ISERROR(FIND('112'!$M$9,G323,1)),"",IF((AND(FIND('112'!$M$9,G323,1)&gt;=1,$B323&gt;='112'!$N$8,$B323&lt;='112'!$O$8,OR($L323='112'!$I$6,$M323='112'!$I$6))),"x",""))</f>
        <v/>
      </c>
      <c r="S323" s="22" t="str">
        <f>IF(ISERROR(FIND('112'!$M$9,G323,1)),"",IF((AND(LEFT(G323,2)=LEFT('112'!$M$9,2),B323&lt;'112'!$N$8,$L323='112'!$I$6)),"x",""))</f>
        <v/>
      </c>
      <c r="T323" s="22" t="str">
        <f>IF(ISERROR(FIND('112'!$M$9,G323,1)),"",IF((AND(RIGHT(G323,2)=RIGHT('112'!$M$9,2),B323&lt;'112'!$N$8,$M323='112'!$I$6)),"x",""))</f>
        <v>x</v>
      </c>
      <c r="U323" s="22" t="str">
        <f>IF(AND(B323&gt;='IN-NX'!$P$3,B323&lt;='IN-NX'!$Q$3,'IN-NX'!$D$7=D323,OR(LEFT(L323,2)="15",AND(LEFT(M323,2)&lt;&gt;"15",LEFT(M323,2)&lt;&gt;"33"))),"x","")</f>
        <v/>
      </c>
      <c r="V323" s="22" t="str">
        <f>IF(AND(OR(LEFT(TH!L323,2)="15",LEFT(TH!M323,2)="15"),'152-CT'!$J$8=TH!F323),"x","")</f>
        <v/>
      </c>
      <c r="W323" s="22" t="str">
        <f>IF(AND(OR(LEFT(TH!L323,2)="15",LEFT(TH!M323,2)="15"),TK!$E$7=TH!F323),"x","")</f>
        <v/>
      </c>
      <c r="X323" s="22" t="str">
        <f>IF(OR(TH!L323=TH!$X$7,M323=TH!$X$7),"x","")</f>
        <v>x</v>
      </c>
      <c r="Y323" s="22" t="str">
        <f>IF(AND(B323&lt;=NKC!$N$8,B323&gt;=NKC!$M$8),"x","")</f>
        <v>x</v>
      </c>
      <c r="Z323" s="580">
        <v>3</v>
      </c>
      <c r="AC323" s="130"/>
      <c r="AD323" s="130"/>
      <c r="AE323" s="130"/>
    </row>
    <row r="324" spans="1:31" s="406" customFormat="1" ht="15.75" customHeight="1">
      <c r="A324" s="123" t="str">
        <f>IF(B324&lt;&gt;"",IF(AND(B324&gt;=_TM1,B324&lt;=_TM2,OR(TH!L325="1111",TH!M325="1111")),TH!D325,""),"")</f>
        <v/>
      </c>
      <c r="B324" s="12">
        <f t="shared" si="11"/>
        <v>9</v>
      </c>
      <c r="C324" s="108">
        <f t="shared" si="12"/>
        <v>42626</v>
      </c>
      <c r="D324" s="108" t="s">
        <v>470</v>
      </c>
      <c r="E324" s="113">
        <v>42626</v>
      </c>
      <c r="F324" s="112" t="s">
        <v>490</v>
      </c>
      <c r="G324" s="303" t="s">
        <v>474</v>
      </c>
      <c r="H324" s="4"/>
      <c r="I324" s="139"/>
      <c r="J324" s="139"/>
      <c r="K324" s="13">
        <v>2000</v>
      </c>
      <c r="L324" s="116" t="s">
        <v>9</v>
      </c>
      <c r="M324" s="116" t="s">
        <v>24</v>
      </c>
      <c r="N324" s="22" t="str">
        <f>IF(AND('331-CT'!$E$7=TH!H324,OR(L324="331",M324="331")),"331",IF(AND(OR(L324="131",M324="131"),H324='131-CT'!$E$7),"131",""))</f>
        <v/>
      </c>
      <c r="O324" s="22" t="str">
        <f>IF(AND($B324&gt;='111'!$N$11,$B324&lt;='111'!$O$11,OR($L324=$O$7,$M324=$O$7)),"x","")</f>
        <v/>
      </c>
      <c r="P324" s="22" t="str">
        <f>IF(AND($L324=$O$7,$B324&lt;'111'!$N$11),"x","")</f>
        <v/>
      </c>
      <c r="Q324" s="22" t="str">
        <f>IF(AND($M324=$O$7,$B324&lt;'111'!$N$11),"x","")</f>
        <v/>
      </c>
      <c r="R324" s="22" t="str">
        <f>IF(ISERROR(FIND('112'!$M$9,G324,1)),"",IF((AND(FIND('112'!$M$9,G324,1)&gt;=1,$B324&gt;='112'!$N$8,$B324&lt;='112'!$O$8,OR($L324='112'!$I$6,$M324='112'!$I$6))),"x",""))</f>
        <v/>
      </c>
      <c r="S324" s="22" t="str">
        <f>IF(ISERROR(FIND('112'!$M$9,G324,1)),"",IF((AND(LEFT(G324,2)=LEFT('112'!$M$9,2),B324&lt;'112'!$N$8,$L324='112'!$I$6)),"x",""))</f>
        <v/>
      </c>
      <c r="T324" s="22" t="str">
        <f>IF(ISERROR(FIND('112'!$M$9,G324,1)),"",IF((AND(RIGHT(G324,2)=RIGHT('112'!$M$9,2),B324&lt;'112'!$N$8,$M324='112'!$I$6)),"x",""))</f>
        <v>x</v>
      </c>
      <c r="U324" s="22" t="str">
        <f>IF(AND(B324&gt;='IN-NX'!$P$3,B324&lt;='IN-NX'!$Q$3,'IN-NX'!$D$7=D324,OR(LEFT(L324,2)="15",AND(LEFT(M324,2)&lt;&gt;"15",LEFT(M324,2)&lt;&gt;"33"))),"x","")</f>
        <v/>
      </c>
      <c r="V324" s="22" t="str">
        <f>IF(AND(OR(LEFT(TH!L324,2)="15",LEFT(TH!M324,2)="15"),'152-CT'!$J$8=TH!F324),"x","")</f>
        <v/>
      </c>
      <c r="W324" s="22" t="str">
        <f>IF(AND(OR(LEFT(TH!L324,2)="15",LEFT(TH!M324,2)="15"),TK!$E$7=TH!F324),"x","")</f>
        <v/>
      </c>
      <c r="X324" s="22" t="str">
        <f>IF(OR(TH!L324=TH!$X$7,M324=TH!$X$7),"x","")</f>
        <v/>
      </c>
      <c r="Y324" s="22" t="str">
        <f>IF(AND(B324&lt;=NKC!$N$8,B324&gt;=NKC!$M$8),"x","")</f>
        <v>x</v>
      </c>
      <c r="Z324" s="580">
        <v>3</v>
      </c>
      <c r="AB324" s="130"/>
      <c r="AC324" s="130"/>
      <c r="AD324" s="130"/>
      <c r="AE324" s="130"/>
    </row>
    <row r="325" spans="1:31" s="406" customFormat="1" ht="15.75" customHeight="1">
      <c r="A325" s="123" t="str">
        <f>IF(B325&lt;&gt;"",IF(AND(B325&gt;=_TM1,B325&lt;=_TM2,OR(TH!L326="1111",TH!M326="1111")),TH!D326,""),"")</f>
        <v/>
      </c>
      <c r="B325" s="12">
        <f t="shared" si="11"/>
        <v>9</v>
      </c>
      <c r="C325" s="108">
        <f t="shared" si="12"/>
        <v>42626</v>
      </c>
      <c r="D325" s="108" t="s">
        <v>469</v>
      </c>
      <c r="E325" s="113">
        <v>42626</v>
      </c>
      <c r="F325" s="112" t="s">
        <v>484</v>
      </c>
      <c r="G325" s="303" t="s">
        <v>474</v>
      </c>
      <c r="H325" s="4" t="s">
        <v>371</v>
      </c>
      <c r="I325" s="139"/>
      <c r="J325" s="139"/>
      <c r="K325" s="410">
        <v>11632720</v>
      </c>
      <c r="L325" s="411" t="s">
        <v>24</v>
      </c>
      <c r="M325" s="411" t="s">
        <v>252</v>
      </c>
      <c r="N325" s="22" t="str">
        <f>IF(AND('331-CT'!$E$7=TH!H325,OR(L325="331",M325="331")),"331",IF(AND(OR(L325="131",M325="131"),H325='131-CT'!$E$7),"131",""))</f>
        <v/>
      </c>
      <c r="O325" s="22" t="str">
        <f>IF(AND($B325&gt;='111'!$N$11,$B325&lt;='111'!$O$11,OR($L325=$O$7,$M325=$O$7)),"x","")</f>
        <v/>
      </c>
      <c r="P325" s="22" t="str">
        <f>IF(AND($L325=$O$7,$B325&lt;'111'!$N$11),"x","")</f>
        <v/>
      </c>
      <c r="Q325" s="22" t="str">
        <f>IF(AND($M325=$O$7,$B325&lt;'111'!$N$11),"x","")</f>
        <v/>
      </c>
      <c r="R325" s="22" t="str">
        <f>IF(ISERROR(FIND('112'!$M$9,G325,1)),"",IF((AND(FIND('112'!$M$9,G325,1)&gt;=1,$B325&gt;='112'!$N$8,$B325&lt;='112'!$O$8,OR($L325='112'!$I$6,$M325='112'!$I$6))),"x",""))</f>
        <v/>
      </c>
      <c r="S325" s="22" t="str">
        <f>IF(ISERROR(FIND('112'!$M$9,G325,1)),"",IF((AND(LEFT(G325,2)=LEFT('112'!$M$9,2),B325&lt;'112'!$N$8,$L325='112'!$I$6)),"x",""))</f>
        <v>x</v>
      </c>
      <c r="T325" s="22" t="str">
        <f>IF(ISERROR(FIND('112'!$M$9,G325,1)),"",IF((AND(RIGHT(G325,2)=RIGHT('112'!$M$9,2),B325&lt;'112'!$N$8,$M325='112'!$I$6)),"x",""))</f>
        <v/>
      </c>
      <c r="U325" s="22" t="str">
        <f>IF(AND(B325&gt;='IN-NX'!$P$3,B325&lt;='IN-NX'!$Q$3,'IN-NX'!$D$7=D325,OR(LEFT(L325,2)="15",AND(LEFT(M325,2)&lt;&gt;"15",LEFT(M325,2)&lt;&gt;"33"))),"x","")</f>
        <v/>
      </c>
      <c r="V325" s="22" t="str">
        <f>IF(AND(OR(LEFT(TH!L325,2)="15",LEFT(TH!M325,2)="15"),'152-CT'!$J$8=TH!F325),"x","")</f>
        <v/>
      </c>
      <c r="W325" s="22" t="str">
        <f>IF(AND(OR(LEFT(TH!L325,2)="15",LEFT(TH!M325,2)="15"),TK!$E$7=TH!F325),"x","")</f>
        <v/>
      </c>
      <c r="X325" s="22" t="str">
        <f>IF(OR(TH!L325=TH!$X$7,M325=TH!$X$7),"x","")</f>
        <v/>
      </c>
      <c r="Y325" s="22" t="str">
        <f>IF(AND(B325&lt;=NKC!$N$8,B325&gt;=NKC!$M$8),"x","")</f>
        <v>x</v>
      </c>
      <c r="Z325" s="580"/>
      <c r="AC325" s="130"/>
    </row>
    <row r="326" spans="1:31" s="406" customFormat="1" ht="15.75" customHeight="1">
      <c r="A326" s="123" t="str">
        <f>IF(B326&lt;&gt;"",IF(AND(B326&gt;=_TM1,B326&lt;=_TM2,OR(TH!L327="1111",TH!M327="1111")),TH!D327,""),"")</f>
        <v/>
      </c>
      <c r="B326" s="12">
        <f t="shared" si="11"/>
        <v>9</v>
      </c>
      <c r="C326" s="108">
        <f t="shared" si="12"/>
        <v>42626</v>
      </c>
      <c r="D326" s="108" t="s">
        <v>607</v>
      </c>
      <c r="E326" s="113">
        <v>42626</v>
      </c>
      <c r="F326" s="112" t="s">
        <v>664</v>
      </c>
      <c r="G326" s="303" t="s">
        <v>754</v>
      </c>
      <c r="H326" s="4" t="s">
        <v>618</v>
      </c>
      <c r="I326" s="139">
        <v>210</v>
      </c>
      <c r="J326" s="139">
        <v>9400</v>
      </c>
      <c r="K326" s="13">
        <f>ROUND(I326*J326,0)</f>
        <v>1974000</v>
      </c>
      <c r="L326" s="116" t="s">
        <v>252</v>
      </c>
      <c r="M326" s="411" t="s">
        <v>169</v>
      </c>
      <c r="N326" s="22" t="str">
        <f>IF(AND('331-CT'!$E$7=TH!H326,OR(L326="331",M326="331")),"331",IF(AND(OR(L326="131",M326="131"),H326='131-CT'!$E$7),"131",""))</f>
        <v/>
      </c>
      <c r="O326" s="22" t="str">
        <f>IF(AND($B326&gt;='111'!$N$11,$B326&lt;='111'!$O$11,OR($L326=$O$7,$M326=$O$7)),"x","")</f>
        <v/>
      </c>
      <c r="P326" s="22" t="str">
        <f>IF(AND($L326=$O$7,$B326&lt;'111'!$N$11),"x","")</f>
        <v/>
      </c>
      <c r="Q326" s="22" t="str">
        <f>IF(AND($M326=$O$7,$B326&lt;'111'!$N$11),"x","")</f>
        <v/>
      </c>
      <c r="R326" s="22" t="str">
        <f>IF(ISERROR(FIND('112'!$M$9,G326,1)),"",IF((AND(FIND('112'!$M$9,G326,1)&gt;=1,$B326&gt;='112'!$N$8,$B326&lt;='112'!$O$8,OR($L326='112'!$I$6,$M326='112'!$I$6))),"x",""))</f>
        <v/>
      </c>
      <c r="S326" s="22" t="str">
        <f>IF(ISERROR(FIND('112'!$M$9,G326,1)),"",IF((AND(LEFT(G326,2)=LEFT('112'!$M$9,2),B326&lt;'112'!$N$8,$L326='112'!$I$6)),"x",""))</f>
        <v/>
      </c>
      <c r="T326" s="22" t="str">
        <f>IF(ISERROR(FIND('112'!$M$9,G326,1)),"",IF((AND(RIGHT(G326,2)=RIGHT('112'!$M$9,2),B326&lt;'112'!$N$8,$M326='112'!$I$6)),"x",""))</f>
        <v/>
      </c>
      <c r="U326" s="22" t="str">
        <f>IF(AND(B326&gt;='IN-NX'!$P$3,B326&lt;='IN-NX'!$Q$3,'IN-NX'!$D$7=D326,OR(LEFT(L326,2)="15",AND(LEFT(M326,2)&lt;&gt;"15",LEFT(M326,2)&lt;&gt;"33"))),"x","")</f>
        <v/>
      </c>
      <c r="V326" s="22" t="str">
        <f>IF(AND(OR(LEFT(TH!L326,2)="15",LEFT(TH!M326,2)="15"),'152-CT'!$J$8=TH!F326),"x","")</f>
        <v/>
      </c>
      <c r="W326" s="22" t="str">
        <f>IF(AND(OR(LEFT(TH!L326,2)="15",LEFT(TH!M326,2)="15"),TK!$E$7=TH!F326),"x","")</f>
        <v/>
      </c>
      <c r="X326" s="22" t="str">
        <f>IF(OR(TH!L326=TH!$X$7,M326=TH!$X$7),"x","")</f>
        <v/>
      </c>
      <c r="Y326" s="22" t="str">
        <f>IF(AND(B326&lt;=NKC!$N$8,B326&gt;=NKC!$M$8),"x","")</f>
        <v>x</v>
      </c>
      <c r="Z326" s="580"/>
      <c r="AC326" s="130"/>
      <c r="AD326" s="130"/>
      <c r="AE326" s="130"/>
    </row>
    <row r="327" spans="1:31" s="406" customFormat="1" ht="15.75" customHeight="1">
      <c r="A327" s="123" t="str">
        <f>IF(B327&lt;&gt;"",IF(AND(B327&gt;=_TM1,B327&lt;=_TM2,OR(TH!L328="1111",TH!M328="1111")),TH!D328,""),"")</f>
        <v/>
      </c>
      <c r="B327" s="12">
        <f t="shared" si="11"/>
        <v>9</v>
      </c>
      <c r="C327" s="108">
        <f t="shared" si="12"/>
        <v>42626</v>
      </c>
      <c r="D327" s="108" t="s">
        <v>607</v>
      </c>
      <c r="E327" s="113">
        <v>42626</v>
      </c>
      <c r="F327" s="112" t="s">
        <v>665</v>
      </c>
      <c r="G327" s="303" t="s">
        <v>754</v>
      </c>
      <c r="H327" s="4" t="s">
        <v>618</v>
      </c>
      <c r="I327" s="139">
        <v>200</v>
      </c>
      <c r="J327" s="139">
        <v>9800</v>
      </c>
      <c r="K327" s="13">
        <f>ROUND(I327*J327,0)</f>
        <v>1960000</v>
      </c>
      <c r="L327" s="116" t="s">
        <v>252</v>
      </c>
      <c r="M327" s="411" t="s">
        <v>169</v>
      </c>
      <c r="N327" s="22" t="str">
        <f>IF(AND('331-CT'!$E$7=TH!H327,OR(L327="331",M327="331")),"331",IF(AND(OR(L327="131",M327="131"),H327='131-CT'!$E$7),"131",""))</f>
        <v/>
      </c>
      <c r="O327" s="22" t="str">
        <f>IF(AND($B327&gt;='111'!$N$11,$B327&lt;='111'!$O$11,OR($L327=$O$7,$M327=$O$7)),"x","")</f>
        <v/>
      </c>
      <c r="P327" s="22" t="str">
        <f>IF(AND($L327=$O$7,$B327&lt;'111'!$N$11),"x","")</f>
        <v/>
      </c>
      <c r="Q327" s="22" t="str">
        <f>IF(AND($M327=$O$7,$B327&lt;'111'!$N$11),"x","")</f>
        <v/>
      </c>
      <c r="R327" s="22" t="str">
        <f>IF(ISERROR(FIND('112'!$M$9,G327,1)),"",IF((AND(FIND('112'!$M$9,G327,1)&gt;=1,$B327&gt;='112'!$N$8,$B327&lt;='112'!$O$8,OR($L327='112'!$I$6,$M327='112'!$I$6))),"x",""))</f>
        <v/>
      </c>
      <c r="S327" s="22" t="str">
        <f>IF(ISERROR(FIND('112'!$M$9,G327,1)),"",IF((AND(LEFT(G327,2)=LEFT('112'!$M$9,2),B327&lt;'112'!$N$8,$L327='112'!$I$6)),"x",""))</f>
        <v/>
      </c>
      <c r="T327" s="22" t="str">
        <f>IF(ISERROR(FIND('112'!$M$9,G327,1)),"",IF((AND(RIGHT(G327,2)=RIGHT('112'!$M$9,2),B327&lt;'112'!$N$8,$M327='112'!$I$6)),"x",""))</f>
        <v/>
      </c>
      <c r="U327" s="22" t="str">
        <f>IF(AND(B327&gt;='IN-NX'!$P$3,B327&lt;='IN-NX'!$Q$3,'IN-NX'!$D$7=D327,OR(LEFT(L327,2)="15",AND(LEFT(M327,2)&lt;&gt;"15",LEFT(M327,2)&lt;&gt;"33"))),"x","")</f>
        <v/>
      </c>
      <c r="V327" s="22" t="str">
        <f>IF(AND(OR(LEFT(TH!L327,2)="15",LEFT(TH!M327,2)="15"),'152-CT'!$J$8=TH!F327),"x","")</f>
        <v/>
      </c>
      <c r="W327" s="22" t="str">
        <f>IF(AND(OR(LEFT(TH!L327,2)="15",LEFT(TH!M327,2)="15"),TK!$E$7=TH!F327),"x","")</f>
        <v/>
      </c>
      <c r="X327" s="22" t="str">
        <f>IF(OR(TH!L327=TH!$X$7,M327=TH!$X$7),"x","")</f>
        <v/>
      </c>
      <c r="Y327" s="22" t="str">
        <f>IF(AND(B327&lt;=NKC!$N$8,B327&gt;=NKC!$M$8),"x","")</f>
        <v>x</v>
      </c>
      <c r="Z327" s="580"/>
      <c r="AB327" s="130"/>
      <c r="AC327" s="130"/>
      <c r="AD327" s="130"/>
      <c r="AE327" s="130"/>
    </row>
    <row r="328" spans="1:31" s="406" customFormat="1" ht="15.75" customHeight="1">
      <c r="A328" s="123" t="str">
        <f>IF(B328&lt;&gt;"",IF(AND(B328&gt;=_TM1,B328&lt;=_TM2,OR(TH!L329="1111",TH!M329="1111")),TH!D329,""),"")</f>
        <v/>
      </c>
      <c r="B328" s="12">
        <f t="shared" si="11"/>
        <v>9</v>
      </c>
      <c r="C328" s="108">
        <f t="shared" si="12"/>
        <v>42626</v>
      </c>
      <c r="D328" s="108" t="s">
        <v>607</v>
      </c>
      <c r="E328" s="113">
        <v>42626</v>
      </c>
      <c r="F328" s="112" t="s">
        <v>663</v>
      </c>
      <c r="G328" s="303" t="s">
        <v>754</v>
      </c>
      <c r="H328" s="4" t="s">
        <v>618</v>
      </c>
      <c r="I328" s="139">
        <v>171</v>
      </c>
      <c r="J328" s="139">
        <v>11250</v>
      </c>
      <c r="K328" s="13">
        <f>ROUND(I328*J328,0)</f>
        <v>1923750</v>
      </c>
      <c r="L328" s="116" t="s">
        <v>252</v>
      </c>
      <c r="M328" s="411" t="s">
        <v>169</v>
      </c>
      <c r="N328" s="22" t="str">
        <f>IF(AND('331-CT'!$E$7=TH!H328,OR(L328="331",M328="331")),"331",IF(AND(OR(L328="131",M328="131"),H328='131-CT'!$E$7),"131",""))</f>
        <v/>
      </c>
      <c r="O328" s="22" t="str">
        <f>IF(AND($B328&gt;='111'!$N$11,$B328&lt;='111'!$O$11,OR($L328=$O$7,$M328=$O$7)),"x","")</f>
        <v/>
      </c>
      <c r="P328" s="22" t="str">
        <f>IF(AND($L328=$O$7,$B328&lt;'111'!$N$11),"x","")</f>
        <v/>
      </c>
      <c r="Q328" s="22" t="str">
        <f>IF(AND($M328=$O$7,$B328&lt;'111'!$N$11),"x","")</f>
        <v/>
      </c>
      <c r="R328" s="22" t="str">
        <f>IF(ISERROR(FIND('112'!$M$9,G328,1)),"",IF((AND(FIND('112'!$M$9,G328,1)&gt;=1,$B328&gt;='112'!$N$8,$B328&lt;='112'!$O$8,OR($L328='112'!$I$6,$M328='112'!$I$6))),"x",""))</f>
        <v/>
      </c>
      <c r="S328" s="22" t="str">
        <f>IF(ISERROR(FIND('112'!$M$9,G328,1)),"",IF((AND(LEFT(G328,2)=LEFT('112'!$M$9,2),B328&lt;'112'!$N$8,$L328='112'!$I$6)),"x",""))</f>
        <v/>
      </c>
      <c r="T328" s="22" t="str">
        <f>IF(ISERROR(FIND('112'!$M$9,G328,1)),"",IF((AND(RIGHT(G328,2)=RIGHT('112'!$M$9,2),B328&lt;'112'!$N$8,$M328='112'!$I$6)),"x",""))</f>
        <v/>
      </c>
      <c r="U328" s="22" t="str">
        <f>IF(AND(B328&gt;='IN-NX'!$P$3,B328&lt;='IN-NX'!$Q$3,'IN-NX'!$D$7=D328,OR(LEFT(L328,2)="15",AND(LEFT(M328,2)&lt;&gt;"15",LEFT(M328,2)&lt;&gt;"33"))),"x","")</f>
        <v/>
      </c>
      <c r="V328" s="22" t="str">
        <f>IF(AND(OR(LEFT(TH!L328,2)="15",LEFT(TH!M328,2)="15"),'152-CT'!$J$8=TH!F328),"x","")</f>
        <v/>
      </c>
      <c r="W328" s="22" t="str">
        <f>IF(AND(OR(LEFT(TH!L328,2)="15",LEFT(TH!M328,2)="15"),TK!$E$7=TH!F328),"x","")</f>
        <v/>
      </c>
      <c r="X328" s="22" t="str">
        <f>IF(OR(TH!L328=TH!$X$7,M328=TH!$X$7),"x","")</f>
        <v/>
      </c>
      <c r="Y328" s="22" t="str">
        <f>IF(AND(B328&lt;=NKC!$N$8,B328&gt;=NKC!$M$8),"x","")</f>
        <v>x</v>
      </c>
      <c r="Z328" s="580"/>
      <c r="AC328" s="130"/>
      <c r="AD328" s="130"/>
      <c r="AE328" s="130"/>
    </row>
    <row r="329" spans="1:31" s="406" customFormat="1" ht="15.75" customHeight="1">
      <c r="A329" s="123" t="str">
        <f>IF(B329&lt;&gt;"",IF(AND(B329&gt;=_TM1,B329&lt;=_TM2,OR(TH!L330="1111",TH!M330="1111")),TH!D330,""),"")</f>
        <v/>
      </c>
      <c r="B329" s="12">
        <f t="shared" si="11"/>
        <v>9</v>
      </c>
      <c r="C329" s="108">
        <f t="shared" si="12"/>
        <v>42626</v>
      </c>
      <c r="D329" s="108" t="s">
        <v>607</v>
      </c>
      <c r="E329" s="113">
        <v>42626</v>
      </c>
      <c r="F329" s="112" t="s">
        <v>496</v>
      </c>
      <c r="G329" s="303" t="s">
        <v>754</v>
      </c>
      <c r="H329" s="4" t="s">
        <v>618</v>
      </c>
      <c r="I329" s="139"/>
      <c r="J329" s="139"/>
      <c r="K329" s="13">
        <v>585775</v>
      </c>
      <c r="L329" s="116" t="s">
        <v>252</v>
      </c>
      <c r="M329" s="411" t="s">
        <v>352</v>
      </c>
      <c r="N329" s="22" t="str">
        <f>IF(AND('331-CT'!$E$7=TH!H329,OR(L329="331",M329="331")),"331",IF(AND(OR(L329="131",M329="131"),H329='131-CT'!$E$7),"131",""))</f>
        <v/>
      </c>
      <c r="O329" s="22" t="str">
        <f>IF(AND($B329&gt;='111'!$N$11,$B329&lt;='111'!$O$11,OR($L329=$O$7,$M329=$O$7)),"x","")</f>
        <v/>
      </c>
      <c r="P329" s="22" t="str">
        <f>IF(AND($L329=$O$7,$B329&lt;'111'!$N$11),"x","")</f>
        <v/>
      </c>
      <c r="Q329" s="22" t="str">
        <f>IF(AND($M329=$O$7,$B329&lt;'111'!$N$11),"x","")</f>
        <v/>
      </c>
      <c r="R329" s="22" t="str">
        <f>IF(ISERROR(FIND('112'!$M$9,G329,1)),"",IF((AND(FIND('112'!$M$9,G329,1)&gt;=1,$B329&gt;='112'!$N$8,$B329&lt;='112'!$O$8,OR($L329='112'!$I$6,$M329='112'!$I$6))),"x",""))</f>
        <v/>
      </c>
      <c r="S329" s="22" t="str">
        <f>IF(ISERROR(FIND('112'!$M$9,G329,1)),"",IF((AND(LEFT(G329,2)=LEFT('112'!$M$9,2),B329&lt;'112'!$N$8,$L329='112'!$I$6)),"x",""))</f>
        <v/>
      </c>
      <c r="T329" s="22" t="str">
        <f>IF(ISERROR(FIND('112'!$M$9,G329,1)),"",IF((AND(RIGHT(G329,2)=RIGHT('112'!$M$9,2),B329&lt;'112'!$N$8,$M329='112'!$I$6)),"x",""))</f>
        <v/>
      </c>
      <c r="U329" s="22" t="str">
        <f>IF(AND(B329&gt;='IN-NX'!$P$3,B329&lt;='IN-NX'!$Q$3,'IN-NX'!$D$7=D329,OR(LEFT(L329,2)="15",AND(LEFT(M329,2)&lt;&gt;"15",LEFT(M329,2)&lt;&gt;"33"))),"x","")</f>
        <v/>
      </c>
      <c r="V329" s="22" t="str">
        <f>IF(AND(OR(LEFT(TH!L329,2)="15",LEFT(TH!M329,2)="15"),'152-CT'!$J$8=TH!F329),"x","")</f>
        <v/>
      </c>
      <c r="W329" s="22" t="str">
        <f>IF(AND(OR(LEFT(TH!L329,2)="15",LEFT(TH!M329,2)="15"),TK!$E$7=TH!F329),"x","")</f>
        <v/>
      </c>
      <c r="X329" s="22" t="str">
        <f>IF(OR(TH!L329=TH!$X$7,M329=TH!$X$7),"x","")</f>
        <v/>
      </c>
      <c r="Y329" s="22" t="str">
        <f>IF(AND(B329&lt;=NKC!$N$8,B329&gt;=NKC!$M$8),"x","")</f>
        <v>x</v>
      </c>
      <c r="Z329" s="580"/>
      <c r="AC329" s="130"/>
    </row>
    <row r="330" spans="1:31" s="406" customFormat="1" ht="15.75" customHeight="1">
      <c r="A330" s="123" t="str">
        <f>IF(B330&lt;&gt;"",IF(AND(B330&gt;=_TM1,B330&lt;=_TM2,OR(TH!L331="1111",TH!M331="1111")),TH!D331,""),"")</f>
        <v/>
      </c>
      <c r="B330" s="12">
        <f t="shared" si="11"/>
        <v>9</v>
      </c>
      <c r="C330" s="108">
        <f t="shared" si="12"/>
        <v>42627</v>
      </c>
      <c r="D330" s="108" t="s">
        <v>1039</v>
      </c>
      <c r="E330" s="113">
        <v>42627</v>
      </c>
      <c r="F330" s="112" t="s">
        <v>485</v>
      </c>
      <c r="G330" s="303" t="s">
        <v>474</v>
      </c>
      <c r="H330" s="4" t="s">
        <v>475</v>
      </c>
      <c r="I330" s="139"/>
      <c r="J330" s="139"/>
      <c r="K330" s="410">
        <v>11600000</v>
      </c>
      <c r="L330" s="411" t="s">
        <v>46</v>
      </c>
      <c r="M330" s="411" t="s">
        <v>24</v>
      </c>
      <c r="N330" s="22" t="str">
        <f>IF(AND('331-CT'!$E$7=TH!H330,OR(L330="331",M330="331")),"331",IF(AND(OR(L330="131",M330="131"),H330='131-CT'!$E$7),"131",""))</f>
        <v/>
      </c>
      <c r="O330" s="22" t="str">
        <f>IF(AND($B330&gt;='111'!$N$11,$B330&lt;='111'!$O$11,OR($L330=$O$7,$M330=$O$7)),"x","")</f>
        <v/>
      </c>
      <c r="P330" s="22" t="str">
        <f>IF(AND($L330=$O$7,$B330&lt;'111'!$N$11),"x","")</f>
        <v>x</v>
      </c>
      <c r="Q330" s="22" t="str">
        <f>IF(AND($M330=$O$7,$B330&lt;'111'!$N$11),"x","")</f>
        <v/>
      </c>
      <c r="R330" s="22" t="str">
        <f>IF(ISERROR(FIND('112'!$M$9,G330,1)),"",IF((AND(FIND('112'!$M$9,G330,1)&gt;=1,$B330&gt;='112'!$N$8,$B330&lt;='112'!$O$8,OR($L330='112'!$I$6,$M330='112'!$I$6))),"x",""))</f>
        <v/>
      </c>
      <c r="S330" s="22" t="str">
        <f>IF(ISERROR(FIND('112'!$M$9,G330,1)),"",IF((AND(LEFT(G330,2)=LEFT('112'!$M$9,2),B330&lt;'112'!$N$8,$L330='112'!$I$6)),"x",""))</f>
        <v/>
      </c>
      <c r="T330" s="22" t="str">
        <f>IF(ISERROR(FIND('112'!$M$9,G330,1)),"",IF((AND(RIGHT(G330,2)=RIGHT('112'!$M$9,2),B330&lt;'112'!$N$8,$M330='112'!$I$6)),"x",""))</f>
        <v>x</v>
      </c>
      <c r="U330" s="22" t="str">
        <f>IF(AND(B330&gt;='IN-NX'!$P$3,B330&lt;='IN-NX'!$Q$3,'IN-NX'!$D$7=D330,OR(LEFT(L330,2)="15",AND(LEFT(M330,2)&lt;&gt;"15",LEFT(M330,2)&lt;&gt;"33"))),"x","")</f>
        <v/>
      </c>
      <c r="V330" s="22" t="str">
        <f>IF(AND(OR(LEFT(TH!L330,2)="15",LEFT(TH!M330,2)="15"),'152-CT'!$J$8=TH!F330),"x","")</f>
        <v/>
      </c>
      <c r="W330" s="22" t="str">
        <f>IF(AND(OR(LEFT(TH!L330,2)="15",LEFT(TH!M330,2)="15"),TK!$E$7=TH!F330),"x","")</f>
        <v/>
      </c>
      <c r="X330" s="22" t="str">
        <f>IF(OR(TH!L330=TH!$X$7,M330=TH!$X$7),"x","")</f>
        <v/>
      </c>
      <c r="Y330" s="22" t="str">
        <f>IF(AND(B330&lt;=NKC!$N$8,B330&gt;=NKC!$M$8),"x","")</f>
        <v>x</v>
      </c>
      <c r="Z330" s="580"/>
      <c r="AB330" s="130"/>
      <c r="AC330" s="130"/>
    </row>
    <row r="331" spans="1:31" s="406" customFormat="1" ht="15.75" customHeight="1">
      <c r="A331" s="123" t="str">
        <f>IF(B331&lt;&gt;"",IF(AND(B331&gt;=_TM1,B331&lt;=_TM2,OR(TH!L332="1111",TH!M332="1111")),TH!D332,""),"")</f>
        <v/>
      </c>
      <c r="B331" s="12">
        <f t="shared" si="11"/>
        <v>9</v>
      </c>
      <c r="C331" s="108">
        <f t="shared" si="12"/>
        <v>42627</v>
      </c>
      <c r="D331" s="108" t="s">
        <v>608</v>
      </c>
      <c r="E331" s="113">
        <v>42627</v>
      </c>
      <c r="F331" s="114" t="s">
        <v>817</v>
      </c>
      <c r="G331" s="303" t="s">
        <v>755</v>
      </c>
      <c r="H331" s="4" t="s">
        <v>373</v>
      </c>
      <c r="I331" s="139">
        <v>2400</v>
      </c>
      <c r="J331" s="139">
        <v>5200</v>
      </c>
      <c r="K331" s="13">
        <f>ROUND(I331*J331,0)</f>
        <v>12480000</v>
      </c>
      <c r="L331" s="116" t="s">
        <v>252</v>
      </c>
      <c r="M331" s="411" t="s">
        <v>169</v>
      </c>
      <c r="N331" s="22" t="str">
        <f>IF(AND('331-CT'!$E$7=TH!H331,OR(L331="331",M331="331")),"331",IF(AND(OR(L331="131",M331="131"),H331='131-CT'!$E$7),"131",""))</f>
        <v/>
      </c>
      <c r="O331" s="22" t="str">
        <f>IF(AND($B331&gt;='111'!$N$11,$B331&lt;='111'!$O$11,OR($L331=$O$7,$M331=$O$7)),"x","")</f>
        <v/>
      </c>
      <c r="P331" s="22" t="str">
        <f>IF(AND($L331=$O$7,$B331&lt;'111'!$N$11),"x","")</f>
        <v/>
      </c>
      <c r="Q331" s="22" t="str">
        <f>IF(AND($M331=$O$7,$B331&lt;'111'!$N$11),"x","")</f>
        <v/>
      </c>
      <c r="R331" s="22" t="str">
        <f>IF(ISERROR(FIND('112'!$M$9,G331,1)),"",IF((AND(FIND('112'!$M$9,G331,1)&gt;=1,$B331&gt;='112'!$N$8,$B331&lt;='112'!$O$8,OR($L331='112'!$I$6,$M331='112'!$I$6))),"x",""))</f>
        <v/>
      </c>
      <c r="S331" s="22" t="str">
        <f>IF(ISERROR(FIND('112'!$M$9,G331,1)),"",IF((AND(LEFT(G331,2)=LEFT('112'!$M$9,2),B331&lt;'112'!$N$8,$L331='112'!$I$6)),"x",""))</f>
        <v/>
      </c>
      <c r="T331" s="22" t="str">
        <f>IF(ISERROR(FIND('112'!$M$9,G331,1)),"",IF((AND(RIGHT(G331,2)=RIGHT('112'!$M$9,2),B331&lt;'112'!$N$8,$M331='112'!$I$6)),"x",""))</f>
        <v/>
      </c>
      <c r="U331" s="22" t="str">
        <f>IF(AND(B331&gt;='IN-NX'!$P$3,B331&lt;='IN-NX'!$Q$3,'IN-NX'!$D$7=D331,OR(LEFT(L331,2)="15",AND(LEFT(M331,2)&lt;&gt;"15",LEFT(M331,2)&lt;&gt;"33"))),"x","")</f>
        <v/>
      </c>
      <c r="V331" s="22" t="str">
        <f>IF(AND(OR(LEFT(TH!L331,2)="15",LEFT(TH!M331,2)="15"),'152-CT'!$J$8=TH!F331),"x","")</f>
        <v/>
      </c>
      <c r="W331" s="22" t="str">
        <f>IF(AND(OR(LEFT(TH!L331,2)="15",LEFT(TH!M331,2)="15"),TK!$E$7=TH!F331),"x","")</f>
        <v/>
      </c>
      <c r="X331" s="22" t="str">
        <f>IF(OR(TH!L331=TH!$X$7,M331=TH!$X$7),"x","")</f>
        <v/>
      </c>
      <c r="Y331" s="22" t="str">
        <f>IF(AND(B331&lt;=NKC!$N$8,B331&gt;=NKC!$M$8),"x","")</f>
        <v>x</v>
      </c>
      <c r="Z331" s="580"/>
      <c r="AB331" s="130"/>
      <c r="AC331" s="130"/>
    </row>
    <row r="332" spans="1:31" s="406" customFormat="1" ht="15.75" customHeight="1">
      <c r="A332" s="123" t="str">
        <f>IF(B332&lt;&gt;"",IF(AND(B332&gt;=_TM1,B332&lt;=_TM2,OR(TH!L333="1111",TH!M333="1111")),TH!D333,""),"")</f>
        <v/>
      </c>
      <c r="B332" s="12">
        <f t="shared" si="11"/>
        <v>9</v>
      </c>
      <c r="C332" s="108">
        <f t="shared" si="12"/>
        <v>42627</v>
      </c>
      <c r="D332" s="108" t="s">
        <v>608</v>
      </c>
      <c r="E332" s="113">
        <v>42627</v>
      </c>
      <c r="F332" s="114" t="s">
        <v>818</v>
      </c>
      <c r="G332" s="303" t="s">
        <v>755</v>
      </c>
      <c r="H332" s="4" t="s">
        <v>373</v>
      </c>
      <c r="I332" s="139">
        <v>500</v>
      </c>
      <c r="J332" s="139">
        <v>10200</v>
      </c>
      <c r="K332" s="13">
        <f>ROUND(I332*J332,0)</f>
        <v>5100000</v>
      </c>
      <c r="L332" s="116" t="s">
        <v>252</v>
      </c>
      <c r="M332" s="411" t="s">
        <v>169</v>
      </c>
      <c r="N332" s="22" t="str">
        <f>IF(AND('331-CT'!$E$7=TH!H332,OR(L332="331",M332="331")),"331",IF(AND(OR(L332="131",M332="131"),H332='131-CT'!$E$7),"131",""))</f>
        <v/>
      </c>
      <c r="O332" s="22" t="str">
        <f>IF(AND($B332&gt;='111'!$N$11,$B332&lt;='111'!$O$11,OR($L332=$O$7,$M332=$O$7)),"x","")</f>
        <v/>
      </c>
      <c r="P332" s="22" t="str">
        <f>IF(AND($L332=$O$7,$B332&lt;'111'!$N$11),"x","")</f>
        <v/>
      </c>
      <c r="Q332" s="22" t="str">
        <f>IF(AND($M332=$O$7,$B332&lt;'111'!$N$11),"x","")</f>
        <v/>
      </c>
      <c r="R332" s="22" t="str">
        <f>IF(ISERROR(FIND('112'!$M$9,G332,1)),"",IF((AND(FIND('112'!$M$9,G332,1)&gt;=1,$B332&gt;='112'!$N$8,$B332&lt;='112'!$O$8,OR($L332='112'!$I$6,$M332='112'!$I$6))),"x",""))</f>
        <v/>
      </c>
      <c r="S332" s="22" t="str">
        <f>IF(ISERROR(FIND('112'!$M$9,G332,1)),"",IF((AND(LEFT(G332,2)=LEFT('112'!$M$9,2),B332&lt;'112'!$N$8,$L332='112'!$I$6)),"x",""))</f>
        <v/>
      </c>
      <c r="T332" s="22" t="str">
        <f>IF(ISERROR(FIND('112'!$M$9,G332,1)),"",IF((AND(RIGHT(G332,2)=RIGHT('112'!$M$9,2),B332&lt;'112'!$N$8,$M332='112'!$I$6)),"x",""))</f>
        <v/>
      </c>
      <c r="U332" s="22" t="str">
        <f>IF(AND(B332&gt;='IN-NX'!$P$3,B332&lt;='IN-NX'!$Q$3,'IN-NX'!$D$7=D332,OR(LEFT(L332,2)="15",AND(LEFT(M332,2)&lt;&gt;"15",LEFT(M332,2)&lt;&gt;"33"))),"x","")</f>
        <v/>
      </c>
      <c r="V332" s="22" t="str">
        <f>IF(AND(OR(LEFT(TH!L332,2)="15",LEFT(TH!M332,2)="15"),'152-CT'!$J$8=TH!F332),"x","")</f>
        <v/>
      </c>
      <c r="W332" s="22" t="str">
        <f>IF(AND(OR(LEFT(TH!L332,2)="15",LEFT(TH!M332,2)="15"),TK!$E$7=TH!F332),"x","")</f>
        <v/>
      </c>
      <c r="X332" s="22" t="str">
        <f>IF(OR(TH!L332=TH!$X$7,M332=TH!$X$7),"x","")</f>
        <v/>
      </c>
      <c r="Y332" s="22" t="str">
        <f>IF(AND(B332&lt;=NKC!$N$8,B332&gt;=NKC!$M$8),"x","")</f>
        <v>x</v>
      </c>
      <c r="Z332" s="580"/>
      <c r="AC332" s="130"/>
    </row>
    <row r="333" spans="1:31" s="406" customFormat="1" ht="15.75" customHeight="1">
      <c r="A333" s="123" t="str">
        <f>IF(B333&lt;&gt;"",IF(AND(B333&gt;=_TM1,B333&lt;=_TM2,OR(TH!L334="1111",TH!M334="1111")),TH!D334,""),"")</f>
        <v/>
      </c>
      <c r="B333" s="12">
        <f t="shared" si="11"/>
        <v>9</v>
      </c>
      <c r="C333" s="108">
        <f t="shared" si="12"/>
        <v>42627</v>
      </c>
      <c r="D333" s="108" t="s">
        <v>608</v>
      </c>
      <c r="E333" s="113">
        <v>42627</v>
      </c>
      <c r="F333" s="112" t="s">
        <v>496</v>
      </c>
      <c r="G333" s="303" t="s">
        <v>755</v>
      </c>
      <c r="H333" s="4" t="s">
        <v>373</v>
      </c>
      <c r="I333" s="139"/>
      <c r="J333" s="139"/>
      <c r="K333" s="13">
        <v>1758000</v>
      </c>
      <c r="L333" s="116" t="s">
        <v>252</v>
      </c>
      <c r="M333" s="411" t="s">
        <v>352</v>
      </c>
      <c r="N333" s="22" t="str">
        <f>IF(AND('331-CT'!$E$7=TH!H333,OR(L333="331",M333="331")),"331",IF(AND(OR(L333="131",M333="131"),H333='131-CT'!$E$7),"131",""))</f>
        <v/>
      </c>
      <c r="O333" s="22" t="str">
        <f>IF(AND($B333&gt;='111'!$N$11,$B333&lt;='111'!$O$11,OR($L333=$O$7,$M333=$O$7)),"x","")</f>
        <v/>
      </c>
      <c r="P333" s="22" t="str">
        <f>IF(AND($L333=$O$7,$B333&lt;'111'!$N$11),"x","")</f>
        <v/>
      </c>
      <c r="Q333" s="22" t="str">
        <f>IF(AND($M333=$O$7,$B333&lt;'111'!$N$11),"x","")</f>
        <v/>
      </c>
      <c r="R333" s="22" t="str">
        <f>IF(ISERROR(FIND('112'!$M$9,G333,1)),"",IF((AND(FIND('112'!$M$9,G333,1)&gt;=1,$B333&gt;='112'!$N$8,$B333&lt;='112'!$O$8,OR($L333='112'!$I$6,$M333='112'!$I$6))),"x",""))</f>
        <v/>
      </c>
      <c r="S333" s="22" t="str">
        <f>IF(ISERROR(FIND('112'!$M$9,G333,1)),"",IF((AND(LEFT(G333,2)=LEFT('112'!$M$9,2),B333&lt;'112'!$N$8,$L333='112'!$I$6)),"x",""))</f>
        <v/>
      </c>
      <c r="T333" s="22" t="str">
        <f>IF(ISERROR(FIND('112'!$M$9,G333,1)),"",IF((AND(RIGHT(G333,2)=RIGHT('112'!$M$9,2),B333&lt;'112'!$N$8,$M333='112'!$I$6)),"x",""))</f>
        <v/>
      </c>
      <c r="U333" s="22" t="str">
        <f>IF(AND(B333&gt;='IN-NX'!$P$3,B333&lt;='IN-NX'!$Q$3,'IN-NX'!$D$7=D333,OR(LEFT(L333,2)="15",AND(LEFT(M333,2)&lt;&gt;"15",LEFT(M333,2)&lt;&gt;"33"))),"x","")</f>
        <v/>
      </c>
      <c r="V333" s="22" t="str">
        <f>IF(AND(OR(LEFT(TH!L333,2)="15",LEFT(TH!M333,2)="15"),'152-CT'!$J$8=TH!F333),"x","")</f>
        <v/>
      </c>
      <c r="W333" s="22" t="str">
        <f>IF(AND(OR(LEFT(TH!L333,2)="15",LEFT(TH!M333,2)="15"),TK!$E$7=TH!F333),"x","")</f>
        <v/>
      </c>
      <c r="X333" s="22" t="str">
        <f>IF(OR(TH!L333=TH!$X$7,M333=TH!$X$7),"x","")</f>
        <v/>
      </c>
      <c r="Y333" s="22" t="str">
        <f>IF(AND(B333&lt;=NKC!$N$8,B333&gt;=NKC!$M$8),"x","")</f>
        <v>x</v>
      </c>
      <c r="Z333" s="580"/>
      <c r="AC333" s="130"/>
    </row>
    <row r="334" spans="1:31" s="406" customFormat="1" ht="15.75" customHeight="1">
      <c r="A334" s="123" t="str">
        <f>IF(B334&lt;&gt;"",IF(AND(B334&gt;=_TM1,B334&lt;=_TM2,OR(TH!L335="1111",TH!M335="1111")),TH!D335,""),"")</f>
        <v/>
      </c>
      <c r="B334" s="12">
        <f t="shared" si="11"/>
        <v>9</v>
      </c>
      <c r="C334" s="108">
        <f t="shared" si="12"/>
        <v>42627</v>
      </c>
      <c r="D334" s="108" t="s">
        <v>1040</v>
      </c>
      <c r="E334" s="113">
        <v>42627</v>
      </c>
      <c r="F334" s="114" t="s">
        <v>484</v>
      </c>
      <c r="G334" s="303" t="s">
        <v>755</v>
      </c>
      <c r="H334" s="4" t="s">
        <v>373</v>
      </c>
      <c r="I334" s="139"/>
      <c r="J334" s="139"/>
      <c r="K334" s="13">
        <v>19338000</v>
      </c>
      <c r="L334" s="116" t="s">
        <v>46</v>
      </c>
      <c r="M334" s="411" t="s">
        <v>252</v>
      </c>
      <c r="N334" s="22" t="str">
        <f>IF(AND('331-CT'!$E$7=TH!H334,OR(L334="331",M334="331")),"331",IF(AND(OR(L334="131",M334="131"),H334='131-CT'!$E$7),"131",""))</f>
        <v/>
      </c>
      <c r="O334" s="22" t="str">
        <f>IF(AND($B334&gt;='111'!$N$11,$B334&lt;='111'!$O$11,OR($L334=$O$7,$M334=$O$7)),"x","")</f>
        <v/>
      </c>
      <c r="P334" s="22" t="str">
        <f>IF(AND($L334=$O$7,$B334&lt;'111'!$N$11),"x","")</f>
        <v>x</v>
      </c>
      <c r="Q334" s="22" t="str">
        <f>IF(AND($M334=$O$7,$B334&lt;'111'!$N$11),"x","")</f>
        <v/>
      </c>
      <c r="R334" s="22" t="str">
        <f>IF(ISERROR(FIND('112'!$M$9,G334,1)),"",IF((AND(FIND('112'!$M$9,G334,1)&gt;=1,$B334&gt;='112'!$N$8,$B334&lt;='112'!$O$8,OR($L334='112'!$I$6,$M334='112'!$I$6))),"x",""))</f>
        <v/>
      </c>
      <c r="S334" s="22" t="str">
        <f>IF(ISERROR(FIND('112'!$M$9,G334,1)),"",IF((AND(LEFT(G334,2)=LEFT('112'!$M$9,2),B334&lt;'112'!$N$8,$L334='112'!$I$6)),"x",""))</f>
        <v/>
      </c>
      <c r="T334" s="22" t="str">
        <f>IF(ISERROR(FIND('112'!$M$9,G334,1)),"",IF((AND(RIGHT(G334,2)=RIGHT('112'!$M$9,2),B334&lt;'112'!$N$8,$M334='112'!$I$6)),"x",""))</f>
        <v/>
      </c>
      <c r="U334" s="22" t="str">
        <f>IF(AND(B334&gt;='IN-NX'!$P$3,B334&lt;='IN-NX'!$Q$3,'IN-NX'!$D$7=D334,OR(LEFT(L334,2)="15",AND(LEFT(M334,2)&lt;&gt;"15",LEFT(M334,2)&lt;&gt;"33"))),"x","")</f>
        <v/>
      </c>
      <c r="V334" s="22" t="str">
        <f>IF(AND(OR(LEFT(TH!L334,2)="15",LEFT(TH!M334,2)="15"),'152-CT'!$J$8=TH!F334),"x","")</f>
        <v/>
      </c>
      <c r="W334" s="22" t="str">
        <f>IF(AND(OR(LEFT(TH!L334,2)="15",LEFT(TH!M334,2)="15"),TK!$E$7=TH!F334),"x","")</f>
        <v/>
      </c>
      <c r="X334" s="22" t="str">
        <f>IF(OR(TH!L334=TH!$X$7,M334=TH!$X$7),"x","")</f>
        <v/>
      </c>
      <c r="Y334" s="22" t="str">
        <f>IF(AND(B334&lt;=NKC!$N$8,B334&gt;=NKC!$M$8),"x","")</f>
        <v>x</v>
      </c>
      <c r="Z334" s="580"/>
      <c r="AC334" s="130"/>
    </row>
    <row r="335" spans="1:31" s="406" customFormat="1" ht="15.75" customHeight="1">
      <c r="A335" s="123" t="str">
        <f>IF(B335&lt;&gt;"",IF(AND(B335&gt;=_TM1,B335&lt;=_TM2,OR(TH!L336="1111",TH!M336="1111")),TH!D336,""),"")</f>
        <v/>
      </c>
      <c r="B335" s="12">
        <f t="shared" si="11"/>
        <v>9</v>
      </c>
      <c r="C335" s="108">
        <f t="shared" si="12"/>
        <v>42628</v>
      </c>
      <c r="D335" s="108" t="s">
        <v>470</v>
      </c>
      <c r="E335" s="113">
        <v>42628</v>
      </c>
      <c r="F335" s="112" t="s">
        <v>491</v>
      </c>
      <c r="G335" s="303" t="s">
        <v>474</v>
      </c>
      <c r="H335" s="4"/>
      <c r="I335" s="139"/>
      <c r="J335" s="139"/>
      <c r="K335" s="13">
        <v>30000</v>
      </c>
      <c r="L335" s="116" t="s">
        <v>82</v>
      </c>
      <c r="M335" s="116" t="s">
        <v>24</v>
      </c>
      <c r="N335" s="22" t="str">
        <f>IF(AND('331-CT'!$E$7=TH!H335,OR(L335="331",M335="331")),"331",IF(AND(OR(L335="131",M335="131"),H335='131-CT'!$E$7),"131",""))</f>
        <v/>
      </c>
      <c r="O335" s="22" t="str">
        <f>IF(AND($B335&gt;='111'!$N$11,$B335&lt;='111'!$O$11,OR($L335=$O$7,$M335=$O$7)),"x","")</f>
        <v/>
      </c>
      <c r="P335" s="22" t="str">
        <f>IF(AND($L335=$O$7,$B335&lt;'111'!$N$11),"x","")</f>
        <v/>
      </c>
      <c r="Q335" s="22" t="str">
        <f>IF(AND($M335=$O$7,$B335&lt;'111'!$N$11),"x","")</f>
        <v/>
      </c>
      <c r="R335" s="22" t="str">
        <f>IF(ISERROR(FIND('112'!$M$9,G335,1)),"",IF((AND(FIND('112'!$M$9,G335,1)&gt;=1,$B335&gt;='112'!$N$8,$B335&lt;='112'!$O$8,OR($L335='112'!$I$6,$M335='112'!$I$6))),"x",""))</f>
        <v/>
      </c>
      <c r="S335" s="22" t="str">
        <f>IF(ISERROR(FIND('112'!$M$9,G335,1)),"",IF((AND(LEFT(G335,2)=LEFT('112'!$M$9,2),B335&lt;'112'!$N$8,$L335='112'!$I$6)),"x",""))</f>
        <v/>
      </c>
      <c r="T335" s="22" t="str">
        <f>IF(ISERROR(FIND('112'!$M$9,G335,1)),"",IF((AND(RIGHT(G335,2)=RIGHT('112'!$M$9,2),B335&lt;'112'!$N$8,$M335='112'!$I$6)),"x",""))</f>
        <v>x</v>
      </c>
      <c r="U335" s="22" t="str">
        <f>IF(AND(B335&gt;='IN-NX'!$P$3,B335&lt;='IN-NX'!$Q$3,'IN-NX'!$D$7=D335,OR(LEFT(L335,2)="15",AND(LEFT(M335,2)&lt;&gt;"15",LEFT(M335,2)&lt;&gt;"33"))),"x","")</f>
        <v/>
      </c>
      <c r="V335" s="22" t="str">
        <f>IF(AND(OR(LEFT(TH!L335,2)="15",LEFT(TH!M335,2)="15"),'152-CT'!$J$8=TH!F335),"x","")</f>
        <v/>
      </c>
      <c r="W335" s="22" t="str">
        <f>IF(AND(OR(LEFT(TH!L335,2)="15",LEFT(TH!M335,2)="15"),TK!$E$7=TH!F335),"x","")</f>
        <v/>
      </c>
      <c r="X335" s="22" t="str">
        <f>IF(OR(TH!L335=TH!$X$7,M335=TH!$X$7),"x","")</f>
        <v>x</v>
      </c>
      <c r="Y335" s="22" t="str">
        <f>IF(AND(B335&lt;=NKC!$N$8,B335&gt;=NKC!$M$8),"x","")</f>
        <v>x</v>
      </c>
      <c r="Z335" s="580">
        <v>3</v>
      </c>
      <c r="AC335" s="130"/>
    </row>
    <row r="336" spans="1:31" s="406" customFormat="1" ht="15.75" customHeight="1">
      <c r="A336" s="123" t="str">
        <f>IF(B336&lt;&gt;"",IF(AND(B336&gt;=_TM1,B336&lt;=_TM2,OR(TH!L337="1111",TH!M337="1111")),TH!D337,""),"")</f>
        <v/>
      </c>
      <c r="B336" s="12">
        <f t="shared" si="11"/>
        <v>9</v>
      </c>
      <c r="C336" s="108">
        <f t="shared" si="12"/>
        <v>42628</v>
      </c>
      <c r="D336" s="108" t="s">
        <v>470</v>
      </c>
      <c r="E336" s="113">
        <v>42628</v>
      </c>
      <c r="F336" s="112" t="s">
        <v>492</v>
      </c>
      <c r="G336" s="303" t="s">
        <v>474</v>
      </c>
      <c r="H336" s="4"/>
      <c r="I336" s="139"/>
      <c r="J336" s="139"/>
      <c r="K336" s="13">
        <v>3000</v>
      </c>
      <c r="L336" s="116" t="s">
        <v>9</v>
      </c>
      <c r="M336" s="116" t="s">
        <v>24</v>
      </c>
      <c r="N336" s="22" t="str">
        <f>IF(AND('331-CT'!$E$7=TH!H336,OR(L336="331",M336="331")),"331",IF(AND(OR(L336="131",M336="131"),H336='131-CT'!$E$7),"131",""))</f>
        <v/>
      </c>
      <c r="O336" s="22" t="str">
        <f>IF(AND($B336&gt;='111'!$N$11,$B336&lt;='111'!$O$11,OR($L336=$O$7,$M336=$O$7)),"x","")</f>
        <v/>
      </c>
      <c r="P336" s="22" t="str">
        <f>IF(AND($L336=$O$7,$B336&lt;'111'!$N$11),"x","")</f>
        <v/>
      </c>
      <c r="Q336" s="22" t="str">
        <f>IF(AND($M336=$O$7,$B336&lt;'111'!$N$11),"x","")</f>
        <v/>
      </c>
      <c r="R336" s="22" t="str">
        <f>IF(ISERROR(FIND('112'!$M$9,G336,1)),"",IF((AND(FIND('112'!$M$9,G336,1)&gt;=1,$B336&gt;='112'!$N$8,$B336&lt;='112'!$O$8,OR($L336='112'!$I$6,$M336='112'!$I$6))),"x",""))</f>
        <v/>
      </c>
      <c r="S336" s="22" t="str">
        <f>IF(ISERROR(FIND('112'!$M$9,G336,1)),"",IF((AND(LEFT(G336,2)=LEFT('112'!$M$9,2),B336&lt;'112'!$N$8,$L336='112'!$I$6)),"x",""))</f>
        <v/>
      </c>
      <c r="T336" s="22" t="str">
        <f>IF(ISERROR(FIND('112'!$M$9,G336,1)),"",IF((AND(RIGHT(G336,2)=RIGHT('112'!$M$9,2),B336&lt;'112'!$N$8,$M336='112'!$I$6)),"x",""))</f>
        <v>x</v>
      </c>
      <c r="U336" s="22" t="str">
        <f>IF(AND(B336&gt;='IN-NX'!$P$3,B336&lt;='IN-NX'!$Q$3,'IN-NX'!$D$7=D336,OR(LEFT(L336,2)="15",AND(LEFT(M336,2)&lt;&gt;"15",LEFT(M336,2)&lt;&gt;"33"))),"x","")</f>
        <v/>
      </c>
      <c r="V336" s="22" t="str">
        <f>IF(AND(OR(LEFT(TH!L336,2)="15",LEFT(TH!M336,2)="15"),'152-CT'!$J$8=TH!F336),"x","")</f>
        <v/>
      </c>
      <c r="W336" s="22" t="str">
        <f>IF(AND(OR(LEFT(TH!L336,2)="15",LEFT(TH!M336,2)="15"),TK!$E$7=TH!F336),"x","")</f>
        <v/>
      </c>
      <c r="X336" s="22" t="str">
        <f>IF(OR(TH!L336=TH!$X$7,M336=TH!$X$7),"x","")</f>
        <v/>
      </c>
      <c r="Y336" s="22" t="str">
        <f>IF(AND(B336&lt;=NKC!$N$8,B336&gt;=NKC!$M$8),"x","")</f>
        <v>x</v>
      </c>
      <c r="Z336" s="580">
        <v>3</v>
      </c>
      <c r="AC336" s="130"/>
    </row>
    <row r="337" spans="1:31" s="406" customFormat="1" ht="15.75" customHeight="1">
      <c r="A337" s="123" t="str">
        <f>IF(B337&lt;&gt;"",IF(AND(B337&gt;=_TM1,B337&lt;=_TM2,OR(TH!L338="1111",TH!M338="1111")),TH!D338,""),"")</f>
        <v/>
      </c>
      <c r="B337" s="12">
        <f t="shared" ref="B337:B400" si="13">IF(C337&lt;&gt;"",MONTH(C337),"")</f>
        <v>9</v>
      </c>
      <c r="C337" s="108">
        <f t="shared" si="12"/>
        <v>42628</v>
      </c>
      <c r="D337" s="108" t="s">
        <v>609</v>
      </c>
      <c r="E337" s="113">
        <v>42628</v>
      </c>
      <c r="F337" s="112" t="s">
        <v>520</v>
      </c>
      <c r="G337" s="303" t="s">
        <v>756</v>
      </c>
      <c r="H337" s="4" t="s">
        <v>365</v>
      </c>
      <c r="I337" s="139">
        <v>1820</v>
      </c>
      <c r="J337" s="139">
        <v>5000</v>
      </c>
      <c r="K337" s="13">
        <f>ROUND(I337*J337,0)</f>
        <v>9100000</v>
      </c>
      <c r="L337" s="116" t="s">
        <v>252</v>
      </c>
      <c r="M337" s="411" t="s">
        <v>169</v>
      </c>
      <c r="N337" s="22" t="str">
        <f>IF(AND('331-CT'!$E$7=TH!H337,OR(L337="331",M337="331")),"331",IF(AND(OR(L337="131",M337="131"),H337='131-CT'!$E$7),"131",""))</f>
        <v/>
      </c>
      <c r="O337" s="22" t="str">
        <f>IF(AND($B337&gt;='111'!$N$11,$B337&lt;='111'!$O$11,OR($L337=$O$7,$M337=$O$7)),"x","")</f>
        <v/>
      </c>
      <c r="P337" s="22" t="str">
        <f>IF(AND($L337=$O$7,$B337&lt;'111'!$N$11),"x","")</f>
        <v/>
      </c>
      <c r="Q337" s="22" t="str">
        <f>IF(AND($M337=$O$7,$B337&lt;'111'!$N$11),"x","")</f>
        <v/>
      </c>
      <c r="R337" s="22" t="str">
        <f>IF(ISERROR(FIND('112'!$M$9,G337,1)),"",IF((AND(FIND('112'!$M$9,G337,1)&gt;=1,$B337&gt;='112'!$N$8,$B337&lt;='112'!$O$8,OR($L337='112'!$I$6,$M337='112'!$I$6))),"x",""))</f>
        <v/>
      </c>
      <c r="S337" s="22" t="str">
        <f>IF(ISERROR(FIND('112'!$M$9,G337,1)),"",IF((AND(LEFT(G337,2)=LEFT('112'!$M$9,2),B337&lt;'112'!$N$8,$L337='112'!$I$6)),"x",""))</f>
        <v/>
      </c>
      <c r="T337" s="22" t="str">
        <f>IF(ISERROR(FIND('112'!$M$9,G337,1)),"",IF((AND(RIGHT(G337,2)=RIGHT('112'!$M$9,2),B337&lt;'112'!$N$8,$M337='112'!$I$6)),"x",""))</f>
        <v/>
      </c>
      <c r="U337" s="22" t="str">
        <f>IF(AND(B337&gt;='IN-NX'!$P$3,B337&lt;='IN-NX'!$Q$3,'IN-NX'!$D$7=D337,OR(LEFT(L337,2)="15",AND(LEFT(M337,2)&lt;&gt;"15",LEFT(M337,2)&lt;&gt;"33"))),"x","")</f>
        <v/>
      </c>
      <c r="V337" s="22" t="str">
        <f>IF(AND(OR(LEFT(TH!L337,2)="15",LEFT(TH!M337,2)="15"),'152-CT'!$J$8=TH!F337),"x","")</f>
        <v/>
      </c>
      <c r="W337" s="22" t="str">
        <f>IF(AND(OR(LEFT(TH!L337,2)="15",LEFT(TH!M337,2)="15"),TK!$E$7=TH!F337),"x","")</f>
        <v/>
      </c>
      <c r="X337" s="22" t="str">
        <f>IF(OR(TH!L337=TH!$X$7,M337=TH!$X$7),"x","")</f>
        <v/>
      </c>
      <c r="Y337" s="22" t="str">
        <f>IF(AND(B337&lt;=NKC!$N$8,B337&gt;=NKC!$M$8),"x","")</f>
        <v>x</v>
      </c>
      <c r="Z337" s="580"/>
      <c r="AC337" s="130"/>
    </row>
    <row r="338" spans="1:31" s="406" customFormat="1" ht="15.75" customHeight="1">
      <c r="A338" s="123" t="str">
        <f>IF(B338&lt;&gt;"",IF(AND(B338&gt;=_TM1,B338&lt;=_TM2,OR(TH!L339="1111",TH!M339="1111")),TH!D339,""),"")</f>
        <v/>
      </c>
      <c r="B338" s="12">
        <f t="shared" si="13"/>
        <v>9</v>
      </c>
      <c r="C338" s="108">
        <f t="shared" si="12"/>
        <v>42628</v>
      </c>
      <c r="D338" s="108" t="s">
        <v>609</v>
      </c>
      <c r="E338" s="113">
        <v>42628</v>
      </c>
      <c r="F338" s="112" t="s">
        <v>546</v>
      </c>
      <c r="G338" s="303" t="s">
        <v>756</v>
      </c>
      <c r="H338" s="4" t="s">
        <v>365</v>
      </c>
      <c r="I338" s="139">
        <v>620</v>
      </c>
      <c r="J338" s="139">
        <v>5550</v>
      </c>
      <c r="K338" s="13">
        <f>ROUND(I338*J338,0)</f>
        <v>3441000</v>
      </c>
      <c r="L338" s="116" t="s">
        <v>252</v>
      </c>
      <c r="M338" s="411" t="s">
        <v>169</v>
      </c>
      <c r="N338" s="22" t="str">
        <f>IF(AND('331-CT'!$E$7=TH!H338,OR(L338="331",M338="331")),"331",IF(AND(OR(L338="131",M338="131"),H338='131-CT'!$E$7),"131",""))</f>
        <v/>
      </c>
      <c r="O338" s="22" t="str">
        <f>IF(AND($B338&gt;='111'!$N$11,$B338&lt;='111'!$O$11,OR($L338=$O$7,$M338=$O$7)),"x","")</f>
        <v/>
      </c>
      <c r="P338" s="22" t="str">
        <f>IF(AND($L338=$O$7,$B338&lt;'111'!$N$11),"x","")</f>
        <v/>
      </c>
      <c r="Q338" s="22" t="str">
        <f>IF(AND($M338=$O$7,$B338&lt;'111'!$N$11),"x","")</f>
        <v/>
      </c>
      <c r="R338" s="22" t="str">
        <f>IF(ISERROR(FIND('112'!$M$9,G338,1)),"",IF((AND(FIND('112'!$M$9,G338,1)&gt;=1,$B338&gt;='112'!$N$8,$B338&lt;='112'!$O$8,OR($L338='112'!$I$6,$M338='112'!$I$6))),"x",""))</f>
        <v/>
      </c>
      <c r="S338" s="22" t="str">
        <f>IF(ISERROR(FIND('112'!$M$9,G338,1)),"",IF((AND(LEFT(G338,2)=LEFT('112'!$M$9,2),B338&lt;'112'!$N$8,$L338='112'!$I$6)),"x",""))</f>
        <v/>
      </c>
      <c r="T338" s="22" t="str">
        <f>IF(ISERROR(FIND('112'!$M$9,G338,1)),"",IF((AND(RIGHT(G338,2)=RIGHT('112'!$M$9,2),B338&lt;'112'!$N$8,$M338='112'!$I$6)),"x",""))</f>
        <v/>
      </c>
      <c r="U338" s="22" t="str">
        <f>IF(AND(B338&gt;='IN-NX'!$P$3,B338&lt;='IN-NX'!$Q$3,'IN-NX'!$D$7=D338,OR(LEFT(L338,2)="15",AND(LEFT(M338,2)&lt;&gt;"15",LEFT(M338,2)&lt;&gt;"33"))),"x","")</f>
        <v/>
      </c>
      <c r="V338" s="22" t="str">
        <f>IF(AND(OR(LEFT(TH!L338,2)="15",LEFT(TH!M338,2)="15"),'152-CT'!$J$8=TH!F338),"x","")</f>
        <v/>
      </c>
      <c r="W338" s="22" t="str">
        <f>IF(AND(OR(LEFT(TH!L338,2)="15",LEFT(TH!M338,2)="15"),TK!$E$7=TH!F338),"x","")</f>
        <v/>
      </c>
      <c r="X338" s="22" t="str">
        <f>IF(OR(TH!L338=TH!$X$7,M338=TH!$X$7),"x","")</f>
        <v/>
      </c>
      <c r="Y338" s="22" t="str">
        <f>IF(AND(B338&lt;=NKC!$N$8,B338&gt;=NKC!$M$8),"x","")</f>
        <v>x</v>
      </c>
      <c r="Z338" s="580"/>
      <c r="AC338" s="130"/>
    </row>
    <row r="339" spans="1:31" s="406" customFormat="1" ht="15.75" customHeight="1">
      <c r="A339" s="123" t="str">
        <f>IF(B339&lt;&gt;"",IF(AND(B339&gt;=_TM1,B339&lt;=_TM2,OR(TH!L340="1111",TH!M340="1111")),TH!D340,""),"")</f>
        <v/>
      </c>
      <c r="B339" s="12">
        <f t="shared" si="13"/>
        <v>9</v>
      </c>
      <c r="C339" s="108">
        <f t="shared" si="12"/>
        <v>42628</v>
      </c>
      <c r="D339" s="108" t="s">
        <v>609</v>
      </c>
      <c r="E339" s="113">
        <v>42628</v>
      </c>
      <c r="F339" s="112" t="s">
        <v>547</v>
      </c>
      <c r="G339" s="303" t="s">
        <v>756</v>
      </c>
      <c r="H339" s="4" t="s">
        <v>365</v>
      </c>
      <c r="I339" s="139">
        <v>304</v>
      </c>
      <c r="J339" s="139">
        <v>5800</v>
      </c>
      <c r="K339" s="13">
        <f>ROUND(I339*J339,0)</f>
        <v>1763200</v>
      </c>
      <c r="L339" s="116" t="s">
        <v>252</v>
      </c>
      <c r="M339" s="411" t="s">
        <v>169</v>
      </c>
      <c r="N339" s="22" t="str">
        <f>IF(AND('331-CT'!$E$7=TH!H339,OR(L339="331",M339="331")),"331",IF(AND(OR(L339="131",M339="131"),H339='131-CT'!$E$7),"131",""))</f>
        <v/>
      </c>
      <c r="O339" s="22" t="str">
        <f>IF(AND($B339&gt;='111'!$N$11,$B339&lt;='111'!$O$11,OR($L339=$O$7,$M339=$O$7)),"x","")</f>
        <v/>
      </c>
      <c r="P339" s="22" t="str">
        <f>IF(AND($L339=$O$7,$B339&lt;'111'!$N$11),"x","")</f>
        <v/>
      </c>
      <c r="Q339" s="22" t="str">
        <f>IF(AND($M339=$O$7,$B339&lt;'111'!$N$11),"x","")</f>
        <v/>
      </c>
      <c r="R339" s="22" t="str">
        <f>IF(ISERROR(FIND('112'!$M$9,G339,1)),"",IF((AND(FIND('112'!$M$9,G339,1)&gt;=1,$B339&gt;='112'!$N$8,$B339&lt;='112'!$O$8,OR($L339='112'!$I$6,$M339='112'!$I$6))),"x",""))</f>
        <v/>
      </c>
      <c r="S339" s="22" t="str">
        <f>IF(ISERROR(FIND('112'!$M$9,G339,1)),"",IF((AND(LEFT(G339,2)=LEFT('112'!$M$9,2),B339&lt;'112'!$N$8,$L339='112'!$I$6)),"x",""))</f>
        <v/>
      </c>
      <c r="T339" s="22" t="str">
        <f>IF(ISERROR(FIND('112'!$M$9,G339,1)),"",IF((AND(RIGHT(G339,2)=RIGHT('112'!$M$9,2),B339&lt;'112'!$N$8,$M339='112'!$I$6)),"x",""))</f>
        <v/>
      </c>
      <c r="U339" s="22" t="str">
        <f>IF(AND(B339&gt;='IN-NX'!$P$3,B339&lt;='IN-NX'!$Q$3,'IN-NX'!$D$7=D339,OR(LEFT(L339,2)="15",AND(LEFT(M339,2)&lt;&gt;"15",LEFT(M339,2)&lt;&gt;"33"))),"x","")</f>
        <v/>
      </c>
      <c r="V339" s="22" t="str">
        <f>IF(AND(OR(LEFT(TH!L339,2)="15",LEFT(TH!M339,2)="15"),'152-CT'!$J$8=TH!F339),"x","")</f>
        <v/>
      </c>
      <c r="W339" s="22" t="str">
        <f>IF(AND(OR(LEFT(TH!L339,2)="15",LEFT(TH!M339,2)="15"),TK!$E$7=TH!F339),"x","")</f>
        <v/>
      </c>
      <c r="X339" s="22" t="str">
        <f>IF(OR(TH!L339=TH!$X$7,M339=TH!$X$7),"x","")</f>
        <v/>
      </c>
      <c r="Y339" s="22" t="str">
        <f>IF(AND(B339&lt;=NKC!$N$8,B339&gt;=NKC!$M$8),"x","")</f>
        <v>x</v>
      </c>
      <c r="Z339" s="580"/>
      <c r="AC339" s="130"/>
    </row>
    <row r="340" spans="1:31" s="406" customFormat="1" ht="15.75" customHeight="1">
      <c r="A340" s="123" t="str">
        <f>IF(B340&lt;&gt;"",IF(AND(B340&gt;=_TM1,B340&lt;=_TM2,OR(TH!L341="1111",TH!M341="1111")),TH!D341,""),"")</f>
        <v/>
      </c>
      <c r="B340" s="12">
        <f t="shared" si="13"/>
        <v>9</v>
      </c>
      <c r="C340" s="108">
        <f t="shared" si="12"/>
        <v>42628</v>
      </c>
      <c r="D340" s="108" t="s">
        <v>609</v>
      </c>
      <c r="E340" s="113">
        <v>42628</v>
      </c>
      <c r="F340" s="112" t="s">
        <v>548</v>
      </c>
      <c r="G340" s="303" t="s">
        <v>756</v>
      </c>
      <c r="H340" s="4" t="s">
        <v>365</v>
      </c>
      <c r="I340" s="139">
        <v>316</v>
      </c>
      <c r="J340" s="139">
        <v>5600</v>
      </c>
      <c r="K340" s="13">
        <f>ROUND(I340*J340,0)</f>
        <v>1769600</v>
      </c>
      <c r="L340" s="116" t="s">
        <v>252</v>
      </c>
      <c r="M340" s="411" t="s">
        <v>169</v>
      </c>
      <c r="N340" s="22" t="str">
        <f>IF(AND('331-CT'!$E$7=TH!H340,OR(L340="331",M340="331")),"331",IF(AND(OR(L340="131",M340="131"),H340='131-CT'!$E$7),"131",""))</f>
        <v/>
      </c>
      <c r="O340" s="22" t="str">
        <f>IF(AND($B340&gt;='111'!$N$11,$B340&lt;='111'!$O$11,OR($L340=$O$7,$M340=$O$7)),"x","")</f>
        <v/>
      </c>
      <c r="P340" s="22" t="str">
        <f>IF(AND($L340=$O$7,$B340&lt;'111'!$N$11),"x","")</f>
        <v/>
      </c>
      <c r="Q340" s="22" t="str">
        <f>IF(AND($M340=$O$7,$B340&lt;'111'!$N$11),"x","")</f>
        <v/>
      </c>
      <c r="R340" s="22" t="str">
        <f>IF(ISERROR(FIND('112'!$M$9,G340,1)),"",IF((AND(FIND('112'!$M$9,G340,1)&gt;=1,$B340&gt;='112'!$N$8,$B340&lt;='112'!$O$8,OR($L340='112'!$I$6,$M340='112'!$I$6))),"x",""))</f>
        <v/>
      </c>
      <c r="S340" s="22" t="str">
        <f>IF(ISERROR(FIND('112'!$M$9,G340,1)),"",IF((AND(LEFT(G340,2)=LEFT('112'!$M$9,2),B340&lt;'112'!$N$8,$L340='112'!$I$6)),"x",""))</f>
        <v/>
      </c>
      <c r="T340" s="22" t="str">
        <f>IF(ISERROR(FIND('112'!$M$9,G340,1)),"",IF((AND(RIGHT(G340,2)=RIGHT('112'!$M$9,2),B340&lt;'112'!$N$8,$M340='112'!$I$6)),"x",""))</f>
        <v/>
      </c>
      <c r="U340" s="22" t="str">
        <f>IF(AND(B340&gt;='IN-NX'!$P$3,B340&lt;='IN-NX'!$Q$3,'IN-NX'!$D$7=D340,OR(LEFT(L340,2)="15",AND(LEFT(M340,2)&lt;&gt;"15",LEFT(M340,2)&lt;&gt;"33"))),"x","")</f>
        <v/>
      </c>
      <c r="V340" s="22" t="str">
        <f>IF(AND(OR(LEFT(TH!L340,2)="15",LEFT(TH!M340,2)="15"),'152-CT'!$J$8=TH!F340),"x","")</f>
        <v/>
      </c>
      <c r="W340" s="22" t="str">
        <f>IF(AND(OR(LEFT(TH!L340,2)="15",LEFT(TH!M340,2)="15"),TK!$E$7=TH!F340),"x","")</f>
        <v/>
      </c>
      <c r="X340" s="22" t="str">
        <f>IF(OR(TH!L340=TH!$X$7,M340=TH!$X$7),"x","")</f>
        <v/>
      </c>
      <c r="Y340" s="22" t="str">
        <f>IF(AND(B340&lt;=NKC!$N$8,B340&gt;=NKC!$M$8),"x","")</f>
        <v>x</v>
      </c>
      <c r="Z340" s="580"/>
      <c r="AC340" s="130"/>
    </row>
    <row r="341" spans="1:31" s="130" customFormat="1" ht="15.75" customHeight="1">
      <c r="A341" s="123" t="str">
        <f>IF(B341&lt;&gt;"",IF(AND(B341&gt;=_TM1,B341&lt;=_TM2,OR(TH!L342="1111",TH!M342="1111")),TH!D342,""),"")</f>
        <v/>
      </c>
      <c r="B341" s="12">
        <f t="shared" si="13"/>
        <v>9</v>
      </c>
      <c r="C341" s="108">
        <f t="shared" si="12"/>
        <v>42628</v>
      </c>
      <c r="D341" s="108" t="s">
        <v>609</v>
      </c>
      <c r="E341" s="113">
        <v>42628</v>
      </c>
      <c r="F341" s="112" t="s">
        <v>496</v>
      </c>
      <c r="G341" s="303" t="s">
        <v>756</v>
      </c>
      <c r="H341" s="4" t="s">
        <v>365</v>
      </c>
      <c r="I341" s="139"/>
      <c r="J341" s="139"/>
      <c r="K341" s="13">
        <v>1607380</v>
      </c>
      <c r="L341" s="116" t="s">
        <v>252</v>
      </c>
      <c r="M341" s="411" t="s">
        <v>352</v>
      </c>
      <c r="N341" s="22" t="str">
        <f>IF(AND('331-CT'!$E$7=TH!H341,OR(L341="331",M341="331")),"331",IF(AND(OR(L341="131",M341="131"),H341='131-CT'!$E$7),"131",""))</f>
        <v/>
      </c>
      <c r="O341" s="22" t="str">
        <f>IF(AND($B341&gt;='111'!$N$11,$B341&lt;='111'!$O$11,OR($L341=$O$7,$M341=$O$7)),"x","")</f>
        <v/>
      </c>
      <c r="P341" s="22" t="str">
        <f>IF(AND($L341=$O$7,$B341&lt;'111'!$N$11),"x","")</f>
        <v/>
      </c>
      <c r="Q341" s="22" t="str">
        <f>IF(AND($M341=$O$7,$B341&lt;'111'!$N$11),"x","")</f>
        <v/>
      </c>
      <c r="R341" s="22" t="str">
        <f>IF(ISERROR(FIND('112'!$M$9,G341,1)),"",IF((AND(FIND('112'!$M$9,G341,1)&gt;=1,$B341&gt;='112'!$N$8,$B341&lt;='112'!$O$8,OR($L341='112'!$I$6,$M341='112'!$I$6))),"x",""))</f>
        <v/>
      </c>
      <c r="S341" s="22" t="str">
        <f>IF(ISERROR(FIND('112'!$M$9,G341,1)),"",IF((AND(LEFT(G341,2)=LEFT('112'!$M$9,2),B341&lt;'112'!$N$8,$L341='112'!$I$6)),"x",""))</f>
        <v/>
      </c>
      <c r="T341" s="22" t="str">
        <f>IF(ISERROR(FIND('112'!$M$9,G341,1)),"",IF((AND(RIGHT(G341,2)=RIGHT('112'!$M$9,2),B341&lt;'112'!$N$8,$M341='112'!$I$6)),"x",""))</f>
        <v/>
      </c>
      <c r="U341" s="22" t="str">
        <f>IF(AND(B341&gt;='IN-NX'!$P$3,B341&lt;='IN-NX'!$Q$3,'IN-NX'!$D$7=D341,OR(LEFT(L341,2)="15",AND(LEFT(M341,2)&lt;&gt;"15",LEFT(M341,2)&lt;&gt;"33"))),"x","")</f>
        <v/>
      </c>
      <c r="V341" s="22" t="str">
        <f>IF(AND(OR(LEFT(TH!L341,2)="15",LEFT(TH!M341,2)="15"),'152-CT'!$J$8=TH!F341),"x","")</f>
        <v/>
      </c>
      <c r="W341" s="22" t="str">
        <f>IF(AND(OR(LEFT(TH!L341,2)="15",LEFT(TH!M341,2)="15"),TK!$E$7=TH!F341),"x","")</f>
        <v/>
      </c>
      <c r="X341" s="22" t="str">
        <f>IF(OR(TH!L341=TH!$X$7,M341=TH!$X$7),"x","")</f>
        <v/>
      </c>
      <c r="Y341" s="22" t="str">
        <f>IF(AND(B341&lt;=NKC!$N$8,B341&gt;=NKC!$M$8),"x","")</f>
        <v>x</v>
      </c>
      <c r="Z341" s="580"/>
      <c r="AA341" s="406"/>
      <c r="AB341" s="406"/>
      <c r="AD341" s="406"/>
      <c r="AE341" s="406"/>
    </row>
    <row r="342" spans="1:31" s="130" customFormat="1" ht="15.75" customHeight="1">
      <c r="A342" s="123" t="str">
        <f>IF(B342&lt;&gt;"",IF(AND(B342&gt;=_TM1,B342&lt;=_TM2,OR(TH!L343="1111",TH!M343="1111")),TH!D343,""),"")</f>
        <v/>
      </c>
      <c r="B342" s="12">
        <f t="shared" si="13"/>
        <v>9</v>
      </c>
      <c r="C342" s="108">
        <f t="shared" si="12"/>
        <v>42630</v>
      </c>
      <c r="D342" s="108" t="s">
        <v>946</v>
      </c>
      <c r="E342" s="108">
        <v>42630</v>
      </c>
      <c r="F342" s="112" t="s">
        <v>444</v>
      </c>
      <c r="G342" s="303" t="s">
        <v>982</v>
      </c>
      <c r="H342" s="115" t="s">
        <v>442</v>
      </c>
      <c r="I342" s="139">
        <v>18500</v>
      </c>
      <c r="J342" s="139">
        <v>780</v>
      </c>
      <c r="K342" s="13">
        <f>ROUND(I342*J342,0)</f>
        <v>14430000</v>
      </c>
      <c r="L342" s="116" t="s">
        <v>156</v>
      </c>
      <c r="M342" s="116" t="s">
        <v>8</v>
      </c>
      <c r="N342" s="22" t="str">
        <f>IF(AND('331-CT'!$E$7=TH!H342,OR(L342="331",M342="331")),"331",IF(AND(OR(L342="131",M342="131"),H342='131-CT'!$E$7),"131",""))</f>
        <v>331</v>
      </c>
      <c r="O342" s="22" t="str">
        <f>IF(AND($B342&gt;='111'!$N$11,$B342&lt;='111'!$O$11,OR($L342=$O$7,$M342=$O$7)),"x","")</f>
        <v/>
      </c>
      <c r="P342" s="22" t="str">
        <f>IF(AND($L342=$O$7,$B342&lt;'111'!$N$11),"x","")</f>
        <v/>
      </c>
      <c r="Q342" s="22" t="str">
        <f>IF(AND($M342=$O$7,$B342&lt;'111'!$N$11),"x","")</f>
        <v/>
      </c>
      <c r="R342" s="22" t="str">
        <f>IF(ISERROR(FIND('112'!$M$9,G342,1)),"",IF((AND(FIND('112'!$M$9,G342,1)&gt;=1,$B342&gt;='112'!$N$8,$B342&lt;='112'!$O$8,OR($L342='112'!$I$6,$M342='112'!$I$6))),"x",""))</f>
        <v/>
      </c>
      <c r="S342" s="22" t="str">
        <f>IF(ISERROR(FIND('112'!$M$9,G342,1)),"",IF((AND(LEFT(G342,2)=LEFT('112'!$M$9,2),B342&lt;'112'!$N$8,$L342='112'!$I$6)),"x",""))</f>
        <v/>
      </c>
      <c r="T342" s="22" t="str">
        <f>IF(ISERROR(FIND('112'!$M$9,G342,1)),"",IF((AND(RIGHT(G342,2)=RIGHT('112'!$M$9,2),B342&lt;'112'!$N$8,$M342='112'!$I$6)),"x",""))</f>
        <v/>
      </c>
      <c r="U342" s="22" t="str">
        <f>IF(AND(B342&gt;='IN-NX'!$P$3,B342&lt;='IN-NX'!$Q$3,'IN-NX'!$D$7=D342,OR(LEFT(L342,2)="15",AND(LEFT(M342,2)&lt;&gt;"15",LEFT(M342,2)&lt;&gt;"33"))),"x","")</f>
        <v/>
      </c>
      <c r="V342" s="22" t="str">
        <f>IF(AND(OR(LEFT(TH!L342,2)="15",LEFT(TH!M342,2)="15"),'152-CT'!$J$8=TH!F342),"x","")</f>
        <v/>
      </c>
      <c r="W342" s="22" t="str">
        <f>IF(AND(OR(LEFT(TH!L342,2)="15",LEFT(TH!M342,2)="15"),TK!$E$7=TH!F342),"x","")</f>
        <v>x</v>
      </c>
      <c r="X342" s="22" t="str">
        <f>IF(OR(TH!L342=TH!$X$7,M342=TH!$X$7),"x","")</f>
        <v/>
      </c>
      <c r="Y342" s="22" t="str">
        <f>IF(AND(B342&lt;=NKC!$N$8,B342&gt;=NKC!$M$8),"x","")</f>
        <v>x</v>
      </c>
      <c r="Z342" s="580">
        <v>4</v>
      </c>
      <c r="AA342" s="406"/>
      <c r="AB342" s="406"/>
      <c r="AC342" s="406"/>
      <c r="AD342" s="406"/>
      <c r="AE342" s="406"/>
    </row>
    <row r="343" spans="1:31" s="406" customFormat="1" ht="15.75" customHeight="1">
      <c r="A343" s="123" t="str">
        <f>IF(B343&lt;&gt;"",IF(AND(B343&gt;=_TM1,B343&lt;=_TM2,OR(TH!L344="1111",TH!M344="1111")),TH!D344,""),"")</f>
        <v/>
      </c>
      <c r="B343" s="12">
        <f t="shared" si="13"/>
        <v>9</v>
      </c>
      <c r="C343" s="108">
        <f t="shared" si="12"/>
        <v>42630</v>
      </c>
      <c r="D343" s="108" t="s">
        <v>946</v>
      </c>
      <c r="E343" s="108">
        <v>42630</v>
      </c>
      <c r="F343" s="112" t="s">
        <v>445</v>
      </c>
      <c r="G343" s="303" t="s">
        <v>982</v>
      </c>
      <c r="H343" s="115" t="s">
        <v>442</v>
      </c>
      <c r="I343" s="139"/>
      <c r="J343" s="139"/>
      <c r="K343" s="410">
        <v>1443000</v>
      </c>
      <c r="L343" s="116" t="s">
        <v>9</v>
      </c>
      <c r="M343" s="116" t="s">
        <v>8</v>
      </c>
      <c r="N343" s="22" t="str">
        <f>IF(AND('331-CT'!$E$7=TH!H343,OR(L343="331",M343="331")),"331",IF(AND(OR(L343="131",M343="131"),H343='131-CT'!$E$7),"131",""))</f>
        <v>331</v>
      </c>
      <c r="O343" s="22" t="str">
        <f>IF(AND($B343&gt;='111'!$N$11,$B343&lt;='111'!$O$11,OR($L343=$O$7,$M343=$O$7)),"x","")</f>
        <v/>
      </c>
      <c r="P343" s="22" t="str">
        <f>IF(AND($L343=$O$7,$B343&lt;'111'!$N$11),"x","")</f>
        <v/>
      </c>
      <c r="Q343" s="22" t="str">
        <f>IF(AND($M343=$O$7,$B343&lt;'111'!$N$11),"x","")</f>
        <v/>
      </c>
      <c r="R343" s="22" t="str">
        <f>IF(ISERROR(FIND('112'!$M$9,G343,1)),"",IF((AND(FIND('112'!$M$9,G343,1)&gt;=1,$B343&gt;='112'!$N$8,$B343&lt;='112'!$O$8,OR($L343='112'!$I$6,$M343='112'!$I$6))),"x",""))</f>
        <v/>
      </c>
      <c r="S343" s="22" t="str">
        <f>IF(ISERROR(FIND('112'!$M$9,G343,1)),"",IF((AND(LEFT(G343,2)=LEFT('112'!$M$9,2),B343&lt;'112'!$N$8,$L343='112'!$I$6)),"x",""))</f>
        <v/>
      </c>
      <c r="T343" s="22" t="str">
        <f>IF(ISERROR(FIND('112'!$M$9,G343,1)),"",IF((AND(RIGHT(G343,2)=RIGHT('112'!$M$9,2),B343&lt;'112'!$N$8,$M343='112'!$I$6)),"x",""))</f>
        <v/>
      </c>
      <c r="U343" s="22" t="str">
        <f>IF(AND(B343&gt;='IN-NX'!$P$3,B343&lt;='IN-NX'!$Q$3,'IN-NX'!$D$7=D343,OR(LEFT(L343,2)="15",AND(LEFT(M343,2)&lt;&gt;"15",LEFT(M343,2)&lt;&gt;"33"))),"x","")</f>
        <v/>
      </c>
      <c r="V343" s="22" t="str">
        <f>IF(AND(OR(LEFT(TH!L343,2)="15",LEFT(TH!M343,2)="15"),'152-CT'!$J$8=TH!F343),"x","")</f>
        <v/>
      </c>
      <c r="W343" s="22" t="str">
        <f>IF(AND(OR(LEFT(TH!L343,2)="15",LEFT(TH!M343,2)="15"),TK!$E$7=TH!F343),"x","")</f>
        <v/>
      </c>
      <c r="X343" s="22" t="str">
        <f>IF(OR(TH!L343=TH!$X$7,M343=TH!$X$7),"x","")</f>
        <v/>
      </c>
      <c r="Y343" s="22" t="str">
        <f>IF(AND(B343&lt;=NKC!$N$8,B343&gt;=NKC!$M$8),"x","")</f>
        <v>x</v>
      </c>
      <c r="Z343" s="580">
        <v>4</v>
      </c>
    </row>
    <row r="344" spans="1:31" s="406" customFormat="1" ht="15.75" customHeight="1">
      <c r="A344" s="123" t="str">
        <f>IF(B344&lt;&gt;"",IF(AND(B344&gt;=_TM1,B344&lt;=_TM2,OR(TH!L345="1111",TH!M345="1111")),TH!D345,""),"")</f>
        <v/>
      </c>
      <c r="B344" s="12">
        <f t="shared" si="13"/>
        <v>9</v>
      </c>
      <c r="C344" s="108">
        <f t="shared" si="12"/>
        <v>42630</v>
      </c>
      <c r="D344" s="108" t="s">
        <v>1007</v>
      </c>
      <c r="E344" s="108">
        <v>42630</v>
      </c>
      <c r="F344" s="112" t="s">
        <v>465</v>
      </c>
      <c r="G344" s="303" t="s">
        <v>982</v>
      </c>
      <c r="H344" s="115" t="s">
        <v>442</v>
      </c>
      <c r="I344" s="139"/>
      <c r="J344" s="139"/>
      <c r="K344" s="410">
        <v>15873000</v>
      </c>
      <c r="L344" s="116" t="s">
        <v>8</v>
      </c>
      <c r="M344" s="116" t="s">
        <v>46</v>
      </c>
      <c r="N344" s="22" t="str">
        <f>IF(AND('331-CT'!$E$7=TH!H344,OR(L344="331",M344="331")),"331",IF(AND(OR(L344="131",M344="131"),H344='131-CT'!$E$7),"131",""))</f>
        <v>331</v>
      </c>
      <c r="O344" s="22" t="str">
        <f>IF(AND($B344&gt;='111'!$N$11,$B344&lt;='111'!$O$11,OR($L344=$O$7,$M344=$O$7)),"x","")</f>
        <v/>
      </c>
      <c r="P344" s="22" t="str">
        <f>IF(AND($L344=$O$7,$B344&lt;'111'!$N$11),"x","")</f>
        <v/>
      </c>
      <c r="Q344" s="22" t="str">
        <f>IF(AND($M344=$O$7,$B344&lt;'111'!$N$11),"x","")</f>
        <v>x</v>
      </c>
      <c r="R344" s="22" t="str">
        <f>IF(ISERROR(FIND('112'!$M$9,G344,1)),"",IF((AND(FIND('112'!$M$9,G344,1)&gt;=1,$B344&gt;='112'!$N$8,$B344&lt;='112'!$O$8,OR($L344='112'!$I$6,$M344='112'!$I$6))),"x",""))</f>
        <v/>
      </c>
      <c r="S344" s="22" t="str">
        <f>IF(ISERROR(FIND('112'!$M$9,G344,1)),"",IF((AND(LEFT(G344,2)=LEFT('112'!$M$9,2),B344&lt;'112'!$N$8,$L344='112'!$I$6)),"x",""))</f>
        <v/>
      </c>
      <c r="T344" s="22" t="str">
        <f>IF(ISERROR(FIND('112'!$M$9,G344,1)),"",IF((AND(RIGHT(G344,2)=RIGHT('112'!$M$9,2),B344&lt;'112'!$N$8,$M344='112'!$I$6)),"x",""))</f>
        <v/>
      </c>
      <c r="U344" s="22" t="str">
        <f>IF(AND(B344&gt;='IN-NX'!$P$3,B344&lt;='IN-NX'!$Q$3,'IN-NX'!$D$7=D344,OR(LEFT(L344,2)="15",AND(LEFT(M344,2)&lt;&gt;"15",LEFT(M344,2)&lt;&gt;"33"))),"x","")</f>
        <v/>
      </c>
      <c r="V344" s="22" t="str">
        <f>IF(AND(OR(LEFT(TH!L344,2)="15",LEFT(TH!M344,2)="15"),'152-CT'!$J$8=TH!F344),"x","")</f>
        <v/>
      </c>
      <c r="W344" s="22" t="str">
        <f>IF(AND(OR(LEFT(TH!L344,2)="15",LEFT(TH!M344,2)="15"),TK!$E$7=TH!F344),"x","")</f>
        <v/>
      </c>
      <c r="X344" s="22" t="str">
        <f>IF(OR(TH!L344=TH!$X$7,M344=TH!$X$7),"x","")</f>
        <v/>
      </c>
      <c r="Y344" s="22" t="str">
        <f>IF(AND(B344&lt;=NKC!$N$8,B344&gt;=NKC!$M$8),"x","")</f>
        <v>x</v>
      </c>
      <c r="Z344" s="580"/>
    </row>
    <row r="345" spans="1:31" s="406" customFormat="1" ht="15.75" customHeight="1">
      <c r="A345" s="123" t="str">
        <f>IF(B345&lt;&gt;"",IF(AND(B345&gt;=_TM1,B345&lt;=_TM2,OR(TH!L346="1111",TH!M346="1111")),TH!D346,""),"")</f>
        <v/>
      </c>
      <c r="B345" s="12">
        <f t="shared" si="13"/>
        <v>9</v>
      </c>
      <c r="C345" s="108">
        <f t="shared" ref="C345:C392" si="14">E345</f>
        <v>42632</v>
      </c>
      <c r="D345" s="108" t="s">
        <v>469</v>
      </c>
      <c r="E345" s="113">
        <v>42632</v>
      </c>
      <c r="F345" s="112" t="s">
        <v>484</v>
      </c>
      <c r="G345" s="303" t="s">
        <v>474</v>
      </c>
      <c r="H345" s="4" t="s">
        <v>365</v>
      </c>
      <c r="I345" s="139"/>
      <c r="J345" s="139"/>
      <c r="K345" s="410">
        <v>17681180</v>
      </c>
      <c r="L345" s="411" t="s">
        <v>24</v>
      </c>
      <c r="M345" s="411" t="s">
        <v>252</v>
      </c>
      <c r="N345" s="22" t="str">
        <f>IF(AND('331-CT'!$E$7=TH!H345,OR(L345="331",M345="331")),"331",IF(AND(OR(L345="131",M345="131"),H345='131-CT'!$E$7),"131",""))</f>
        <v/>
      </c>
      <c r="O345" s="22" t="str">
        <f>IF(AND($B345&gt;='111'!$N$11,$B345&lt;='111'!$O$11,OR($L345=$O$7,$M345=$O$7)),"x","")</f>
        <v/>
      </c>
      <c r="P345" s="22" t="str">
        <f>IF(AND($L345=$O$7,$B345&lt;'111'!$N$11),"x","")</f>
        <v/>
      </c>
      <c r="Q345" s="22" t="str">
        <f>IF(AND($M345=$O$7,$B345&lt;'111'!$N$11),"x","")</f>
        <v/>
      </c>
      <c r="R345" s="22" t="str">
        <f>IF(ISERROR(FIND('112'!$M$9,G345,1)),"",IF((AND(FIND('112'!$M$9,G345,1)&gt;=1,$B345&gt;='112'!$N$8,$B345&lt;='112'!$O$8,OR($L345='112'!$I$6,$M345='112'!$I$6))),"x",""))</f>
        <v/>
      </c>
      <c r="S345" s="22" t="str">
        <f>IF(ISERROR(FIND('112'!$M$9,G345,1)),"",IF((AND(LEFT(G345,2)=LEFT('112'!$M$9,2),B345&lt;'112'!$N$8,$L345='112'!$I$6)),"x",""))</f>
        <v>x</v>
      </c>
      <c r="T345" s="22" t="str">
        <f>IF(ISERROR(FIND('112'!$M$9,G345,1)),"",IF((AND(RIGHT(G345,2)=RIGHT('112'!$M$9,2),B345&lt;'112'!$N$8,$M345='112'!$I$6)),"x",""))</f>
        <v/>
      </c>
      <c r="U345" s="22" t="str">
        <f>IF(AND(B345&gt;='IN-NX'!$P$3,B345&lt;='IN-NX'!$Q$3,'IN-NX'!$D$7=D345,OR(LEFT(L345,2)="15",AND(LEFT(M345,2)&lt;&gt;"15",LEFT(M345,2)&lt;&gt;"33"))),"x","")</f>
        <v/>
      </c>
      <c r="V345" s="22" t="str">
        <f>IF(AND(OR(LEFT(TH!L345,2)="15",LEFT(TH!M345,2)="15"),'152-CT'!$J$8=TH!F345),"x","")</f>
        <v/>
      </c>
      <c r="W345" s="22" t="str">
        <f>IF(AND(OR(LEFT(TH!L345,2)="15",LEFT(TH!M345,2)="15"),TK!$E$7=TH!F345),"x","")</f>
        <v/>
      </c>
      <c r="X345" s="22" t="str">
        <f>IF(OR(TH!L345=TH!$X$7,M345=TH!$X$7),"x","")</f>
        <v/>
      </c>
      <c r="Y345" s="22" t="str">
        <f>IF(AND(B345&lt;=NKC!$N$8,B345&gt;=NKC!$M$8),"x","")</f>
        <v>x</v>
      </c>
      <c r="Z345" s="580"/>
      <c r="AD345" s="130"/>
      <c r="AE345" s="130"/>
    </row>
    <row r="346" spans="1:31" s="406" customFormat="1" ht="15.75" customHeight="1">
      <c r="A346" s="123" t="str">
        <f>IF(B346&lt;&gt;"",IF(AND(B346&gt;=_TM1,B346&lt;=_TM2,OR(TH!L347="1111",TH!M347="1111")),TH!D347,""),"")</f>
        <v/>
      </c>
      <c r="B346" s="12">
        <f t="shared" si="13"/>
        <v>9</v>
      </c>
      <c r="C346" s="108">
        <f t="shared" si="14"/>
        <v>42633</v>
      </c>
      <c r="D346" s="108" t="s">
        <v>1008</v>
      </c>
      <c r="E346" s="113">
        <v>42633</v>
      </c>
      <c r="F346" s="112" t="s">
        <v>471</v>
      </c>
      <c r="G346" s="303" t="s">
        <v>474</v>
      </c>
      <c r="H346" s="4" t="s">
        <v>475</v>
      </c>
      <c r="I346" s="139"/>
      <c r="J346" s="139"/>
      <c r="K346" s="13">
        <v>2300000</v>
      </c>
      <c r="L346" s="116" t="s">
        <v>24</v>
      </c>
      <c r="M346" s="116" t="s">
        <v>46</v>
      </c>
      <c r="N346" s="22" t="str">
        <f>IF(AND('331-CT'!$E$7=TH!H346,OR(L346="331",M346="331")),"331",IF(AND(OR(L346="131",M346="131"),H346='131-CT'!$E$7),"131",""))</f>
        <v/>
      </c>
      <c r="O346" s="22" t="str">
        <f>IF(AND($B346&gt;='111'!$N$11,$B346&lt;='111'!$O$11,OR($L346=$O$7,$M346=$O$7)),"x","")</f>
        <v/>
      </c>
      <c r="P346" s="22" t="str">
        <f>IF(AND($L346=$O$7,$B346&lt;'111'!$N$11),"x","")</f>
        <v/>
      </c>
      <c r="Q346" s="22" t="str">
        <f>IF(AND($M346=$O$7,$B346&lt;'111'!$N$11),"x","")</f>
        <v>x</v>
      </c>
      <c r="R346" s="22" t="str">
        <f>IF(ISERROR(FIND('112'!$M$9,G346,1)),"",IF((AND(FIND('112'!$M$9,G346,1)&gt;=1,$B346&gt;='112'!$N$8,$B346&lt;='112'!$O$8,OR($L346='112'!$I$6,$M346='112'!$I$6))),"x",""))</f>
        <v/>
      </c>
      <c r="S346" s="22" t="str">
        <f>IF(ISERROR(FIND('112'!$M$9,G346,1)),"",IF((AND(LEFT(G346,2)=LEFT('112'!$M$9,2),B346&lt;'112'!$N$8,$L346='112'!$I$6)),"x",""))</f>
        <v>x</v>
      </c>
      <c r="T346" s="22" t="str">
        <f>IF(ISERROR(FIND('112'!$M$9,G346,1)),"",IF((AND(RIGHT(G346,2)=RIGHT('112'!$M$9,2),B346&lt;'112'!$N$8,$M346='112'!$I$6)),"x",""))</f>
        <v/>
      </c>
      <c r="U346" s="22" t="str">
        <f>IF(AND(B346&gt;='IN-NX'!$P$3,B346&lt;='IN-NX'!$Q$3,'IN-NX'!$D$7=D346,OR(LEFT(L346,2)="15",AND(LEFT(M346,2)&lt;&gt;"15",LEFT(M346,2)&lt;&gt;"33"))),"x","")</f>
        <v/>
      </c>
      <c r="V346" s="22" t="str">
        <f>IF(AND(OR(LEFT(TH!L346,2)="15",LEFT(TH!M346,2)="15"),'152-CT'!$J$8=TH!F346),"x","")</f>
        <v/>
      </c>
      <c r="W346" s="22" t="str">
        <f>IF(AND(OR(LEFT(TH!L346,2)="15",LEFT(TH!M346,2)="15"),TK!$E$7=TH!F346),"x","")</f>
        <v/>
      </c>
      <c r="X346" s="22" t="str">
        <f>IF(OR(TH!L346=TH!$X$7,M346=TH!$X$7),"x","")</f>
        <v/>
      </c>
      <c r="Y346" s="22" t="str">
        <f>IF(AND(B346&lt;=NKC!$N$8,B346&gt;=NKC!$M$8),"x","")</f>
        <v>x</v>
      </c>
      <c r="Z346" s="580"/>
      <c r="AD346" s="130"/>
      <c r="AE346" s="130"/>
    </row>
    <row r="347" spans="1:31" s="406" customFormat="1" ht="15.75" customHeight="1">
      <c r="A347" s="123" t="str">
        <f>IF(B347&lt;&gt;"",IF(AND(B347&gt;=_TM1,B347&lt;=_TM2,OR(TH!L348="1111",TH!M348="1111")),TH!D348,""),"")</f>
        <v/>
      </c>
      <c r="B347" s="12">
        <f t="shared" si="13"/>
        <v>9</v>
      </c>
      <c r="C347" s="108">
        <f t="shared" si="14"/>
        <v>42633</v>
      </c>
      <c r="D347" s="108" t="s">
        <v>470</v>
      </c>
      <c r="E347" s="113">
        <v>42633</v>
      </c>
      <c r="F347" s="112" t="s">
        <v>479</v>
      </c>
      <c r="G347" s="303" t="s">
        <v>474</v>
      </c>
      <c r="H347" s="115" t="s">
        <v>624</v>
      </c>
      <c r="I347" s="139"/>
      <c r="J347" s="139"/>
      <c r="K347" s="13">
        <v>20000000</v>
      </c>
      <c r="L347" s="116" t="s">
        <v>8</v>
      </c>
      <c r="M347" s="116" t="s">
        <v>24</v>
      </c>
      <c r="N347" s="22" t="str">
        <f>IF(AND('331-CT'!$E$7=TH!H347,OR(L347="331",M347="331")),"331",IF(AND(OR(L347="131",M347="131"),H347='131-CT'!$E$7),"131",""))</f>
        <v/>
      </c>
      <c r="O347" s="22" t="str">
        <f>IF(AND($B347&gt;='111'!$N$11,$B347&lt;='111'!$O$11,OR($L347=$O$7,$M347=$O$7)),"x","")</f>
        <v/>
      </c>
      <c r="P347" s="22" t="str">
        <f>IF(AND($L347=$O$7,$B347&lt;'111'!$N$11),"x","")</f>
        <v/>
      </c>
      <c r="Q347" s="22" t="str">
        <f>IF(AND($M347=$O$7,$B347&lt;'111'!$N$11),"x","")</f>
        <v/>
      </c>
      <c r="R347" s="22" t="str">
        <f>IF(ISERROR(FIND('112'!$M$9,G347,1)),"",IF((AND(FIND('112'!$M$9,G347,1)&gt;=1,$B347&gt;='112'!$N$8,$B347&lt;='112'!$O$8,OR($L347='112'!$I$6,$M347='112'!$I$6))),"x",""))</f>
        <v/>
      </c>
      <c r="S347" s="22" t="str">
        <f>IF(ISERROR(FIND('112'!$M$9,G347,1)),"",IF((AND(LEFT(G347,2)=LEFT('112'!$M$9,2),B347&lt;'112'!$N$8,$L347='112'!$I$6)),"x",""))</f>
        <v/>
      </c>
      <c r="T347" s="22" t="str">
        <f>IF(ISERROR(FIND('112'!$M$9,G347,1)),"",IF((AND(RIGHT(G347,2)=RIGHT('112'!$M$9,2),B347&lt;'112'!$N$8,$M347='112'!$I$6)),"x",""))</f>
        <v>x</v>
      </c>
      <c r="U347" s="22" t="str">
        <f>IF(AND(B347&gt;='IN-NX'!$P$3,B347&lt;='IN-NX'!$Q$3,'IN-NX'!$D$7=D347,OR(LEFT(L347,2)="15",AND(LEFT(M347,2)&lt;&gt;"15",LEFT(M347,2)&lt;&gt;"33"))),"x","")</f>
        <v/>
      </c>
      <c r="V347" s="22" t="str">
        <f>IF(AND(OR(LEFT(TH!L347,2)="15",LEFT(TH!M347,2)="15"),'152-CT'!$J$8=TH!F347),"x","")</f>
        <v/>
      </c>
      <c r="W347" s="22" t="str">
        <f>IF(AND(OR(LEFT(TH!L347,2)="15",LEFT(TH!M347,2)="15"),TK!$E$7=TH!F347),"x","")</f>
        <v/>
      </c>
      <c r="X347" s="22" t="str">
        <f>IF(OR(TH!L347=TH!$X$7,M347=TH!$X$7),"x","")</f>
        <v/>
      </c>
      <c r="Y347" s="22" t="str">
        <f>IF(AND(B347&lt;=NKC!$N$8,B347&gt;=NKC!$M$8),"x","")</f>
        <v>x</v>
      </c>
      <c r="Z347" s="580"/>
      <c r="AB347" s="130"/>
      <c r="AC347" s="130"/>
      <c r="AD347" s="130"/>
      <c r="AE347" s="130"/>
    </row>
    <row r="348" spans="1:31" s="406" customFormat="1" ht="15.75" customHeight="1">
      <c r="A348" s="123" t="str">
        <f>IF(B348&lt;&gt;"",IF(AND(B348&gt;=_TM1,B348&lt;=_TM2,OR(TH!L349="1111",TH!M349="1111")),TH!D349,""),"")</f>
        <v/>
      </c>
      <c r="B348" s="12">
        <f t="shared" si="13"/>
        <v>9</v>
      </c>
      <c r="C348" s="108">
        <f t="shared" si="14"/>
        <v>42633</v>
      </c>
      <c r="D348" s="108" t="s">
        <v>470</v>
      </c>
      <c r="E348" s="113">
        <v>42633</v>
      </c>
      <c r="F348" s="112" t="s">
        <v>480</v>
      </c>
      <c r="G348" s="303" t="s">
        <v>474</v>
      </c>
      <c r="H348" s="4"/>
      <c r="I348" s="139"/>
      <c r="J348" s="139"/>
      <c r="K348" s="410">
        <v>20000</v>
      </c>
      <c r="L348" s="116" t="s">
        <v>82</v>
      </c>
      <c r="M348" s="116" t="s">
        <v>24</v>
      </c>
      <c r="N348" s="22" t="str">
        <f>IF(AND('331-CT'!$E$7=TH!H348,OR(L348="331",M348="331")),"331",IF(AND(OR(L348="131",M348="131"),H348='131-CT'!$E$7),"131",""))</f>
        <v/>
      </c>
      <c r="O348" s="22" t="str">
        <f>IF(AND($B348&gt;='111'!$N$11,$B348&lt;='111'!$O$11,OR($L348=$O$7,$M348=$O$7)),"x","")</f>
        <v/>
      </c>
      <c r="P348" s="22" t="str">
        <f>IF(AND($L348=$O$7,$B348&lt;'111'!$N$11),"x","")</f>
        <v/>
      </c>
      <c r="Q348" s="22" t="str">
        <f>IF(AND($M348=$O$7,$B348&lt;'111'!$N$11),"x","")</f>
        <v/>
      </c>
      <c r="R348" s="22" t="str">
        <f>IF(ISERROR(FIND('112'!$M$9,G348,1)),"",IF((AND(FIND('112'!$M$9,G348,1)&gt;=1,$B348&gt;='112'!$N$8,$B348&lt;='112'!$O$8,OR($L348='112'!$I$6,$M348='112'!$I$6))),"x",""))</f>
        <v/>
      </c>
      <c r="S348" s="22" t="str">
        <f>IF(ISERROR(FIND('112'!$M$9,G348,1)),"",IF((AND(LEFT(G348,2)=LEFT('112'!$M$9,2),B348&lt;'112'!$N$8,$L348='112'!$I$6)),"x",""))</f>
        <v/>
      </c>
      <c r="T348" s="22" t="str">
        <f>IF(ISERROR(FIND('112'!$M$9,G348,1)),"",IF((AND(RIGHT(G348,2)=RIGHT('112'!$M$9,2),B348&lt;'112'!$N$8,$M348='112'!$I$6)),"x",""))</f>
        <v>x</v>
      </c>
      <c r="U348" s="22" t="str">
        <f>IF(AND(B348&gt;='IN-NX'!$P$3,B348&lt;='IN-NX'!$Q$3,'IN-NX'!$D$7=D348,OR(LEFT(L348,2)="15",AND(LEFT(M348,2)&lt;&gt;"15",LEFT(M348,2)&lt;&gt;"33"))),"x","")</f>
        <v/>
      </c>
      <c r="V348" s="22" t="str">
        <f>IF(AND(OR(LEFT(TH!L348,2)="15",LEFT(TH!M348,2)="15"),'152-CT'!$J$8=TH!F348),"x","")</f>
        <v/>
      </c>
      <c r="W348" s="22" t="str">
        <f>IF(AND(OR(LEFT(TH!L348,2)="15",LEFT(TH!M348,2)="15"),TK!$E$7=TH!F348),"x","")</f>
        <v/>
      </c>
      <c r="X348" s="22" t="str">
        <f>IF(OR(TH!L348=TH!$X$7,M348=TH!$X$7),"x","")</f>
        <v>x</v>
      </c>
      <c r="Y348" s="22" t="str">
        <f>IF(AND(B348&lt;=NKC!$N$8,B348&gt;=NKC!$M$8),"x","")</f>
        <v>x</v>
      </c>
      <c r="Z348" s="580">
        <v>3</v>
      </c>
      <c r="AC348" s="130"/>
      <c r="AD348" s="130"/>
      <c r="AE348" s="130"/>
    </row>
    <row r="349" spans="1:31" s="406" customFormat="1" ht="15.75" customHeight="1">
      <c r="A349" s="123" t="str">
        <f>IF(B349&lt;&gt;"",IF(AND(B349&gt;=_TM1,B349&lt;=_TM2,OR(TH!L350="1111",TH!M350="1111")),TH!D350,""),"")</f>
        <v/>
      </c>
      <c r="B349" s="12">
        <f t="shared" si="13"/>
        <v>9</v>
      </c>
      <c r="C349" s="108">
        <f t="shared" si="14"/>
        <v>42633</v>
      </c>
      <c r="D349" s="108" t="s">
        <v>470</v>
      </c>
      <c r="E349" s="113">
        <v>42633</v>
      </c>
      <c r="F349" s="112" t="s">
        <v>481</v>
      </c>
      <c r="G349" s="303" t="s">
        <v>474</v>
      </c>
      <c r="H349" s="4"/>
      <c r="I349" s="139"/>
      <c r="J349" s="139"/>
      <c r="K349" s="410">
        <v>2000</v>
      </c>
      <c r="L349" s="116" t="s">
        <v>9</v>
      </c>
      <c r="M349" s="116" t="s">
        <v>24</v>
      </c>
      <c r="N349" s="22" t="str">
        <f>IF(AND('331-CT'!$E$7=TH!H349,OR(L349="331",M349="331")),"331",IF(AND(OR(L349="131",M349="131"),H349='131-CT'!$E$7),"131",""))</f>
        <v/>
      </c>
      <c r="O349" s="22" t="str">
        <f>IF(AND($B349&gt;='111'!$N$11,$B349&lt;='111'!$O$11,OR($L349=$O$7,$M349=$O$7)),"x","")</f>
        <v/>
      </c>
      <c r="P349" s="22" t="str">
        <f>IF(AND($L349=$O$7,$B349&lt;'111'!$N$11),"x","")</f>
        <v/>
      </c>
      <c r="Q349" s="22" t="str">
        <f>IF(AND($M349=$O$7,$B349&lt;'111'!$N$11),"x","")</f>
        <v/>
      </c>
      <c r="R349" s="22" t="str">
        <f>IF(ISERROR(FIND('112'!$M$9,G349,1)),"",IF((AND(FIND('112'!$M$9,G349,1)&gt;=1,$B349&gt;='112'!$N$8,$B349&lt;='112'!$O$8,OR($L349='112'!$I$6,$M349='112'!$I$6))),"x",""))</f>
        <v/>
      </c>
      <c r="S349" s="22" t="str">
        <f>IF(ISERROR(FIND('112'!$M$9,G349,1)),"",IF((AND(LEFT(G349,2)=LEFT('112'!$M$9,2),B349&lt;'112'!$N$8,$L349='112'!$I$6)),"x",""))</f>
        <v/>
      </c>
      <c r="T349" s="22" t="str">
        <f>IF(ISERROR(FIND('112'!$M$9,G349,1)),"",IF((AND(RIGHT(G349,2)=RIGHT('112'!$M$9,2),B349&lt;'112'!$N$8,$M349='112'!$I$6)),"x",""))</f>
        <v>x</v>
      </c>
      <c r="U349" s="22" t="str">
        <f>IF(AND(B349&gt;='IN-NX'!$P$3,B349&lt;='IN-NX'!$Q$3,'IN-NX'!$D$7=D349,OR(LEFT(L349,2)="15",AND(LEFT(M349,2)&lt;&gt;"15",LEFT(M349,2)&lt;&gt;"33"))),"x","")</f>
        <v/>
      </c>
      <c r="V349" s="22" t="str">
        <f>IF(AND(OR(LEFT(TH!L349,2)="15",LEFT(TH!M349,2)="15"),'152-CT'!$J$8=TH!F349),"x","")</f>
        <v/>
      </c>
      <c r="W349" s="22" t="str">
        <f>IF(AND(OR(LEFT(TH!L349,2)="15",LEFT(TH!M349,2)="15"),TK!$E$7=TH!F349),"x","")</f>
        <v/>
      </c>
      <c r="X349" s="22" t="str">
        <f>IF(OR(TH!L349=TH!$X$7,M349=TH!$X$7),"x","")</f>
        <v/>
      </c>
      <c r="Y349" s="22" t="str">
        <f>IF(AND(B349&lt;=NKC!$N$8,B349&gt;=NKC!$M$8),"x","")</f>
        <v>x</v>
      </c>
      <c r="Z349" s="580">
        <v>3</v>
      </c>
      <c r="AB349" s="130"/>
      <c r="AC349" s="130"/>
      <c r="AD349" s="130"/>
      <c r="AE349" s="130"/>
    </row>
    <row r="350" spans="1:31" s="406" customFormat="1" ht="15.75" customHeight="1">
      <c r="A350" s="123" t="str">
        <f>IF(B350&lt;&gt;"",IF(AND(B350&gt;=_TM1,B350&lt;=_TM2,OR(TH!L351="1111",TH!M351="1111")),TH!D351,""),"")</f>
        <v/>
      </c>
      <c r="B350" s="12">
        <f t="shared" si="13"/>
        <v>9</v>
      </c>
      <c r="C350" s="108">
        <f t="shared" si="14"/>
        <v>42633</v>
      </c>
      <c r="D350" s="108" t="s">
        <v>470</v>
      </c>
      <c r="E350" s="113">
        <v>42633</v>
      </c>
      <c r="F350" s="112" t="s">
        <v>486</v>
      </c>
      <c r="G350" s="303" t="s">
        <v>474</v>
      </c>
      <c r="H350" s="4"/>
      <c r="I350" s="139"/>
      <c r="J350" s="139"/>
      <c r="K350" s="410">
        <v>20000</v>
      </c>
      <c r="L350" s="116" t="s">
        <v>82</v>
      </c>
      <c r="M350" s="116" t="s">
        <v>24</v>
      </c>
      <c r="N350" s="22" t="str">
        <f>IF(AND('331-CT'!$E$7=TH!H350,OR(L350="331",M350="331")),"331",IF(AND(OR(L350="131",M350="131"),H350='131-CT'!$E$7),"131",""))</f>
        <v/>
      </c>
      <c r="O350" s="22" t="str">
        <f>IF(AND($B350&gt;='111'!$N$11,$B350&lt;='111'!$O$11,OR($L350=$O$7,$M350=$O$7)),"x","")</f>
        <v/>
      </c>
      <c r="P350" s="22" t="str">
        <f>IF(AND($L350=$O$7,$B350&lt;'111'!$N$11),"x","")</f>
        <v/>
      </c>
      <c r="Q350" s="22" t="str">
        <f>IF(AND($M350=$O$7,$B350&lt;'111'!$N$11),"x","")</f>
        <v/>
      </c>
      <c r="R350" s="22" t="str">
        <f>IF(ISERROR(FIND('112'!$M$9,G350,1)),"",IF((AND(FIND('112'!$M$9,G350,1)&gt;=1,$B350&gt;='112'!$N$8,$B350&lt;='112'!$O$8,OR($L350='112'!$I$6,$M350='112'!$I$6))),"x",""))</f>
        <v/>
      </c>
      <c r="S350" s="22" t="str">
        <f>IF(ISERROR(FIND('112'!$M$9,G350,1)),"",IF((AND(LEFT(G350,2)=LEFT('112'!$M$9,2),B350&lt;'112'!$N$8,$L350='112'!$I$6)),"x",""))</f>
        <v/>
      </c>
      <c r="T350" s="22" t="str">
        <f>IF(ISERROR(FIND('112'!$M$9,G350,1)),"",IF((AND(RIGHT(G350,2)=RIGHT('112'!$M$9,2),B350&lt;'112'!$N$8,$M350='112'!$I$6)),"x",""))</f>
        <v>x</v>
      </c>
      <c r="U350" s="22" t="str">
        <f>IF(AND(B350&gt;='IN-NX'!$P$3,B350&lt;='IN-NX'!$Q$3,'IN-NX'!$D$7=D350,OR(LEFT(L350,2)="15",AND(LEFT(M350,2)&lt;&gt;"15",LEFT(M350,2)&lt;&gt;"33"))),"x","")</f>
        <v/>
      </c>
      <c r="V350" s="22" t="str">
        <f>IF(AND(OR(LEFT(TH!L350,2)="15",LEFT(TH!M350,2)="15"),'152-CT'!$J$8=TH!F350),"x","")</f>
        <v/>
      </c>
      <c r="W350" s="22" t="str">
        <f>IF(AND(OR(LEFT(TH!L350,2)="15",LEFT(TH!M350,2)="15"),TK!$E$7=TH!F350),"x","")</f>
        <v/>
      </c>
      <c r="X350" s="22" t="str">
        <f>IF(OR(TH!L350=TH!$X$7,M350=TH!$X$7),"x","")</f>
        <v>x</v>
      </c>
      <c r="Y350" s="22" t="str">
        <f>IF(AND(B350&lt;=NKC!$N$8,B350&gt;=NKC!$M$8),"x","")</f>
        <v>x</v>
      </c>
      <c r="Z350" s="580">
        <v>3</v>
      </c>
      <c r="AC350" s="130"/>
      <c r="AD350" s="130"/>
      <c r="AE350" s="130"/>
    </row>
    <row r="351" spans="1:31" s="406" customFormat="1" ht="15.75" customHeight="1">
      <c r="A351" s="123" t="str">
        <f>IF(B351&lt;&gt;"",IF(AND(B351&gt;=_TM1,B351&lt;=_TM2,OR(TH!L352="1111",TH!M352="1111")),TH!D352,""),"")</f>
        <v/>
      </c>
      <c r="B351" s="12">
        <f t="shared" si="13"/>
        <v>9</v>
      </c>
      <c r="C351" s="108">
        <f t="shared" si="14"/>
        <v>42633</v>
      </c>
      <c r="D351" s="108" t="s">
        <v>470</v>
      </c>
      <c r="E351" s="113">
        <v>42633</v>
      </c>
      <c r="F351" s="112" t="s">
        <v>487</v>
      </c>
      <c r="G351" s="303" t="s">
        <v>474</v>
      </c>
      <c r="H351" s="4"/>
      <c r="I351" s="139"/>
      <c r="J351" s="139"/>
      <c r="K351" s="410">
        <v>2000</v>
      </c>
      <c r="L351" s="116" t="s">
        <v>9</v>
      </c>
      <c r="M351" s="116" t="s">
        <v>24</v>
      </c>
      <c r="N351" s="22" t="str">
        <f>IF(AND('331-CT'!$E$7=TH!H351,OR(L351="331",M351="331")),"331",IF(AND(OR(L351="131",M351="131"),H351='131-CT'!$E$7),"131",""))</f>
        <v/>
      </c>
      <c r="O351" s="22" t="str">
        <f>IF(AND($B351&gt;='111'!$N$11,$B351&lt;='111'!$O$11,OR($L351=$O$7,$M351=$O$7)),"x","")</f>
        <v/>
      </c>
      <c r="P351" s="22" t="str">
        <f>IF(AND($L351=$O$7,$B351&lt;'111'!$N$11),"x","")</f>
        <v/>
      </c>
      <c r="Q351" s="22" t="str">
        <f>IF(AND($M351=$O$7,$B351&lt;'111'!$N$11),"x","")</f>
        <v/>
      </c>
      <c r="R351" s="22" t="str">
        <f>IF(ISERROR(FIND('112'!$M$9,G351,1)),"",IF((AND(FIND('112'!$M$9,G351,1)&gt;=1,$B351&gt;='112'!$N$8,$B351&lt;='112'!$O$8,OR($L351='112'!$I$6,$M351='112'!$I$6))),"x",""))</f>
        <v/>
      </c>
      <c r="S351" s="22" t="str">
        <f>IF(ISERROR(FIND('112'!$M$9,G351,1)),"",IF((AND(LEFT(G351,2)=LEFT('112'!$M$9,2),B351&lt;'112'!$N$8,$L351='112'!$I$6)),"x",""))</f>
        <v/>
      </c>
      <c r="T351" s="22" t="str">
        <f>IF(ISERROR(FIND('112'!$M$9,G351,1)),"",IF((AND(RIGHT(G351,2)=RIGHT('112'!$M$9,2),B351&lt;'112'!$N$8,$M351='112'!$I$6)),"x",""))</f>
        <v>x</v>
      </c>
      <c r="U351" s="22" t="str">
        <f>IF(AND(B351&gt;='IN-NX'!$P$3,B351&lt;='IN-NX'!$Q$3,'IN-NX'!$D$7=D351,OR(LEFT(L351,2)="15",AND(LEFT(M351,2)&lt;&gt;"15",LEFT(M351,2)&lt;&gt;"33"))),"x","")</f>
        <v/>
      </c>
      <c r="V351" s="22" t="str">
        <f>IF(AND(OR(LEFT(TH!L351,2)="15",LEFT(TH!M351,2)="15"),'152-CT'!$J$8=TH!F351),"x","")</f>
        <v/>
      </c>
      <c r="W351" s="22" t="str">
        <f>IF(AND(OR(LEFT(TH!L351,2)="15",LEFT(TH!M351,2)="15"),TK!$E$7=TH!F351),"x","")</f>
        <v/>
      </c>
      <c r="X351" s="22" t="str">
        <f>IF(OR(TH!L351=TH!$X$7,M351=TH!$X$7),"x","")</f>
        <v/>
      </c>
      <c r="Y351" s="22" t="str">
        <f>IF(AND(B351&lt;=NKC!$N$8,B351&gt;=NKC!$M$8),"x","")</f>
        <v>x</v>
      </c>
      <c r="Z351" s="580">
        <v>3</v>
      </c>
      <c r="AC351" s="130"/>
      <c r="AD351" s="130"/>
      <c r="AE351" s="130"/>
    </row>
    <row r="352" spans="1:31" s="406" customFormat="1" ht="15.75" customHeight="1">
      <c r="A352" s="123" t="str">
        <f>IF(B352&lt;&gt;"",IF(AND(B352&gt;=_TM1,B352&lt;=_TM2,OR(TH!L353="1111",TH!M353="1111")),TH!D353,""),"")</f>
        <v/>
      </c>
      <c r="B352" s="12">
        <f t="shared" si="13"/>
        <v>9</v>
      </c>
      <c r="C352" s="108">
        <f t="shared" si="14"/>
        <v>42633</v>
      </c>
      <c r="D352" s="108" t="s">
        <v>947</v>
      </c>
      <c r="E352" s="113">
        <v>42633</v>
      </c>
      <c r="F352" s="112" t="s">
        <v>777</v>
      </c>
      <c r="G352" s="305" t="s">
        <v>981</v>
      </c>
      <c r="H352" s="115" t="s">
        <v>780</v>
      </c>
      <c r="I352" s="139">
        <v>22450</v>
      </c>
      <c r="J352" s="139">
        <v>750</v>
      </c>
      <c r="K352" s="13">
        <f>ROUND(I352*J352,0)</f>
        <v>16837500</v>
      </c>
      <c r="L352" s="116" t="s">
        <v>156</v>
      </c>
      <c r="M352" s="116" t="s">
        <v>8</v>
      </c>
      <c r="N352" s="22" t="str">
        <f>IF(AND('331-CT'!$E$7=TH!H352,OR(L352="331",M352="331")),"331",IF(AND(OR(L352="131",M352="131"),H352='131-CT'!$E$7),"131",""))</f>
        <v/>
      </c>
      <c r="O352" s="22" t="str">
        <f>IF(AND($B352&gt;='111'!$N$11,$B352&lt;='111'!$O$11,OR($L352=$O$7,$M352=$O$7)),"x","")</f>
        <v/>
      </c>
      <c r="P352" s="22" t="str">
        <f>IF(AND($L352=$O$7,$B352&lt;'111'!$N$11),"x","")</f>
        <v/>
      </c>
      <c r="Q352" s="22" t="str">
        <f>IF(AND($M352=$O$7,$B352&lt;'111'!$N$11),"x","")</f>
        <v/>
      </c>
      <c r="R352" s="22" t="str">
        <f>IF(ISERROR(FIND('112'!$M$9,G352,1)),"",IF((AND(FIND('112'!$M$9,G352,1)&gt;=1,$B352&gt;='112'!$N$8,$B352&lt;='112'!$O$8,OR($L352='112'!$I$6,$M352='112'!$I$6))),"x",""))</f>
        <v/>
      </c>
      <c r="S352" s="22" t="str">
        <f>IF(ISERROR(FIND('112'!$M$9,G352,1)),"",IF((AND(LEFT(G352,2)=LEFT('112'!$M$9,2),B352&lt;'112'!$N$8,$L352='112'!$I$6)),"x",""))</f>
        <v/>
      </c>
      <c r="T352" s="22" t="str">
        <f>IF(ISERROR(FIND('112'!$M$9,G352,1)),"",IF((AND(RIGHT(G352,2)=RIGHT('112'!$M$9,2),B352&lt;'112'!$N$8,$M352='112'!$I$6)),"x",""))</f>
        <v/>
      </c>
      <c r="U352" s="22" t="str">
        <f>IF(AND(B352&gt;='IN-NX'!$P$3,B352&lt;='IN-NX'!$Q$3,'IN-NX'!$D$7=D352,OR(LEFT(L352,2)="15",AND(LEFT(M352,2)&lt;&gt;"15",LEFT(M352,2)&lt;&gt;"33"))),"x","")</f>
        <v/>
      </c>
      <c r="V352" s="22" t="str">
        <f>IF(AND(OR(LEFT(TH!L352,2)="15",LEFT(TH!M352,2)="15"),'152-CT'!$J$8=TH!F352),"x","")</f>
        <v/>
      </c>
      <c r="W352" s="22" t="str">
        <f>IF(AND(OR(LEFT(TH!L352,2)="15",LEFT(TH!M352,2)="15"),TK!$E$7=TH!F352),"x","")</f>
        <v/>
      </c>
      <c r="X352" s="22" t="str">
        <f>IF(OR(TH!L352=TH!$X$7,M352=TH!$X$7),"x","")</f>
        <v/>
      </c>
      <c r="Y352" s="22" t="str">
        <f>IF(AND(B352&lt;=NKC!$N$8,B352&gt;=NKC!$M$8),"x","")</f>
        <v>x</v>
      </c>
      <c r="Z352" s="580">
        <v>4</v>
      </c>
      <c r="AC352" s="130"/>
      <c r="AD352" s="130"/>
      <c r="AE352" s="130"/>
    </row>
    <row r="353" spans="1:31" s="406" customFormat="1" ht="15.75" customHeight="1">
      <c r="A353" s="123" t="str">
        <f>IF(B353&lt;&gt;"",IF(AND(B353&gt;=_TM1,B353&lt;=_TM2,OR(TH!L354="1111",TH!M354="1111")),TH!D354,""),"")</f>
        <v/>
      </c>
      <c r="B353" s="12">
        <f t="shared" si="13"/>
        <v>9</v>
      </c>
      <c r="C353" s="108">
        <f t="shared" si="14"/>
        <v>42633</v>
      </c>
      <c r="D353" s="108" t="s">
        <v>947</v>
      </c>
      <c r="E353" s="113">
        <v>42633</v>
      </c>
      <c r="F353" s="112" t="s">
        <v>778</v>
      </c>
      <c r="G353" s="305" t="s">
        <v>981</v>
      </c>
      <c r="H353" s="115" t="s">
        <v>780</v>
      </c>
      <c r="I353" s="139"/>
      <c r="J353" s="139"/>
      <c r="K353" s="13">
        <v>1683750</v>
      </c>
      <c r="L353" s="116" t="s">
        <v>9</v>
      </c>
      <c r="M353" s="116" t="s">
        <v>8</v>
      </c>
      <c r="N353" s="22" t="str">
        <f>IF(AND('331-CT'!$E$7=TH!H353,OR(L353="331",M353="331")),"331",IF(AND(OR(L353="131",M353="131"),H353='131-CT'!$E$7),"131",""))</f>
        <v/>
      </c>
      <c r="O353" s="22" t="str">
        <f>IF(AND($B353&gt;='111'!$N$11,$B353&lt;='111'!$O$11,OR($L353=$O$7,$M353=$O$7)),"x","")</f>
        <v/>
      </c>
      <c r="P353" s="22" t="str">
        <f>IF(AND($L353=$O$7,$B353&lt;'111'!$N$11),"x","")</f>
        <v/>
      </c>
      <c r="Q353" s="22" t="str">
        <f>IF(AND($M353=$O$7,$B353&lt;'111'!$N$11),"x","")</f>
        <v/>
      </c>
      <c r="R353" s="22" t="str">
        <f>IF(ISERROR(FIND('112'!$M$9,G353,1)),"",IF((AND(FIND('112'!$M$9,G353,1)&gt;=1,$B353&gt;='112'!$N$8,$B353&lt;='112'!$O$8,OR($L353='112'!$I$6,$M353='112'!$I$6))),"x",""))</f>
        <v/>
      </c>
      <c r="S353" s="22" t="str">
        <f>IF(ISERROR(FIND('112'!$M$9,G353,1)),"",IF((AND(LEFT(G353,2)=LEFT('112'!$M$9,2),B353&lt;'112'!$N$8,$L353='112'!$I$6)),"x",""))</f>
        <v/>
      </c>
      <c r="T353" s="22" t="str">
        <f>IF(ISERROR(FIND('112'!$M$9,G353,1)),"",IF((AND(RIGHT(G353,2)=RIGHT('112'!$M$9,2),B353&lt;'112'!$N$8,$M353='112'!$I$6)),"x",""))</f>
        <v/>
      </c>
      <c r="U353" s="22" t="str">
        <f>IF(AND(B353&gt;='IN-NX'!$P$3,B353&lt;='IN-NX'!$Q$3,'IN-NX'!$D$7=D353,OR(LEFT(L353,2)="15",AND(LEFT(M353,2)&lt;&gt;"15",LEFT(M353,2)&lt;&gt;"33"))),"x","")</f>
        <v/>
      </c>
      <c r="V353" s="22" t="str">
        <f>IF(AND(OR(LEFT(TH!L353,2)="15",LEFT(TH!M353,2)="15"),'152-CT'!$J$8=TH!F353),"x","")</f>
        <v/>
      </c>
      <c r="W353" s="22" t="str">
        <f>IF(AND(OR(LEFT(TH!L353,2)="15",LEFT(TH!M353,2)="15"),TK!$E$7=TH!F353),"x","")</f>
        <v/>
      </c>
      <c r="X353" s="22" t="str">
        <f>IF(OR(TH!L353=TH!$X$7,M353=TH!$X$7),"x","")</f>
        <v/>
      </c>
      <c r="Y353" s="22" t="str">
        <f>IF(AND(B353&lt;=NKC!$N$8,B353&gt;=NKC!$M$8),"x","")</f>
        <v>x</v>
      </c>
      <c r="Z353" s="580">
        <v>4</v>
      </c>
      <c r="AB353" s="130"/>
      <c r="AC353" s="130"/>
      <c r="AD353" s="130"/>
      <c r="AE353" s="130"/>
    </row>
    <row r="354" spans="1:31" s="406" customFormat="1" ht="15.75" customHeight="1">
      <c r="A354" s="123" t="str">
        <f>IF(B354&lt;&gt;"",IF(AND(B354&gt;=_TM1,B354&lt;=_TM2,OR(TH!L355="1111",TH!M355="1111")),TH!D355,""),"")</f>
        <v/>
      </c>
      <c r="B354" s="12">
        <f t="shared" si="13"/>
        <v>9</v>
      </c>
      <c r="C354" s="108">
        <f t="shared" si="14"/>
        <v>42633</v>
      </c>
      <c r="D354" s="113" t="s">
        <v>1009</v>
      </c>
      <c r="E354" s="113">
        <v>42633</v>
      </c>
      <c r="F354" s="112" t="s">
        <v>465</v>
      </c>
      <c r="G354" s="305" t="s">
        <v>981</v>
      </c>
      <c r="H354" s="115" t="s">
        <v>780</v>
      </c>
      <c r="I354" s="139"/>
      <c r="J354" s="139"/>
      <c r="K354" s="13">
        <v>18521250</v>
      </c>
      <c r="L354" s="116" t="s">
        <v>8</v>
      </c>
      <c r="M354" s="411" t="s">
        <v>46</v>
      </c>
      <c r="N354" s="22" t="str">
        <f>IF(AND('331-CT'!$E$7=TH!H354,OR(L354="331",M354="331")),"331",IF(AND(OR(L354="131",M354="131"),H354='131-CT'!$E$7),"131",""))</f>
        <v/>
      </c>
      <c r="O354" s="22" t="str">
        <f>IF(AND($B354&gt;='111'!$N$11,$B354&lt;='111'!$O$11,OR($L354=$O$7,$M354=$O$7)),"x","")</f>
        <v/>
      </c>
      <c r="P354" s="22" t="str">
        <f>IF(AND($L354=$O$7,$B354&lt;'111'!$N$11),"x","")</f>
        <v/>
      </c>
      <c r="Q354" s="22" t="str">
        <f>IF(AND($M354=$O$7,$B354&lt;'111'!$N$11),"x","")</f>
        <v>x</v>
      </c>
      <c r="R354" s="22" t="str">
        <f>IF(ISERROR(FIND('112'!$M$9,G354,1)),"",IF((AND(FIND('112'!$M$9,G354,1)&gt;=1,$B354&gt;='112'!$N$8,$B354&lt;='112'!$O$8,OR($L354='112'!$I$6,$M354='112'!$I$6))),"x",""))</f>
        <v/>
      </c>
      <c r="S354" s="22" t="str">
        <f>IF(ISERROR(FIND('112'!$M$9,G354,1)),"",IF((AND(LEFT(G354,2)=LEFT('112'!$M$9,2),B354&lt;'112'!$N$8,$L354='112'!$I$6)),"x",""))</f>
        <v/>
      </c>
      <c r="T354" s="22" t="str">
        <f>IF(ISERROR(FIND('112'!$M$9,G354,1)),"",IF((AND(RIGHT(G354,2)=RIGHT('112'!$M$9,2),B354&lt;'112'!$N$8,$M354='112'!$I$6)),"x",""))</f>
        <v/>
      </c>
      <c r="U354" s="22" t="str">
        <f>IF(AND(B354&gt;='IN-NX'!$P$3,B354&lt;='IN-NX'!$Q$3,'IN-NX'!$D$7=D354,OR(LEFT(L354,2)="15",AND(LEFT(M354,2)&lt;&gt;"15",LEFT(M354,2)&lt;&gt;"33"))),"x","")</f>
        <v/>
      </c>
      <c r="V354" s="22" t="str">
        <f>IF(AND(OR(LEFT(TH!L354,2)="15",LEFT(TH!M354,2)="15"),'152-CT'!$J$8=TH!F354),"x","")</f>
        <v/>
      </c>
      <c r="W354" s="22" t="str">
        <f>IF(AND(OR(LEFT(TH!L354,2)="15",LEFT(TH!M354,2)="15"),TK!$E$7=TH!F354),"x","")</f>
        <v/>
      </c>
      <c r="X354" s="22" t="str">
        <f>IF(OR(TH!L354=TH!$X$7,M354=TH!$X$7),"x","")</f>
        <v/>
      </c>
      <c r="Y354" s="22" t="str">
        <f>IF(AND(B354&lt;=NKC!$N$8,B354&gt;=NKC!$M$8),"x","")</f>
        <v>x</v>
      </c>
      <c r="Z354" s="580"/>
      <c r="AC354" s="130"/>
      <c r="AD354" s="130"/>
      <c r="AE354" s="130"/>
    </row>
    <row r="355" spans="1:31" s="406" customFormat="1" ht="15.75" customHeight="1">
      <c r="A355" s="123" t="str">
        <f>IF(B355&lt;&gt;"",IF(AND(B355&gt;=_TM1,B355&lt;=_TM2,OR(TH!L356="1111",TH!M356="1111")),TH!D356,""),"")</f>
        <v/>
      </c>
      <c r="B355" s="12">
        <f t="shared" si="13"/>
        <v>9</v>
      </c>
      <c r="C355" s="108">
        <f t="shared" si="14"/>
        <v>42635</v>
      </c>
      <c r="D355" s="113" t="s">
        <v>1010</v>
      </c>
      <c r="E355" s="113">
        <v>42635</v>
      </c>
      <c r="F355" s="112" t="s">
        <v>471</v>
      </c>
      <c r="G355" s="303" t="s">
        <v>474</v>
      </c>
      <c r="H355" s="4" t="s">
        <v>488</v>
      </c>
      <c r="I355" s="139"/>
      <c r="J355" s="139"/>
      <c r="K355" s="13">
        <v>44000</v>
      </c>
      <c r="L355" s="116" t="s">
        <v>24</v>
      </c>
      <c r="M355" s="116" t="s">
        <v>46</v>
      </c>
      <c r="N355" s="22" t="str">
        <f>IF(AND('331-CT'!$E$7=TH!H355,OR(L355="331",M355="331")),"331",IF(AND(OR(L355="131",M355="131"),H355='131-CT'!$E$7),"131",""))</f>
        <v/>
      </c>
      <c r="O355" s="22" t="str">
        <f>IF(AND($B355&gt;='111'!$N$11,$B355&lt;='111'!$O$11,OR($L355=$O$7,$M355=$O$7)),"x","")</f>
        <v/>
      </c>
      <c r="P355" s="22" t="str">
        <f>IF(AND($L355=$O$7,$B355&lt;'111'!$N$11),"x","")</f>
        <v/>
      </c>
      <c r="Q355" s="22" t="str">
        <f>IF(AND($M355=$O$7,$B355&lt;'111'!$N$11),"x","")</f>
        <v>x</v>
      </c>
      <c r="R355" s="22" t="str">
        <f>IF(ISERROR(FIND('112'!$M$9,G355,1)),"",IF((AND(FIND('112'!$M$9,G355,1)&gt;=1,$B355&gt;='112'!$N$8,$B355&lt;='112'!$O$8,OR($L355='112'!$I$6,$M355='112'!$I$6))),"x",""))</f>
        <v/>
      </c>
      <c r="S355" s="22" t="str">
        <f>IF(ISERROR(FIND('112'!$M$9,G355,1)),"",IF((AND(LEFT(G355,2)=LEFT('112'!$M$9,2),B355&lt;'112'!$N$8,$L355='112'!$I$6)),"x",""))</f>
        <v>x</v>
      </c>
      <c r="T355" s="22" t="str">
        <f>IF(ISERROR(FIND('112'!$M$9,G355,1)),"",IF((AND(RIGHT(G355,2)=RIGHT('112'!$M$9,2),B355&lt;'112'!$N$8,$M355='112'!$I$6)),"x",""))</f>
        <v/>
      </c>
      <c r="U355" s="22" t="str">
        <f>IF(AND(B355&gt;='IN-NX'!$P$3,B355&lt;='IN-NX'!$Q$3,'IN-NX'!$D$7=D355,OR(LEFT(L355,2)="15",AND(LEFT(M355,2)&lt;&gt;"15",LEFT(M355,2)&lt;&gt;"33"))),"x","")</f>
        <v/>
      </c>
      <c r="V355" s="22" t="str">
        <f>IF(AND(OR(LEFT(TH!L355,2)="15",LEFT(TH!M355,2)="15"),'152-CT'!$J$8=TH!F355),"x","")</f>
        <v/>
      </c>
      <c r="W355" s="22" t="str">
        <f>IF(AND(OR(LEFT(TH!L355,2)="15",LEFT(TH!M355,2)="15"),TK!$E$7=TH!F355),"x","")</f>
        <v/>
      </c>
      <c r="X355" s="22" t="str">
        <f>IF(OR(TH!L355=TH!$X$7,M355=TH!$X$7),"x","")</f>
        <v/>
      </c>
      <c r="Y355" s="22" t="str">
        <f>IF(AND(B355&lt;=NKC!$N$8,B355&gt;=NKC!$M$8),"x","")</f>
        <v>x</v>
      </c>
      <c r="Z355" s="580"/>
      <c r="AC355" s="130"/>
      <c r="AD355" s="130"/>
      <c r="AE355" s="130"/>
    </row>
    <row r="356" spans="1:31" s="406" customFormat="1" ht="15.75" customHeight="1">
      <c r="A356" s="123" t="str">
        <f>IF(B356&lt;&gt;"",IF(AND(B356&gt;=_TM1,B356&lt;=_TM2,OR(TH!L357="1111",TH!M357="1111")),TH!D357,""),"")</f>
        <v/>
      </c>
      <c r="B356" s="12">
        <f t="shared" si="13"/>
        <v>9</v>
      </c>
      <c r="C356" s="108">
        <f t="shared" si="14"/>
        <v>42635</v>
      </c>
      <c r="D356" s="113" t="s">
        <v>1010</v>
      </c>
      <c r="E356" s="113">
        <v>42635</v>
      </c>
      <c r="F356" s="112" t="s">
        <v>471</v>
      </c>
      <c r="G356" s="303" t="s">
        <v>474</v>
      </c>
      <c r="H356" s="4" t="s">
        <v>488</v>
      </c>
      <c r="I356" s="139"/>
      <c r="J356" s="139"/>
      <c r="K356" s="13">
        <v>12295140</v>
      </c>
      <c r="L356" s="116" t="s">
        <v>24</v>
      </c>
      <c r="M356" s="116" t="s">
        <v>46</v>
      </c>
      <c r="N356" s="22" t="str">
        <f>IF(AND('331-CT'!$E$7=TH!H356,OR(L356="331",M356="331")),"331",IF(AND(OR(L356="131",M356="131"),H356='131-CT'!$E$7),"131",""))</f>
        <v/>
      </c>
      <c r="O356" s="22" t="str">
        <f>IF(AND($B356&gt;='111'!$N$11,$B356&lt;='111'!$O$11,OR($L356=$O$7,$M356=$O$7)),"x","")</f>
        <v/>
      </c>
      <c r="P356" s="22" t="str">
        <f>IF(AND($L356=$O$7,$B356&lt;'111'!$N$11),"x","")</f>
        <v/>
      </c>
      <c r="Q356" s="22" t="str">
        <f>IF(AND($M356=$O$7,$B356&lt;'111'!$N$11),"x","")</f>
        <v>x</v>
      </c>
      <c r="R356" s="22" t="str">
        <f>IF(ISERROR(FIND('112'!$M$9,G356,1)),"",IF((AND(FIND('112'!$M$9,G356,1)&gt;=1,$B356&gt;='112'!$N$8,$B356&lt;='112'!$O$8,OR($L356='112'!$I$6,$M356='112'!$I$6))),"x",""))</f>
        <v/>
      </c>
      <c r="S356" s="22" t="str">
        <f>IF(ISERROR(FIND('112'!$M$9,G356,1)),"",IF((AND(LEFT(G356,2)=LEFT('112'!$M$9,2),B356&lt;'112'!$N$8,$L356='112'!$I$6)),"x",""))</f>
        <v>x</v>
      </c>
      <c r="T356" s="22" t="str">
        <f>IF(ISERROR(FIND('112'!$M$9,G356,1)),"",IF((AND(RIGHT(G356,2)=RIGHT('112'!$M$9,2),B356&lt;'112'!$N$8,$M356='112'!$I$6)),"x",""))</f>
        <v/>
      </c>
      <c r="U356" s="22" t="str">
        <f>IF(AND(B356&gt;='IN-NX'!$P$3,B356&lt;='IN-NX'!$Q$3,'IN-NX'!$D$7=D356,OR(LEFT(L356,2)="15",AND(LEFT(M356,2)&lt;&gt;"15",LEFT(M356,2)&lt;&gt;"33"))),"x","")</f>
        <v/>
      </c>
      <c r="V356" s="22" t="str">
        <f>IF(AND(OR(LEFT(TH!L356,2)="15",LEFT(TH!M356,2)="15"),'152-CT'!$J$8=TH!F356),"x","")</f>
        <v/>
      </c>
      <c r="W356" s="22" t="str">
        <f>IF(AND(OR(LEFT(TH!L356,2)="15",LEFT(TH!M356,2)="15"),TK!$E$7=TH!F356),"x","")</f>
        <v/>
      </c>
      <c r="X356" s="22" t="str">
        <f>IF(OR(TH!L356=TH!$X$7,M356=TH!$X$7),"x","")</f>
        <v/>
      </c>
      <c r="Y356" s="22" t="str">
        <f>IF(AND(B356&lt;=NKC!$N$8,B356&gt;=NKC!$M$8),"x","")</f>
        <v>x</v>
      </c>
      <c r="Z356" s="580"/>
      <c r="AC356" s="130"/>
      <c r="AD356" s="130"/>
      <c r="AE356" s="130"/>
    </row>
    <row r="357" spans="1:31" s="406" customFormat="1" ht="15.75" customHeight="1">
      <c r="A357" s="123" t="str">
        <f>IF(B357&lt;&gt;"",IF(AND(B357&gt;=_TM1,B357&lt;=_TM2,OR(TH!L358="1111",TH!M358="1111")),TH!D358,""),"")</f>
        <v/>
      </c>
      <c r="B357" s="12">
        <f t="shared" si="13"/>
        <v>9</v>
      </c>
      <c r="C357" s="108">
        <f t="shared" si="14"/>
        <v>42635</v>
      </c>
      <c r="D357" s="108" t="s">
        <v>470</v>
      </c>
      <c r="E357" s="113">
        <v>42635</v>
      </c>
      <c r="F357" s="112" t="s">
        <v>465</v>
      </c>
      <c r="G357" s="303" t="s">
        <v>474</v>
      </c>
      <c r="H357" s="115" t="s">
        <v>442</v>
      </c>
      <c r="I357" s="139"/>
      <c r="J357" s="139"/>
      <c r="K357" s="410">
        <f>12317140-22000</f>
        <v>12295140</v>
      </c>
      <c r="L357" s="116" t="s">
        <v>8</v>
      </c>
      <c r="M357" s="116" t="s">
        <v>24</v>
      </c>
      <c r="N357" s="22" t="str">
        <f>IF(AND('331-CT'!$E$7=TH!H357,OR(L357="331",M357="331")),"331",IF(AND(OR(L357="131",M357="131"),H357='131-CT'!$E$7),"131",""))</f>
        <v>331</v>
      </c>
      <c r="O357" s="22" t="str">
        <f>IF(AND($B357&gt;='111'!$N$11,$B357&lt;='111'!$O$11,OR($L357=$O$7,$M357=$O$7)),"x","")</f>
        <v/>
      </c>
      <c r="P357" s="22" t="str">
        <f>IF(AND($L357=$O$7,$B357&lt;'111'!$N$11),"x","")</f>
        <v/>
      </c>
      <c r="Q357" s="22" t="str">
        <f>IF(AND($M357=$O$7,$B357&lt;'111'!$N$11),"x","")</f>
        <v/>
      </c>
      <c r="R357" s="22" t="str">
        <f>IF(ISERROR(FIND('112'!$M$9,G357,1)),"",IF((AND(FIND('112'!$M$9,G357,1)&gt;=1,$B357&gt;='112'!$N$8,$B357&lt;='112'!$O$8,OR($L357='112'!$I$6,$M357='112'!$I$6))),"x",""))</f>
        <v/>
      </c>
      <c r="S357" s="22" t="str">
        <f>IF(ISERROR(FIND('112'!$M$9,G357,1)),"",IF((AND(LEFT(G357,2)=LEFT('112'!$M$9,2),B357&lt;'112'!$N$8,$L357='112'!$I$6)),"x",""))</f>
        <v/>
      </c>
      <c r="T357" s="22" t="str">
        <f>IF(ISERROR(FIND('112'!$M$9,G357,1)),"",IF((AND(RIGHT(G357,2)=RIGHT('112'!$M$9,2),B357&lt;'112'!$N$8,$M357='112'!$I$6)),"x",""))</f>
        <v>x</v>
      </c>
      <c r="U357" s="22" t="str">
        <f>IF(AND(B357&gt;='IN-NX'!$P$3,B357&lt;='IN-NX'!$Q$3,'IN-NX'!$D$7=D357,OR(LEFT(L357,2)="15",AND(LEFT(M357,2)&lt;&gt;"15",LEFT(M357,2)&lt;&gt;"33"))),"x","")</f>
        <v/>
      </c>
      <c r="V357" s="22" t="str">
        <f>IF(AND(OR(LEFT(TH!L357,2)="15",LEFT(TH!M357,2)="15"),'152-CT'!$J$8=TH!F357),"x","")</f>
        <v/>
      </c>
      <c r="W357" s="22" t="str">
        <f>IF(AND(OR(LEFT(TH!L357,2)="15",LEFT(TH!M357,2)="15"),TK!$E$7=TH!F357),"x","")</f>
        <v/>
      </c>
      <c r="X357" s="22" t="str">
        <f>IF(OR(TH!L357=TH!$X$7,M357=TH!$X$7),"x","")</f>
        <v/>
      </c>
      <c r="Y357" s="22" t="str">
        <f>IF(AND(B357&lt;=NKC!$N$8,B357&gt;=NKC!$M$8),"x","")</f>
        <v>x</v>
      </c>
      <c r="Z357" s="580"/>
      <c r="AC357" s="130"/>
      <c r="AD357" s="130"/>
      <c r="AE357" s="130"/>
    </row>
    <row r="358" spans="1:31" s="406" customFormat="1" ht="15.75" customHeight="1">
      <c r="A358" s="123" t="str">
        <f>IF(B358&lt;&gt;"",IF(AND(B358&gt;=_TM1,B358&lt;=_TM2,OR(TH!L359="1111",TH!M359="1111")),TH!D359,""),"")</f>
        <v/>
      </c>
      <c r="B358" s="12">
        <f t="shared" si="13"/>
        <v>9</v>
      </c>
      <c r="C358" s="108">
        <f t="shared" si="14"/>
        <v>42635</v>
      </c>
      <c r="D358" s="108" t="s">
        <v>470</v>
      </c>
      <c r="E358" s="113">
        <v>42635</v>
      </c>
      <c r="F358" s="112" t="s">
        <v>480</v>
      </c>
      <c r="G358" s="303" t="s">
        <v>474</v>
      </c>
      <c r="H358" s="4"/>
      <c r="I358" s="139"/>
      <c r="J358" s="139"/>
      <c r="K358" s="410">
        <v>20000</v>
      </c>
      <c r="L358" s="116" t="s">
        <v>82</v>
      </c>
      <c r="M358" s="116" t="s">
        <v>24</v>
      </c>
      <c r="N358" s="22" t="str">
        <f>IF(AND('331-CT'!$E$7=TH!H358,OR(L358="331",M358="331")),"331",IF(AND(OR(L358="131",M358="131"),H358='131-CT'!$E$7),"131",""))</f>
        <v/>
      </c>
      <c r="O358" s="22" t="str">
        <f>IF(AND($B358&gt;='111'!$N$11,$B358&lt;='111'!$O$11,OR($L358=$O$7,$M358=$O$7)),"x","")</f>
        <v/>
      </c>
      <c r="P358" s="22" t="str">
        <f>IF(AND($L358=$O$7,$B358&lt;'111'!$N$11),"x","")</f>
        <v/>
      </c>
      <c r="Q358" s="22" t="str">
        <f>IF(AND($M358=$O$7,$B358&lt;'111'!$N$11),"x","")</f>
        <v/>
      </c>
      <c r="R358" s="22" t="str">
        <f>IF(ISERROR(FIND('112'!$M$9,G358,1)),"",IF((AND(FIND('112'!$M$9,G358,1)&gt;=1,$B358&gt;='112'!$N$8,$B358&lt;='112'!$O$8,OR($L358='112'!$I$6,$M358='112'!$I$6))),"x",""))</f>
        <v/>
      </c>
      <c r="S358" s="22" t="str">
        <f>IF(ISERROR(FIND('112'!$M$9,G358,1)),"",IF((AND(LEFT(G358,2)=LEFT('112'!$M$9,2),B358&lt;'112'!$N$8,$L358='112'!$I$6)),"x",""))</f>
        <v/>
      </c>
      <c r="T358" s="22" t="str">
        <f>IF(ISERROR(FIND('112'!$M$9,G358,1)),"",IF((AND(RIGHT(G358,2)=RIGHT('112'!$M$9,2),B358&lt;'112'!$N$8,$M358='112'!$I$6)),"x",""))</f>
        <v>x</v>
      </c>
      <c r="U358" s="22" t="str">
        <f>IF(AND(B358&gt;='IN-NX'!$P$3,B358&lt;='IN-NX'!$Q$3,'IN-NX'!$D$7=D358,OR(LEFT(L358,2)="15",AND(LEFT(M358,2)&lt;&gt;"15",LEFT(M358,2)&lt;&gt;"33"))),"x","")</f>
        <v/>
      </c>
      <c r="V358" s="22" t="str">
        <f>IF(AND(OR(LEFT(TH!L358,2)="15",LEFT(TH!M358,2)="15"),'152-CT'!$J$8=TH!F358),"x","")</f>
        <v/>
      </c>
      <c r="W358" s="22" t="str">
        <f>IF(AND(OR(LEFT(TH!L358,2)="15",LEFT(TH!M358,2)="15"),TK!$E$7=TH!F358),"x","")</f>
        <v/>
      </c>
      <c r="X358" s="22" t="str">
        <f>IF(OR(TH!L358=TH!$X$7,M358=TH!$X$7),"x","")</f>
        <v>x</v>
      </c>
      <c r="Y358" s="22" t="str">
        <f>IF(AND(B358&lt;=NKC!$N$8,B358&gt;=NKC!$M$8),"x","")</f>
        <v>x</v>
      </c>
      <c r="Z358" s="580">
        <v>3</v>
      </c>
      <c r="AC358" s="130"/>
      <c r="AD358" s="130"/>
      <c r="AE358" s="130"/>
    </row>
    <row r="359" spans="1:31" s="406" customFormat="1" ht="15.75" customHeight="1">
      <c r="A359" s="123" t="str">
        <f>IF(B359&lt;&gt;"",IF(AND(B359&gt;=_TM1,B359&lt;=_TM2,OR(TH!L360="1111",TH!M360="1111")),TH!D360,""),"")</f>
        <v/>
      </c>
      <c r="B359" s="12">
        <f t="shared" si="13"/>
        <v>9</v>
      </c>
      <c r="C359" s="108">
        <f t="shared" si="14"/>
        <v>42635</v>
      </c>
      <c r="D359" s="108" t="s">
        <v>470</v>
      </c>
      <c r="E359" s="113">
        <v>42635</v>
      </c>
      <c r="F359" s="112" t="s">
        <v>481</v>
      </c>
      <c r="G359" s="303" t="s">
        <v>474</v>
      </c>
      <c r="H359" s="4"/>
      <c r="I359" s="139"/>
      <c r="J359" s="139"/>
      <c r="K359" s="410">
        <v>2000</v>
      </c>
      <c r="L359" s="116" t="s">
        <v>9</v>
      </c>
      <c r="M359" s="116" t="s">
        <v>24</v>
      </c>
      <c r="N359" s="22" t="str">
        <f>IF(AND('331-CT'!$E$7=TH!H359,OR(L359="331",M359="331")),"331",IF(AND(OR(L359="131",M359="131"),H359='131-CT'!$E$7),"131",""))</f>
        <v/>
      </c>
      <c r="O359" s="22" t="str">
        <f>IF(AND($B359&gt;='111'!$N$11,$B359&lt;='111'!$O$11,OR($L359=$O$7,$M359=$O$7)),"x","")</f>
        <v/>
      </c>
      <c r="P359" s="22" t="str">
        <f>IF(AND($L359=$O$7,$B359&lt;'111'!$N$11),"x","")</f>
        <v/>
      </c>
      <c r="Q359" s="22" t="str">
        <f>IF(AND($M359=$O$7,$B359&lt;'111'!$N$11),"x","")</f>
        <v/>
      </c>
      <c r="R359" s="22" t="str">
        <f>IF(ISERROR(FIND('112'!$M$9,G359,1)),"",IF((AND(FIND('112'!$M$9,G359,1)&gt;=1,$B359&gt;='112'!$N$8,$B359&lt;='112'!$O$8,OR($L359='112'!$I$6,$M359='112'!$I$6))),"x",""))</f>
        <v/>
      </c>
      <c r="S359" s="22" t="str">
        <f>IF(ISERROR(FIND('112'!$M$9,G359,1)),"",IF((AND(LEFT(G359,2)=LEFT('112'!$M$9,2),B359&lt;'112'!$N$8,$L359='112'!$I$6)),"x",""))</f>
        <v/>
      </c>
      <c r="T359" s="22" t="str">
        <f>IF(ISERROR(FIND('112'!$M$9,G359,1)),"",IF((AND(RIGHT(G359,2)=RIGHT('112'!$M$9,2),B359&lt;'112'!$N$8,$M359='112'!$I$6)),"x",""))</f>
        <v>x</v>
      </c>
      <c r="U359" s="22" t="str">
        <f>IF(AND(B359&gt;='IN-NX'!$P$3,B359&lt;='IN-NX'!$Q$3,'IN-NX'!$D$7=D359,OR(LEFT(L359,2)="15",AND(LEFT(M359,2)&lt;&gt;"15",LEFT(M359,2)&lt;&gt;"33"))),"x","")</f>
        <v/>
      </c>
      <c r="V359" s="22" t="str">
        <f>IF(AND(OR(LEFT(TH!L359,2)="15",LEFT(TH!M359,2)="15"),'152-CT'!$J$8=TH!F359),"x","")</f>
        <v/>
      </c>
      <c r="W359" s="22" t="str">
        <f>IF(AND(OR(LEFT(TH!L359,2)="15",LEFT(TH!M359,2)="15"),TK!$E$7=TH!F359),"x","")</f>
        <v/>
      </c>
      <c r="X359" s="22" t="str">
        <f>IF(OR(TH!L359=TH!$X$7,M359=TH!$X$7),"x","")</f>
        <v/>
      </c>
      <c r="Y359" s="22" t="str">
        <f>IF(AND(B359&lt;=NKC!$N$8,B359&gt;=NKC!$M$8),"x","")</f>
        <v>x</v>
      </c>
      <c r="Z359" s="580">
        <v>3</v>
      </c>
      <c r="AC359" s="130"/>
      <c r="AD359" s="130"/>
      <c r="AE359" s="130"/>
    </row>
    <row r="360" spans="1:31" s="406" customFormat="1" ht="15.75" customHeight="1">
      <c r="A360" s="123" t="str">
        <f>IF(B360&lt;&gt;"",IF(AND(B360&gt;=_TM1,B360&lt;=_TM2,OR(TH!L361="1111",TH!M361="1111")),TH!D361,""),"")</f>
        <v/>
      </c>
      <c r="B360" s="12">
        <f t="shared" si="13"/>
        <v>9</v>
      </c>
      <c r="C360" s="108">
        <f t="shared" si="14"/>
        <v>42635</v>
      </c>
      <c r="D360" s="108" t="s">
        <v>470</v>
      </c>
      <c r="E360" s="113">
        <v>42635</v>
      </c>
      <c r="F360" s="112" t="s">
        <v>486</v>
      </c>
      <c r="G360" s="303" t="s">
        <v>474</v>
      </c>
      <c r="H360" s="4"/>
      <c r="I360" s="139"/>
      <c r="J360" s="139"/>
      <c r="K360" s="410">
        <v>20000</v>
      </c>
      <c r="L360" s="116" t="s">
        <v>82</v>
      </c>
      <c r="M360" s="116" t="s">
        <v>24</v>
      </c>
      <c r="N360" s="22" t="str">
        <f>IF(AND('331-CT'!$E$7=TH!H360,OR(L360="331",M360="331")),"331",IF(AND(OR(L360="131",M360="131"),H360='131-CT'!$E$7),"131",""))</f>
        <v/>
      </c>
      <c r="O360" s="22" t="str">
        <f>IF(AND($B360&gt;='111'!$N$11,$B360&lt;='111'!$O$11,OR($L360=$O$7,$M360=$O$7)),"x","")</f>
        <v/>
      </c>
      <c r="P360" s="22" t="str">
        <f>IF(AND($L360=$O$7,$B360&lt;'111'!$N$11),"x","")</f>
        <v/>
      </c>
      <c r="Q360" s="22" t="str">
        <f>IF(AND($M360=$O$7,$B360&lt;'111'!$N$11),"x","")</f>
        <v/>
      </c>
      <c r="R360" s="22" t="str">
        <f>IF(ISERROR(FIND('112'!$M$9,G360,1)),"",IF((AND(FIND('112'!$M$9,G360,1)&gt;=1,$B360&gt;='112'!$N$8,$B360&lt;='112'!$O$8,OR($L360='112'!$I$6,$M360='112'!$I$6))),"x",""))</f>
        <v/>
      </c>
      <c r="S360" s="22" t="str">
        <f>IF(ISERROR(FIND('112'!$M$9,G360,1)),"",IF((AND(LEFT(G360,2)=LEFT('112'!$M$9,2),B360&lt;'112'!$N$8,$L360='112'!$I$6)),"x",""))</f>
        <v/>
      </c>
      <c r="T360" s="22" t="str">
        <f>IF(ISERROR(FIND('112'!$M$9,G360,1)),"",IF((AND(RIGHT(G360,2)=RIGHT('112'!$M$9,2),B360&lt;'112'!$N$8,$M360='112'!$I$6)),"x",""))</f>
        <v>x</v>
      </c>
      <c r="U360" s="22" t="str">
        <f>IF(AND(B360&gt;='IN-NX'!$P$3,B360&lt;='IN-NX'!$Q$3,'IN-NX'!$D$7=D360,OR(LEFT(L360,2)="15",AND(LEFT(M360,2)&lt;&gt;"15",LEFT(M360,2)&lt;&gt;"33"))),"x","")</f>
        <v/>
      </c>
      <c r="V360" s="22" t="str">
        <f>IF(AND(OR(LEFT(TH!L360,2)="15",LEFT(TH!M360,2)="15"),'152-CT'!$J$8=TH!F360),"x","")</f>
        <v/>
      </c>
      <c r="W360" s="22" t="str">
        <f>IF(AND(OR(LEFT(TH!L360,2)="15",LEFT(TH!M360,2)="15"),TK!$E$7=TH!F360),"x","")</f>
        <v/>
      </c>
      <c r="X360" s="22" t="str">
        <f>IF(OR(TH!L360=TH!$X$7,M360=TH!$X$7),"x","")</f>
        <v>x</v>
      </c>
      <c r="Y360" s="22" t="str">
        <f>IF(AND(B360&lt;=NKC!$N$8,B360&gt;=NKC!$M$8),"x","")</f>
        <v>x</v>
      </c>
      <c r="Z360" s="580">
        <v>3</v>
      </c>
      <c r="AC360" s="130"/>
      <c r="AD360" s="130"/>
      <c r="AE360" s="130"/>
    </row>
    <row r="361" spans="1:31" s="406" customFormat="1" ht="15.75" customHeight="1">
      <c r="A361" s="123" t="str">
        <f>IF(B361&lt;&gt;"",IF(AND(B361&gt;=_TM1,B361&lt;=_TM2,OR(TH!L362="1111",TH!M362="1111")),TH!D362,""),"")</f>
        <v/>
      </c>
      <c r="B361" s="12">
        <f t="shared" si="13"/>
        <v>9</v>
      </c>
      <c r="C361" s="108">
        <f t="shared" si="14"/>
        <v>42635</v>
      </c>
      <c r="D361" s="108" t="s">
        <v>470</v>
      </c>
      <c r="E361" s="113">
        <v>42635</v>
      </c>
      <c r="F361" s="112" t="s">
        <v>487</v>
      </c>
      <c r="G361" s="303" t="s">
        <v>474</v>
      </c>
      <c r="H361" s="4"/>
      <c r="I361" s="139"/>
      <c r="J361" s="139"/>
      <c r="K361" s="410">
        <v>2000</v>
      </c>
      <c r="L361" s="116" t="s">
        <v>9</v>
      </c>
      <c r="M361" s="116" t="s">
        <v>24</v>
      </c>
      <c r="N361" s="22" t="str">
        <f>IF(AND('331-CT'!$E$7=TH!H361,OR(L361="331",M361="331")),"331",IF(AND(OR(L361="131",M361="131"),H361='131-CT'!$E$7),"131",""))</f>
        <v/>
      </c>
      <c r="O361" s="22" t="str">
        <f>IF(AND($B361&gt;='111'!$N$11,$B361&lt;='111'!$O$11,OR($L361=$O$7,$M361=$O$7)),"x","")</f>
        <v/>
      </c>
      <c r="P361" s="22" t="str">
        <f>IF(AND($L361=$O$7,$B361&lt;'111'!$N$11),"x","")</f>
        <v/>
      </c>
      <c r="Q361" s="22" t="str">
        <f>IF(AND($M361=$O$7,$B361&lt;'111'!$N$11),"x","")</f>
        <v/>
      </c>
      <c r="R361" s="22" t="str">
        <f>IF(ISERROR(FIND('112'!$M$9,G361,1)),"",IF((AND(FIND('112'!$M$9,G361,1)&gt;=1,$B361&gt;='112'!$N$8,$B361&lt;='112'!$O$8,OR($L361='112'!$I$6,$M361='112'!$I$6))),"x",""))</f>
        <v/>
      </c>
      <c r="S361" s="22" t="str">
        <f>IF(ISERROR(FIND('112'!$M$9,G361,1)),"",IF((AND(LEFT(G361,2)=LEFT('112'!$M$9,2),B361&lt;'112'!$N$8,$L361='112'!$I$6)),"x",""))</f>
        <v/>
      </c>
      <c r="T361" s="22" t="str">
        <f>IF(ISERROR(FIND('112'!$M$9,G361,1)),"",IF((AND(RIGHT(G361,2)=RIGHT('112'!$M$9,2),B361&lt;'112'!$N$8,$M361='112'!$I$6)),"x",""))</f>
        <v>x</v>
      </c>
      <c r="U361" s="22" t="str">
        <f>IF(AND(B361&gt;='IN-NX'!$P$3,B361&lt;='IN-NX'!$Q$3,'IN-NX'!$D$7=D361,OR(LEFT(L361,2)="15",AND(LEFT(M361,2)&lt;&gt;"15",LEFT(M361,2)&lt;&gt;"33"))),"x","")</f>
        <v/>
      </c>
      <c r="V361" s="22" t="str">
        <f>IF(AND(OR(LEFT(TH!L361,2)="15",LEFT(TH!M361,2)="15"),'152-CT'!$J$8=TH!F361),"x","")</f>
        <v/>
      </c>
      <c r="W361" s="22" t="str">
        <f>IF(AND(OR(LEFT(TH!L361,2)="15",LEFT(TH!M361,2)="15"),TK!$E$7=TH!F361),"x","")</f>
        <v/>
      </c>
      <c r="X361" s="22" t="str">
        <f>IF(OR(TH!L361=TH!$X$7,M361=TH!$X$7),"x","")</f>
        <v/>
      </c>
      <c r="Y361" s="22" t="str">
        <f>IF(AND(B361&lt;=NKC!$N$8,B361&gt;=NKC!$M$8),"x","")</f>
        <v>x</v>
      </c>
      <c r="Z361" s="580">
        <v>3</v>
      </c>
      <c r="AC361" s="130"/>
      <c r="AD361" s="130"/>
      <c r="AE361" s="130"/>
    </row>
    <row r="362" spans="1:31" s="406" customFormat="1" ht="15.75" customHeight="1">
      <c r="A362" s="123" t="str">
        <f>IF(B362&lt;&gt;"",IF(AND(B362&gt;=_TM1,B362&lt;=_TM2,OR(TH!L363="1111",TH!M363="1111")),TH!D363,""),"")</f>
        <v/>
      </c>
      <c r="B362" s="12">
        <f t="shared" si="13"/>
        <v>9</v>
      </c>
      <c r="C362" s="108">
        <f t="shared" si="14"/>
        <v>42635</v>
      </c>
      <c r="D362" s="108" t="s">
        <v>610</v>
      </c>
      <c r="E362" s="113">
        <v>42635</v>
      </c>
      <c r="F362" s="112" t="s">
        <v>515</v>
      </c>
      <c r="G362" s="303" t="s">
        <v>757</v>
      </c>
      <c r="H362" s="4" t="s">
        <v>366</v>
      </c>
      <c r="I362" s="139">
        <v>300</v>
      </c>
      <c r="J362" s="139">
        <v>10500</v>
      </c>
      <c r="K362" s="13">
        <f>ROUND(I362*J362,0)</f>
        <v>3150000</v>
      </c>
      <c r="L362" s="116" t="s">
        <v>252</v>
      </c>
      <c r="M362" s="411" t="s">
        <v>169</v>
      </c>
      <c r="N362" s="22" t="str">
        <f>IF(AND('331-CT'!$E$7=TH!H362,OR(L362="331",M362="331")),"331",IF(AND(OR(L362="131",M362="131"),H362='131-CT'!$E$7),"131",""))</f>
        <v/>
      </c>
      <c r="O362" s="22" t="str">
        <f>IF(AND($B362&gt;='111'!$N$11,$B362&lt;='111'!$O$11,OR($L362=$O$7,$M362=$O$7)),"x","")</f>
        <v/>
      </c>
      <c r="P362" s="22" t="str">
        <f>IF(AND($L362=$O$7,$B362&lt;'111'!$N$11),"x","")</f>
        <v/>
      </c>
      <c r="Q362" s="22" t="str">
        <f>IF(AND($M362=$O$7,$B362&lt;'111'!$N$11),"x","")</f>
        <v/>
      </c>
      <c r="R362" s="22" t="str">
        <f>IF(ISERROR(FIND('112'!$M$9,G362,1)),"",IF((AND(FIND('112'!$M$9,G362,1)&gt;=1,$B362&gt;='112'!$N$8,$B362&lt;='112'!$O$8,OR($L362='112'!$I$6,$M362='112'!$I$6))),"x",""))</f>
        <v/>
      </c>
      <c r="S362" s="22" t="str">
        <f>IF(ISERROR(FIND('112'!$M$9,G362,1)),"",IF((AND(LEFT(G362,2)=LEFT('112'!$M$9,2),B362&lt;'112'!$N$8,$L362='112'!$I$6)),"x",""))</f>
        <v/>
      </c>
      <c r="T362" s="22" t="str">
        <f>IF(ISERROR(FIND('112'!$M$9,G362,1)),"",IF((AND(RIGHT(G362,2)=RIGHT('112'!$M$9,2),B362&lt;'112'!$N$8,$M362='112'!$I$6)),"x",""))</f>
        <v/>
      </c>
      <c r="U362" s="22" t="str">
        <f>IF(AND(B362&gt;='IN-NX'!$P$3,B362&lt;='IN-NX'!$Q$3,'IN-NX'!$D$7=D362,OR(LEFT(L362,2)="15",AND(LEFT(M362,2)&lt;&gt;"15",LEFT(M362,2)&lt;&gt;"33"))),"x","")</f>
        <v/>
      </c>
      <c r="V362" s="22" t="str">
        <f>IF(AND(OR(LEFT(TH!L362,2)="15",LEFT(TH!M362,2)="15"),'152-CT'!$J$8=TH!F362),"x","")</f>
        <v/>
      </c>
      <c r="W362" s="22" t="str">
        <f>IF(AND(OR(LEFT(TH!L362,2)="15",LEFT(TH!M362,2)="15"),TK!$E$7=TH!F362),"x","")</f>
        <v/>
      </c>
      <c r="X362" s="22" t="str">
        <f>IF(OR(TH!L362=TH!$X$7,M362=TH!$X$7),"x","")</f>
        <v/>
      </c>
      <c r="Y362" s="22" t="str">
        <f>IF(AND(B362&lt;=NKC!$N$8,B362&gt;=NKC!$M$8),"x","")</f>
        <v>x</v>
      </c>
      <c r="Z362" s="580"/>
      <c r="AC362" s="130"/>
    </row>
    <row r="363" spans="1:31" s="406" customFormat="1" ht="15.75" customHeight="1">
      <c r="A363" s="123" t="str">
        <f>IF(B363&lt;&gt;"",IF(AND(B363&gt;=_TM1,B363&lt;=_TM2,OR(TH!L364="1111",TH!M364="1111")),TH!D364,""),"")</f>
        <v/>
      </c>
      <c r="B363" s="12">
        <f t="shared" si="13"/>
        <v>9</v>
      </c>
      <c r="C363" s="108">
        <f t="shared" si="14"/>
        <v>42635</v>
      </c>
      <c r="D363" s="108" t="s">
        <v>610</v>
      </c>
      <c r="E363" s="113">
        <v>42635</v>
      </c>
      <c r="F363" s="112" t="s">
        <v>496</v>
      </c>
      <c r="G363" s="303" t="s">
        <v>757</v>
      </c>
      <c r="H363" s="4" t="s">
        <v>366</v>
      </c>
      <c r="I363" s="139"/>
      <c r="J363" s="139"/>
      <c r="K363" s="13">
        <v>315000</v>
      </c>
      <c r="L363" s="116" t="s">
        <v>252</v>
      </c>
      <c r="M363" s="411" t="s">
        <v>352</v>
      </c>
      <c r="N363" s="22" t="str">
        <f>IF(AND('331-CT'!$E$7=TH!H363,OR(L363="331",M363="331")),"331",IF(AND(OR(L363="131",M363="131"),H363='131-CT'!$E$7),"131",""))</f>
        <v/>
      </c>
      <c r="O363" s="22" t="str">
        <f>IF(AND($B363&gt;='111'!$N$11,$B363&lt;='111'!$O$11,OR($L363=$O$7,$M363=$O$7)),"x","")</f>
        <v/>
      </c>
      <c r="P363" s="22" t="str">
        <f>IF(AND($L363=$O$7,$B363&lt;'111'!$N$11),"x","")</f>
        <v/>
      </c>
      <c r="Q363" s="22" t="str">
        <f>IF(AND($M363=$O$7,$B363&lt;'111'!$N$11),"x","")</f>
        <v/>
      </c>
      <c r="R363" s="22" t="str">
        <f>IF(ISERROR(FIND('112'!$M$9,G363,1)),"",IF((AND(FIND('112'!$M$9,G363,1)&gt;=1,$B363&gt;='112'!$N$8,$B363&lt;='112'!$O$8,OR($L363='112'!$I$6,$M363='112'!$I$6))),"x",""))</f>
        <v/>
      </c>
      <c r="S363" s="22" t="str">
        <f>IF(ISERROR(FIND('112'!$M$9,G363,1)),"",IF((AND(LEFT(G363,2)=LEFT('112'!$M$9,2),B363&lt;'112'!$N$8,$L363='112'!$I$6)),"x",""))</f>
        <v/>
      </c>
      <c r="T363" s="22" t="str">
        <f>IF(ISERROR(FIND('112'!$M$9,G363,1)),"",IF((AND(RIGHT(G363,2)=RIGHT('112'!$M$9,2),B363&lt;'112'!$N$8,$M363='112'!$I$6)),"x",""))</f>
        <v/>
      </c>
      <c r="U363" s="22" t="str">
        <f>IF(AND(B363&gt;='IN-NX'!$P$3,B363&lt;='IN-NX'!$Q$3,'IN-NX'!$D$7=D363,OR(LEFT(L363,2)="15",AND(LEFT(M363,2)&lt;&gt;"15",LEFT(M363,2)&lt;&gt;"33"))),"x","")</f>
        <v/>
      </c>
      <c r="V363" s="22" t="str">
        <f>IF(AND(OR(LEFT(TH!L363,2)="15",LEFT(TH!M363,2)="15"),'152-CT'!$J$8=TH!F363),"x","")</f>
        <v/>
      </c>
      <c r="W363" s="22" t="str">
        <f>IF(AND(OR(LEFT(TH!L363,2)="15",LEFT(TH!M363,2)="15"),TK!$E$7=TH!F363),"x","")</f>
        <v/>
      </c>
      <c r="X363" s="22" t="str">
        <f>IF(OR(TH!L363=TH!$X$7,M363=TH!$X$7),"x","")</f>
        <v/>
      </c>
      <c r="Y363" s="22" t="str">
        <f>IF(AND(B363&lt;=NKC!$N$8,B363&gt;=NKC!$M$8),"x","")</f>
        <v>x</v>
      </c>
      <c r="Z363" s="580"/>
      <c r="AB363" s="130"/>
      <c r="AC363" s="130"/>
    </row>
    <row r="364" spans="1:31" s="406" customFormat="1" ht="15.75" customHeight="1">
      <c r="A364" s="123" t="str">
        <f>IF(B364&lt;&gt;"",IF(AND(B364&gt;=_TM1,B364&lt;=_TM2,OR(TH!L365="1111",TH!M365="1111")),TH!D365,""),"")</f>
        <v/>
      </c>
      <c r="B364" s="12">
        <f t="shared" si="13"/>
        <v>9</v>
      </c>
      <c r="C364" s="108">
        <f t="shared" si="14"/>
        <v>42636</v>
      </c>
      <c r="D364" s="113" t="s">
        <v>1013</v>
      </c>
      <c r="E364" s="113">
        <v>42636</v>
      </c>
      <c r="F364" s="112" t="s">
        <v>355</v>
      </c>
      <c r="G364" s="303" t="s">
        <v>980</v>
      </c>
      <c r="H364" s="115" t="s">
        <v>427</v>
      </c>
      <c r="I364" s="139"/>
      <c r="J364" s="139"/>
      <c r="K364" s="410">
        <v>3120000</v>
      </c>
      <c r="L364" s="411" t="s">
        <v>160</v>
      </c>
      <c r="M364" s="411" t="s">
        <v>46</v>
      </c>
      <c r="N364" s="22" t="str">
        <f>IF(AND('331-CT'!$E$7=TH!H364,OR(L364="331",M364="331")),"331",IF(AND(OR(L364="131",M364="131"),H364='131-CT'!$E$7),"131",""))</f>
        <v/>
      </c>
      <c r="O364" s="22" t="str">
        <f>IF(AND($B364&gt;='111'!$N$11,$B364&lt;='111'!$O$11,OR($L364=$O$7,$M364=$O$7)),"x","")</f>
        <v/>
      </c>
      <c r="P364" s="22" t="str">
        <f>IF(AND($L364=$O$7,$B364&lt;'111'!$N$11),"x","")</f>
        <v/>
      </c>
      <c r="Q364" s="22" t="str">
        <f>IF(AND($M364=$O$7,$B364&lt;'111'!$N$11),"x","")</f>
        <v>x</v>
      </c>
      <c r="R364" s="22" t="str">
        <f>IF(ISERROR(FIND('112'!$M$9,G364,1)),"",IF((AND(FIND('112'!$M$9,G364,1)&gt;=1,$B364&gt;='112'!$N$8,$B364&lt;='112'!$O$8,OR($L364='112'!$I$6,$M364='112'!$I$6))),"x",""))</f>
        <v/>
      </c>
      <c r="S364" s="22" t="str">
        <f>IF(ISERROR(FIND('112'!$M$9,G364,1)),"",IF((AND(LEFT(G364,2)=LEFT('112'!$M$9,2),B364&lt;'112'!$N$8,$L364='112'!$I$6)),"x",""))</f>
        <v/>
      </c>
      <c r="T364" s="22" t="str">
        <f>IF(ISERROR(FIND('112'!$M$9,G364,1)),"",IF((AND(RIGHT(G364,2)=RIGHT('112'!$M$9,2),B364&lt;'112'!$N$8,$M364='112'!$I$6)),"x",""))</f>
        <v/>
      </c>
      <c r="U364" s="22" t="str">
        <f>IF(AND(B364&gt;='IN-NX'!$P$3,B364&lt;='IN-NX'!$Q$3,'IN-NX'!$D$7=D364,OR(LEFT(L364,2)="15",AND(LEFT(M364,2)&lt;&gt;"15",LEFT(M364,2)&lt;&gt;"33"))),"x","")</f>
        <v/>
      </c>
      <c r="V364" s="22" t="str">
        <f>IF(AND(OR(LEFT(TH!L364,2)="15",LEFT(TH!M364,2)="15"),'152-CT'!$J$8=TH!F364),"x","")</f>
        <v/>
      </c>
      <c r="W364" s="22" t="str">
        <f>IF(AND(OR(LEFT(TH!L364,2)="15",LEFT(TH!M364,2)="15"),TK!$E$7=TH!F364),"x","")</f>
        <v/>
      </c>
      <c r="X364" s="22" t="str">
        <f>IF(OR(TH!L364=TH!$X$7,M364=TH!$X$7),"x","")</f>
        <v/>
      </c>
      <c r="Y364" s="22" t="str">
        <f>IF(AND(B364&lt;=NKC!$N$8,B364&gt;=NKC!$M$8),"x","")</f>
        <v>x</v>
      </c>
      <c r="Z364" s="580">
        <v>4</v>
      </c>
    </row>
    <row r="365" spans="1:31" s="406" customFormat="1" ht="15.75" customHeight="1">
      <c r="A365" s="123" t="str">
        <f>IF(B365&lt;&gt;"",IF(AND(B365&gt;=_TM1,B365&lt;=_TM2,OR(TH!L366="1111",TH!M366="1111")),TH!D366,""),"")</f>
        <v/>
      </c>
      <c r="B365" s="12">
        <f t="shared" si="13"/>
        <v>9</v>
      </c>
      <c r="C365" s="108">
        <f t="shared" si="14"/>
        <v>42636</v>
      </c>
      <c r="D365" s="113" t="s">
        <v>1013</v>
      </c>
      <c r="E365" s="113">
        <v>42636</v>
      </c>
      <c r="F365" s="112" t="s">
        <v>425</v>
      </c>
      <c r="G365" s="303" t="s">
        <v>980</v>
      </c>
      <c r="H365" s="115" t="s">
        <v>427</v>
      </c>
      <c r="I365" s="139"/>
      <c r="J365" s="139"/>
      <c r="K365" s="410">
        <v>312000</v>
      </c>
      <c r="L365" s="411" t="s">
        <v>9</v>
      </c>
      <c r="M365" s="411" t="s">
        <v>46</v>
      </c>
      <c r="N365" s="22" t="str">
        <f>IF(AND('331-CT'!$E$7=TH!H365,OR(L365="331",M365="331")),"331",IF(AND(OR(L365="131",M365="131"),H365='131-CT'!$E$7),"131",""))</f>
        <v/>
      </c>
      <c r="O365" s="22" t="str">
        <f>IF(AND($B365&gt;='111'!$N$11,$B365&lt;='111'!$O$11,OR($L365=$O$7,$M365=$O$7)),"x","")</f>
        <v/>
      </c>
      <c r="P365" s="22" t="str">
        <f>IF(AND($L365=$O$7,$B365&lt;'111'!$N$11),"x","")</f>
        <v/>
      </c>
      <c r="Q365" s="22" t="str">
        <f>IF(AND($M365=$O$7,$B365&lt;'111'!$N$11),"x","")</f>
        <v>x</v>
      </c>
      <c r="R365" s="22" t="str">
        <f>IF(ISERROR(FIND('112'!$M$9,G365,1)),"",IF((AND(FIND('112'!$M$9,G365,1)&gt;=1,$B365&gt;='112'!$N$8,$B365&lt;='112'!$O$8,OR($L365='112'!$I$6,$M365='112'!$I$6))),"x",""))</f>
        <v/>
      </c>
      <c r="S365" s="22" t="str">
        <f>IF(ISERROR(FIND('112'!$M$9,G365,1)),"",IF((AND(LEFT(G365,2)=LEFT('112'!$M$9,2),B365&lt;'112'!$N$8,$L365='112'!$I$6)),"x",""))</f>
        <v/>
      </c>
      <c r="T365" s="22" t="str">
        <f>IF(ISERROR(FIND('112'!$M$9,G365,1)),"",IF((AND(RIGHT(G365,2)=RIGHT('112'!$M$9,2),B365&lt;'112'!$N$8,$M365='112'!$I$6)),"x",""))</f>
        <v/>
      </c>
      <c r="U365" s="22" t="str">
        <f>IF(AND(B365&gt;='IN-NX'!$P$3,B365&lt;='IN-NX'!$Q$3,'IN-NX'!$D$7=D365,OR(LEFT(L365,2)="15",AND(LEFT(M365,2)&lt;&gt;"15",LEFT(M365,2)&lt;&gt;"33"))),"x","")</f>
        <v/>
      </c>
      <c r="V365" s="22" t="str">
        <f>IF(AND(OR(LEFT(TH!L365,2)="15",LEFT(TH!M365,2)="15"),'152-CT'!$J$8=TH!F365),"x","")</f>
        <v/>
      </c>
      <c r="W365" s="22" t="str">
        <f>IF(AND(OR(LEFT(TH!L365,2)="15",LEFT(TH!M365,2)="15"),TK!$E$7=TH!F365),"x","")</f>
        <v/>
      </c>
      <c r="X365" s="22" t="str">
        <f>IF(OR(TH!L365=TH!$X$7,M365=TH!$X$7),"x","")</f>
        <v/>
      </c>
      <c r="Y365" s="22" t="str">
        <f>IF(AND(B365&lt;=NKC!$N$8,B365&gt;=NKC!$M$8),"x","")</f>
        <v>x</v>
      </c>
      <c r="Z365" s="580">
        <v>4</v>
      </c>
    </row>
    <row r="366" spans="1:31" s="406" customFormat="1" ht="15.75" customHeight="1">
      <c r="A366" s="123" t="str">
        <f>IF(B366&lt;&gt;"",IF(AND(B366&gt;=_TM1,B366&lt;=_TM2,OR(TH!L367="1111",TH!M367="1111")),TH!D367,""),"")</f>
        <v/>
      </c>
      <c r="B366" s="12">
        <f t="shared" si="13"/>
        <v>9</v>
      </c>
      <c r="C366" s="108">
        <f t="shared" si="14"/>
        <v>42638</v>
      </c>
      <c r="D366" s="108" t="s">
        <v>470</v>
      </c>
      <c r="E366" s="113">
        <v>42638</v>
      </c>
      <c r="F366" s="112" t="s">
        <v>477</v>
      </c>
      <c r="G366" s="303" t="s">
        <v>474</v>
      </c>
      <c r="H366" s="4"/>
      <c r="I366" s="139"/>
      <c r="J366" s="139"/>
      <c r="K366" s="13">
        <v>10000</v>
      </c>
      <c r="L366" s="116" t="s">
        <v>82</v>
      </c>
      <c r="M366" s="116" t="s">
        <v>24</v>
      </c>
      <c r="N366" s="22" t="str">
        <f>IF(AND('331-CT'!$E$7=TH!H366,OR(L366="331",M366="331")),"331",IF(AND(OR(L366="131",M366="131"),H366='131-CT'!$E$7),"131",""))</f>
        <v/>
      </c>
      <c r="O366" s="22" t="str">
        <f>IF(AND($B366&gt;='111'!$N$11,$B366&lt;='111'!$O$11,OR($L366=$O$7,$M366=$O$7)),"x","")</f>
        <v/>
      </c>
      <c r="P366" s="22" t="str">
        <f>IF(AND($L366=$O$7,$B366&lt;'111'!$N$11),"x","")</f>
        <v/>
      </c>
      <c r="Q366" s="22" t="str">
        <f>IF(AND($M366=$O$7,$B366&lt;'111'!$N$11),"x","")</f>
        <v/>
      </c>
      <c r="R366" s="22" t="str">
        <f>IF(ISERROR(FIND('112'!$M$9,G366,1)),"",IF((AND(FIND('112'!$M$9,G366,1)&gt;=1,$B366&gt;='112'!$N$8,$B366&lt;='112'!$O$8,OR($L366='112'!$I$6,$M366='112'!$I$6))),"x",""))</f>
        <v/>
      </c>
      <c r="S366" s="22" t="str">
        <f>IF(ISERROR(FIND('112'!$M$9,G366,1)),"",IF((AND(LEFT(G366,2)=LEFT('112'!$M$9,2),B366&lt;'112'!$N$8,$L366='112'!$I$6)),"x",""))</f>
        <v/>
      </c>
      <c r="T366" s="22" t="str">
        <f>IF(ISERROR(FIND('112'!$M$9,G366,1)),"",IF((AND(RIGHT(G366,2)=RIGHT('112'!$M$9,2),B366&lt;'112'!$N$8,$M366='112'!$I$6)),"x",""))</f>
        <v>x</v>
      </c>
      <c r="U366" s="22" t="str">
        <f>IF(AND(B366&gt;='IN-NX'!$P$3,B366&lt;='IN-NX'!$Q$3,'IN-NX'!$D$7=D366,OR(LEFT(L366,2)="15",AND(LEFT(M366,2)&lt;&gt;"15",LEFT(M366,2)&lt;&gt;"33"))),"x","")</f>
        <v/>
      </c>
      <c r="V366" s="22" t="str">
        <f>IF(AND(OR(LEFT(TH!L366,2)="15",LEFT(TH!M366,2)="15"),'152-CT'!$J$8=TH!F366),"x","")</f>
        <v/>
      </c>
      <c r="W366" s="22" t="str">
        <f>IF(AND(OR(LEFT(TH!L366,2)="15",LEFT(TH!M366,2)="15"),TK!$E$7=TH!F366),"x","")</f>
        <v/>
      </c>
      <c r="X366" s="22" t="str">
        <f>IF(OR(TH!L366=TH!$X$7,M366=TH!$X$7),"x","")</f>
        <v>x</v>
      </c>
      <c r="Y366" s="22" t="str">
        <f>IF(AND(B366&lt;=NKC!$N$8,B366&gt;=NKC!$M$8),"x","")</f>
        <v>x</v>
      </c>
      <c r="Z366" s="580">
        <v>3</v>
      </c>
      <c r="AC366" s="130"/>
      <c r="AD366" s="130"/>
      <c r="AE366" s="130"/>
    </row>
    <row r="367" spans="1:31" s="406" customFormat="1" ht="15.75" customHeight="1">
      <c r="A367" s="123" t="str">
        <f>IF(B367&lt;&gt;"",IF(AND(B367&gt;=_TM1,B367&lt;=_TM2,OR(TH!L368="1111",TH!M368="1111")),TH!D368,""),"")</f>
        <v/>
      </c>
      <c r="B367" s="12">
        <f t="shared" si="13"/>
        <v>9</v>
      </c>
      <c r="C367" s="108">
        <f t="shared" si="14"/>
        <v>42638</v>
      </c>
      <c r="D367" s="108" t="s">
        <v>470</v>
      </c>
      <c r="E367" s="113">
        <v>42638</v>
      </c>
      <c r="F367" s="112" t="s">
        <v>478</v>
      </c>
      <c r="G367" s="303" t="s">
        <v>474</v>
      </c>
      <c r="H367" s="4"/>
      <c r="I367" s="139"/>
      <c r="J367" s="139"/>
      <c r="K367" s="13">
        <v>1000</v>
      </c>
      <c r="L367" s="116" t="s">
        <v>9</v>
      </c>
      <c r="M367" s="116" t="s">
        <v>24</v>
      </c>
      <c r="N367" s="22" t="str">
        <f>IF(AND('331-CT'!$E$7=TH!H367,OR(L367="331",M367="331")),"331",IF(AND(OR(L367="131",M367="131"),H367='131-CT'!$E$7),"131",""))</f>
        <v/>
      </c>
      <c r="O367" s="22" t="str">
        <f>IF(AND($B367&gt;='111'!$N$11,$B367&lt;='111'!$O$11,OR($L367=$O$7,$M367=$O$7)),"x","")</f>
        <v/>
      </c>
      <c r="P367" s="22" t="str">
        <f>IF(AND($L367=$O$7,$B367&lt;'111'!$N$11),"x","")</f>
        <v/>
      </c>
      <c r="Q367" s="22" t="str">
        <f>IF(AND($M367=$O$7,$B367&lt;'111'!$N$11),"x","")</f>
        <v/>
      </c>
      <c r="R367" s="22" t="str">
        <f>IF(ISERROR(FIND('112'!$M$9,G367,1)),"",IF((AND(FIND('112'!$M$9,G367,1)&gt;=1,$B367&gt;='112'!$N$8,$B367&lt;='112'!$O$8,OR($L367='112'!$I$6,$M367='112'!$I$6))),"x",""))</f>
        <v/>
      </c>
      <c r="S367" s="22" t="str">
        <f>IF(ISERROR(FIND('112'!$M$9,G367,1)),"",IF((AND(LEFT(G367,2)=LEFT('112'!$M$9,2),B367&lt;'112'!$N$8,$L367='112'!$I$6)),"x",""))</f>
        <v/>
      </c>
      <c r="T367" s="22" t="str">
        <f>IF(ISERROR(FIND('112'!$M$9,G367,1)),"",IF((AND(RIGHT(G367,2)=RIGHT('112'!$M$9,2),B367&lt;'112'!$N$8,$M367='112'!$I$6)),"x",""))</f>
        <v>x</v>
      </c>
      <c r="U367" s="22" t="str">
        <f>IF(AND(B367&gt;='IN-NX'!$P$3,B367&lt;='IN-NX'!$Q$3,'IN-NX'!$D$7=D367,OR(LEFT(L367,2)="15",AND(LEFT(M367,2)&lt;&gt;"15",LEFT(M367,2)&lt;&gt;"33"))),"x","")</f>
        <v/>
      </c>
      <c r="V367" s="22" t="str">
        <f>IF(AND(OR(LEFT(TH!L367,2)="15",LEFT(TH!M367,2)="15"),'152-CT'!$J$8=TH!F367),"x","")</f>
        <v/>
      </c>
      <c r="W367" s="22" t="str">
        <f>IF(AND(OR(LEFT(TH!L367,2)="15",LEFT(TH!M367,2)="15"),TK!$E$7=TH!F367),"x","")</f>
        <v/>
      </c>
      <c r="X367" s="22" t="str">
        <f>IF(OR(TH!L367=TH!$X$7,M367=TH!$X$7),"x","")</f>
        <v/>
      </c>
      <c r="Y367" s="22" t="str">
        <f>IF(AND(B367&lt;=NKC!$N$8,B367&gt;=NKC!$M$8),"x","")</f>
        <v>x</v>
      </c>
      <c r="Z367" s="580">
        <v>3</v>
      </c>
      <c r="AD367" s="130"/>
      <c r="AE367" s="130"/>
    </row>
    <row r="368" spans="1:31" s="406" customFormat="1" ht="15.75" customHeight="1">
      <c r="A368" s="123" t="str">
        <f>IF(B368&lt;&gt;"",IF(AND(B368&gt;=_TM1,B368&lt;=_TM2,OR(TH!L369="1111",TH!M369="1111")),TH!D369,""),"")</f>
        <v/>
      </c>
      <c r="B368" s="12">
        <f t="shared" si="13"/>
        <v>9</v>
      </c>
      <c r="C368" s="108">
        <f t="shared" si="14"/>
        <v>42638</v>
      </c>
      <c r="D368" s="108" t="s">
        <v>469</v>
      </c>
      <c r="E368" s="113">
        <v>42638</v>
      </c>
      <c r="F368" s="112" t="s">
        <v>476</v>
      </c>
      <c r="G368" s="303" t="s">
        <v>474</v>
      </c>
      <c r="H368" s="4"/>
      <c r="I368" s="139"/>
      <c r="J368" s="139"/>
      <c r="K368" s="410">
        <v>2126</v>
      </c>
      <c r="L368" s="116" t="s">
        <v>24</v>
      </c>
      <c r="M368" s="116" t="s">
        <v>39</v>
      </c>
      <c r="N368" s="22" t="str">
        <f>IF(AND('331-CT'!$E$7=TH!H368,OR(L368="331",M368="331")),"331",IF(AND(OR(L368="131",M368="131"),H368='131-CT'!$E$7),"131",""))</f>
        <v/>
      </c>
      <c r="O368" s="22" t="str">
        <f>IF(AND($B368&gt;='111'!$N$11,$B368&lt;='111'!$O$11,OR($L368=$O$7,$M368=$O$7)),"x","")</f>
        <v/>
      </c>
      <c r="P368" s="22" t="str">
        <f>IF(AND($L368=$O$7,$B368&lt;'111'!$N$11),"x","")</f>
        <v/>
      </c>
      <c r="Q368" s="22" t="str">
        <f>IF(AND($M368=$O$7,$B368&lt;'111'!$N$11),"x","")</f>
        <v/>
      </c>
      <c r="R368" s="22" t="str">
        <f>IF(ISERROR(FIND('112'!$M$9,G368,1)),"",IF((AND(FIND('112'!$M$9,G368,1)&gt;=1,$B368&gt;='112'!$N$8,$B368&lt;='112'!$O$8,OR($L368='112'!$I$6,$M368='112'!$I$6))),"x",""))</f>
        <v/>
      </c>
      <c r="S368" s="22" t="str">
        <f>IF(ISERROR(FIND('112'!$M$9,G368,1)),"",IF((AND(LEFT(G368,2)=LEFT('112'!$M$9,2),B368&lt;'112'!$N$8,$L368='112'!$I$6)),"x",""))</f>
        <v>x</v>
      </c>
      <c r="T368" s="22" t="str">
        <f>IF(ISERROR(FIND('112'!$M$9,G368,1)),"",IF((AND(RIGHT(G368,2)=RIGHT('112'!$M$9,2),B368&lt;'112'!$N$8,$M368='112'!$I$6)),"x",""))</f>
        <v/>
      </c>
      <c r="U368" s="22" t="str">
        <f>IF(AND(B368&gt;='IN-NX'!$P$3,B368&lt;='IN-NX'!$Q$3,'IN-NX'!$D$7=D368,OR(LEFT(L368,2)="15",AND(LEFT(M368,2)&lt;&gt;"15",LEFT(M368,2)&lt;&gt;"33"))),"x","")</f>
        <v/>
      </c>
      <c r="V368" s="22" t="str">
        <f>IF(AND(OR(LEFT(TH!L368,2)="15",LEFT(TH!M368,2)="15"),'152-CT'!$J$8=TH!F368),"x","")</f>
        <v/>
      </c>
      <c r="W368" s="22" t="str">
        <f>IF(AND(OR(LEFT(TH!L368,2)="15",LEFT(TH!M368,2)="15"),TK!$E$7=TH!F368),"x","")</f>
        <v/>
      </c>
      <c r="X368" s="22" t="str">
        <f>IF(OR(TH!L368=TH!$X$7,M368=TH!$X$7),"x","")</f>
        <v/>
      </c>
      <c r="Y368" s="22" t="str">
        <f>IF(AND(B368&lt;=NKC!$N$8,B368&gt;=NKC!$M$8),"x","")</f>
        <v>x</v>
      </c>
      <c r="Z368" s="580"/>
      <c r="AD368" s="130"/>
      <c r="AE368" s="130"/>
    </row>
    <row r="369" spans="1:31" s="406" customFormat="1" ht="15.75" customHeight="1">
      <c r="A369" s="123" t="str">
        <f>IF(B369&lt;&gt;"",IF(AND(B369&gt;=_TM1,B369&lt;=_TM2,OR(TH!L370="1111",TH!M370="1111")),TH!D370,""),"")</f>
        <v/>
      </c>
      <c r="B369" s="12">
        <f t="shared" si="13"/>
        <v>9</v>
      </c>
      <c r="C369" s="108">
        <f t="shared" si="14"/>
        <v>42639</v>
      </c>
      <c r="D369" s="108" t="s">
        <v>469</v>
      </c>
      <c r="E369" s="113">
        <v>42639</v>
      </c>
      <c r="F369" s="112" t="s">
        <v>484</v>
      </c>
      <c r="G369" s="303" t="s">
        <v>474</v>
      </c>
      <c r="H369" s="4" t="s">
        <v>371</v>
      </c>
      <c r="I369" s="139"/>
      <c r="J369" s="139"/>
      <c r="K369" s="410">
        <v>22226930</v>
      </c>
      <c r="L369" s="411" t="s">
        <v>24</v>
      </c>
      <c r="M369" s="411" t="s">
        <v>252</v>
      </c>
      <c r="N369" s="22" t="str">
        <f>IF(AND('331-CT'!$E$7=TH!H369,OR(L369="331",M369="331")),"331",IF(AND(OR(L369="131",M369="131"),H369='131-CT'!$E$7),"131",""))</f>
        <v/>
      </c>
      <c r="O369" s="22" t="str">
        <f>IF(AND($B369&gt;='111'!$N$11,$B369&lt;='111'!$O$11,OR($L369=$O$7,$M369=$O$7)),"x","")</f>
        <v/>
      </c>
      <c r="P369" s="22" t="str">
        <f>IF(AND($L369=$O$7,$B369&lt;'111'!$N$11),"x","")</f>
        <v/>
      </c>
      <c r="Q369" s="22" t="str">
        <f>IF(AND($M369=$O$7,$B369&lt;'111'!$N$11),"x","")</f>
        <v/>
      </c>
      <c r="R369" s="22" t="str">
        <f>IF(ISERROR(FIND('112'!$M$9,G369,1)),"",IF((AND(FIND('112'!$M$9,G369,1)&gt;=1,$B369&gt;='112'!$N$8,$B369&lt;='112'!$O$8,OR($L369='112'!$I$6,$M369='112'!$I$6))),"x",""))</f>
        <v/>
      </c>
      <c r="S369" s="22" t="str">
        <f>IF(ISERROR(FIND('112'!$M$9,G369,1)),"",IF((AND(LEFT(G369,2)=LEFT('112'!$M$9,2),B369&lt;'112'!$N$8,$L369='112'!$I$6)),"x",""))</f>
        <v>x</v>
      </c>
      <c r="T369" s="22" t="str">
        <f>IF(ISERROR(FIND('112'!$M$9,G369,1)),"",IF((AND(RIGHT(G369,2)=RIGHT('112'!$M$9,2),B369&lt;'112'!$N$8,$M369='112'!$I$6)),"x",""))</f>
        <v/>
      </c>
      <c r="U369" s="22" t="str">
        <f>IF(AND(B369&gt;='IN-NX'!$P$3,B369&lt;='IN-NX'!$Q$3,'IN-NX'!$D$7=D369,OR(LEFT(L369,2)="15",AND(LEFT(M369,2)&lt;&gt;"15",LEFT(M369,2)&lt;&gt;"33"))),"x","")</f>
        <v/>
      </c>
      <c r="V369" s="22" t="str">
        <f>IF(AND(OR(LEFT(TH!L369,2)="15",LEFT(TH!M369,2)="15"),'152-CT'!$J$8=TH!F369),"x","")</f>
        <v/>
      </c>
      <c r="W369" s="22" t="str">
        <f>IF(AND(OR(LEFT(TH!L369,2)="15",LEFT(TH!M369,2)="15"),TK!$E$7=TH!F369),"x","")</f>
        <v/>
      </c>
      <c r="X369" s="22" t="str">
        <f>IF(OR(TH!L369=TH!$X$7,M369=TH!$X$7),"x","")</f>
        <v/>
      </c>
      <c r="Y369" s="22" t="str">
        <f>IF(AND(B369&lt;=NKC!$N$8,B369&gt;=NKC!$M$8),"x","")</f>
        <v>x</v>
      </c>
      <c r="Z369" s="580"/>
      <c r="AC369" s="130"/>
      <c r="AD369" s="130"/>
      <c r="AE369" s="130"/>
    </row>
    <row r="370" spans="1:31" s="406" customFormat="1" ht="15.75" customHeight="1">
      <c r="A370" s="123" t="str">
        <f>IF(B370&lt;&gt;"",IF(AND(B370&gt;=_TM1,B370&lt;=_TM2,OR(TH!L371="1111",TH!M371="1111")),TH!D371,""),"")</f>
        <v/>
      </c>
      <c r="B370" s="12">
        <f t="shared" si="13"/>
        <v>9</v>
      </c>
      <c r="C370" s="108">
        <f t="shared" si="14"/>
        <v>42639</v>
      </c>
      <c r="D370" s="108" t="s">
        <v>1042</v>
      </c>
      <c r="E370" s="113">
        <v>42639</v>
      </c>
      <c r="F370" s="112" t="s">
        <v>485</v>
      </c>
      <c r="G370" s="303" t="s">
        <v>474</v>
      </c>
      <c r="H370" s="4" t="s">
        <v>488</v>
      </c>
      <c r="I370" s="139"/>
      <c r="J370" s="139"/>
      <c r="K370" s="410">
        <v>22000000</v>
      </c>
      <c r="L370" s="411" t="s">
        <v>46</v>
      </c>
      <c r="M370" s="411" t="s">
        <v>24</v>
      </c>
      <c r="N370" s="22" t="str">
        <f>IF(AND('331-CT'!$E$7=TH!H370,OR(L370="331",M370="331")),"331",IF(AND(OR(L370="131",M370="131"),H370='131-CT'!$E$7),"131",""))</f>
        <v/>
      </c>
      <c r="O370" s="22" t="str">
        <f>IF(AND($B370&gt;='111'!$N$11,$B370&lt;='111'!$O$11,OR($L370=$O$7,$M370=$O$7)),"x","")</f>
        <v/>
      </c>
      <c r="P370" s="22" t="str">
        <f>IF(AND($L370=$O$7,$B370&lt;'111'!$N$11),"x","")</f>
        <v>x</v>
      </c>
      <c r="Q370" s="22" t="str">
        <f>IF(AND($M370=$O$7,$B370&lt;'111'!$N$11),"x","")</f>
        <v/>
      </c>
      <c r="R370" s="22" t="str">
        <f>IF(ISERROR(FIND('112'!$M$9,G370,1)),"",IF((AND(FIND('112'!$M$9,G370,1)&gt;=1,$B370&gt;='112'!$N$8,$B370&lt;='112'!$O$8,OR($L370='112'!$I$6,$M370='112'!$I$6))),"x",""))</f>
        <v/>
      </c>
      <c r="S370" s="22" t="str">
        <f>IF(ISERROR(FIND('112'!$M$9,G370,1)),"",IF((AND(LEFT(G370,2)=LEFT('112'!$M$9,2),B370&lt;'112'!$N$8,$L370='112'!$I$6)),"x",""))</f>
        <v/>
      </c>
      <c r="T370" s="22" t="str">
        <f>IF(ISERROR(FIND('112'!$M$9,G370,1)),"",IF((AND(RIGHT(G370,2)=RIGHT('112'!$M$9,2),B370&lt;'112'!$N$8,$M370='112'!$I$6)),"x",""))</f>
        <v>x</v>
      </c>
      <c r="U370" s="22" t="str">
        <f>IF(AND(B370&gt;='IN-NX'!$P$3,B370&lt;='IN-NX'!$Q$3,'IN-NX'!$D$7=D370,OR(LEFT(L370,2)="15",AND(LEFT(M370,2)&lt;&gt;"15",LEFT(M370,2)&lt;&gt;"33"))),"x","")</f>
        <v/>
      </c>
      <c r="V370" s="22" t="str">
        <f>IF(AND(OR(LEFT(TH!L370,2)="15",LEFT(TH!M370,2)="15"),'152-CT'!$J$8=TH!F370),"x","")</f>
        <v/>
      </c>
      <c r="W370" s="22" t="str">
        <f>IF(AND(OR(LEFT(TH!L370,2)="15",LEFT(TH!M370,2)="15"),TK!$E$7=TH!F370),"x","")</f>
        <v/>
      </c>
      <c r="X370" s="22" t="str">
        <f>IF(OR(TH!L370=TH!$X$7,M370=TH!$X$7),"x","")</f>
        <v/>
      </c>
      <c r="Y370" s="22" t="str">
        <f>IF(AND(B370&lt;=NKC!$N$8,B370&gt;=NKC!$M$8),"x","")</f>
        <v>x</v>
      </c>
      <c r="Z370" s="580"/>
      <c r="AB370" s="130"/>
      <c r="AC370" s="130"/>
      <c r="AD370" s="130"/>
      <c r="AE370" s="130"/>
    </row>
    <row r="371" spans="1:31" s="406" customFormat="1" ht="15.75" customHeight="1">
      <c r="A371" s="123" t="str">
        <f>IF(B371&lt;&gt;"",IF(AND(B371&gt;=_TM1,B371&lt;=_TM2,OR(TH!L372="1111",TH!M372="1111")),TH!D372,""),"")</f>
        <v/>
      </c>
      <c r="B371" s="12">
        <f t="shared" si="13"/>
        <v>9</v>
      </c>
      <c r="C371" s="108">
        <f t="shared" si="14"/>
        <v>42639</v>
      </c>
      <c r="D371" s="108" t="s">
        <v>611</v>
      </c>
      <c r="E371" s="113">
        <v>42639</v>
      </c>
      <c r="F371" s="112" t="s">
        <v>549</v>
      </c>
      <c r="G371" s="303" t="s">
        <v>758</v>
      </c>
      <c r="H371" s="4" t="s">
        <v>618</v>
      </c>
      <c r="I371" s="139">
        <v>109</v>
      </c>
      <c r="J371" s="139">
        <v>6400</v>
      </c>
      <c r="K371" s="13">
        <f>ROUND(I371*J371,0)</f>
        <v>697600</v>
      </c>
      <c r="L371" s="116" t="s">
        <v>252</v>
      </c>
      <c r="M371" s="411" t="s">
        <v>169</v>
      </c>
      <c r="N371" s="22" t="str">
        <f>IF(AND('331-CT'!$E$7=TH!H371,OR(L371="331",M371="331")),"331",IF(AND(OR(L371="131",M371="131"),H371='131-CT'!$E$7),"131",""))</f>
        <v/>
      </c>
      <c r="O371" s="22" t="str">
        <f>IF(AND($B371&gt;='111'!$N$11,$B371&lt;='111'!$O$11,OR($L371=$O$7,$M371=$O$7)),"x","")</f>
        <v/>
      </c>
      <c r="P371" s="22" t="str">
        <f>IF(AND($L371=$O$7,$B371&lt;'111'!$N$11),"x","")</f>
        <v/>
      </c>
      <c r="Q371" s="22" t="str">
        <f>IF(AND($M371=$O$7,$B371&lt;'111'!$N$11),"x","")</f>
        <v/>
      </c>
      <c r="R371" s="22" t="str">
        <f>IF(ISERROR(FIND('112'!$M$9,G371,1)),"",IF((AND(FIND('112'!$M$9,G371,1)&gt;=1,$B371&gt;='112'!$N$8,$B371&lt;='112'!$O$8,OR($L371='112'!$I$6,$M371='112'!$I$6))),"x",""))</f>
        <v/>
      </c>
      <c r="S371" s="22" t="str">
        <f>IF(ISERROR(FIND('112'!$M$9,G371,1)),"",IF((AND(LEFT(G371,2)=LEFT('112'!$M$9,2),B371&lt;'112'!$N$8,$L371='112'!$I$6)),"x",""))</f>
        <v/>
      </c>
      <c r="T371" s="22" t="str">
        <f>IF(ISERROR(FIND('112'!$M$9,G371,1)),"",IF((AND(RIGHT(G371,2)=RIGHT('112'!$M$9,2),B371&lt;'112'!$N$8,$M371='112'!$I$6)),"x",""))</f>
        <v/>
      </c>
      <c r="U371" s="22" t="str">
        <f>IF(AND(B371&gt;='IN-NX'!$P$3,B371&lt;='IN-NX'!$Q$3,'IN-NX'!$D$7=D371,OR(LEFT(L371,2)="15",AND(LEFT(M371,2)&lt;&gt;"15",LEFT(M371,2)&lt;&gt;"33"))),"x","")</f>
        <v/>
      </c>
      <c r="V371" s="22" t="str">
        <f>IF(AND(OR(LEFT(TH!L371,2)="15",LEFT(TH!M371,2)="15"),'152-CT'!$J$8=TH!F371),"x","")</f>
        <v/>
      </c>
      <c r="W371" s="22" t="str">
        <f>IF(AND(OR(LEFT(TH!L371,2)="15",LEFT(TH!M371,2)="15"),TK!$E$7=TH!F371),"x","")</f>
        <v/>
      </c>
      <c r="X371" s="22" t="str">
        <f>IF(OR(TH!L371=TH!$X$7,M371=TH!$X$7),"x","")</f>
        <v/>
      </c>
      <c r="Y371" s="22" t="str">
        <f>IF(AND(B371&lt;=NKC!$N$8,B371&gt;=NKC!$M$8),"x","")</f>
        <v>x</v>
      </c>
      <c r="Z371" s="580"/>
      <c r="AC371" s="130"/>
    </row>
    <row r="372" spans="1:31" s="406" customFormat="1" ht="15.75" customHeight="1">
      <c r="A372" s="123" t="str">
        <f>IF(B372&lt;&gt;"",IF(AND(B372&gt;=_TM1,B372&lt;=_TM2,OR(TH!L373="1111",TH!M373="1111")),TH!D373,""),"")</f>
        <v/>
      </c>
      <c r="B372" s="12">
        <f t="shared" si="13"/>
        <v>9</v>
      </c>
      <c r="C372" s="108">
        <f t="shared" si="14"/>
        <v>42639</v>
      </c>
      <c r="D372" s="108" t="s">
        <v>611</v>
      </c>
      <c r="E372" s="113">
        <v>42639</v>
      </c>
      <c r="F372" s="112" t="s">
        <v>550</v>
      </c>
      <c r="G372" s="303" t="s">
        <v>758</v>
      </c>
      <c r="H372" s="4" t="s">
        <v>618</v>
      </c>
      <c r="I372" s="139">
        <v>102</v>
      </c>
      <c r="J372" s="139">
        <v>7300</v>
      </c>
      <c r="K372" s="13">
        <f>ROUND(I372*J372,0)</f>
        <v>744600</v>
      </c>
      <c r="L372" s="116" t="s">
        <v>252</v>
      </c>
      <c r="M372" s="411" t="s">
        <v>169</v>
      </c>
      <c r="N372" s="22" t="str">
        <f>IF(AND('331-CT'!$E$7=TH!H372,OR(L372="331",M372="331")),"331",IF(AND(OR(L372="131",M372="131"),H372='131-CT'!$E$7),"131",""))</f>
        <v/>
      </c>
      <c r="O372" s="22" t="str">
        <f>IF(AND($B372&gt;='111'!$N$11,$B372&lt;='111'!$O$11,OR($L372=$O$7,$M372=$O$7)),"x","")</f>
        <v/>
      </c>
      <c r="P372" s="22" t="str">
        <f>IF(AND($L372=$O$7,$B372&lt;'111'!$N$11),"x","")</f>
        <v/>
      </c>
      <c r="Q372" s="22" t="str">
        <f>IF(AND($M372=$O$7,$B372&lt;'111'!$N$11),"x","")</f>
        <v/>
      </c>
      <c r="R372" s="22" t="str">
        <f>IF(ISERROR(FIND('112'!$M$9,G372,1)),"",IF((AND(FIND('112'!$M$9,G372,1)&gt;=1,$B372&gt;='112'!$N$8,$B372&lt;='112'!$O$8,OR($L372='112'!$I$6,$M372='112'!$I$6))),"x",""))</f>
        <v/>
      </c>
      <c r="S372" s="22" t="str">
        <f>IF(ISERROR(FIND('112'!$M$9,G372,1)),"",IF((AND(LEFT(G372,2)=LEFT('112'!$M$9,2),B372&lt;'112'!$N$8,$L372='112'!$I$6)),"x",""))</f>
        <v/>
      </c>
      <c r="T372" s="22" t="str">
        <f>IF(ISERROR(FIND('112'!$M$9,G372,1)),"",IF((AND(RIGHT(G372,2)=RIGHT('112'!$M$9,2),B372&lt;'112'!$N$8,$M372='112'!$I$6)),"x",""))</f>
        <v/>
      </c>
      <c r="U372" s="22" t="str">
        <f>IF(AND(B372&gt;='IN-NX'!$P$3,B372&lt;='IN-NX'!$Q$3,'IN-NX'!$D$7=D372,OR(LEFT(L372,2)="15",AND(LEFT(M372,2)&lt;&gt;"15",LEFT(M372,2)&lt;&gt;"33"))),"x","")</f>
        <v/>
      </c>
      <c r="V372" s="22" t="str">
        <f>IF(AND(OR(LEFT(TH!L372,2)="15",LEFT(TH!M372,2)="15"),'152-CT'!$J$8=TH!F372),"x","")</f>
        <v/>
      </c>
      <c r="W372" s="22" t="str">
        <f>IF(AND(OR(LEFT(TH!L372,2)="15",LEFT(TH!M372,2)="15"),TK!$E$7=TH!F372),"x","")</f>
        <v/>
      </c>
      <c r="X372" s="22" t="str">
        <f>IF(OR(TH!L372=TH!$X$7,M372=TH!$X$7),"x","")</f>
        <v/>
      </c>
      <c r="Y372" s="22" t="str">
        <f>IF(AND(B372&lt;=NKC!$N$8,B372&gt;=NKC!$M$8),"x","")</f>
        <v>x</v>
      </c>
      <c r="Z372" s="580"/>
      <c r="AC372" s="130"/>
    </row>
    <row r="373" spans="1:31" s="406" customFormat="1" ht="15.75" customHeight="1">
      <c r="A373" s="123" t="str">
        <f>IF(B373&lt;&gt;"",IF(AND(B373&gt;=_TM1,B373&lt;=_TM2,OR(TH!L374="1111",TH!M374="1111")),TH!D374,""),"")</f>
        <v/>
      </c>
      <c r="B373" s="12">
        <f t="shared" si="13"/>
        <v>9</v>
      </c>
      <c r="C373" s="108">
        <f t="shared" si="14"/>
        <v>42639</v>
      </c>
      <c r="D373" s="108" t="s">
        <v>611</v>
      </c>
      <c r="E373" s="113">
        <v>42639</v>
      </c>
      <c r="F373" s="112" t="s">
        <v>663</v>
      </c>
      <c r="G373" s="303" t="s">
        <v>758</v>
      </c>
      <c r="H373" s="4" t="s">
        <v>618</v>
      </c>
      <c r="I373" s="139">
        <v>56</v>
      </c>
      <c r="J373" s="139">
        <v>11250</v>
      </c>
      <c r="K373" s="13">
        <f>ROUND(I373*J373,0)</f>
        <v>630000</v>
      </c>
      <c r="L373" s="116" t="s">
        <v>252</v>
      </c>
      <c r="M373" s="411" t="s">
        <v>169</v>
      </c>
      <c r="N373" s="22" t="str">
        <f>IF(AND('331-CT'!$E$7=TH!H373,OR(L373="331",M373="331")),"331",IF(AND(OR(L373="131",M373="131"),H373='131-CT'!$E$7),"131",""))</f>
        <v/>
      </c>
      <c r="O373" s="22" t="str">
        <f>IF(AND($B373&gt;='111'!$N$11,$B373&lt;='111'!$O$11,OR($L373=$O$7,$M373=$O$7)),"x","")</f>
        <v/>
      </c>
      <c r="P373" s="22" t="str">
        <f>IF(AND($L373=$O$7,$B373&lt;'111'!$N$11),"x","")</f>
        <v/>
      </c>
      <c r="Q373" s="22" t="str">
        <f>IF(AND($M373=$O$7,$B373&lt;'111'!$N$11),"x","")</f>
        <v/>
      </c>
      <c r="R373" s="22" t="str">
        <f>IF(ISERROR(FIND('112'!$M$9,G373,1)),"",IF((AND(FIND('112'!$M$9,G373,1)&gt;=1,$B373&gt;='112'!$N$8,$B373&lt;='112'!$O$8,OR($L373='112'!$I$6,$M373='112'!$I$6))),"x",""))</f>
        <v/>
      </c>
      <c r="S373" s="22" t="str">
        <f>IF(ISERROR(FIND('112'!$M$9,G373,1)),"",IF((AND(LEFT(G373,2)=LEFT('112'!$M$9,2),B373&lt;'112'!$N$8,$L373='112'!$I$6)),"x",""))</f>
        <v/>
      </c>
      <c r="T373" s="22" t="str">
        <f>IF(ISERROR(FIND('112'!$M$9,G373,1)),"",IF((AND(RIGHT(G373,2)=RIGHT('112'!$M$9,2),B373&lt;'112'!$N$8,$M373='112'!$I$6)),"x",""))</f>
        <v/>
      </c>
      <c r="U373" s="22" t="str">
        <f>IF(AND(B373&gt;='IN-NX'!$P$3,B373&lt;='IN-NX'!$Q$3,'IN-NX'!$D$7=D373,OR(LEFT(L373,2)="15",AND(LEFT(M373,2)&lt;&gt;"15",LEFT(M373,2)&lt;&gt;"33"))),"x","")</f>
        <v/>
      </c>
      <c r="V373" s="22" t="str">
        <f>IF(AND(OR(LEFT(TH!L373,2)="15",LEFT(TH!M373,2)="15"),'152-CT'!$J$8=TH!F373),"x","")</f>
        <v/>
      </c>
      <c r="W373" s="22" t="str">
        <f>IF(AND(OR(LEFT(TH!L373,2)="15",LEFT(TH!M373,2)="15"),TK!$E$7=TH!F373),"x","")</f>
        <v/>
      </c>
      <c r="X373" s="22" t="str">
        <f>IF(OR(TH!L373=TH!$X$7,M373=TH!$X$7),"x","")</f>
        <v/>
      </c>
      <c r="Y373" s="22" t="str">
        <f>IF(AND(B373&lt;=NKC!$N$8,B373&gt;=NKC!$M$8),"x","")</f>
        <v>x</v>
      </c>
      <c r="Z373" s="580"/>
      <c r="AC373" s="130"/>
    </row>
    <row r="374" spans="1:31" s="406" customFormat="1" ht="15.75" customHeight="1">
      <c r="A374" s="123" t="str">
        <f>IF(B374&lt;&gt;"",IF(AND(B374&gt;=_TM1,B374&lt;=_TM2,OR(TH!L375="1111",TH!M375="1111")),TH!D375,""),"")</f>
        <v/>
      </c>
      <c r="B374" s="12">
        <f t="shared" si="13"/>
        <v>9</v>
      </c>
      <c r="C374" s="108">
        <f t="shared" si="14"/>
        <v>42639</v>
      </c>
      <c r="D374" s="108" t="s">
        <v>611</v>
      </c>
      <c r="E374" s="113">
        <v>42639</v>
      </c>
      <c r="F374" s="112" t="s">
        <v>496</v>
      </c>
      <c r="G374" s="303" t="s">
        <v>758</v>
      </c>
      <c r="H374" s="4" t="s">
        <v>618</v>
      </c>
      <c r="I374" s="139"/>
      <c r="J374" s="139"/>
      <c r="K374" s="13">
        <v>207220</v>
      </c>
      <c r="L374" s="116" t="s">
        <v>252</v>
      </c>
      <c r="M374" s="411" t="s">
        <v>352</v>
      </c>
      <c r="N374" s="22" t="str">
        <f>IF(AND('331-CT'!$E$7=TH!H374,OR(L374="331",M374="331")),"331",IF(AND(OR(L374="131",M374="131"),H374='131-CT'!$E$7),"131",""))</f>
        <v/>
      </c>
      <c r="O374" s="22" t="str">
        <f>IF(AND($B374&gt;='111'!$N$11,$B374&lt;='111'!$O$11,OR($L374=$O$7,$M374=$O$7)),"x","")</f>
        <v/>
      </c>
      <c r="P374" s="22" t="str">
        <f>IF(AND($L374=$O$7,$B374&lt;'111'!$N$11),"x","")</f>
        <v/>
      </c>
      <c r="Q374" s="22" t="str">
        <f>IF(AND($M374=$O$7,$B374&lt;'111'!$N$11),"x","")</f>
        <v/>
      </c>
      <c r="R374" s="22" t="str">
        <f>IF(ISERROR(FIND('112'!$M$9,G374,1)),"",IF((AND(FIND('112'!$M$9,G374,1)&gt;=1,$B374&gt;='112'!$N$8,$B374&lt;='112'!$O$8,OR($L374='112'!$I$6,$M374='112'!$I$6))),"x",""))</f>
        <v/>
      </c>
      <c r="S374" s="22" t="str">
        <f>IF(ISERROR(FIND('112'!$M$9,G374,1)),"",IF((AND(LEFT(G374,2)=LEFT('112'!$M$9,2),B374&lt;'112'!$N$8,$L374='112'!$I$6)),"x",""))</f>
        <v/>
      </c>
      <c r="T374" s="22" t="str">
        <f>IF(ISERROR(FIND('112'!$M$9,G374,1)),"",IF((AND(RIGHT(G374,2)=RIGHT('112'!$M$9,2),B374&lt;'112'!$N$8,$M374='112'!$I$6)),"x",""))</f>
        <v/>
      </c>
      <c r="U374" s="22" t="str">
        <f>IF(AND(B374&gt;='IN-NX'!$P$3,B374&lt;='IN-NX'!$Q$3,'IN-NX'!$D$7=D374,OR(LEFT(L374,2)="15",AND(LEFT(M374,2)&lt;&gt;"15",LEFT(M374,2)&lt;&gt;"33"))),"x","")</f>
        <v/>
      </c>
      <c r="V374" s="22" t="str">
        <f>IF(AND(OR(LEFT(TH!L374,2)="15",LEFT(TH!M374,2)="15"),'152-CT'!$J$8=TH!F374),"x","")</f>
        <v/>
      </c>
      <c r="W374" s="22" t="str">
        <f>IF(AND(OR(LEFT(TH!L374,2)="15",LEFT(TH!M374,2)="15"),TK!$E$7=TH!F374),"x","")</f>
        <v/>
      </c>
      <c r="X374" s="22" t="str">
        <f>IF(OR(TH!L374=TH!$X$7,M374=TH!$X$7),"x","")</f>
        <v/>
      </c>
      <c r="Y374" s="22" t="str">
        <f>IF(AND(B374&lt;=NKC!$N$8,B374&gt;=NKC!$M$8),"x","")</f>
        <v>x</v>
      </c>
      <c r="Z374" s="580"/>
      <c r="AC374" s="130"/>
    </row>
    <row r="375" spans="1:31" s="406" customFormat="1" ht="15.75" customHeight="1">
      <c r="A375" s="123" t="str">
        <f>IF(B375&lt;&gt;"",IF(AND(B375&gt;=_TM1,B375&lt;=_TM2,OR(TH!L376="1111",TH!M376="1111")),TH!D376,""),"")</f>
        <v/>
      </c>
      <c r="B375" s="12">
        <f t="shared" si="13"/>
        <v>9</v>
      </c>
      <c r="C375" s="108">
        <f t="shared" si="14"/>
        <v>42640</v>
      </c>
      <c r="D375" s="108" t="s">
        <v>612</v>
      </c>
      <c r="E375" s="113">
        <v>42640</v>
      </c>
      <c r="F375" s="112" t="s">
        <v>500</v>
      </c>
      <c r="G375" s="303" t="s">
        <v>759</v>
      </c>
      <c r="H375" s="4" t="s">
        <v>371</v>
      </c>
      <c r="I375" s="139">
        <f>202+152+51+51+77</f>
        <v>533</v>
      </c>
      <c r="J375" s="139">
        <v>9400</v>
      </c>
      <c r="K375" s="13">
        <f>ROUND(I375*J375,0)</f>
        <v>5010200</v>
      </c>
      <c r="L375" s="116" t="s">
        <v>252</v>
      </c>
      <c r="M375" s="411" t="s">
        <v>169</v>
      </c>
      <c r="N375" s="22" t="str">
        <f>IF(AND('331-CT'!$E$7=TH!H375,OR(L375="331",M375="331")),"331",IF(AND(OR(L375="131",M375="131"),H375='131-CT'!$E$7),"131",""))</f>
        <v/>
      </c>
      <c r="O375" s="22" t="str">
        <f>IF(AND($B375&gt;='111'!$N$11,$B375&lt;='111'!$O$11,OR($L375=$O$7,$M375=$O$7)),"x","")</f>
        <v/>
      </c>
      <c r="P375" s="22" t="str">
        <f>IF(AND($L375=$O$7,$B375&lt;'111'!$N$11),"x","")</f>
        <v/>
      </c>
      <c r="Q375" s="22" t="str">
        <f>IF(AND($M375=$O$7,$B375&lt;'111'!$N$11),"x","")</f>
        <v/>
      </c>
      <c r="R375" s="22" t="str">
        <f>IF(ISERROR(FIND('112'!$M$9,G375,1)),"",IF((AND(FIND('112'!$M$9,G375,1)&gt;=1,$B375&gt;='112'!$N$8,$B375&lt;='112'!$O$8,OR($L375='112'!$I$6,$M375='112'!$I$6))),"x",""))</f>
        <v/>
      </c>
      <c r="S375" s="22" t="str">
        <f>IF(ISERROR(FIND('112'!$M$9,G375,1)),"",IF((AND(LEFT(G375,2)=LEFT('112'!$M$9,2),B375&lt;'112'!$N$8,$L375='112'!$I$6)),"x",""))</f>
        <v/>
      </c>
      <c r="T375" s="22" t="str">
        <f>IF(ISERROR(FIND('112'!$M$9,G375,1)),"",IF((AND(RIGHT(G375,2)=RIGHT('112'!$M$9,2),B375&lt;'112'!$N$8,$M375='112'!$I$6)),"x",""))</f>
        <v/>
      </c>
      <c r="U375" s="22" t="str">
        <f>IF(AND(B375&gt;='IN-NX'!$P$3,B375&lt;='IN-NX'!$Q$3,'IN-NX'!$D$7=D375,OR(LEFT(L375,2)="15",AND(LEFT(M375,2)&lt;&gt;"15",LEFT(M375,2)&lt;&gt;"33"))),"x","")</f>
        <v/>
      </c>
      <c r="V375" s="22" t="str">
        <f>IF(AND(OR(LEFT(TH!L375,2)="15",LEFT(TH!M375,2)="15"),'152-CT'!$J$8=TH!F375),"x","")</f>
        <v/>
      </c>
      <c r="W375" s="22" t="str">
        <f>IF(AND(OR(LEFT(TH!L375,2)="15",LEFT(TH!M375,2)="15"),TK!$E$7=TH!F375),"x","")</f>
        <v/>
      </c>
      <c r="X375" s="22" t="str">
        <f>IF(OR(TH!L375=TH!$X$7,M375=TH!$X$7),"x","")</f>
        <v/>
      </c>
      <c r="Y375" s="22" t="str">
        <f>IF(AND(B375&lt;=NKC!$N$8,B375&gt;=NKC!$M$8),"x","")</f>
        <v>x</v>
      </c>
      <c r="Z375" s="580"/>
      <c r="AB375" s="130"/>
      <c r="AC375" s="130"/>
    </row>
    <row r="376" spans="1:31" s="406" customFormat="1" ht="15.75" customHeight="1">
      <c r="A376" s="123" t="str">
        <f>IF(B376&lt;&gt;"",IF(AND(B376&gt;=_TM1,B376&lt;=_TM2,OR(TH!L377="1111",TH!M377="1111")),TH!D377,""),"")</f>
        <v/>
      </c>
      <c r="B376" s="12">
        <f t="shared" si="13"/>
        <v>9</v>
      </c>
      <c r="C376" s="108">
        <f t="shared" si="14"/>
        <v>42640</v>
      </c>
      <c r="D376" s="108" t="s">
        <v>612</v>
      </c>
      <c r="E376" s="113">
        <v>42640</v>
      </c>
      <c r="F376" s="112" t="s">
        <v>496</v>
      </c>
      <c r="G376" s="303" t="s">
        <v>759</v>
      </c>
      <c r="H376" s="4" t="s">
        <v>371</v>
      </c>
      <c r="I376" s="139"/>
      <c r="J376" s="139"/>
      <c r="K376" s="13">
        <v>501020</v>
      </c>
      <c r="L376" s="116" t="s">
        <v>252</v>
      </c>
      <c r="M376" s="411" t="s">
        <v>352</v>
      </c>
      <c r="N376" s="22" t="str">
        <f>IF(AND('331-CT'!$E$7=TH!H376,OR(L376="331",M376="331")),"331",IF(AND(OR(L376="131",M376="131"),H376='131-CT'!$E$7),"131",""))</f>
        <v/>
      </c>
      <c r="O376" s="22" t="str">
        <f>IF(AND($B376&gt;='111'!$N$11,$B376&lt;='111'!$O$11,OR($L376=$O$7,$M376=$O$7)),"x","")</f>
        <v/>
      </c>
      <c r="P376" s="22" t="str">
        <f>IF(AND($L376=$O$7,$B376&lt;'111'!$N$11),"x","")</f>
        <v/>
      </c>
      <c r="Q376" s="22" t="str">
        <f>IF(AND($M376=$O$7,$B376&lt;'111'!$N$11),"x","")</f>
        <v/>
      </c>
      <c r="R376" s="22" t="str">
        <f>IF(ISERROR(FIND('112'!$M$9,G376,1)),"",IF((AND(FIND('112'!$M$9,G376,1)&gt;=1,$B376&gt;='112'!$N$8,$B376&lt;='112'!$O$8,OR($L376='112'!$I$6,$M376='112'!$I$6))),"x",""))</f>
        <v/>
      </c>
      <c r="S376" s="22" t="str">
        <f>IF(ISERROR(FIND('112'!$M$9,G376,1)),"",IF((AND(LEFT(G376,2)=LEFT('112'!$M$9,2),B376&lt;'112'!$N$8,$L376='112'!$I$6)),"x",""))</f>
        <v/>
      </c>
      <c r="T376" s="22" t="str">
        <f>IF(ISERROR(FIND('112'!$M$9,G376,1)),"",IF((AND(RIGHT(G376,2)=RIGHT('112'!$M$9,2),B376&lt;'112'!$N$8,$M376='112'!$I$6)),"x",""))</f>
        <v/>
      </c>
      <c r="U376" s="22" t="str">
        <f>IF(AND(B376&gt;='IN-NX'!$P$3,B376&lt;='IN-NX'!$Q$3,'IN-NX'!$D$7=D376,OR(LEFT(L376,2)="15",AND(LEFT(M376,2)&lt;&gt;"15",LEFT(M376,2)&lt;&gt;"33"))),"x","")</f>
        <v/>
      </c>
      <c r="V376" s="22" t="str">
        <f>IF(AND(OR(LEFT(TH!L376,2)="15",LEFT(TH!M376,2)="15"),'152-CT'!$J$8=TH!F376),"x","")</f>
        <v/>
      </c>
      <c r="W376" s="22" t="str">
        <f>IF(AND(OR(LEFT(TH!L376,2)="15",LEFT(TH!M376,2)="15"),TK!$E$7=TH!F376),"x","")</f>
        <v/>
      </c>
      <c r="X376" s="22" t="str">
        <f>IF(OR(TH!L376=TH!$X$7,M376=TH!$X$7),"x","")</f>
        <v/>
      </c>
      <c r="Y376" s="22" t="str">
        <f>IF(AND(B376&lt;=NKC!$N$8,B376&gt;=NKC!$M$8),"x","")</f>
        <v>x</v>
      </c>
      <c r="Z376" s="580"/>
      <c r="AC376" s="130"/>
    </row>
    <row r="377" spans="1:31" s="130" customFormat="1" ht="15.75" customHeight="1">
      <c r="A377" s="123" t="str">
        <f>IF(B377&lt;&gt;"",IF(AND(B377&gt;=_TM1,B377&lt;=_TM2,OR(TH!L378="1111",TH!M378="1111")),TH!D378,""),"")</f>
        <v/>
      </c>
      <c r="B377" s="12">
        <f t="shared" si="13"/>
        <v>9</v>
      </c>
      <c r="C377" s="108">
        <f t="shared" si="14"/>
        <v>42640</v>
      </c>
      <c r="D377" s="108" t="s">
        <v>613</v>
      </c>
      <c r="E377" s="113">
        <v>42640</v>
      </c>
      <c r="F377" s="112" t="s">
        <v>500</v>
      </c>
      <c r="G377" s="303" t="s">
        <v>760</v>
      </c>
      <c r="H377" s="4" t="s">
        <v>371</v>
      </c>
      <c r="I377" s="139">
        <f>51+105</f>
        <v>156</v>
      </c>
      <c r="J377" s="139">
        <v>9400</v>
      </c>
      <c r="K377" s="13">
        <f>ROUND(I377*J377,0)</f>
        <v>1466400</v>
      </c>
      <c r="L377" s="116" t="s">
        <v>252</v>
      </c>
      <c r="M377" s="411" t="s">
        <v>169</v>
      </c>
      <c r="N377" s="22" t="str">
        <f>IF(AND('331-CT'!$E$7=TH!H377,OR(L377="331",M377="331")),"331",IF(AND(OR(L377="131",M377="131"),H377='131-CT'!$E$7),"131",""))</f>
        <v/>
      </c>
      <c r="O377" s="22" t="str">
        <f>IF(AND($B377&gt;='111'!$N$11,$B377&lt;='111'!$O$11,OR($L377=$O$7,$M377=$O$7)),"x","")</f>
        <v/>
      </c>
      <c r="P377" s="22" t="str">
        <f>IF(AND($L377=$O$7,$B377&lt;'111'!$N$11),"x","")</f>
        <v/>
      </c>
      <c r="Q377" s="22" t="str">
        <f>IF(AND($M377=$O$7,$B377&lt;'111'!$N$11),"x","")</f>
        <v/>
      </c>
      <c r="R377" s="22" t="str">
        <f>IF(ISERROR(FIND('112'!$M$9,G377,1)),"",IF((AND(FIND('112'!$M$9,G377,1)&gt;=1,$B377&gt;='112'!$N$8,$B377&lt;='112'!$O$8,OR($L377='112'!$I$6,$M377='112'!$I$6))),"x",""))</f>
        <v/>
      </c>
      <c r="S377" s="22" t="str">
        <f>IF(ISERROR(FIND('112'!$M$9,G377,1)),"",IF((AND(LEFT(G377,2)=LEFT('112'!$M$9,2),B377&lt;'112'!$N$8,$L377='112'!$I$6)),"x",""))</f>
        <v/>
      </c>
      <c r="T377" s="22" t="str">
        <f>IF(ISERROR(FIND('112'!$M$9,G377,1)),"",IF((AND(RIGHT(G377,2)=RIGHT('112'!$M$9,2),B377&lt;'112'!$N$8,$M377='112'!$I$6)),"x",""))</f>
        <v/>
      </c>
      <c r="U377" s="22" t="str">
        <f>IF(AND(B377&gt;='IN-NX'!$P$3,B377&lt;='IN-NX'!$Q$3,'IN-NX'!$D$7=D377,OR(LEFT(L377,2)="15",AND(LEFT(M377,2)&lt;&gt;"15",LEFT(M377,2)&lt;&gt;"33"))),"x","")</f>
        <v/>
      </c>
      <c r="V377" s="22" t="str">
        <f>IF(AND(OR(LEFT(TH!L377,2)="15",LEFT(TH!M377,2)="15"),'152-CT'!$J$8=TH!F377),"x","")</f>
        <v/>
      </c>
      <c r="W377" s="22" t="str">
        <f>IF(AND(OR(LEFT(TH!L377,2)="15",LEFT(TH!M377,2)="15"),TK!$E$7=TH!F377),"x","")</f>
        <v/>
      </c>
      <c r="X377" s="22" t="str">
        <f>IF(OR(TH!L377=TH!$X$7,M377=TH!$X$7),"x","")</f>
        <v/>
      </c>
      <c r="Y377" s="22" t="str">
        <f>IF(AND(B377&lt;=NKC!$N$8,B377&gt;=NKC!$M$8),"x","")</f>
        <v>x</v>
      </c>
      <c r="Z377" s="580"/>
      <c r="AA377" s="406"/>
      <c r="AB377" s="406"/>
      <c r="AD377" s="406"/>
      <c r="AE377" s="406"/>
    </row>
    <row r="378" spans="1:31" s="130" customFormat="1" ht="15.75" customHeight="1">
      <c r="A378" s="123" t="str">
        <f>IF(B378&lt;&gt;"",IF(AND(B378&gt;=_TM1,B378&lt;=_TM2,OR(TH!L379="1111",TH!M379="1111")),TH!D379,""),"")</f>
        <v/>
      </c>
      <c r="B378" s="12">
        <f t="shared" si="13"/>
        <v>9</v>
      </c>
      <c r="C378" s="108">
        <f t="shared" si="14"/>
        <v>42640</v>
      </c>
      <c r="D378" s="108" t="s">
        <v>613</v>
      </c>
      <c r="E378" s="113">
        <v>42640</v>
      </c>
      <c r="F378" s="112" t="s">
        <v>654</v>
      </c>
      <c r="G378" s="303" t="s">
        <v>760</v>
      </c>
      <c r="H378" s="4" t="s">
        <v>371</v>
      </c>
      <c r="I378" s="139">
        <f>840+840+840</f>
        <v>2520</v>
      </c>
      <c r="J378" s="139">
        <v>7900</v>
      </c>
      <c r="K378" s="13">
        <f>ROUND(I378*J378,0)</f>
        <v>19908000</v>
      </c>
      <c r="L378" s="116" t="s">
        <v>252</v>
      </c>
      <c r="M378" s="411" t="s">
        <v>169</v>
      </c>
      <c r="N378" s="22" t="str">
        <f>IF(AND('331-CT'!$E$7=TH!H378,OR(L378="331",M378="331")),"331",IF(AND(OR(L378="131",M378="131"),H378='131-CT'!$E$7),"131",""))</f>
        <v/>
      </c>
      <c r="O378" s="22" t="str">
        <f>IF(AND($B378&gt;='111'!$N$11,$B378&lt;='111'!$O$11,OR($L378=$O$7,$M378=$O$7)),"x","")</f>
        <v/>
      </c>
      <c r="P378" s="22" t="str">
        <f>IF(AND($L378=$O$7,$B378&lt;'111'!$N$11),"x","")</f>
        <v/>
      </c>
      <c r="Q378" s="22" t="str">
        <f>IF(AND($M378=$O$7,$B378&lt;'111'!$N$11),"x","")</f>
        <v/>
      </c>
      <c r="R378" s="22" t="str">
        <f>IF(ISERROR(FIND('112'!$M$9,G378,1)),"",IF((AND(FIND('112'!$M$9,G378,1)&gt;=1,$B378&gt;='112'!$N$8,$B378&lt;='112'!$O$8,OR($L378='112'!$I$6,$M378='112'!$I$6))),"x",""))</f>
        <v/>
      </c>
      <c r="S378" s="22" t="str">
        <f>IF(ISERROR(FIND('112'!$M$9,G378,1)),"",IF((AND(LEFT(G378,2)=LEFT('112'!$M$9,2),B378&lt;'112'!$N$8,$L378='112'!$I$6)),"x",""))</f>
        <v/>
      </c>
      <c r="T378" s="22" t="str">
        <f>IF(ISERROR(FIND('112'!$M$9,G378,1)),"",IF((AND(RIGHT(G378,2)=RIGHT('112'!$M$9,2),B378&lt;'112'!$N$8,$M378='112'!$I$6)),"x",""))</f>
        <v/>
      </c>
      <c r="U378" s="22" t="str">
        <f>IF(AND(B378&gt;='IN-NX'!$P$3,B378&lt;='IN-NX'!$Q$3,'IN-NX'!$D$7=D378,OR(LEFT(L378,2)="15",AND(LEFT(M378,2)&lt;&gt;"15",LEFT(M378,2)&lt;&gt;"33"))),"x","")</f>
        <v/>
      </c>
      <c r="V378" s="22" t="str">
        <f>IF(AND(OR(LEFT(TH!L378,2)="15",LEFT(TH!M378,2)="15"),'152-CT'!$J$8=TH!F378),"x","")</f>
        <v/>
      </c>
      <c r="W378" s="22" t="str">
        <f>IF(AND(OR(LEFT(TH!L378,2)="15",LEFT(TH!M378,2)="15"),TK!$E$7=TH!F378),"x","")</f>
        <v/>
      </c>
      <c r="X378" s="22" t="str">
        <f>IF(OR(TH!L378=TH!$X$7,M378=TH!$X$7),"x","")</f>
        <v/>
      </c>
      <c r="Y378" s="22" t="str">
        <f>IF(AND(B378&lt;=NKC!$N$8,B378&gt;=NKC!$M$8),"x","")</f>
        <v>x</v>
      </c>
      <c r="Z378" s="580"/>
      <c r="AA378" s="406"/>
      <c r="AB378" s="406"/>
      <c r="AD378" s="406"/>
      <c r="AE378" s="406"/>
    </row>
    <row r="379" spans="1:31" s="130" customFormat="1" ht="15.75" customHeight="1">
      <c r="A379" s="123" t="str">
        <f>IF(B379&lt;&gt;"",IF(AND(B379&gt;=_TM1,B379&lt;=_TM2,OR(TH!L380="1111",TH!M380="1111")),TH!D380,""),"")</f>
        <v/>
      </c>
      <c r="B379" s="12">
        <f t="shared" si="13"/>
        <v>9</v>
      </c>
      <c r="C379" s="108">
        <f t="shared" si="14"/>
        <v>42640</v>
      </c>
      <c r="D379" s="108" t="s">
        <v>613</v>
      </c>
      <c r="E379" s="113">
        <v>42640</v>
      </c>
      <c r="F379" s="112" t="s">
        <v>655</v>
      </c>
      <c r="G379" s="303" t="s">
        <v>760</v>
      </c>
      <c r="H379" s="4" t="s">
        <v>371</v>
      </c>
      <c r="I379" s="139">
        <v>44</v>
      </c>
      <c r="J379" s="139">
        <v>17600</v>
      </c>
      <c r="K379" s="13">
        <f>ROUND(I379*J379,0)</f>
        <v>774400</v>
      </c>
      <c r="L379" s="116" t="s">
        <v>252</v>
      </c>
      <c r="M379" s="411" t="s">
        <v>169</v>
      </c>
      <c r="N379" s="22" t="str">
        <f>IF(AND('331-CT'!$E$7=TH!H379,OR(L379="331",M379="331")),"331",IF(AND(OR(L379="131",M379="131"),H379='131-CT'!$E$7),"131",""))</f>
        <v/>
      </c>
      <c r="O379" s="22" t="str">
        <f>IF(AND($B379&gt;='111'!$N$11,$B379&lt;='111'!$O$11,OR($L379=$O$7,$M379=$O$7)),"x","")</f>
        <v/>
      </c>
      <c r="P379" s="22" t="str">
        <f>IF(AND($L379=$O$7,$B379&lt;'111'!$N$11),"x","")</f>
        <v/>
      </c>
      <c r="Q379" s="22" t="str">
        <f>IF(AND($M379=$O$7,$B379&lt;'111'!$N$11),"x","")</f>
        <v/>
      </c>
      <c r="R379" s="22" t="str">
        <f>IF(ISERROR(FIND('112'!$M$9,G379,1)),"",IF((AND(FIND('112'!$M$9,G379,1)&gt;=1,$B379&gt;='112'!$N$8,$B379&lt;='112'!$O$8,OR($L379='112'!$I$6,$M379='112'!$I$6))),"x",""))</f>
        <v/>
      </c>
      <c r="S379" s="22" t="str">
        <f>IF(ISERROR(FIND('112'!$M$9,G379,1)),"",IF((AND(LEFT(G379,2)=LEFT('112'!$M$9,2),B379&lt;'112'!$N$8,$L379='112'!$I$6)),"x",""))</f>
        <v/>
      </c>
      <c r="T379" s="22" t="str">
        <f>IF(ISERROR(FIND('112'!$M$9,G379,1)),"",IF((AND(RIGHT(G379,2)=RIGHT('112'!$M$9,2),B379&lt;'112'!$N$8,$M379='112'!$I$6)),"x",""))</f>
        <v/>
      </c>
      <c r="U379" s="22" t="str">
        <f>IF(AND(B379&gt;='IN-NX'!$P$3,B379&lt;='IN-NX'!$Q$3,'IN-NX'!$D$7=D379,OR(LEFT(L379,2)="15",AND(LEFT(M379,2)&lt;&gt;"15",LEFT(M379,2)&lt;&gt;"33"))),"x","")</f>
        <v/>
      </c>
      <c r="V379" s="22" t="str">
        <f>IF(AND(OR(LEFT(TH!L379,2)="15",LEFT(TH!M379,2)="15"),'152-CT'!$J$8=TH!F379),"x","")</f>
        <v/>
      </c>
      <c r="W379" s="22" t="str">
        <f>IF(AND(OR(LEFT(TH!L379,2)="15",LEFT(TH!M379,2)="15"),TK!$E$7=TH!F379),"x","")</f>
        <v/>
      </c>
      <c r="X379" s="22" t="str">
        <f>IF(OR(TH!L379=TH!$X$7,M379=TH!$X$7),"x","")</f>
        <v/>
      </c>
      <c r="Y379" s="22" t="str">
        <f>IF(AND(B379&lt;=NKC!$N$8,B379&gt;=NKC!$M$8),"x","")</f>
        <v>x</v>
      </c>
      <c r="Z379" s="580"/>
      <c r="AA379" s="406"/>
      <c r="AB379" s="406"/>
      <c r="AD379" s="406"/>
      <c r="AE379" s="406"/>
    </row>
    <row r="380" spans="1:31" s="130" customFormat="1" ht="15.75" customHeight="1">
      <c r="A380" s="123" t="str">
        <f>IF(B380&lt;&gt;"",IF(AND(B380&gt;=_TM1,B380&lt;=_TM2,OR(TH!L381="1111",TH!M381="1111")),TH!D381,""),"")</f>
        <v/>
      </c>
      <c r="B380" s="12">
        <f t="shared" si="13"/>
        <v>9</v>
      </c>
      <c r="C380" s="108">
        <f t="shared" si="14"/>
        <v>42640</v>
      </c>
      <c r="D380" s="108" t="s">
        <v>613</v>
      </c>
      <c r="E380" s="113">
        <v>42640</v>
      </c>
      <c r="F380" s="112" t="s">
        <v>496</v>
      </c>
      <c r="G380" s="303" t="s">
        <v>760</v>
      </c>
      <c r="H380" s="4" t="s">
        <v>371</v>
      </c>
      <c r="I380" s="139"/>
      <c r="J380" s="139"/>
      <c r="K380" s="13">
        <v>2214880</v>
      </c>
      <c r="L380" s="116" t="s">
        <v>252</v>
      </c>
      <c r="M380" s="411" t="s">
        <v>352</v>
      </c>
      <c r="N380" s="22" t="str">
        <f>IF(AND('331-CT'!$E$7=TH!H380,OR(L380="331",M380="331")),"331",IF(AND(OR(L380="131",M380="131"),H380='131-CT'!$E$7),"131",""))</f>
        <v/>
      </c>
      <c r="O380" s="22" t="str">
        <f>IF(AND($B380&gt;='111'!$N$11,$B380&lt;='111'!$O$11,OR($L380=$O$7,$M380=$O$7)),"x","")</f>
        <v/>
      </c>
      <c r="P380" s="22" t="str">
        <f>IF(AND($L380=$O$7,$B380&lt;'111'!$N$11),"x","")</f>
        <v/>
      </c>
      <c r="Q380" s="22" t="str">
        <f>IF(AND($M380=$O$7,$B380&lt;'111'!$N$11),"x","")</f>
        <v/>
      </c>
      <c r="R380" s="22" t="str">
        <f>IF(ISERROR(FIND('112'!$M$9,G380,1)),"",IF((AND(FIND('112'!$M$9,G380,1)&gt;=1,$B380&gt;='112'!$N$8,$B380&lt;='112'!$O$8,OR($L380='112'!$I$6,$M380='112'!$I$6))),"x",""))</f>
        <v/>
      </c>
      <c r="S380" s="22" t="str">
        <f>IF(ISERROR(FIND('112'!$M$9,G380,1)),"",IF((AND(LEFT(G380,2)=LEFT('112'!$M$9,2),B380&lt;'112'!$N$8,$L380='112'!$I$6)),"x",""))</f>
        <v/>
      </c>
      <c r="T380" s="22" t="str">
        <f>IF(ISERROR(FIND('112'!$M$9,G380,1)),"",IF((AND(RIGHT(G380,2)=RIGHT('112'!$M$9,2),B380&lt;'112'!$N$8,$M380='112'!$I$6)),"x",""))</f>
        <v/>
      </c>
      <c r="U380" s="22" t="str">
        <f>IF(AND(B380&gt;='IN-NX'!$P$3,B380&lt;='IN-NX'!$Q$3,'IN-NX'!$D$7=D380,OR(LEFT(L380,2)="15",AND(LEFT(M380,2)&lt;&gt;"15",LEFT(M380,2)&lt;&gt;"33"))),"x","")</f>
        <v/>
      </c>
      <c r="V380" s="22" t="str">
        <f>IF(AND(OR(LEFT(TH!L380,2)="15",LEFT(TH!M380,2)="15"),'152-CT'!$J$8=TH!F380),"x","")</f>
        <v/>
      </c>
      <c r="W380" s="22" t="str">
        <f>IF(AND(OR(LEFT(TH!L380,2)="15",LEFT(TH!M380,2)="15"),TK!$E$7=TH!F380),"x","")</f>
        <v/>
      </c>
      <c r="X380" s="22" t="str">
        <f>IF(OR(TH!L380=TH!$X$7,M380=TH!$X$7),"x","")</f>
        <v/>
      </c>
      <c r="Y380" s="22" t="str">
        <f>IF(AND(B380&lt;=NKC!$N$8,B380&gt;=NKC!$M$8),"x","")</f>
        <v>x</v>
      </c>
      <c r="Z380" s="580"/>
      <c r="AA380" s="406"/>
      <c r="AB380" s="406"/>
      <c r="AD380" s="406"/>
      <c r="AE380" s="406"/>
    </row>
    <row r="381" spans="1:31" s="130" customFormat="1" ht="15.75" customHeight="1">
      <c r="A381" s="123" t="str">
        <f>IF(B381&lt;&gt;"",IF(AND(B381&gt;=_TM1,B381&lt;=_TM2,OR(TH!L382="1111",TH!M382="1111")),TH!D382,""),"")</f>
        <v/>
      </c>
      <c r="B381" s="12">
        <f t="shared" si="13"/>
        <v>9</v>
      </c>
      <c r="C381" s="108">
        <f t="shared" si="14"/>
        <v>42640</v>
      </c>
      <c r="D381" s="108" t="s">
        <v>614</v>
      </c>
      <c r="E381" s="113">
        <v>42640</v>
      </c>
      <c r="F381" s="112" t="s">
        <v>532</v>
      </c>
      <c r="G381" s="303" t="s">
        <v>434</v>
      </c>
      <c r="H381" s="4" t="s">
        <v>551</v>
      </c>
      <c r="I381" s="139">
        <f>204+65+40</f>
        <v>309</v>
      </c>
      <c r="J381" s="139">
        <v>10200</v>
      </c>
      <c r="K381" s="13">
        <f>ROUND(I381*J381,0)</f>
        <v>3151800</v>
      </c>
      <c r="L381" s="116" t="s">
        <v>252</v>
      </c>
      <c r="M381" s="411" t="s">
        <v>169</v>
      </c>
      <c r="N381" s="22" t="str">
        <f>IF(AND('331-CT'!$E$7=TH!H381,OR(L381="331",M381="331")),"331",IF(AND(OR(L381="131",M381="131"),H381='131-CT'!$E$7),"131",""))</f>
        <v/>
      </c>
      <c r="O381" s="22" t="str">
        <f>IF(AND($B381&gt;='111'!$N$11,$B381&lt;='111'!$O$11,OR($L381=$O$7,$M381=$O$7)),"x","")</f>
        <v/>
      </c>
      <c r="P381" s="22" t="str">
        <f>IF(AND($L381=$O$7,$B381&lt;'111'!$N$11),"x","")</f>
        <v/>
      </c>
      <c r="Q381" s="22" t="str">
        <f>IF(AND($M381=$O$7,$B381&lt;'111'!$N$11),"x","")</f>
        <v/>
      </c>
      <c r="R381" s="22" t="str">
        <f>IF(ISERROR(FIND('112'!$M$9,G381,1)),"",IF((AND(FIND('112'!$M$9,G381,1)&gt;=1,$B381&gt;='112'!$N$8,$B381&lt;='112'!$O$8,OR($L381='112'!$I$6,$M381='112'!$I$6))),"x",""))</f>
        <v/>
      </c>
      <c r="S381" s="22" t="str">
        <f>IF(ISERROR(FIND('112'!$M$9,G381,1)),"",IF((AND(LEFT(G381,2)=LEFT('112'!$M$9,2),B381&lt;'112'!$N$8,$L381='112'!$I$6)),"x",""))</f>
        <v/>
      </c>
      <c r="T381" s="22" t="str">
        <f>IF(ISERROR(FIND('112'!$M$9,G381,1)),"",IF((AND(RIGHT(G381,2)=RIGHT('112'!$M$9,2),B381&lt;'112'!$N$8,$M381='112'!$I$6)),"x",""))</f>
        <v/>
      </c>
      <c r="U381" s="22" t="str">
        <f>IF(AND(B381&gt;='IN-NX'!$P$3,B381&lt;='IN-NX'!$Q$3,'IN-NX'!$D$7=D381,OR(LEFT(L381,2)="15",AND(LEFT(M381,2)&lt;&gt;"15",LEFT(M381,2)&lt;&gt;"33"))),"x","")</f>
        <v/>
      </c>
      <c r="V381" s="22" t="str">
        <f>IF(AND(OR(LEFT(TH!L381,2)="15",LEFT(TH!M381,2)="15"),'152-CT'!$J$8=TH!F381),"x","")</f>
        <v/>
      </c>
      <c r="W381" s="22" t="str">
        <f>IF(AND(OR(LEFT(TH!L381,2)="15",LEFT(TH!M381,2)="15"),TK!$E$7=TH!F381),"x","")</f>
        <v/>
      </c>
      <c r="X381" s="22" t="str">
        <f>IF(OR(TH!L381=TH!$X$7,M381=TH!$X$7),"x","")</f>
        <v/>
      </c>
      <c r="Y381" s="22" t="str">
        <f>IF(AND(B381&lt;=NKC!$N$8,B381&gt;=NKC!$M$8),"x","")</f>
        <v>x</v>
      </c>
      <c r="Z381" s="580"/>
      <c r="AA381" s="406"/>
      <c r="AD381" s="406"/>
      <c r="AE381" s="406"/>
    </row>
    <row r="382" spans="1:31" s="130" customFormat="1" ht="15.75" customHeight="1">
      <c r="A382" s="123" t="str">
        <f>IF(B382&lt;&gt;"",IF(AND(B382&gt;=_TM1,B382&lt;=_TM2,OR(TH!L383="1111",TH!M383="1111")),TH!D383,""),"")</f>
        <v/>
      </c>
      <c r="B382" s="12">
        <f t="shared" si="13"/>
        <v>9</v>
      </c>
      <c r="C382" s="108">
        <f t="shared" si="14"/>
        <v>42640</v>
      </c>
      <c r="D382" s="108" t="s">
        <v>614</v>
      </c>
      <c r="E382" s="113">
        <v>42640</v>
      </c>
      <c r="F382" s="112" t="s">
        <v>542</v>
      </c>
      <c r="G382" s="303" t="s">
        <v>434</v>
      </c>
      <c r="H382" s="4" t="s">
        <v>551</v>
      </c>
      <c r="I382" s="139"/>
      <c r="J382" s="139"/>
      <c r="K382" s="13">
        <v>315180</v>
      </c>
      <c r="L382" s="116" t="s">
        <v>252</v>
      </c>
      <c r="M382" s="411" t="s">
        <v>352</v>
      </c>
      <c r="N382" s="22" t="str">
        <f>IF(AND('331-CT'!$E$7=TH!H382,OR(L382="331",M382="331")),"331",IF(AND(OR(L382="131",M382="131"),H382='131-CT'!$E$7),"131",""))</f>
        <v/>
      </c>
      <c r="O382" s="22" t="str">
        <f>IF(AND($B382&gt;='111'!$N$11,$B382&lt;='111'!$O$11,OR($L382=$O$7,$M382=$O$7)),"x","")</f>
        <v/>
      </c>
      <c r="P382" s="22" t="str">
        <f>IF(AND($L382=$O$7,$B382&lt;'111'!$N$11),"x","")</f>
        <v/>
      </c>
      <c r="Q382" s="22" t="str">
        <f>IF(AND($M382=$O$7,$B382&lt;'111'!$N$11),"x","")</f>
        <v/>
      </c>
      <c r="R382" s="22" t="str">
        <f>IF(ISERROR(FIND('112'!$M$9,G382,1)),"",IF((AND(FIND('112'!$M$9,G382,1)&gt;=1,$B382&gt;='112'!$N$8,$B382&lt;='112'!$O$8,OR($L382='112'!$I$6,$M382='112'!$I$6))),"x",""))</f>
        <v/>
      </c>
      <c r="S382" s="22" t="str">
        <f>IF(ISERROR(FIND('112'!$M$9,G382,1)),"",IF((AND(LEFT(G382,2)=LEFT('112'!$M$9,2),B382&lt;'112'!$N$8,$L382='112'!$I$6)),"x",""))</f>
        <v/>
      </c>
      <c r="T382" s="22" t="str">
        <f>IF(ISERROR(FIND('112'!$M$9,G382,1)),"",IF((AND(RIGHT(G382,2)=RIGHT('112'!$M$9,2),B382&lt;'112'!$N$8,$M382='112'!$I$6)),"x",""))</f>
        <v/>
      </c>
      <c r="U382" s="22" t="str">
        <f>IF(AND(B382&gt;='IN-NX'!$P$3,B382&lt;='IN-NX'!$Q$3,'IN-NX'!$D$7=D382,OR(LEFT(L382,2)="15",AND(LEFT(M382,2)&lt;&gt;"15",LEFT(M382,2)&lt;&gt;"33"))),"x","")</f>
        <v/>
      </c>
      <c r="V382" s="22" t="str">
        <f>IF(AND(OR(LEFT(TH!L382,2)="15",LEFT(TH!M382,2)="15"),'152-CT'!$J$8=TH!F382),"x","")</f>
        <v/>
      </c>
      <c r="W382" s="22" t="str">
        <f>IF(AND(OR(LEFT(TH!L382,2)="15",LEFT(TH!M382,2)="15"),TK!$E$7=TH!F382),"x","")</f>
        <v/>
      </c>
      <c r="X382" s="22" t="str">
        <f>IF(OR(TH!L382=TH!$X$7,M382=TH!$X$7),"x","")</f>
        <v/>
      </c>
      <c r="Y382" s="22" t="str">
        <f>IF(AND(B382&lt;=NKC!$N$8,B382&gt;=NKC!$M$8),"x","")</f>
        <v>x</v>
      </c>
      <c r="Z382" s="580"/>
      <c r="AA382" s="406"/>
      <c r="AB382" s="406"/>
    </row>
    <row r="383" spans="1:31" s="130" customFormat="1" ht="15.75" customHeight="1">
      <c r="A383" s="123" t="str">
        <f>IF(B383&lt;&gt;"",IF(AND(B383&gt;=_TM1,B383&lt;=_TM2,OR(TH!L384="1111",TH!M384="1111")),TH!D384,""),"")</f>
        <v/>
      </c>
      <c r="B383" s="12">
        <f t="shared" si="13"/>
        <v>9</v>
      </c>
      <c r="C383" s="108">
        <f t="shared" si="14"/>
        <v>42640</v>
      </c>
      <c r="D383" s="108" t="s">
        <v>1041</v>
      </c>
      <c r="E383" s="113">
        <v>42640</v>
      </c>
      <c r="F383" s="114" t="s">
        <v>484</v>
      </c>
      <c r="G383" s="303" t="s">
        <v>434</v>
      </c>
      <c r="H383" s="4" t="s">
        <v>551</v>
      </c>
      <c r="I383" s="139"/>
      <c r="J383" s="139"/>
      <c r="K383" s="13">
        <v>3466980</v>
      </c>
      <c r="L383" s="116" t="s">
        <v>46</v>
      </c>
      <c r="M383" s="411" t="s">
        <v>252</v>
      </c>
      <c r="N383" s="22" t="str">
        <f>IF(AND('331-CT'!$E$7=TH!H383,OR(L383="331",M383="331")),"331",IF(AND(OR(L383="131",M383="131"),H383='131-CT'!$E$7),"131",""))</f>
        <v/>
      </c>
      <c r="O383" s="22" t="str">
        <f>IF(AND($B383&gt;='111'!$N$11,$B383&lt;='111'!$O$11,OR($L383=$O$7,$M383=$O$7)),"x","")</f>
        <v/>
      </c>
      <c r="P383" s="22" t="str">
        <f>IF(AND($L383=$O$7,$B383&lt;'111'!$N$11),"x","")</f>
        <v>x</v>
      </c>
      <c r="Q383" s="22" t="str">
        <f>IF(AND($M383=$O$7,$B383&lt;'111'!$N$11),"x","")</f>
        <v/>
      </c>
      <c r="R383" s="22" t="str">
        <f>IF(ISERROR(FIND('112'!$M$9,G383,1)),"",IF((AND(FIND('112'!$M$9,G383,1)&gt;=1,$B383&gt;='112'!$N$8,$B383&lt;='112'!$O$8,OR($L383='112'!$I$6,$M383='112'!$I$6))),"x",""))</f>
        <v/>
      </c>
      <c r="S383" s="22" t="str">
        <f>IF(ISERROR(FIND('112'!$M$9,G383,1)),"",IF((AND(LEFT(G383,2)=LEFT('112'!$M$9,2),B383&lt;'112'!$N$8,$L383='112'!$I$6)),"x",""))</f>
        <v/>
      </c>
      <c r="T383" s="22" t="str">
        <f>IF(ISERROR(FIND('112'!$M$9,G383,1)),"",IF((AND(RIGHT(G383,2)=RIGHT('112'!$M$9,2),B383&lt;'112'!$N$8,$M383='112'!$I$6)),"x",""))</f>
        <v/>
      </c>
      <c r="U383" s="22" t="str">
        <f>IF(AND(B383&gt;='IN-NX'!$P$3,B383&lt;='IN-NX'!$Q$3,'IN-NX'!$D$7=D383,OR(LEFT(L383,2)="15",AND(LEFT(M383,2)&lt;&gt;"15",LEFT(M383,2)&lt;&gt;"33"))),"x","")</f>
        <v/>
      </c>
      <c r="V383" s="22" t="str">
        <f>IF(AND(OR(LEFT(TH!L383,2)="15",LEFT(TH!M383,2)="15"),'152-CT'!$J$8=TH!F383),"x","")</f>
        <v/>
      </c>
      <c r="W383" s="22" t="str">
        <f>IF(AND(OR(LEFT(TH!L383,2)="15",LEFT(TH!M383,2)="15"),TK!$E$7=TH!F383),"x","")</f>
        <v/>
      </c>
      <c r="X383" s="22" t="str">
        <f>IF(OR(TH!L383=TH!$X$7,M383=TH!$X$7),"x","")</f>
        <v/>
      </c>
      <c r="Y383" s="22" t="str">
        <f>IF(AND(B383&lt;=NKC!$N$8,B383&gt;=NKC!$M$8),"x","")</f>
        <v>x</v>
      </c>
      <c r="Z383" s="580"/>
      <c r="AA383" s="406"/>
      <c r="AB383" s="406"/>
    </row>
    <row r="384" spans="1:31" s="130" customFormat="1" ht="15.75" customHeight="1">
      <c r="A384" s="123" t="str">
        <f>IF(B384&lt;&gt;"",IF(AND(B384&gt;=_TM1,B384&lt;=_TM2,OR(TH!L385="1111",TH!M385="1111")),TH!D385,""),"")</f>
        <v/>
      </c>
      <c r="B384" s="12">
        <f t="shared" si="13"/>
        <v>9</v>
      </c>
      <c r="C384" s="108">
        <f t="shared" si="14"/>
        <v>42641</v>
      </c>
      <c r="D384" s="108" t="s">
        <v>615</v>
      </c>
      <c r="E384" s="113">
        <v>42641</v>
      </c>
      <c r="F384" s="112" t="s">
        <v>511</v>
      </c>
      <c r="G384" s="303" t="s">
        <v>431</v>
      </c>
      <c r="H384" s="4" t="s">
        <v>618</v>
      </c>
      <c r="I384" s="139">
        <v>211</v>
      </c>
      <c r="J384" s="139">
        <v>12900</v>
      </c>
      <c r="K384" s="13">
        <f>ROUND(I384*J384,0)</f>
        <v>2721900</v>
      </c>
      <c r="L384" s="116" t="s">
        <v>252</v>
      </c>
      <c r="M384" s="411" t="s">
        <v>169</v>
      </c>
      <c r="N384" s="22" t="str">
        <f>IF(AND('331-CT'!$E$7=TH!H384,OR(L384="331",M384="331")),"331",IF(AND(OR(L384="131",M384="131"),H384='131-CT'!$E$7),"131",""))</f>
        <v/>
      </c>
      <c r="O384" s="22" t="str">
        <f>IF(AND($B384&gt;='111'!$N$11,$B384&lt;='111'!$O$11,OR($L384=$O$7,$M384=$O$7)),"x","")</f>
        <v/>
      </c>
      <c r="P384" s="22" t="str">
        <f>IF(AND($L384=$O$7,$B384&lt;'111'!$N$11),"x","")</f>
        <v/>
      </c>
      <c r="Q384" s="22" t="str">
        <f>IF(AND($M384=$O$7,$B384&lt;'111'!$N$11),"x","")</f>
        <v/>
      </c>
      <c r="R384" s="22" t="str">
        <f>IF(ISERROR(FIND('112'!$M$9,G384,1)),"",IF((AND(FIND('112'!$M$9,G384,1)&gt;=1,$B384&gt;='112'!$N$8,$B384&lt;='112'!$O$8,OR($L384='112'!$I$6,$M384='112'!$I$6))),"x",""))</f>
        <v/>
      </c>
      <c r="S384" s="22" t="str">
        <f>IF(ISERROR(FIND('112'!$M$9,G384,1)),"",IF((AND(LEFT(G384,2)=LEFT('112'!$M$9,2),B384&lt;'112'!$N$8,$L384='112'!$I$6)),"x",""))</f>
        <v/>
      </c>
      <c r="T384" s="22" t="str">
        <f>IF(ISERROR(FIND('112'!$M$9,G384,1)),"",IF((AND(RIGHT(G384,2)=RIGHT('112'!$M$9,2),B384&lt;'112'!$N$8,$M384='112'!$I$6)),"x",""))</f>
        <v/>
      </c>
      <c r="U384" s="22" t="str">
        <f>IF(AND(B384&gt;='IN-NX'!$P$3,B384&lt;='IN-NX'!$Q$3,'IN-NX'!$D$7=D384,OR(LEFT(L384,2)="15",AND(LEFT(M384,2)&lt;&gt;"15",LEFT(M384,2)&lt;&gt;"33"))),"x","")</f>
        <v/>
      </c>
      <c r="V384" s="22" t="str">
        <f>IF(AND(OR(LEFT(TH!L384,2)="15",LEFT(TH!M384,2)="15"),'152-CT'!$J$8=TH!F384),"x","")</f>
        <v/>
      </c>
      <c r="W384" s="22" t="str">
        <f>IF(AND(OR(LEFT(TH!L384,2)="15",LEFT(TH!M384,2)="15"),TK!$E$7=TH!F384),"x","")</f>
        <v/>
      </c>
      <c r="X384" s="22" t="str">
        <f>IF(OR(TH!L384=TH!$X$7,M384=TH!$X$7),"x","")</f>
        <v/>
      </c>
      <c r="Y384" s="22" t="str">
        <f>IF(AND(B384&lt;=NKC!$N$8,B384&gt;=NKC!$M$8),"x","")</f>
        <v>x</v>
      </c>
      <c r="Z384" s="580"/>
      <c r="AA384" s="406"/>
    </row>
    <row r="385" spans="1:31" s="130" customFormat="1" ht="15.75" customHeight="1">
      <c r="A385" s="123" t="str">
        <f>IF(B385&lt;&gt;"",IF(AND(B385&gt;=_TM1,B385&lt;=_TM2,OR(TH!L386="1111",TH!M386="1111")),TH!D386,""),"")</f>
        <v/>
      </c>
      <c r="B385" s="12">
        <f t="shared" si="13"/>
        <v>9</v>
      </c>
      <c r="C385" s="108">
        <f t="shared" si="14"/>
        <v>42641</v>
      </c>
      <c r="D385" s="108" t="s">
        <v>615</v>
      </c>
      <c r="E385" s="113">
        <v>42641</v>
      </c>
      <c r="F385" s="112" t="s">
        <v>496</v>
      </c>
      <c r="G385" s="303" t="s">
        <v>431</v>
      </c>
      <c r="H385" s="4" t="s">
        <v>618</v>
      </c>
      <c r="I385" s="139"/>
      <c r="J385" s="139"/>
      <c r="K385" s="13">
        <v>272190</v>
      </c>
      <c r="L385" s="116" t="s">
        <v>252</v>
      </c>
      <c r="M385" s="411" t="s">
        <v>352</v>
      </c>
      <c r="N385" s="22" t="str">
        <f>IF(AND('331-CT'!$E$7=TH!H385,OR(L385="331",M385="331")),"331",IF(AND(OR(L385="131",M385="131"),H385='131-CT'!$E$7),"131",""))</f>
        <v/>
      </c>
      <c r="O385" s="22" t="str">
        <f>IF(AND($B385&gt;='111'!$N$11,$B385&lt;='111'!$O$11,OR($L385=$O$7,$M385=$O$7)),"x","")</f>
        <v/>
      </c>
      <c r="P385" s="22" t="str">
        <f>IF(AND($L385=$O$7,$B385&lt;'111'!$N$11),"x","")</f>
        <v/>
      </c>
      <c r="Q385" s="22" t="str">
        <f>IF(AND($M385=$O$7,$B385&lt;'111'!$N$11),"x","")</f>
        <v/>
      </c>
      <c r="R385" s="22" t="str">
        <f>IF(ISERROR(FIND('112'!$M$9,G385,1)),"",IF((AND(FIND('112'!$M$9,G385,1)&gt;=1,$B385&gt;='112'!$N$8,$B385&lt;='112'!$O$8,OR($L385='112'!$I$6,$M385='112'!$I$6))),"x",""))</f>
        <v/>
      </c>
      <c r="S385" s="22" t="str">
        <f>IF(ISERROR(FIND('112'!$M$9,G385,1)),"",IF((AND(LEFT(G385,2)=LEFT('112'!$M$9,2),B385&lt;'112'!$N$8,$L385='112'!$I$6)),"x",""))</f>
        <v/>
      </c>
      <c r="T385" s="22" t="str">
        <f>IF(ISERROR(FIND('112'!$M$9,G385,1)),"",IF((AND(RIGHT(G385,2)=RIGHT('112'!$M$9,2),B385&lt;'112'!$N$8,$M385='112'!$I$6)),"x",""))</f>
        <v/>
      </c>
      <c r="U385" s="22" t="str">
        <f>IF(AND(B385&gt;='IN-NX'!$P$3,B385&lt;='IN-NX'!$Q$3,'IN-NX'!$D$7=D385,OR(LEFT(L385,2)="15",AND(LEFT(M385,2)&lt;&gt;"15",LEFT(M385,2)&lt;&gt;"33"))),"x","")</f>
        <v/>
      </c>
      <c r="V385" s="22" t="str">
        <f>IF(AND(OR(LEFT(TH!L385,2)="15",LEFT(TH!M385,2)="15"),'152-CT'!$J$8=TH!F385),"x","")</f>
        <v/>
      </c>
      <c r="W385" s="22" t="str">
        <f>IF(AND(OR(LEFT(TH!L385,2)="15",LEFT(TH!M385,2)="15"),TK!$E$7=TH!F385),"x","")</f>
        <v/>
      </c>
      <c r="X385" s="22" t="str">
        <f>IF(OR(TH!L385=TH!$X$7,M385=TH!$X$7),"x","")</f>
        <v/>
      </c>
      <c r="Y385" s="22" t="str">
        <f>IF(AND(B385&lt;=NKC!$N$8,B385&gt;=NKC!$M$8),"x","")</f>
        <v>x</v>
      </c>
      <c r="Z385" s="580"/>
      <c r="AA385" s="406"/>
      <c r="AB385" s="406"/>
      <c r="AD385" s="406"/>
      <c r="AE385" s="406"/>
    </row>
    <row r="386" spans="1:31" s="130" customFormat="1" ht="15.75" customHeight="1">
      <c r="A386" s="123" t="str">
        <f>IF(B386&lt;&gt;"",IF(AND(B386&gt;=_TM1,B386&lt;=_TM2,OR(TH!L387="1111",TH!M387="1111")),TH!D387,""),"")</f>
        <v/>
      </c>
      <c r="B386" s="599">
        <f t="shared" si="13"/>
        <v>9</v>
      </c>
      <c r="C386" s="574">
        <f t="shared" si="14"/>
        <v>42643</v>
      </c>
      <c r="D386" s="574" t="s">
        <v>324</v>
      </c>
      <c r="E386" s="574">
        <v>42643</v>
      </c>
      <c r="F386" s="577" t="s">
        <v>821</v>
      </c>
      <c r="G386" s="595"/>
      <c r="H386" s="596"/>
      <c r="I386" s="576"/>
      <c r="J386" s="576"/>
      <c r="K386" s="579">
        <v>4375000</v>
      </c>
      <c r="L386" s="597" t="s">
        <v>82</v>
      </c>
      <c r="M386" s="597" t="s">
        <v>255</v>
      </c>
      <c r="N386" s="22" t="str">
        <f>IF(AND('331-CT'!$E$7=TH!H386,OR(L386="331",M386="331")),"331",IF(AND(OR(L386="131",M386="131"),H386='131-CT'!$E$7),"131",""))</f>
        <v/>
      </c>
      <c r="O386" s="22" t="str">
        <f>IF(AND($B386&gt;='111'!$N$11,$B386&lt;='111'!$O$11,OR($L386=$O$7,$M386=$O$7)),"x","")</f>
        <v/>
      </c>
      <c r="P386" s="22" t="str">
        <f>IF(AND($L386=$O$7,$B386&lt;'111'!$N$11),"x","")</f>
        <v/>
      </c>
      <c r="Q386" s="22" t="str">
        <f>IF(AND($M386=$O$7,$B386&lt;'111'!$N$11),"x","")</f>
        <v/>
      </c>
      <c r="R386" s="22" t="str">
        <f>IF(ISERROR(FIND('112'!$M$9,G386,1)),"",IF((AND(FIND('112'!$M$9,G386,1)&gt;=1,$B386&gt;='112'!$N$8,$B386&lt;='112'!$O$8,OR($L386='112'!$I$6,$M386='112'!$I$6))),"x",""))</f>
        <v/>
      </c>
      <c r="S386" s="22" t="str">
        <f>IF(ISERROR(FIND('112'!$M$9,G386,1)),"",IF((AND(LEFT(G386,2)=LEFT('112'!$M$9,2),B386&lt;'112'!$N$8,$L386='112'!$I$6)),"x",""))</f>
        <v/>
      </c>
      <c r="T386" s="22" t="str">
        <f>IF(ISERROR(FIND('112'!$M$9,G386,1)),"",IF((AND(RIGHT(G386,2)=RIGHT('112'!$M$9,2),B386&lt;'112'!$N$8,$M386='112'!$I$6)),"x",""))</f>
        <v/>
      </c>
      <c r="U386" s="22" t="str">
        <f>IF(AND(B386&gt;='IN-NX'!$P$3,B386&lt;='IN-NX'!$Q$3,'IN-NX'!$D$7=D386,OR(LEFT(L386,2)="15",AND(LEFT(M386,2)&lt;&gt;"15",LEFT(M386,2)&lt;&gt;"33"))),"x","")</f>
        <v/>
      </c>
      <c r="V386" s="22" t="str">
        <f>IF(AND(OR(LEFT(TH!L386,2)="15",LEFT(TH!M386,2)="15"),'152-CT'!$J$8=TH!F386),"x","")</f>
        <v/>
      </c>
      <c r="W386" s="22" t="str">
        <f>IF(AND(OR(LEFT(TH!L386,2)="15",LEFT(TH!M386,2)="15"),TK!$E$7=TH!F386),"x","")</f>
        <v/>
      </c>
      <c r="X386" s="22" t="str">
        <f>IF(OR(TH!L386=TH!$X$7,M386=TH!$X$7),"x","")</f>
        <v>x</v>
      </c>
      <c r="Y386" s="22" t="str">
        <f>IF(AND(B386&lt;=NKC!$N$8,B386&gt;=NKC!$M$8),"x","")</f>
        <v>x</v>
      </c>
      <c r="Z386" s="598"/>
      <c r="AA386" s="598"/>
      <c r="AB386" s="598"/>
      <c r="AC386" s="598"/>
      <c r="AD386" s="598"/>
      <c r="AE386" s="598"/>
    </row>
    <row r="387" spans="1:31" s="130" customFormat="1" ht="15.75" customHeight="1">
      <c r="A387" s="123" t="str">
        <f>IF(B387&lt;&gt;"",IF(AND(B387&gt;=_TM1,B387&lt;=_TM2,OR(TH!L388="1111",TH!M388="1111")),TH!D388,""),"")</f>
        <v/>
      </c>
      <c r="B387" s="599">
        <f t="shared" si="13"/>
        <v>9</v>
      </c>
      <c r="C387" s="574">
        <f t="shared" si="14"/>
        <v>42643</v>
      </c>
      <c r="D387" s="574" t="s">
        <v>324</v>
      </c>
      <c r="E387" s="574">
        <v>42643</v>
      </c>
      <c r="F387" s="577" t="s">
        <v>822</v>
      </c>
      <c r="G387" s="595"/>
      <c r="H387" s="596"/>
      <c r="I387" s="576"/>
      <c r="J387" s="576"/>
      <c r="K387" s="579">
        <v>13900000</v>
      </c>
      <c r="L387" s="597" t="s">
        <v>160</v>
      </c>
      <c r="M387" s="597" t="s">
        <v>255</v>
      </c>
      <c r="N387" s="22" t="str">
        <f>IF(AND('331-CT'!$E$7=TH!H387,OR(L387="331",M387="331")),"331",IF(AND(OR(L387="131",M387="131"),H387='131-CT'!$E$7),"131",""))</f>
        <v/>
      </c>
      <c r="O387" s="22" t="str">
        <f>IF(AND($B387&gt;='111'!$N$11,$B387&lt;='111'!$O$11,OR($L387=$O$7,$M387=$O$7)),"x","")</f>
        <v/>
      </c>
      <c r="P387" s="22" t="str">
        <f>IF(AND($L387=$O$7,$B387&lt;'111'!$N$11),"x","")</f>
        <v/>
      </c>
      <c r="Q387" s="22" t="str">
        <f>IF(AND($M387=$O$7,$B387&lt;'111'!$N$11),"x","")</f>
        <v/>
      </c>
      <c r="R387" s="22" t="str">
        <f>IF(ISERROR(FIND('112'!$M$9,G387,1)),"",IF((AND(FIND('112'!$M$9,G387,1)&gt;=1,$B387&gt;='112'!$N$8,$B387&lt;='112'!$O$8,OR($L387='112'!$I$6,$M387='112'!$I$6))),"x",""))</f>
        <v/>
      </c>
      <c r="S387" s="22" t="str">
        <f>IF(ISERROR(FIND('112'!$M$9,G387,1)),"",IF((AND(LEFT(G387,2)=LEFT('112'!$M$9,2),B387&lt;'112'!$N$8,$L387='112'!$I$6)),"x",""))</f>
        <v/>
      </c>
      <c r="T387" s="22" t="str">
        <f>IF(ISERROR(FIND('112'!$M$9,G387,1)),"",IF((AND(RIGHT(G387,2)=RIGHT('112'!$M$9,2),B387&lt;'112'!$N$8,$M387='112'!$I$6)),"x",""))</f>
        <v/>
      </c>
      <c r="U387" s="22" t="str">
        <f>IF(AND(B387&gt;='IN-NX'!$P$3,B387&lt;='IN-NX'!$Q$3,'IN-NX'!$D$7=D387,OR(LEFT(L387,2)="15",AND(LEFT(M387,2)&lt;&gt;"15",LEFT(M387,2)&lt;&gt;"33"))),"x","")</f>
        <v/>
      </c>
      <c r="V387" s="22" t="str">
        <f>IF(AND(OR(LEFT(TH!L387,2)="15",LEFT(TH!M387,2)="15"),'152-CT'!$J$8=TH!F387),"x","")</f>
        <v/>
      </c>
      <c r="W387" s="22" t="str">
        <f>IF(AND(OR(LEFT(TH!L387,2)="15",LEFT(TH!M387,2)="15"),TK!$E$7=TH!F387),"x","")</f>
        <v/>
      </c>
      <c r="X387" s="22" t="str">
        <f>IF(OR(TH!L387=TH!$X$7,M387=TH!$X$7),"x","")</f>
        <v/>
      </c>
      <c r="Y387" s="22" t="str">
        <f>IF(AND(B387&lt;=NKC!$N$8,B387&gt;=NKC!$M$8),"x","")</f>
        <v>x</v>
      </c>
      <c r="Z387" s="598"/>
      <c r="AA387" s="598"/>
      <c r="AB387" s="598"/>
      <c r="AC387" s="598"/>
      <c r="AD387" s="598"/>
      <c r="AE387" s="598"/>
    </row>
    <row r="388" spans="1:31" s="130" customFormat="1" ht="15.75" customHeight="1">
      <c r="A388" s="123" t="str">
        <f>IF(B388&lt;&gt;"",IF(AND(B388&gt;=_TM1,B388&lt;=_TM2,OR(TH!L389="1111",TH!M389="1111")),TH!D389,""),"")</f>
        <v/>
      </c>
      <c r="B388" s="599">
        <f t="shared" si="13"/>
        <v>9</v>
      </c>
      <c r="C388" s="574">
        <f t="shared" si="14"/>
        <v>42643</v>
      </c>
      <c r="D388" s="574" t="s">
        <v>1014</v>
      </c>
      <c r="E388" s="574">
        <v>42643</v>
      </c>
      <c r="F388" s="577" t="str">
        <f>"Thanh toán tiền lương tháng "&amp;MONTH(E388)&amp;"/"&amp;YEAR(E388)</f>
        <v>Thanh toán tiền lương tháng 9/2016</v>
      </c>
      <c r="G388" s="595"/>
      <c r="H388" s="596" t="s">
        <v>796</v>
      </c>
      <c r="I388" s="576"/>
      <c r="J388" s="576"/>
      <c r="K388" s="579">
        <f>K386+K387</f>
        <v>18275000</v>
      </c>
      <c r="L388" s="597" t="s">
        <v>255</v>
      </c>
      <c r="M388" s="597" t="s">
        <v>46</v>
      </c>
      <c r="N388" s="22" t="str">
        <f>IF(AND('331-CT'!$E$7=TH!H388,OR(L388="331",M388="331")),"331",IF(AND(OR(L388="131",M388="131"),H388='131-CT'!$E$7),"131",""))</f>
        <v/>
      </c>
      <c r="O388" s="22" t="str">
        <f>IF(AND($B388&gt;='111'!$N$11,$B388&lt;='111'!$O$11,OR($L388=$O$7,$M388=$O$7)),"x","")</f>
        <v/>
      </c>
      <c r="P388" s="22" t="str">
        <f>IF(AND($L388=$O$7,$B388&lt;'111'!$N$11),"x","")</f>
        <v/>
      </c>
      <c r="Q388" s="22" t="str">
        <f>IF(AND($M388=$O$7,$B388&lt;'111'!$N$11),"x","")</f>
        <v>x</v>
      </c>
      <c r="R388" s="22" t="str">
        <f>IF(ISERROR(FIND('112'!$M$9,G388,1)),"",IF((AND(FIND('112'!$M$9,G388,1)&gt;=1,$B388&gt;='112'!$N$8,$B388&lt;='112'!$O$8,OR($L388='112'!$I$6,$M388='112'!$I$6))),"x",""))</f>
        <v/>
      </c>
      <c r="S388" s="22" t="str">
        <f>IF(ISERROR(FIND('112'!$M$9,G388,1)),"",IF((AND(LEFT(G388,2)=LEFT('112'!$M$9,2),B388&lt;'112'!$N$8,$L388='112'!$I$6)),"x",""))</f>
        <v/>
      </c>
      <c r="T388" s="22" t="str">
        <f>IF(ISERROR(FIND('112'!$M$9,G388,1)),"",IF((AND(RIGHT(G388,2)=RIGHT('112'!$M$9,2),B388&lt;'112'!$N$8,$M388='112'!$I$6)),"x",""))</f>
        <v/>
      </c>
      <c r="U388" s="22" t="str">
        <f>IF(AND(B388&gt;='IN-NX'!$P$3,B388&lt;='IN-NX'!$Q$3,'IN-NX'!$D$7=D388,OR(LEFT(L388,2)="15",AND(LEFT(M388,2)&lt;&gt;"15",LEFT(M388,2)&lt;&gt;"33"))),"x","")</f>
        <v/>
      </c>
      <c r="V388" s="22" t="str">
        <f>IF(AND(OR(LEFT(TH!L388,2)="15",LEFT(TH!M388,2)="15"),'152-CT'!$J$8=TH!F388),"x","")</f>
        <v/>
      </c>
      <c r="W388" s="22" t="str">
        <f>IF(AND(OR(LEFT(TH!L388,2)="15",LEFT(TH!M388,2)="15"),TK!$E$7=TH!F388),"x","")</f>
        <v/>
      </c>
      <c r="X388" s="22" t="str">
        <f>IF(OR(TH!L388=TH!$X$7,M388=TH!$X$7),"x","")</f>
        <v/>
      </c>
      <c r="Y388" s="22" t="str">
        <f>IF(AND(B388&lt;=NKC!$N$8,B388&gt;=NKC!$M$8),"x","")</f>
        <v>x</v>
      </c>
      <c r="Z388" s="598"/>
      <c r="AA388" s="598"/>
      <c r="AB388" s="598"/>
      <c r="AC388" s="598"/>
      <c r="AD388" s="598"/>
      <c r="AE388" s="598"/>
    </row>
    <row r="389" spans="1:31" s="130" customFormat="1" ht="15.75" customHeight="1">
      <c r="A389" s="123" t="str">
        <f>IF(B389&lt;&gt;"",IF(AND(B389&gt;=_TM1,B389&lt;=_TM2,OR(TH!L390="1111",TH!M390="1111")),TH!D390,""),"")</f>
        <v/>
      </c>
      <c r="B389" s="12">
        <f t="shared" si="13"/>
        <v>9</v>
      </c>
      <c r="C389" s="108">
        <f t="shared" si="14"/>
        <v>42643</v>
      </c>
      <c r="D389" s="113" t="s">
        <v>1015</v>
      </c>
      <c r="E389" s="108">
        <v>42643</v>
      </c>
      <c r="F389" s="112" t="s">
        <v>355</v>
      </c>
      <c r="G389" s="303" t="s">
        <v>451</v>
      </c>
      <c r="H389" s="115" t="s">
        <v>423</v>
      </c>
      <c r="I389" s="139"/>
      <c r="J389" s="139"/>
      <c r="K389" s="410">
        <v>2050000</v>
      </c>
      <c r="L389" s="411" t="s">
        <v>160</v>
      </c>
      <c r="M389" s="411" t="s">
        <v>46</v>
      </c>
      <c r="N389" s="22" t="str">
        <f>IF(AND('331-CT'!$E$7=TH!H389,OR(L389="331",M389="331")),"331",IF(AND(OR(L389="131",M389="131"),H389='131-CT'!$E$7),"131",""))</f>
        <v/>
      </c>
      <c r="O389" s="22" t="str">
        <f>IF(AND($B389&gt;='111'!$N$11,$B389&lt;='111'!$O$11,OR($L389=$O$7,$M389=$O$7)),"x","")</f>
        <v/>
      </c>
      <c r="P389" s="22" t="str">
        <f>IF(AND($L389=$O$7,$B389&lt;'111'!$N$11),"x","")</f>
        <v/>
      </c>
      <c r="Q389" s="22" t="str">
        <f>IF(AND($M389=$O$7,$B389&lt;'111'!$N$11),"x","")</f>
        <v>x</v>
      </c>
      <c r="R389" s="22" t="str">
        <f>IF(ISERROR(FIND('112'!$M$9,G389,1)),"",IF((AND(FIND('112'!$M$9,G389,1)&gt;=1,$B389&gt;='112'!$N$8,$B389&lt;='112'!$O$8,OR($L389='112'!$I$6,$M389='112'!$I$6))),"x",""))</f>
        <v/>
      </c>
      <c r="S389" s="22" t="str">
        <f>IF(ISERROR(FIND('112'!$M$9,G389,1)),"",IF((AND(LEFT(G389,2)=LEFT('112'!$M$9,2),B389&lt;'112'!$N$8,$L389='112'!$I$6)),"x",""))</f>
        <v/>
      </c>
      <c r="T389" s="22" t="str">
        <f>IF(ISERROR(FIND('112'!$M$9,G389,1)),"",IF((AND(RIGHT(G389,2)=RIGHT('112'!$M$9,2),B389&lt;'112'!$N$8,$M389='112'!$I$6)),"x",""))</f>
        <v/>
      </c>
      <c r="U389" s="22" t="str">
        <f>IF(AND(B389&gt;='IN-NX'!$P$3,B389&lt;='IN-NX'!$Q$3,'IN-NX'!$D$7=D389,OR(LEFT(L389,2)="15",AND(LEFT(M389,2)&lt;&gt;"15",LEFT(M389,2)&lt;&gt;"33"))),"x","")</f>
        <v/>
      </c>
      <c r="V389" s="22" t="str">
        <f>IF(AND(OR(LEFT(TH!L389,2)="15",LEFT(TH!M389,2)="15"),'152-CT'!$J$8=TH!F389),"x","")</f>
        <v/>
      </c>
      <c r="W389" s="22" t="str">
        <f>IF(AND(OR(LEFT(TH!L389,2)="15",LEFT(TH!M389,2)="15"),TK!$E$7=TH!F389),"x","")</f>
        <v/>
      </c>
      <c r="X389" s="22" t="str">
        <f>IF(OR(TH!L389=TH!$X$7,M389=TH!$X$7),"x","")</f>
        <v/>
      </c>
      <c r="Y389" s="22" t="str">
        <f>IF(AND(B389&lt;=NKC!$N$8,B389&gt;=NKC!$M$8),"x","")</f>
        <v>x</v>
      </c>
      <c r="Z389" s="580">
        <v>4</v>
      </c>
      <c r="AA389" s="406"/>
      <c r="AB389" s="406"/>
      <c r="AC389" s="406"/>
      <c r="AD389" s="406"/>
      <c r="AE389" s="406"/>
    </row>
    <row r="390" spans="1:31" s="130" customFormat="1" ht="15.75" customHeight="1">
      <c r="A390" s="123" t="str">
        <f>IF(B390&lt;&gt;"",IF(AND(B390&gt;=_TM1,B390&lt;=_TM2,OR(TH!L391="1111",TH!M391="1111")),TH!D391,""),"")</f>
        <v/>
      </c>
      <c r="B390" s="12">
        <f t="shared" si="13"/>
        <v>9</v>
      </c>
      <c r="C390" s="108">
        <f t="shared" si="14"/>
        <v>42643</v>
      </c>
      <c r="D390" s="113" t="s">
        <v>1015</v>
      </c>
      <c r="E390" s="108">
        <v>42643</v>
      </c>
      <c r="F390" s="112" t="s">
        <v>425</v>
      </c>
      <c r="G390" s="303" t="s">
        <v>451</v>
      </c>
      <c r="H390" s="115" t="s">
        <v>423</v>
      </c>
      <c r="I390" s="139"/>
      <c r="J390" s="139"/>
      <c r="K390" s="410">
        <v>205000</v>
      </c>
      <c r="L390" s="411" t="s">
        <v>9</v>
      </c>
      <c r="M390" s="411" t="s">
        <v>46</v>
      </c>
      <c r="N390" s="22" t="str">
        <f>IF(AND('331-CT'!$E$7=TH!H390,OR(L390="331",M390="331")),"331",IF(AND(OR(L390="131",M390="131"),H390='131-CT'!$E$7),"131",""))</f>
        <v/>
      </c>
      <c r="O390" s="22" t="str">
        <f>IF(AND($B390&gt;='111'!$N$11,$B390&lt;='111'!$O$11,OR($L390=$O$7,$M390=$O$7)),"x","")</f>
        <v/>
      </c>
      <c r="P390" s="22" t="str">
        <f>IF(AND($L390=$O$7,$B390&lt;'111'!$N$11),"x","")</f>
        <v/>
      </c>
      <c r="Q390" s="22" t="str">
        <f>IF(AND($M390=$O$7,$B390&lt;'111'!$N$11),"x","")</f>
        <v>x</v>
      </c>
      <c r="R390" s="22" t="str">
        <f>IF(ISERROR(FIND('112'!$M$9,G390,1)),"",IF((AND(FIND('112'!$M$9,G390,1)&gt;=1,$B390&gt;='112'!$N$8,$B390&lt;='112'!$O$8,OR($L390='112'!$I$6,$M390='112'!$I$6))),"x",""))</f>
        <v/>
      </c>
      <c r="S390" s="22" t="str">
        <f>IF(ISERROR(FIND('112'!$M$9,G390,1)),"",IF((AND(LEFT(G390,2)=LEFT('112'!$M$9,2),B390&lt;'112'!$N$8,$L390='112'!$I$6)),"x",""))</f>
        <v/>
      </c>
      <c r="T390" s="22" t="str">
        <f>IF(ISERROR(FIND('112'!$M$9,G390,1)),"",IF((AND(RIGHT(G390,2)=RIGHT('112'!$M$9,2),B390&lt;'112'!$N$8,$M390='112'!$I$6)),"x",""))</f>
        <v/>
      </c>
      <c r="U390" s="22" t="str">
        <f>IF(AND(B390&gt;='IN-NX'!$P$3,B390&lt;='IN-NX'!$Q$3,'IN-NX'!$D$7=D390,OR(LEFT(L390,2)="15",AND(LEFT(M390,2)&lt;&gt;"15",LEFT(M390,2)&lt;&gt;"33"))),"x","")</f>
        <v/>
      </c>
      <c r="V390" s="22" t="str">
        <f>IF(AND(OR(LEFT(TH!L390,2)="15",LEFT(TH!M390,2)="15"),'152-CT'!$J$8=TH!F390),"x","")</f>
        <v/>
      </c>
      <c r="W390" s="22" t="str">
        <f>IF(AND(OR(LEFT(TH!L390,2)="15",LEFT(TH!M390,2)="15"),TK!$E$7=TH!F390),"x","")</f>
        <v/>
      </c>
      <c r="X390" s="22" t="str">
        <f>IF(OR(TH!L390=TH!$X$7,M390=TH!$X$7),"x","")</f>
        <v/>
      </c>
      <c r="Y390" s="22" t="str">
        <f>IF(AND(B390&lt;=NKC!$N$8,B390&gt;=NKC!$M$8),"x","")</f>
        <v>x</v>
      </c>
      <c r="Z390" s="580">
        <v>4</v>
      </c>
      <c r="AA390" s="406"/>
      <c r="AB390" s="406"/>
      <c r="AC390" s="406"/>
      <c r="AD390" s="406"/>
      <c r="AE390" s="406"/>
    </row>
    <row r="391" spans="1:31" s="130" customFormat="1" ht="15.75" customHeight="1">
      <c r="A391" s="123" t="str">
        <f>IF(B391&lt;&gt;"",IF(AND(B391&gt;=_TM1,B391&lt;=_TM2,OR(TH!L392="1111",TH!M392="1111")),TH!D392,""),"")</f>
        <v/>
      </c>
      <c r="B391" s="12">
        <f t="shared" si="13"/>
        <v>9</v>
      </c>
      <c r="C391" s="108">
        <f t="shared" si="14"/>
        <v>42643</v>
      </c>
      <c r="D391" s="113" t="s">
        <v>1033</v>
      </c>
      <c r="E391" s="108">
        <v>42643</v>
      </c>
      <c r="F391" s="112" t="s">
        <v>626</v>
      </c>
      <c r="G391" s="303"/>
      <c r="H391" s="115" t="s">
        <v>488</v>
      </c>
      <c r="I391" s="139"/>
      <c r="J391" s="139"/>
      <c r="K391" s="410">
        <f>(8*15000+5*20000+6*10000+4*30000+1*40000)/1.1</f>
        <v>399999.99999999994</v>
      </c>
      <c r="L391" s="411" t="s">
        <v>254</v>
      </c>
      <c r="M391" s="411" t="s">
        <v>46</v>
      </c>
      <c r="N391" s="22" t="str">
        <f>IF(AND('331-CT'!$E$7=TH!H391,OR(L391="331",M391="331")),"331",IF(AND(OR(L391="131",M391="131"),H391='131-CT'!$E$7),"131",""))</f>
        <v/>
      </c>
      <c r="O391" s="22" t="str">
        <f>IF(AND($B391&gt;='111'!$N$11,$B391&lt;='111'!$O$11,OR($L391=$O$7,$M391=$O$7)),"x","")</f>
        <v/>
      </c>
      <c r="P391" s="22" t="str">
        <f>IF(AND($L391=$O$7,$B391&lt;'111'!$N$11),"x","")</f>
        <v/>
      </c>
      <c r="Q391" s="22" t="str">
        <f>IF(AND($M391=$O$7,$B391&lt;'111'!$N$11),"x","")</f>
        <v>x</v>
      </c>
      <c r="R391" s="22" t="str">
        <f>IF(ISERROR(FIND('112'!$M$9,G391,1)),"",IF((AND(FIND('112'!$M$9,G391,1)&gt;=1,$B391&gt;='112'!$N$8,$B391&lt;='112'!$O$8,OR($L391='112'!$I$6,$M391='112'!$I$6))),"x",""))</f>
        <v/>
      </c>
      <c r="S391" s="22" t="str">
        <f>IF(ISERROR(FIND('112'!$M$9,G391,1)),"",IF((AND(LEFT(G391,2)=LEFT('112'!$M$9,2),B391&lt;'112'!$N$8,$L391='112'!$I$6)),"x",""))</f>
        <v/>
      </c>
      <c r="T391" s="22" t="str">
        <f>IF(ISERROR(FIND('112'!$M$9,G391,1)),"",IF((AND(RIGHT(G391,2)=RIGHT('112'!$M$9,2),B391&lt;'112'!$N$8,$M391='112'!$I$6)),"x",""))</f>
        <v/>
      </c>
      <c r="U391" s="22" t="str">
        <f>IF(AND(B391&gt;='IN-NX'!$P$3,B391&lt;='IN-NX'!$Q$3,'IN-NX'!$D$7=D391,OR(LEFT(L391,2)="15",AND(LEFT(M391,2)&lt;&gt;"15",LEFT(M391,2)&lt;&gt;"33"))),"x","")</f>
        <v/>
      </c>
      <c r="V391" s="22" t="str">
        <f>IF(AND(OR(LEFT(TH!L391,2)="15",LEFT(TH!M391,2)="15"),'152-CT'!$J$8=TH!F391),"x","")</f>
        <v/>
      </c>
      <c r="W391" s="22" t="str">
        <f>IF(AND(OR(LEFT(TH!L391,2)="15",LEFT(TH!M391,2)="15"),TK!$E$7=TH!F391),"x","")</f>
        <v/>
      </c>
      <c r="X391" s="22" t="str">
        <f>IF(OR(TH!L391=TH!$X$7,M391=TH!$X$7),"x","")</f>
        <v/>
      </c>
      <c r="Y391" s="22" t="str">
        <f>IF(AND(B391&lt;=NKC!$N$8,B391&gt;=NKC!$M$8),"x","")</f>
        <v>x</v>
      </c>
      <c r="Z391" s="580">
        <v>3</v>
      </c>
      <c r="AA391" s="406"/>
      <c r="AB391" s="406"/>
      <c r="AC391" s="406"/>
    </row>
    <row r="392" spans="1:31" s="130" customFormat="1" ht="15.75" customHeight="1">
      <c r="A392" s="123" t="str">
        <f>IF(B392&lt;&gt;"",IF(AND(B392&gt;=_TM1,B392&lt;=_TM2,OR(TH!L393="1111",TH!M393="1111")),TH!D393,""),"")</f>
        <v/>
      </c>
      <c r="B392" s="12">
        <f t="shared" si="13"/>
        <v>9</v>
      </c>
      <c r="C392" s="108">
        <f t="shared" si="14"/>
        <v>42643</v>
      </c>
      <c r="D392" s="113" t="s">
        <v>1033</v>
      </c>
      <c r="E392" s="108">
        <v>42643</v>
      </c>
      <c r="F392" s="112" t="s">
        <v>627</v>
      </c>
      <c r="G392" s="303"/>
      <c r="H392" s="115"/>
      <c r="I392" s="139"/>
      <c r="J392" s="139"/>
      <c r="K392" s="410">
        <v>40000</v>
      </c>
      <c r="L392" s="411" t="s">
        <v>9</v>
      </c>
      <c r="M392" s="411" t="s">
        <v>46</v>
      </c>
      <c r="N392" s="22" t="str">
        <f>IF(AND('331-CT'!$E$7=TH!H392,OR(L392="331",M392="331")),"331",IF(AND(OR(L392="131",M392="131"),H392='131-CT'!$E$7),"131",""))</f>
        <v/>
      </c>
      <c r="O392" s="22" t="str">
        <f>IF(AND($B392&gt;='111'!$N$11,$B392&lt;='111'!$O$11,OR($L392=$O$7,$M392=$O$7)),"x","")</f>
        <v/>
      </c>
      <c r="P392" s="22" t="str">
        <f>IF(AND($L392=$O$7,$B392&lt;'111'!$N$11),"x","")</f>
        <v/>
      </c>
      <c r="Q392" s="22" t="str">
        <f>IF(AND($M392=$O$7,$B392&lt;'111'!$N$11),"x","")</f>
        <v>x</v>
      </c>
      <c r="R392" s="22" t="str">
        <f>IF(ISERROR(FIND('112'!$M$9,G392,1)),"",IF((AND(FIND('112'!$M$9,G392,1)&gt;=1,$B392&gt;='112'!$N$8,$B392&lt;='112'!$O$8,OR($L392='112'!$I$6,$M392='112'!$I$6))),"x",""))</f>
        <v/>
      </c>
      <c r="S392" s="22" t="str">
        <f>IF(ISERROR(FIND('112'!$M$9,G392,1)),"",IF((AND(LEFT(G392,2)=LEFT('112'!$M$9,2),B392&lt;'112'!$N$8,$L392='112'!$I$6)),"x",""))</f>
        <v/>
      </c>
      <c r="T392" s="22" t="str">
        <f>IF(ISERROR(FIND('112'!$M$9,G392,1)),"",IF((AND(RIGHT(G392,2)=RIGHT('112'!$M$9,2),B392&lt;'112'!$N$8,$M392='112'!$I$6)),"x",""))</f>
        <v/>
      </c>
      <c r="U392" s="22" t="str">
        <f>IF(AND(B392&gt;='IN-NX'!$P$3,B392&lt;='IN-NX'!$Q$3,'IN-NX'!$D$7=D392,OR(LEFT(L392,2)="15",AND(LEFT(M392,2)&lt;&gt;"15",LEFT(M392,2)&lt;&gt;"33"))),"x","")</f>
        <v/>
      </c>
      <c r="V392" s="22" t="str">
        <f>IF(AND(OR(LEFT(TH!L392,2)="15",LEFT(TH!M392,2)="15"),'152-CT'!$J$8=TH!F392),"x","")</f>
        <v/>
      </c>
      <c r="W392" s="22" t="str">
        <f>IF(AND(OR(LEFT(TH!L392,2)="15",LEFT(TH!M392,2)="15"),TK!$E$7=TH!F392),"x","")</f>
        <v/>
      </c>
      <c r="X392" s="22" t="str">
        <f>IF(OR(TH!L392=TH!$X$7,M392=TH!$X$7),"x","")</f>
        <v/>
      </c>
      <c r="Y392" s="22" t="str">
        <f>IF(AND(B392&lt;=NKC!$N$8,B392&gt;=NKC!$M$8),"x","")</f>
        <v>x</v>
      </c>
      <c r="Z392" s="580">
        <v>3</v>
      </c>
      <c r="AA392" s="406"/>
      <c r="AB392" s="406"/>
      <c r="AC392" s="406"/>
    </row>
    <row r="393" spans="1:31" s="130" customFormat="1" ht="15.75" customHeight="1">
      <c r="A393" s="123" t="str">
        <f>IF(B393&lt;&gt;"",IF(AND(B393&gt;=_TM1,B393&lt;=_TM2,OR(TH!L394="1111",TH!M394="1111")),TH!D394,""),"")</f>
        <v/>
      </c>
      <c r="B393" s="12">
        <f t="shared" si="13"/>
        <v>9</v>
      </c>
      <c r="C393" s="108">
        <v>42643</v>
      </c>
      <c r="D393" s="113" t="s">
        <v>324</v>
      </c>
      <c r="E393" s="108">
        <v>42576</v>
      </c>
      <c r="F393" s="112" t="s">
        <v>432</v>
      </c>
      <c r="G393" s="303" t="s">
        <v>431</v>
      </c>
      <c r="H393" s="115" t="s">
        <v>624</v>
      </c>
      <c r="I393" s="139"/>
      <c r="J393" s="139"/>
      <c r="K393" s="410">
        <v>17110500</v>
      </c>
      <c r="L393" s="411" t="s">
        <v>82</v>
      </c>
      <c r="M393" s="116" t="s">
        <v>8</v>
      </c>
      <c r="N393" s="22" t="str">
        <f>IF(AND('331-CT'!$E$7=TH!H393,OR(L393="331",M393="331")),"331",IF(AND(OR(L393="131",M393="131"),H393='131-CT'!$E$7),"131",""))</f>
        <v/>
      </c>
      <c r="O393" s="22" t="str">
        <f>IF(AND($B393&gt;='111'!$N$11,$B393&lt;='111'!$O$11,OR($L393=$O$7,$M393=$O$7)),"x","")</f>
        <v/>
      </c>
      <c r="P393" s="22" t="str">
        <f>IF(AND($L393=$O$7,$B393&lt;'111'!$N$11),"x","")</f>
        <v/>
      </c>
      <c r="Q393" s="22" t="str">
        <f>IF(AND($M393=$O$7,$B393&lt;'111'!$N$11),"x","")</f>
        <v/>
      </c>
      <c r="R393" s="22" t="str">
        <f>IF(ISERROR(FIND('112'!$M$9,G393,1)),"",IF((AND(FIND('112'!$M$9,G393,1)&gt;=1,$B393&gt;='112'!$N$8,$B393&lt;='112'!$O$8,OR($L393='112'!$I$6,$M393='112'!$I$6))),"x",""))</f>
        <v/>
      </c>
      <c r="S393" s="22" t="str">
        <f>IF(ISERROR(FIND('112'!$M$9,G393,1)),"",IF((AND(LEFT(G393,2)=LEFT('112'!$M$9,2),B393&lt;'112'!$N$8,$L393='112'!$I$6)),"x",""))</f>
        <v/>
      </c>
      <c r="T393" s="22" t="str">
        <f>IF(ISERROR(FIND('112'!$M$9,G393,1)),"",IF((AND(RIGHT(G393,2)=RIGHT('112'!$M$9,2),B393&lt;'112'!$N$8,$M393='112'!$I$6)),"x",""))</f>
        <v/>
      </c>
      <c r="U393" s="22" t="str">
        <f>IF(AND(B393&gt;='IN-NX'!$P$3,B393&lt;='IN-NX'!$Q$3,'IN-NX'!$D$7=D393,OR(LEFT(L393,2)="15",AND(LEFT(M393,2)&lt;&gt;"15",LEFT(M393,2)&lt;&gt;"33"))),"x","")</f>
        <v/>
      </c>
      <c r="V393" s="22" t="str">
        <f>IF(AND(OR(LEFT(TH!L393,2)="15",LEFT(TH!M393,2)="15"),'152-CT'!$J$8=TH!F393),"x","")</f>
        <v/>
      </c>
      <c r="W393" s="22" t="str">
        <f>IF(AND(OR(LEFT(TH!L393,2)="15",LEFT(TH!M393,2)="15"),TK!$E$7=TH!F393),"x","")</f>
        <v/>
      </c>
      <c r="X393" s="22" t="str">
        <f>IF(OR(TH!L393=TH!$X$7,M393=TH!$X$7),"x","")</f>
        <v>x</v>
      </c>
      <c r="Y393" s="22" t="str">
        <f>IF(AND(B393&lt;=NKC!$N$8,B393&gt;=NKC!$M$8),"x","")</f>
        <v>x</v>
      </c>
      <c r="Z393" s="580">
        <v>3</v>
      </c>
      <c r="AA393" s="406"/>
      <c r="AB393" s="406"/>
      <c r="AC393" s="406"/>
      <c r="AD393" s="406"/>
      <c r="AE393" s="406"/>
    </row>
    <row r="394" spans="1:31" s="130" customFormat="1" ht="15.75" customHeight="1">
      <c r="A394" s="123" t="str">
        <f>IF(B394&lt;&gt;"",IF(AND(B394&gt;=_TM1,B394&lt;=_TM2,OR(TH!L395="1111",TH!M395="1111")),TH!D395,""),"")</f>
        <v/>
      </c>
      <c r="B394" s="12">
        <f t="shared" si="13"/>
        <v>9</v>
      </c>
      <c r="C394" s="108">
        <v>42643</v>
      </c>
      <c r="D394" s="113" t="s">
        <v>324</v>
      </c>
      <c r="E394" s="108">
        <v>42576</v>
      </c>
      <c r="F394" s="112" t="s">
        <v>433</v>
      </c>
      <c r="G394" s="303" t="s">
        <v>431</v>
      </c>
      <c r="H394" s="115" t="s">
        <v>624</v>
      </c>
      <c r="I394" s="139"/>
      <c r="J394" s="139"/>
      <c r="K394" s="410">
        <v>1711050</v>
      </c>
      <c r="L394" s="411" t="s">
        <v>9</v>
      </c>
      <c r="M394" s="116" t="s">
        <v>8</v>
      </c>
      <c r="N394" s="22" t="str">
        <f>IF(AND('331-CT'!$E$7=TH!H394,OR(L394="331",M394="331")),"331",IF(AND(OR(L394="131",M394="131"),H394='131-CT'!$E$7),"131",""))</f>
        <v/>
      </c>
      <c r="O394" s="22" t="str">
        <f>IF(AND($B394&gt;='111'!$N$11,$B394&lt;='111'!$O$11,OR($L394=$O$7,$M394=$O$7)),"x","")</f>
        <v/>
      </c>
      <c r="P394" s="22" t="str">
        <f>IF(AND($L394=$O$7,$B394&lt;'111'!$N$11),"x","")</f>
        <v/>
      </c>
      <c r="Q394" s="22" t="str">
        <f>IF(AND($M394=$O$7,$B394&lt;'111'!$N$11),"x","")</f>
        <v/>
      </c>
      <c r="R394" s="22" t="str">
        <f>IF(ISERROR(FIND('112'!$M$9,G394,1)),"",IF((AND(FIND('112'!$M$9,G394,1)&gt;=1,$B394&gt;='112'!$N$8,$B394&lt;='112'!$O$8,OR($L394='112'!$I$6,$M394='112'!$I$6))),"x",""))</f>
        <v/>
      </c>
      <c r="S394" s="22" t="str">
        <f>IF(ISERROR(FIND('112'!$M$9,G394,1)),"",IF((AND(LEFT(G394,2)=LEFT('112'!$M$9,2),B394&lt;'112'!$N$8,$L394='112'!$I$6)),"x",""))</f>
        <v/>
      </c>
      <c r="T394" s="22" t="str">
        <f>IF(ISERROR(FIND('112'!$M$9,G394,1)),"",IF((AND(RIGHT(G394,2)=RIGHT('112'!$M$9,2),B394&lt;'112'!$N$8,$M394='112'!$I$6)),"x",""))</f>
        <v/>
      </c>
      <c r="U394" s="22" t="str">
        <f>IF(AND(B394&gt;='IN-NX'!$P$3,B394&lt;='IN-NX'!$Q$3,'IN-NX'!$D$7=D394,OR(LEFT(L394,2)="15",AND(LEFT(M394,2)&lt;&gt;"15",LEFT(M394,2)&lt;&gt;"33"))),"x","")</f>
        <v/>
      </c>
      <c r="V394" s="22" t="str">
        <f>IF(AND(OR(LEFT(TH!L394,2)="15",LEFT(TH!M394,2)="15"),'152-CT'!$J$8=TH!F394),"x","")</f>
        <v/>
      </c>
      <c r="W394" s="22" t="str">
        <f>IF(AND(OR(LEFT(TH!L394,2)="15",LEFT(TH!M394,2)="15"),TK!$E$7=TH!F394),"x","")</f>
        <v/>
      </c>
      <c r="X394" s="22" t="str">
        <f>IF(OR(TH!L394=TH!$X$7,M394=TH!$X$7),"x","")</f>
        <v/>
      </c>
      <c r="Y394" s="22" t="str">
        <f>IF(AND(B394&lt;=NKC!$N$8,B394&gt;=NKC!$M$8),"x","")</f>
        <v>x</v>
      </c>
      <c r="Z394" s="580">
        <v>3</v>
      </c>
      <c r="AA394" s="406"/>
      <c r="AB394" s="406"/>
      <c r="AC394" s="406"/>
      <c r="AD394" s="406"/>
      <c r="AE394" s="406"/>
    </row>
    <row r="395" spans="1:31" s="130" customFormat="1" ht="15.75" customHeight="1">
      <c r="A395" s="123" t="str">
        <f>IF(B395&lt;&gt;"",IF(AND(B395&gt;=_TM1,B395&lt;=_TM2,OR(TH!L396="1111",TH!M396="1111")),TH!D396,""),"")</f>
        <v/>
      </c>
      <c r="B395" s="12">
        <f t="shared" si="13"/>
        <v>9</v>
      </c>
      <c r="C395" s="108">
        <v>42643</v>
      </c>
      <c r="D395" s="113" t="s">
        <v>324</v>
      </c>
      <c r="E395" s="108">
        <v>42576</v>
      </c>
      <c r="F395" s="112" t="s">
        <v>800</v>
      </c>
      <c r="G395" s="303" t="s">
        <v>434</v>
      </c>
      <c r="H395" s="115" t="s">
        <v>624</v>
      </c>
      <c r="I395" s="139"/>
      <c r="J395" s="139"/>
      <c r="K395" s="410">
        <v>37000000</v>
      </c>
      <c r="L395" s="411" t="s">
        <v>82</v>
      </c>
      <c r="M395" s="116" t="s">
        <v>8</v>
      </c>
      <c r="N395" s="22" t="str">
        <f>IF(AND('331-CT'!$E$7=TH!H395,OR(L395="331",M395="331")),"331",IF(AND(OR(L395="131",M395="131"),H395='131-CT'!$E$7),"131",""))</f>
        <v/>
      </c>
      <c r="O395" s="22" t="str">
        <f>IF(AND($B395&gt;='111'!$N$11,$B395&lt;='111'!$O$11,OR($L395=$O$7,$M395=$O$7)),"x","")</f>
        <v/>
      </c>
      <c r="P395" s="22" t="str">
        <f>IF(AND($L395=$O$7,$B395&lt;'111'!$N$11),"x","")</f>
        <v/>
      </c>
      <c r="Q395" s="22" t="str">
        <f>IF(AND($M395=$O$7,$B395&lt;'111'!$N$11),"x","")</f>
        <v/>
      </c>
      <c r="R395" s="22" t="str">
        <f>IF(ISERROR(FIND('112'!$M$9,G395,1)),"",IF((AND(FIND('112'!$M$9,G395,1)&gt;=1,$B395&gt;='112'!$N$8,$B395&lt;='112'!$O$8,OR($L395='112'!$I$6,$M395='112'!$I$6))),"x",""))</f>
        <v/>
      </c>
      <c r="S395" s="22" t="str">
        <f>IF(ISERROR(FIND('112'!$M$9,G395,1)),"",IF((AND(LEFT(G395,2)=LEFT('112'!$M$9,2),B395&lt;'112'!$N$8,$L395='112'!$I$6)),"x",""))</f>
        <v/>
      </c>
      <c r="T395" s="22" t="str">
        <f>IF(ISERROR(FIND('112'!$M$9,G395,1)),"",IF((AND(RIGHT(G395,2)=RIGHT('112'!$M$9,2),B395&lt;'112'!$N$8,$M395='112'!$I$6)),"x",""))</f>
        <v/>
      </c>
      <c r="U395" s="22" t="str">
        <f>IF(AND(B395&gt;='IN-NX'!$P$3,B395&lt;='IN-NX'!$Q$3,'IN-NX'!$D$7=D395,OR(LEFT(L395,2)="15",AND(LEFT(M395,2)&lt;&gt;"15",LEFT(M395,2)&lt;&gt;"33"))),"x","")</f>
        <v/>
      </c>
      <c r="V395" s="22" t="str">
        <f>IF(AND(OR(LEFT(TH!L395,2)="15",LEFT(TH!M395,2)="15"),'152-CT'!$J$8=TH!F395),"x","")</f>
        <v/>
      </c>
      <c r="W395" s="22" t="str">
        <f>IF(AND(OR(LEFT(TH!L395,2)="15",LEFT(TH!M395,2)="15"),TK!$E$7=TH!F395),"x","")</f>
        <v/>
      </c>
      <c r="X395" s="22" t="str">
        <f>IF(OR(TH!L395=TH!$X$7,M395=TH!$X$7),"x","")</f>
        <v>x</v>
      </c>
      <c r="Y395" s="22" t="str">
        <f>IF(AND(B395&lt;=NKC!$N$8,B395&gt;=NKC!$M$8),"x","")</f>
        <v>x</v>
      </c>
      <c r="Z395" s="580">
        <v>3</v>
      </c>
      <c r="AA395" s="406"/>
      <c r="AB395" s="406"/>
      <c r="AC395" s="406"/>
      <c r="AD395" s="406"/>
      <c r="AE395" s="406"/>
    </row>
    <row r="396" spans="1:31" s="130" customFormat="1" ht="15.75" customHeight="1">
      <c r="A396" s="123" t="str">
        <f>IF(B396&lt;&gt;"",IF(AND(B396&gt;=_TM1,B396&lt;=_TM2,OR(TH!L397="1111",TH!M397="1111")),TH!D397,""),"")</f>
        <v/>
      </c>
      <c r="B396" s="12">
        <f t="shared" si="13"/>
        <v>9</v>
      </c>
      <c r="C396" s="108">
        <v>42643</v>
      </c>
      <c r="D396" s="113" t="s">
        <v>324</v>
      </c>
      <c r="E396" s="108">
        <v>42576</v>
      </c>
      <c r="F396" s="112" t="s">
        <v>435</v>
      </c>
      <c r="G396" s="303" t="s">
        <v>434</v>
      </c>
      <c r="H396" s="115" t="s">
        <v>624</v>
      </c>
      <c r="I396" s="139"/>
      <c r="J396" s="139"/>
      <c r="K396" s="410">
        <v>3700000</v>
      </c>
      <c r="L396" s="411" t="s">
        <v>9</v>
      </c>
      <c r="M396" s="116" t="s">
        <v>8</v>
      </c>
      <c r="N396" s="22" t="str">
        <f>IF(AND('331-CT'!$E$7=TH!H396,OR(L396="331",M396="331")),"331",IF(AND(OR(L396="131",M396="131"),H396='131-CT'!$E$7),"131",""))</f>
        <v/>
      </c>
      <c r="O396" s="22" t="str">
        <f>IF(AND($B396&gt;='111'!$N$11,$B396&lt;='111'!$O$11,OR($L396=$O$7,$M396=$O$7)),"x","")</f>
        <v/>
      </c>
      <c r="P396" s="22" t="str">
        <f>IF(AND($L396=$O$7,$B396&lt;'111'!$N$11),"x","")</f>
        <v/>
      </c>
      <c r="Q396" s="22" t="str">
        <f>IF(AND($M396=$O$7,$B396&lt;'111'!$N$11),"x","")</f>
        <v/>
      </c>
      <c r="R396" s="22" t="str">
        <f>IF(ISERROR(FIND('112'!$M$9,G396,1)),"",IF((AND(FIND('112'!$M$9,G396,1)&gt;=1,$B396&gt;='112'!$N$8,$B396&lt;='112'!$O$8,OR($L396='112'!$I$6,$M396='112'!$I$6))),"x",""))</f>
        <v/>
      </c>
      <c r="S396" s="22" t="str">
        <f>IF(ISERROR(FIND('112'!$M$9,G396,1)),"",IF((AND(LEFT(G396,2)=LEFT('112'!$M$9,2),B396&lt;'112'!$N$8,$L396='112'!$I$6)),"x",""))</f>
        <v/>
      </c>
      <c r="T396" s="22" t="str">
        <f>IF(ISERROR(FIND('112'!$M$9,G396,1)),"",IF((AND(RIGHT(G396,2)=RIGHT('112'!$M$9,2),B396&lt;'112'!$N$8,$M396='112'!$I$6)),"x",""))</f>
        <v/>
      </c>
      <c r="U396" s="22" t="str">
        <f>IF(AND(B396&gt;='IN-NX'!$P$3,B396&lt;='IN-NX'!$Q$3,'IN-NX'!$D$7=D396,OR(LEFT(L396,2)="15",AND(LEFT(M396,2)&lt;&gt;"15",LEFT(M396,2)&lt;&gt;"33"))),"x","")</f>
        <v/>
      </c>
      <c r="V396" s="22" t="str">
        <f>IF(AND(OR(LEFT(TH!L396,2)="15",LEFT(TH!M396,2)="15"),'152-CT'!$J$8=TH!F396),"x","")</f>
        <v/>
      </c>
      <c r="W396" s="22" t="str">
        <f>IF(AND(OR(LEFT(TH!L396,2)="15",LEFT(TH!M396,2)="15"),TK!$E$7=TH!F396),"x","")</f>
        <v/>
      </c>
      <c r="X396" s="22" t="str">
        <f>IF(OR(TH!L396=TH!$X$7,M396=TH!$X$7),"x","")</f>
        <v/>
      </c>
      <c r="Y396" s="22" t="str">
        <f>IF(AND(B396&lt;=NKC!$N$8,B396&gt;=NKC!$M$8),"x","")</f>
        <v>x</v>
      </c>
      <c r="Z396" s="580">
        <v>3</v>
      </c>
      <c r="AA396" s="406"/>
      <c r="AB396" s="406"/>
      <c r="AC396" s="406"/>
      <c r="AD396" s="406"/>
      <c r="AE396" s="406"/>
    </row>
    <row r="397" spans="1:31" s="130" customFormat="1" ht="15.75" customHeight="1">
      <c r="A397" s="123" t="str">
        <f>IF(B397&lt;&gt;"",IF(AND(B397&gt;=_TM1,B397&lt;=_TM2,OR(TH!L398="1111",TH!M398="1111")),TH!D398,""),"")</f>
        <v/>
      </c>
      <c r="B397" s="12">
        <f t="shared" si="13"/>
        <v>9</v>
      </c>
      <c r="C397" s="108">
        <v>42643</v>
      </c>
      <c r="D397" s="113" t="s">
        <v>324</v>
      </c>
      <c r="E397" s="108">
        <v>42602</v>
      </c>
      <c r="F397" s="112" t="s">
        <v>979</v>
      </c>
      <c r="G397" s="305" t="s">
        <v>436</v>
      </c>
      <c r="H397" s="115" t="s">
        <v>624</v>
      </c>
      <c r="I397" s="139"/>
      <c r="J397" s="139"/>
      <c r="K397" s="410">
        <v>37000000</v>
      </c>
      <c r="L397" s="411" t="s">
        <v>82</v>
      </c>
      <c r="M397" s="116" t="s">
        <v>8</v>
      </c>
      <c r="N397" s="22" t="str">
        <f>IF(AND('331-CT'!$E$7=TH!H397,OR(L397="331",M397="331")),"331",IF(AND(OR(L397="131",M397="131"),H397='131-CT'!$E$7),"131",""))</f>
        <v/>
      </c>
      <c r="O397" s="22" t="str">
        <f>IF(AND($B397&gt;='111'!$N$11,$B397&lt;='111'!$O$11,OR($L397=$O$7,$M397=$O$7)),"x","")</f>
        <v/>
      </c>
      <c r="P397" s="22" t="str">
        <f>IF(AND($L397=$O$7,$B397&lt;'111'!$N$11),"x","")</f>
        <v/>
      </c>
      <c r="Q397" s="22" t="str">
        <f>IF(AND($M397=$O$7,$B397&lt;'111'!$N$11),"x","")</f>
        <v/>
      </c>
      <c r="R397" s="22" t="str">
        <f>IF(ISERROR(FIND('112'!$M$9,G397,1)),"",IF((AND(FIND('112'!$M$9,G397,1)&gt;=1,$B397&gt;='112'!$N$8,$B397&lt;='112'!$O$8,OR($L397='112'!$I$6,$M397='112'!$I$6))),"x",""))</f>
        <v/>
      </c>
      <c r="S397" s="22" t="str">
        <f>IF(ISERROR(FIND('112'!$M$9,G397,1)),"",IF((AND(LEFT(G397,2)=LEFT('112'!$M$9,2),B397&lt;'112'!$N$8,$L397='112'!$I$6)),"x",""))</f>
        <v/>
      </c>
      <c r="T397" s="22" t="str">
        <f>IF(ISERROR(FIND('112'!$M$9,G397,1)),"",IF((AND(RIGHT(G397,2)=RIGHT('112'!$M$9,2),B397&lt;'112'!$N$8,$M397='112'!$I$6)),"x",""))</f>
        <v/>
      </c>
      <c r="U397" s="22" t="str">
        <f>IF(AND(B397&gt;='IN-NX'!$P$3,B397&lt;='IN-NX'!$Q$3,'IN-NX'!$D$7=D397,OR(LEFT(L397,2)="15",AND(LEFT(M397,2)&lt;&gt;"15",LEFT(M397,2)&lt;&gt;"33"))),"x","")</f>
        <v/>
      </c>
      <c r="V397" s="22" t="str">
        <f>IF(AND(OR(LEFT(TH!L397,2)="15",LEFT(TH!M397,2)="15"),'152-CT'!$J$8=TH!F397),"x","")</f>
        <v/>
      </c>
      <c r="W397" s="22" t="str">
        <f>IF(AND(OR(LEFT(TH!L397,2)="15",LEFT(TH!M397,2)="15"),TK!$E$7=TH!F397),"x","")</f>
        <v/>
      </c>
      <c r="X397" s="22" t="str">
        <f>IF(OR(TH!L397=TH!$X$7,M397=TH!$X$7),"x","")</f>
        <v>x</v>
      </c>
      <c r="Y397" s="22" t="str">
        <f>IF(AND(B397&lt;=NKC!$N$8,B397&gt;=NKC!$M$8),"x","")</f>
        <v>x</v>
      </c>
      <c r="Z397" s="580">
        <v>3</v>
      </c>
      <c r="AA397" s="406"/>
      <c r="AC397" s="406"/>
      <c r="AD397" s="406"/>
      <c r="AE397" s="406"/>
    </row>
    <row r="398" spans="1:31" s="130" customFormat="1" ht="15.75" customHeight="1">
      <c r="A398" s="123" t="str">
        <f>IF(B398&lt;&gt;"",IF(AND(B398&gt;=_TM1,B398&lt;=_TM2,OR(TH!L399="1111",TH!M399="1111")),TH!D399,""),"")</f>
        <v/>
      </c>
      <c r="B398" s="12">
        <f t="shared" si="13"/>
        <v>9</v>
      </c>
      <c r="C398" s="108">
        <v>42643</v>
      </c>
      <c r="D398" s="113" t="s">
        <v>324</v>
      </c>
      <c r="E398" s="108">
        <v>42602</v>
      </c>
      <c r="F398" s="112" t="s">
        <v>435</v>
      </c>
      <c r="G398" s="305" t="s">
        <v>436</v>
      </c>
      <c r="H398" s="115" t="s">
        <v>624</v>
      </c>
      <c r="I398" s="139"/>
      <c r="J398" s="139"/>
      <c r="K398" s="410">
        <v>3700000</v>
      </c>
      <c r="L398" s="411" t="s">
        <v>9</v>
      </c>
      <c r="M398" s="116" t="s">
        <v>8</v>
      </c>
      <c r="N398" s="22" t="str">
        <f>IF(AND('331-CT'!$E$7=TH!H398,OR(L398="331",M398="331")),"331",IF(AND(OR(L398="131",M398="131"),H398='131-CT'!$E$7),"131",""))</f>
        <v/>
      </c>
      <c r="O398" s="22" t="str">
        <f>IF(AND($B398&gt;='111'!$N$11,$B398&lt;='111'!$O$11,OR($L398=$O$7,$M398=$O$7)),"x","")</f>
        <v/>
      </c>
      <c r="P398" s="22" t="str">
        <f>IF(AND($L398=$O$7,$B398&lt;'111'!$N$11),"x","")</f>
        <v/>
      </c>
      <c r="Q398" s="22" t="str">
        <f>IF(AND($M398=$O$7,$B398&lt;'111'!$N$11),"x","")</f>
        <v/>
      </c>
      <c r="R398" s="22" t="str">
        <f>IF(ISERROR(FIND('112'!$M$9,G398,1)),"",IF((AND(FIND('112'!$M$9,G398,1)&gt;=1,$B398&gt;='112'!$N$8,$B398&lt;='112'!$O$8,OR($L398='112'!$I$6,$M398='112'!$I$6))),"x",""))</f>
        <v/>
      </c>
      <c r="S398" s="22" t="str">
        <f>IF(ISERROR(FIND('112'!$M$9,G398,1)),"",IF((AND(LEFT(G398,2)=LEFT('112'!$M$9,2),B398&lt;'112'!$N$8,$L398='112'!$I$6)),"x",""))</f>
        <v/>
      </c>
      <c r="T398" s="22" t="str">
        <f>IF(ISERROR(FIND('112'!$M$9,G398,1)),"",IF((AND(RIGHT(G398,2)=RIGHT('112'!$M$9,2),B398&lt;'112'!$N$8,$M398='112'!$I$6)),"x",""))</f>
        <v/>
      </c>
      <c r="U398" s="22" t="str">
        <f>IF(AND(B398&gt;='IN-NX'!$P$3,B398&lt;='IN-NX'!$Q$3,'IN-NX'!$D$7=D398,OR(LEFT(L398,2)="15",AND(LEFT(M398,2)&lt;&gt;"15",LEFT(M398,2)&lt;&gt;"33"))),"x","")</f>
        <v/>
      </c>
      <c r="V398" s="22" t="str">
        <f>IF(AND(OR(LEFT(TH!L398,2)="15",LEFT(TH!M398,2)="15"),'152-CT'!$J$8=TH!F398),"x","")</f>
        <v/>
      </c>
      <c r="W398" s="22" t="str">
        <f>IF(AND(OR(LEFT(TH!L398,2)="15",LEFT(TH!M398,2)="15"),TK!$E$7=TH!F398),"x","")</f>
        <v/>
      </c>
      <c r="X398" s="22" t="str">
        <f>IF(OR(TH!L398=TH!$X$7,M398=TH!$X$7),"x","")</f>
        <v/>
      </c>
      <c r="Y398" s="22" t="str">
        <f>IF(AND(B398&lt;=NKC!$N$8,B398&gt;=NKC!$M$8),"x","")</f>
        <v>x</v>
      </c>
      <c r="Z398" s="580">
        <v>3</v>
      </c>
      <c r="AA398" s="406"/>
      <c r="AB398" s="406"/>
      <c r="AC398" s="406"/>
      <c r="AD398" s="406"/>
      <c r="AE398" s="406"/>
    </row>
    <row r="399" spans="1:31" s="130" customFormat="1" ht="15.75" customHeight="1">
      <c r="A399" s="123" t="str">
        <f>IF(B399&lt;&gt;"",IF(AND(B399&gt;=_TM1,B399&lt;=_TM2,OR(TH!L400="1111",TH!M400="1111")),TH!D400,""),"")</f>
        <v/>
      </c>
      <c r="B399" s="12">
        <f t="shared" si="13"/>
        <v>9</v>
      </c>
      <c r="C399" s="108">
        <v>42643</v>
      </c>
      <c r="D399" s="113" t="s">
        <v>324</v>
      </c>
      <c r="E399" s="108">
        <v>42638</v>
      </c>
      <c r="F399" s="112" t="s">
        <v>978</v>
      </c>
      <c r="G399" s="305" t="s">
        <v>815</v>
      </c>
      <c r="H399" s="115" t="s">
        <v>624</v>
      </c>
      <c r="I399" s="139"/>
      <c r="J399" s="139"/>
      <c r="K399" s="410">
        <v>37000000</v>
      </c>
      <c r="L399" s="411" t="s">
        <v>82</v>
      </c>
      <c r="M399" s="116" t="s">
        <v>8</v>
      </c>
      <c r="N399" s="22" t="str">
        <f>IF(AND('331-CT'!$E$7=TH!H399,OR(L399="331",M399="331")),"331",IF(AND(OR(L399="131",M399="131"),H399='131-CT'!$E$7),"131",""))</f>
        <v/>
      </c>
      <c r="O399" s="22" t="str">
        <f>IF(AND($B399&gt;='111'!$N$11,$B399&lt;='111'!$O$11,OR($L399=$O$7,$M399=$O$7)),"x","")</f>
        <v/>
      </c>
      <c r="P399" s="22" t="str">
        <f>IF(AND($L399=$O$7,$B399&lt;'111'!$N$11),"x","")</f>
        <v/>
      </c>
      <c r="Q399" s="22" t="str">
        <f>IF(AND($M399=$O$7,$B399&lt;'111'!$N$11),"x","")</f>
        <v/>
      </c>
      <c r="R399" s="22" t="str">
        <f>IF(ISERROR(FIND('112'!$M$9,G399,1)),"",IF((AND(FIND('112'!$M$9,G399,1)&gt;=1,$B399&gt;='112'!$N$8,$B399&lt;='112'!$O$8,OR($L399='112'!$I$6,$M399='112'!$I$6))),"x",""))</f>
        <v/>
      </c>
      <c r="S399" s="22" t="str">
        <f>IF(ISERROR(FIND('112'!$M$9,G399,1)),"",IF((AND(LEFT(G399,2)=LEFT('112'!$M$9,2),B399&lt;'112'!$N$8,$L399='112'!$I$6)),"x",""))</f>
        <v/>
      </c>
      <c r="T399" s="22" t="str">
        <f>IF(ISERROR(FIND('112'!$M$9,G399,1)),"",IF((AND(RIGHT(G399,2)=RIGHT('112'!$M$9,2),B399&lt;'112'!$N$8,$M399='112'!$I$6)),"x",""))</f>
        <v/>
      </c>
      <c r="U399" s="22" t="str">
        <f>IF(AND(B399&gt;='IN-NX'!$P$3,B399&lt;='IN-NX'!$Q$3,'IN-NX'!$D$7=D399,OR(LEFT(L399,2)="15",AND(LEFT(M399,2)&lt;&gt;"15",LEFT(M399,2)&lt;&gt;"33"))),"x","")</f>
        <v/>
      </c>
      <c r="V399" s="22" t="str">
        <f>IF(AND(OR(LEFT(TH!L399,2)="15",LEFT(TH!M399,2)="15"),'152-CT'!$J$8=TH!F399),"x","")</f>
        <v/>
      </c>
      <c r="W399" s="22" t="str">
        <f>IF(AND(OR(LEFT(TH!L399,2)="15",LEFT(TH!M399,2)="15"),TK!$E$7=TH!F399),"x","")</f>
        <v/>
      </c>
      <c r="X399" s="22" t="str">
        <f>IF(OR(TH!L399=TH!$X$7,M399=TH!$X$7),"x","")</f>
        <v>x</v>
      </c>
      <c r="Y399" s="22" t="str">
        <f>IF(AND(B399&lt;=NKC!$N$8,B399&gt;=NKC!$M$8),"x","")</f>
        <v>x</v>
      </c>
      <c r="Z399" s="580">
        <v>4</v>
      </c>
      <c r="AA399" s="406"/>
      <c r="AC399" s="406"/>
      <c r="AD399" s="406"/>
      <c r="AE399" s="406"/>
    </row>
    <row r="400" spans="1:31" s="130" customFormat="1" ht="15.75" customHeight="1">
      <c r="A400" s="123" t="str">
        <f>IF(B400&lt;&gt;"",IF(AND(B400&gt;=_TM1,B400&lt;=_TM2,OR(TH!L401="1111",TH!M401="1111")),TH!D401,""),"")</f>
        <v/>
      </c>
      <c r="B400" s="12">
        <f t="shared" si="13"/>
        <v>9</v>
      </c>
      <c r="C400" s="108">
        <v>42643</v>
      </c>
      <c r="D400" s="113" t="s">
        <v>324</v>
      </c>
      <c r="E400" s="108">
        <v>42638</v>
      </c>
      <c r="F400" s="112" t="s">
        <v>435</v>
      </c>
      <c r="G400" s="305" t="s">
        <v>815</v>
      </c>
      <c r="H400" s="115" t="s">
        <v>624</v>
      </c>
      <c r="I400" s="139"/>
      <c r="J400" s="139"/>
      <c r="K400" s="410">
        <v>3700000</v>
      </c>
      <c r="L400" s="411" t="s">
        <v>9</v>
      </c>
      <c r="M400" s="116" t="s">
        <v>8</v>
      </c>
      <c r="N400" s="22" t="str">
        <f>IF(AND('331-CT'!$E$7=TH!H400,OR(L400="331",M400="331")),"331",IF(AND(OR(L400="131",M400="131"),H400='131-CT'!$E$7),"131",""))</f>
        <v/>
      </c>
      <c r="O400" s="22" t="str">
        <f>IF(AND($B400&gt;='111'!$N$11,$B400&lt;='111'!$O$11,OR($L400=$O$7,$M400=$O$7)),"x","")</f>
        <v/>
      </c>
      <c r="P400" s="22" t="str">
        <f>IF(AND($L400=$O$7,$B400&lt;'111'!$N$11),"x","")</f>
        <v/>
      </c>
      <c r="Q400" s="22" t="str">
        <f>IF(AND($M400=$O$7,$B400&lt;'111'!$N$11),"x","")</f>
        <v/>
      </c>
      <c r="R400" s="22" t="str">
        <f>IF(ISERROR(FIND('112'!$M$9,G400,1)),"",IF((AND(FIND('112'!$M$9,G400,1)&gt;=1,$B400&gt;='112'!$N$8,$B400&lt;='112'!$O$8,OR($L400='112'!$I$6,$M400='112'!$I$6))),"x",""))</f>
        <v/>
      </c>
      <c r="S400" s="22" t="str">
        <f>IF(ISERROR(FIND('112'!$M$9,G400,1)),"",IF((AND(LEFT(G400,2)=LEFT('112'!$M$9,2),B400&lt;'112'!$N$8,$L400='112'!$I$6)),"x",""))</f>
        <v/>
      </c>
      <c r="T400" s="22" t="str">
        <f>IF(ISERROR(FIND('112'!$M$9,G400,1)),"",IF((AND(RIGHT(G400,2)=RIGHT('112'!$M$9,2),B400&lt;'112'!$N$8,$M400='112'!$I$6)),"x",""))</f>
        <v/>
      </c>
      <c r="U400" s="22" t="str">
        <f>IF(AND(B400&gt;='IN-NX'!$P$3,B400&lt;='IN-NX'!$Q$3,'IN-NX'!$D$7=D400,OR(LEFT(L400,2)="15",AND(LEFT(M400,2)&lt;&gt;"15",LEFT(M400,2)&lt;&gt;"33"))),"x","")</f>
        <v/>
      </c>
      <c r="V400" s="22" t="str">
        <f>IF(AND(OR(LEFT(TH!L400,2)="15",LEFT(TH!M400,2)="15"),'152-CT'!$J$8=TH!F400),"x","")</f>
        <v/>
      </c>
      <c r="W400" s="22" t="str">
        <f>IF(AND(OR(LEFT(TH!L400,2)="15",LEFT(TH!M400,2)="15"),TK!$E$7=TH!F400),"x","")</f>
        <v/>
      </c>
      <c r="X400" s="22" t="str">
        <f>IF(OR(TH!L400=TH!$X$7,M400=TH!$X$7),"x","")</f>
        <v/>
      </c>
      <c r="Y400" s="22" t="str">
        <f>IF(AND(B400&lt;=NKC!$N$8,B400&gt;=NKC!$M$8),"x","")</f>
        <v>x</v>
      </c>
      <c r="Z400" s="580">
        <v>4</v>
      </c>
      <c r="AA400" s="406"/>
      <c r="AB400" s="406"/>
      <c r="AC400" s="406"/>
      <c r="AD400" s="406"/>
      <c r="AE400" s="406"/>
    </row>
    <row r="401" spans="1:31" s="130" customFormat="1" ht="15.75" customHeight="1">
      <c r="A401" s="123" t="str">
        <f>IF(B401&lt;&gt;"",IF(AND(B401&gt;=_TM1,B401&lt;=_TM2,OR(TH!L402="1111",TH!M402="1111")),TH!D402,""),"")</f>
        <v/>
      </c>
      <c r="B401" s="12">
        <f t="shared" ref="B401:B464" si="15">IF(C401&lt;&gt;"",MONTH(C401),"")</f>
        <v>9</v>
      </c>
      <c r="C401" s="108">
        <f>E401</f>
        <v>42643</v>
      </c>
      <c r="D401" s="108" t="s">
        <v>469</v>
      </c>
      <c r="E401" s="113">
        <v>42643</v>
      </c>
      <c r="F401" s="112" t="s">
        <v>484</v>
      </c>
      <c r="G401" s="303" t="s">
        <v>474</v>
      </c>
      <c r="H401" s="4" t="s">
        <v>371</v>
      </c>
      <c r="I401" s="139"/>
      <c r="J401" s="139"/>
      <c r="K401" s="410">
        <v>19101500</v>
      </c>
      <c r="L401" s="411" t="s">
        <v>24</v>
      </c>
      <c r="M401" s="411" t="s">
        <v>252</v>
      </c>
      <c r="N401" s="22" t="str">
        <f>IF(AND('331-CT'!$E$7=TH!H401,OR(L401="331",M401="331")),"331",IF(AND(OR(L401="131",M401="131"),H401='131-CT'!$E$7),"131",""))</f>
        <v/>
      </c>
      <c r="O401" s="22" t="str">
        <f>IF(AND($B401&gt;='111'!$N$11,$B401&lt;='111'!$O$11,OR($L401=$O$7,$M401=$O$7)),"x","")</f>
        <v/>
      </c>
      <c r="P401" s="22" t="str">
        <f>IF(AND($L401=$O$7,$B401&lt;'111'!$N$11),"x","")</f>
        <v/>
      </c>
      <c r="Q401" s="22" t="str">
        <f>IF(AND($M401=$O$7,$B401&lt;'111'!$N$11),"x","")</f>
        <v/>
      </c>
      <c r="R401" s="22" t="str">
        <f>IF(ISERROR(FIND('112'!$M$9,G401,1)),"",IF((AND(FIND('112'!$M$9,G401,1)&gt;=1,$B401&gt;='112'!$N$8,$B401&lt;='112'!$O$8,OR($L401='112'!$I$6,$M401='112'!$I$6))),"x",""))</f>
        <v/>
      </c>
      <c r="S401" s="22" t="str">
        <f>IF(ISERROR(FIND('112'!$M$9,G401,1)),"",IF((AND(LEFT(G401,2)=LEFT('112'!$M$9,2),B401&lt;'112'!$N$8,$L401='112'!$I$6)),"x",""))</f>
        <v>x</v>
      </c>
      <c r="T401" s="22" t="str">
        <f>IF(ISERROR(FIND('112'!$M$9,G401,1)),"",IF((AND(RIGHT(G401,2)=RIGHT('112'!$M$9,2),B401&lt;'112'!$N$8,$M401='112'!$I$6)),"x",""))</f>
        <v/>
      </c>
      <c r="U401" s="22" t="str">
        <f>IF(AND(B401&gt;='IN-NX'!$P$3,B401&lt;='IN-NX'!$Q$3,'IN-NX'!$D$7=D401,OR(LEFT(L401,2)="15",AND(LEFT(M401,2)&lt;&gt;"15",LEFT(M401,2)&lt;&gt;"33"))),"x","")</f>
        <v/>
      </c>
      <c r="V401" s="22" t="str">
        <f>IF(AND(OR(LEFT(TH!L401,2)="15",LEFT(TH!M401,2)="15"),'152-CT'!$J$8=TH!F401),"x","")</f>
        <v/>
      </c>
      <c r="W401" s="22" t="str">
        <f>IF(AND(OR(LEFT(TH!L401,2)="15",LEFT(TH!M401,2)="15"),TK!$E$7=TH!F401),"x","")</f>
        <v/>
      </c>
      <c r="X401" s="22" t="str">
        <f>IF(OR(TH!L401=TH!$X$7,M401=TH!$X$7),"x","")</f>
        <v/>
      </c>
      <c r="Y401" s="22" t="str">
        <f>IF(AND(B401&lt;=NKC!$N$8,B401&gt;=NKC!$M$8),"x","")</f>
        <v>x</v>
      </c>
      <c r="Z401" s="580"/>
      <c r="AA401" s="406"/>
      <c r="AB401" s="406"/>
    </row>
    <row r="402" spans="1:31" s="130" customFormat="1" ht="15.75" customHeight="1">
      <c r="A402" s="123" t="str">
        <f>IF(B402&lt;&gt;"",IF(AND(B402&gt;=_TM1,B402&lt;=_TM2,OR(TH!L18="1111",TH!M18="1111")),TH!D18,""),"")</f>
        <v>C01</v>
      </c>
      <c r="B402" s="12">
        <f t="shared" si="15"/>
        <v>10</v>
      </c>
      <c r="C402" s="574">
        <f>E402</f>
        <v>42644</v>
      </c>
      <c r="D402" s="574" t="s">
        <v>324</v>
      </c>
      <c r="E402" s="574">
        <v>42644</v>
      </c>
      <c r="F402" s="577" t="s">
        <v>820</v>
      </c>
      <c r="G402" s="575"/>
      <c r="H402" s="596"/>
      <c r="I402" s="576"/>
      <c r="J402" s="576"/>
      <c r="K402" s="579">
        <v>13250000</v>
      </c>
      <c r="L402" s="597" t="s">
        <v>160</v>
      </c>
      <c r="M402" s="597" t="s">
        <v>253</v>
      </c>
      <c r="N402" s="22" t="str">
        <f>IF(AND('331-CT'!$E$7=TH!H402,OR(L402="331",M402="331")),"331",IF(AND(OR(L402="131",M402="131"),H402='131-CT'!$E$7),"131",""))</f>
        <v/>
      </c>
      <c r="O402" s="22" t="str">
        <f>IF(AND($B402&gt;='111'!$N$11,$B402&lt;='111'!$O$11,OR($L402=$O$7,$M402=$O$7)),"x","")</f>
        <v/>
      </c>
      <c r="P402" s="22" t="str">
        <f>IF(AND($L402=$O$7,$B402&lt;'111'!$N$11),"x","")</f>
        <v/>
      </c>
      <c r="Q402" s="22" t="str">
        <f>IF(AND($M402=$O$7,$B402&lt;'111'!$N$11),"x","")</f>
        <v/>
      </c>
      <c r="R402" s="22" t="str">
        <f>IF(ISERROR(FIND('112'!$M$9,G402,1)),"",IF((AND(FIND('112'!$M$9,G402,1)&gt;=1,$B402&gt;='112'!$N$8,$B402&lt;='112'!$O$8,OR($L402='112'!$I$6,$M402='112'!$I$6))),"x",""))</f>
        <v/>
      </c>
      <c r="S402" s="22" t="str">
        <f>IF(ISERROR(FIND('112'!$M$9,G402,1)),"",IF((AND(LEFT(G402,2)=LEFT('112'!$M$9,2),B402&lt;'112'!$N$8,$L402='112'!$I$6)),"x",""))</f>
        <v/>
      </c>
      <c r="T402" s="22" t="str">
        <f>IF(ISERROR(FIND('112'!$M$9,G402,1)),"",IF((AND(RIGHT(G402,2)=RIGHT('112'!$M$9,2),B402&lt;'112'!$N$8,$M402='112'!$I$6)),"x",""))</f>
        <v/>
      </c>
      <c r="U402" s="22" t="str">
        <f>IF(AND(B402&gt;='IN-NX'!$P$3,B402&lt;='IN-NX'!$Q$3,'IN-NX'!$D$7=D402,OR(LEFT(L402,2)="15",AND(LEFT(M402,2)&lt;&gt;"15",LEFT(M402,2)&lt;&gt;"33"))),"x","")</f>
        <v/>
      </c>
      <c r="V402" s="22" t="str">
        <f>IF(AND(OR(LEFT(TH!L402,2)="15",LEFT(TH!M402,2)="15"),'152-CT'!$J$8=TH!F402),"x","")</f>
        <v/>
      </c>
      <c r="W402" s="22" t="str">
        <f>IF(AND(OR(LEFT(TH!L402,2)="15",LEFT(TH!M402,2)="15"),TK!$E$7=TH!F402),"x","")</f>
        <v/>
      </c>
      <c r="X402" s="22" t="str">
        <f>IF(OR(TH!L402=TH!$X$7,M402=TH!$X$7),"x","")</f>
        <v/>
      </c>
      <c r="Y402" s="22" t="str">
        <f>IF(AND(B402&lt;=NKC!$N$8,B402&gt;=NKC!$M$8),"x","")</f>
        <v/>
      </c>
      <c r="Z402" s="598"/>
      <c r="AA402" s="598"/>
      <c r="AB402" s="598"/>
      <c r="AC402" s="598"/>
      <c r="AD402" s="598"/>
      <c r="AE402" s="598"/>
    </row>
    <row r="403" spans="1:31" s="130" customFormat="1" ht="15.75" customHeight="1">
      <c r="A403" s="123" t="str">
        <f>IF(B403&lt;&gt;"",IF(AND(B403&gt;=_TM1,B403&lt;=_TM2,OR(TH!L403="1111",TH!M403="1111")),TH!D403,""),"")</f>
        <v>C01</v>
      </c>
      <c r="B403" s="12">
        <f t="shared" si="15"/>
        <v>10</v>
      </c>
      <c r="C403" s="108">
        <v>42644</v>
      </c>
      <c r="D403" s="113" t="s">
        <v>452</v>
      </c>
      <c r="E403" s="108">
        <v>42643</v>
      </c>
      <c r="F403" s="112" t="s">
        <v>773</v>
      </c>
      <c r="G403" s="303" t="s">
        <v>977</v>
      </c>
      <c r="H403" s="115" t="s">
        <v>409</v>
      </c>
      <c r="I403" s="139"/>
      <c r="J403" s="139"/>
      <c r="K403" s="410">
        <v>1000000</v>
      </c>
      <c r="L403" s="411" t="s">
        <v>254</v>
      </c>
      <c r="M403" s="411" t="s">
        <v>46</v>
      </c>
      <c r="N403" s="22" t="str">
        <f>IF(AND('331-CT'!$E$7=TH!H403,OR(L403="331",M403="331")),"331",IF(AND(OR(L403="131",M403="131"),H403='131-CT'!$E$7),"131",""))</f>
        <v/>
      </c>
      <c r="O403" s="22" t="str">
        <f>IF(AND($B403&gt;='111'!$N$11,$B403&lt;='111'!$O$11,OR($L403=$O$7,$M403=$O$7)),"x","")</f>
        <v>x</v>
      </c>
      <c r="P403" s="22" t="str">
        <f>IF(AND($L403=$O$7,$B403&lt;'111'!$N$11),"x","")</f>
        <v/>
      </c>
      <c r="Q403" s="22" t="str">
        <f>IF(AND($M403=$O$7,$B403&lt;'111'!$N$11),"x","")</f>
        <v/>
      </c>
      <c r="R403" s="22" t="str">
        <f>IF(ISERROR(FIND('112'!$M$9,G403,1)),"",IF((AND(FIND('112'!$M$9,G403,1)&gt;=1,$B403&gt;='112'!$N$8,$B403&lt;='112'!$O$8,OR($L403='112'!$I$6,$M403='112'!$I$6))),"x",""))</f>
        <v/>
      </c>
      <c r="S403" s="22" t="str">
        <f>IF(ISERROR(FIND('112'!$M$9,G403,1)),"",IF((AND(LEFT(G403,2)=LEFT('112'!$M$9,2),B403&lt;'112'!$N$8,$L403='112'!$I$6)),"x",""))</f>
        <v/>
      </c>
      <c r="T403" s="22" t="str">
        <f>IF(ISERROR(FIND('112'!$M$9,G403,1)),"",IF((AND(RIGHT(G403,2)=RIGHT('112'!$M$9,2),B403&lt;'112'!$N$8,$M403='112'!$I$6)),"x",""))</f>
        <v/>
      </c>
      <c r="U403" s="22" t="str">
        <f>IF(AND(B403&gt;='IN-NX'!$P$3,B403&lt;='IN-NX'!$Q$3,'IN-NX'!$D$7=D403,OR(LEFT(L403,2)="15",AND(LEFT(M403,2)&lt;&gt;"15",LEFT(M403,2)&lt;&gt;"33"))),"x","")</f>
        <v/>
      </c>
      <c r="V403" s="22" t="str">
        <f>IF(AND(OR(LEFT(TH!L403,2)="15",LEFT(TH!M403,2)="15"),'152-CT'!$J$8=TH!F403),"x","")</f>
        <v/>
      </c>
      <c r="W403" s="22" t="str">
        <f>IF(AND(OR(LEFT(TH!L403,2)="15",LEFT(TH!M403,2)="15"),TK!$E$7=TH!F403),"x","")</f>
        <v/>
      </c>
      <c r="X403" s="22" t="str">
        <f>IF(OR(TH!L403=TH!$X$7,M403=TH!$X$7),"x","")</f>
        <v/>
      </c>
      <c r="Y403" s="22" t="str">
        <f>IF(AND(B403&lt;=NKC!$N$8,B403&gt;=NKC!$M$8),"x","")</f>
        <v/>
      </c>
      <c r="Z403" s="580">
        <v>4</v>
      </c>
      <c r="AA403" s="406"/>
      <c r="AB403" s="406"/>
      <c r="AC403" s="406"/>
    </row>
    <row r="404" spans="1:31" s="130" customFormat="1" ht="15.75" customHeight="1">
      <c r="A404" s="123" t="str">
        <f>IF(B404&lt;&gt;"",IF(AND(B404&gt;=_TM1,B404&lt;=_TM2,OR(TH!L404="1111",TH!M404="1111")),TH!D404,""),"")</f>
        <v>C01</v>
      </c>
      <c r="B404" s="12">
        <f t="shared" si="15"/>
        <v>10</v>
      </c>
      <c r="C404" s="108">
        <v>42644</v>
      </c>
      <c r="D404" s="113" t="s">
        <v>452</v>
      </c>
      <c r="E404" s="108">
        <v>42643</v>
      </c>
      <c r="F404" s="112" t="s">
        <v>774</v>
      </c>
      <c r="G404" s="303" t="s">
        <v>977</v>
      </c>
      <c r="H404" s="115" t="s">
        <v>409</v>
      </c>
      <c r="I404" s="139"/>
      <c r="J404" s="139"/>
      <c r="K404" s="410">
        <v>100000</v>
      </c>
      <c r="L404" s="411" t="s">
        <v>9</v>
      </c>
      <c r="M404" s="411" t="s">
        <v>46</v>
      </c>
      <c r="N404" s="22" t="str">
        <f>IF(AND('331-CT'!$E$7=TH!H404,OR(L404="331",M404="331")),"331",IF(AND(OR(L404="131",M404="131"),H404='131-CT'!$E$7),"131",""))</f>
        <v/>
      </c>
      <c r="O404" s="22" t="str">
        <f>IF(AND($B404&gt;='111'!$N$11,$B404&lt;='111'!$O$11,OR($L404=$O$7,$M404=$O$7)),"x","")</f>
        <v>x</v>
      </c>
      <c r="P404" s="22" t="str">
        <f>IF(AND($L404=$O$7,$B404&lt;'111'!$N$11),"x","")</f>
        <v/>
      </c>
      <c r="Q404" s="22" t="str">
        <f>IF(AND($M404=$O$7,$B404&lt;'111'!$N$11),"x","")</f>
        <v/>
      </c>
      <c r="R404" s="22" t="str">
        <f>IF(ISERROR(FIND('112'!$M$9,G404,1)),"",IF((AND(FIND('112'!$M$9,G404,1)&gt;=1,$B404&gt;='112'!$N$8,$B404&lt;='112'!$O$8,OR($L404='112'!$I$6,$M404='112'!$I$6))),"x",""))</f>
        <v/>
      </c>
      <c r="S404" s="22" t="str">
        <f>IF(ISERROR(FIND('112'!$M$9,G404,1)),"",IF((AND(LEFT(G404,2)=LEFT('112'!$M$9,2),B404&lt;'112'!$N$8,$L404='112'!$I$6)),"x",""))</f>
        <v/>
      </c>
      <c r="T404" s="22" t="str">
        <f>IF(ISERROR(FIND('112'!$M$9,G404,1)),"",IF((AND(RIGHT(G404,2)=RIGHT('112'!$M$9,2),B404&lt;'112'!$N$8,$M404='112'!$I$6)),"x",""))</f>
        <v/>
      </c>
      <c r="U404" s="22" t="str">
        <f>IF(AND(B404&gt;='IN-NX'!$P$3,B404&lt;='IN-NX'!$Q$3,'IN-NX'!$D$7=D404,OR(LEFT(L404,2)="15",AND(LEFT(M404,2)&lt;&gt;"15",LEFT(M404,2)&lt;&gt;"33"))),"x","")</f>
        <v/>
      </c>
      <c r="V404" s="22" t="str">
        <f>IF(AND(OR(LEFT(TH!L404,2)="15",LEFT(TH!M404,2)="15"),'152-CT'!$J$8=TH!F404),"x","")</f>
        <v/>
      </c>
      <c r="W404" s="22" t="str">
        <f>IF(AND(OR(LEFT(TH!L404,2)="15",LEFT(TH!M404,2)="15"),TK!$E$7=TH!F404),"x","")</f>
        <v/>
      </c>
      <c r="X404" s="22" t="str">
        <f>IF(OR(TH!L404=TH!$X$7,M404=TH!$X$7),"x","")</f>
        <v/>
      </c>
      <c r="Y404" s="22" t="str">
        <f>IF(AND(B404&lt;=NKC!$N$8,B404&gt;=NKC!$M$8),"x","")</f>
        <v/>
      </c>
      <c r="Z404" s="580">
        <v>4</v>
      </c>
      <c r="AA404" s="406"/>
      <c r="AB404" s="406"/>
      <c r="AC404" s="406"/>
    </row>
    <row r="405" spans="1:31" s="130" customFormat="1" ht="15.75" customHeight="1">
      <c r="A405" s="123" t="str">
        <f>IF(B405&lt;&gt;"",IF(AND(B405&gt;=_TM1,B405&lt;=_TM2,OR(TH!L405="1111",TH!M405="1111")),TH!D405,""),"")</f>
        <v>C02</v>
      </c>
      <c r="B405" s="12">
        <f t="shared" si="15"/>
        <v>10</v>
      </c>
      <c r="C405" s="108">
        <f t="shared" ref="C405:C468" si="16">E405</f>
        <v>42644</v>
      </c>
      <c r="D405" s="113" t="s">
        <v>453</v>
      </c>
      <c r="E405" s="113">
        <v>42644</v>
      </c>
      <c r="F405" s="112" t="s">
        <v>786</v>
      </c>
      <c r="G405" s="305" t="s">
        <v>785</v>
      </c>
      <c r="H405" s="4" t="s">
        <v>784</v>
      </c>
      <c r="I405" s="141"/>
      <c r="J405" s="141"/>
      <c r="K405" s="13">
        <v>3910000</v>
      </c>
      <c r="L405" s="116" t="s">
        <v>82</v>
      </c>
      <c r="M405" s="411" t="s">
        <v>46</v>
      </c>
      <c r="N405" s="22" t="str">
        <f>IF(AND('331-CT'!$E$7=TH!H405,OR(L405="331",M405="331")),"331",IF(AND(OR(L405="131",M405="131"),H405='131-CT'!$E$7),"131",""))</f>
        <v/>
      </c>
      <c r="O405" s="22" t="str">
        <f>IF(AND($B405&gt;='111'!$N$11,$B405&lt;='111'!$O$11,OR($L405=$O$7,$M405=$O$7)),"x","")</f>
        <v>x</v>
      </c>
      <c r="P405" s="22" t="str">
        <f>IF(AND($L405=$O$7,$B405&lt;'111'!$N$11),"x","")</f>
        <v/>
      </c>
      <c r="Q405" s="22" t="str">
        <f>IF(AND($M405=$O$7,$B405&lt;'111'!$N$11),"x","")</f>
        <v/>
      </c>
      <c r="R405" s="22" t="str">
        <f>IF(ISERROR(FIND('112'!$M$9,G405,1)),"",IF((AND(FIND('112'!$M$9,G405,1)&gt;=1,$B405&gt;='112'!$N$8,$B405&lt;='112'!$O$8,OR($L405='112'!$I$6,$M405='112'!$I$6))),"x",""))</f>
        <v/>
      </c>
      <c r="S405" s="22" t="str">
        <f>IF(ISERROR(FIND('112'!$M$9,G405,1)),"",IF((AND(LEFT(G405,2)=LEFT('112'!$M$9,2),B405&lt;'112'!$N$8,$L405='112'!$I$6)),"x",""))</f>
        <v/>
      </c>
      <c r="T405" s="22" t="str">
        <f>IF(ISERROR(FIND('112'!$M$9,G405,1)),"",IF((AND(RIGHT(G405,2)=RIGHT('112'!$M$9,2),B405&lt;'112'!$N$8,$M405='112'!$I$6)),"x",""))</f>
        <v/>
      </c>
      <c r="U405" s="22" t="str">
        <f>IF(AND(B405&gt;='IN-NX'!$P$3,B405&lt;='IN-NX'!$Q$3,'IN-NX'!$D$7=D405,OR(LEFT(L405,2)="15",AND(LEFT(M405,2)&lt;&gt;"15",LEFT(M405,2)&lt;&gt;"33"))),"x","")</f>
        <v/>
      </c>
      <c r="V405" s="22" t="str">
        <f>IF(AND(OR(LEFT(TH!L405,2)="15",LEFT(TH!M405,2)="15"),'152-CT'!$J$8=TH!F405),"x","")</f>
        <v/>
      </c>
      <c r="W405" s="22" t="str">
        <f>IF(AND(OR(LEFT(TH!L405,2)="15",LEFT(TH!M405,2)="15"),TK!$E$7=TH!F405),"x","")</f>
        <v/>
      </c>
      <c r="X405" s="22" t="str">
        <f>IF(OR(TH!L405=TH!$X$7,M405=TH!$X$7),"x","")</f>
        <v>x</v>
      </c>
      <c r="Y405" s="22" t="str">
        <f>IF(AND(B405&lt;=NKC!$N$8,B405&gt;=NKC!$M$8),"x","")</f>
        <v/>
      </c>
      <c r="Z405" s="580">
        <v>4</v>
      </c>
      <c r="AA405" s="406"/>
      <c r="AB405" s="406"/>
    </row>
    <row r="406" spans="1:31" s="130" customFormat="1" ht="15.75" customHeight="1">
      <c r="A406" s="123" t="str">
        <f>IF(B406&lt;&gt;"",IF(AND(B406&gt;=_TM1,B406&lt;=_TM2,OR(TH!L406="1111",TH!M406="1111")),TH!D406,""),"")</f>
        <v>C02</v>
      </c>
      <c r="B406" s="12">
        <f t="shared" si="15"/>
        <v>10</v>
      </c>
      <c r="C406" s="108">
        <f t="shared" si="16"/>
        <v>42644</v>
      </c>
      <c r="D406" s="113" t="s">
        <v>453</v>
      </c>
      <c r="E406" s="113">
        <v>42644</v>
      </c>
      <c r="F406" s="112" t="s">
        <v>787</v>
      </c>
      <c r="G406" s="305" t="s">
        <v>785</v>
      </c>
      <c r="H406" s="4" t="s">
        <v>784</v>
      </c>
      <c r="I406" s="141"/>
      <c r="J406" s="141"/>
      <c r="K406" s="13">
        <v>391000</v>
      </c>
      <c r="L406" s="116" t="s">
        <v>9</v>
      </c>
      <c r="M406" s="411" t="s">
        <v>46</v>
      </c>
      <c r="N406" s="22" t="str">
        <f>IF(AND('331-CT'!$E$7=TH!H406,OR(L406="331",M406="331")),"331",IF(AND(OR(L406="131",M406="131"),H406='131-CT'!$E$7),"131",""))</f>
        <v/>
      </c>
      <c r="O406" s="22" t="str">
        <f>IF(AND($B406&gt;='111'!$N$11,$B406&lt;='111'!$O$11,OR($L406=$O$7,$M406=$O$7)),"x","")</f>
        <v>x</v>
      </c>
      <c r="P406" s="22" t="str">
        <f>IF(AND($L406=$O$7,$B406&lt;'111'!$N$11),"x","")</f>
        <v/>
      </c>
      <c r="Q406" s="22" t="str">
        <f>IF(AND($M406=$O$7,$B406&lt;'111'!$N$11),"x","")</f>
        <v/>
      </c>
      <c r="R406" s="22" t="str">
        <f>IF(ISERROR(FIND('112'!$M$9,G406,1)),"",IF((AND(FIND('112'!$M$9,G406,1)&gt;=1,$B406&gt;='112'!$N$8,$B406&lt;='112'!$O$8,OR($L406='112'!$I$6,$M406='112'!$I$6))),"x",""))</f>
        <v/>
      </c>
      <c r="S406" s="22" t="str">
        <f>IF(ISERROR(FIND('112'!$M$9,G406,1)),"",IF((AND(LEFT(G406,2)=LEFT('112'!$M$9,2),B406&lt;'112'!$N$8,$L406='112'!$I$6)),"x",""))</f>
        <v/>
      </c>
      <c r="T406" s="22" t="str">
        <f>IF(ISERROR(FIND('112'!$M$9,G406,1)),"",IF((AND(RIGHT(G406,2)=RIGHT('112'!$M$9,2),B406&lt;'112'!$N$8,$M406='112'!$I$6)),"x",""))</f>
        <v/>
      </c>
      <c r="U406" s="22" t="str">
        <f>IF(AND(B406&gt;='IN-NX'!$P$3,B406&lt;='IN-NX'!$Q$3,'IN-NX'!$D$7=D406,OR(LEFT(L406,2)="15",AND(LEFT(M406,2)&lt;&gt;"15",LEFT(M406,2)&lt;&gt;"33"))),"x","")</f>
        <v/>
      </c>
      <c r="V406" s="22" t="str">
        <f>IF(AND(OR(LEFT(TH!L406,2)="15",LEFT(TH!M406,2)="15"),'152-CT'!$J$8=TH!F406),"x","")</f>
        <v/>
      </c>
      <c r="W406" s="22" t="str">
        <f>IF(AND(OR(LEFT(TH!L406,2)="15",LEFT(TH!M406,2)="15"),TK!$E$7=TH!F406),"x","")</f>
        <v/>
      </c>
      <c r="X406" s="22" t="str">
        <f>IF(OR(TH!L406=TH!$X$7,M406=TH!$X$7),"x","")</f>
        <v/>
      </c>
      <c r="Y406" s="22" t="str">
        <f>IF(AND(B406&lt;=NKC!$N$8,B406&gt;=NKC!$M$8),"x","")</f>
        <v/>
      </c>
      <c r="Z406" s="580">
        <v>4</v>
      </c>
      <c r="AA406" s="406"/>
      <c r="AB406" s="406"/>
    </row>
    <row r="407" spans="1:31" s="130" customFormat="1" ht="15.75" customHeight="1">
      <c r="A407" s="123" t="str">
        <f>IF(B407&lt;&gt;"",IF(AND(B407&gt;=_TM1,B407&lt;=_TM2,OR(TH!L407="1111",TH!M407="1111")),TH!D407,""),"")</f>
        <v>T01</v>
      </c>
      <c r="B407" s="12">
        <f t="shared" si="15"/>
        <v>10</v>
      </c>
      <c r="C407" s="108">
        <f t="shared" si="16"/>
        <v>42646</v>
      </c>
      <c r="D407" s="113" t="s">
        <v>344</v>
      </c>
      <c r="E407" s="113">
        <v>42646</v>
      </c>
      <c r="F407" s="114" t="s">
        <v>485</v>
      </c>
      <c r="G407" s="114" t="s">
        <v>474</v>
      </c>
      <c r="H407" s="115" t="s">
        <v>488</v>
      </c>
      <c r="I407" s="139"/>
      <c r="J407" s="139"/>
      <c r="K407" s="13">
        <v>19000000</v>
      </c>
      <c r="L407" s="116" t="s">
        <v>46</v>
      </c>
      <c r="M407" s="411" t="s">
        <v>24</v>
      </c>
      <c r="N407" s="22" t="str">
        <f>IF(AND('331-CT'!$E$7=TH!H407,OR(L407="331",M407="331")),"331",IF(AND(OR(L407="131",M407="131"),H407='131-CT'!$E$7),"131",""))</f>
        <v/>
      </c>
      <c r="O407" s="22" t="str">
        <f>IF(AND($B407&gt;='111'!$N$11,$B407&lt;='111'!$O$11,OR($L407=$O$7,$M407=$O$7)),"x","")</f>
        <v>x</v>
      </c>
      <c r="P407" s="22" t="str">
        <f>IF(AND($L407=$O$7,$B407&lt;'111'!$N$11),"x","")</f>
        <v/>
      </c>
      <c r="Q407" s="22" t="str">
        <f>IF(AND($M407=$O$7,$B407&lt;'111'!$N$11),"x","")</f>
        <v/>
      </c>
      <c r="R407" s="22" t="str">
        <f>IF(ISERROR(FIND('112'!$M$9,G407,1)),"",IF((AND(FIND('112'!$M$9,G407,1)&gt;=1,$B407&gt;='112'!$N$8,$B407&lt;='112'!$O$8,OR($L407='112'!$I$6,$M407='112'!$I$6))),"x",""))</f>
        <v>x</v>
      </c>
      <c r="S407" s="22" t="str">
        <f>IF(ISERROR(FIND('112'!$M$9,G407,1)),"",IF((AND(LEFT(G407,2)=LEFT('112'!$M$9,2),B407&lt;'112'!$N$8,$L407='112'!$I$6)),"x",""))</f>
        <v/>
      </c>
      <c r="T407" s="22" t="str">
        <f>IF(ISERROR(FIND('112'!$M$9,G407,1)),"",IF((AND(RIGHT(G407,2)=RIGHT('112'!$M$9,2),B407&lt;'112'!$N$8,$M407='112'!$I$6)),"x",""))</f>
        <v/>
      </c>
      <c r="U407" s="22" t="str">
        <f>IF(AND(B407&gt;='IN-NX'!$P$3,B407&lt;='IN-NX'!$Q$3,'IN-NX'!$D$7=D407,OR(LEFT(L407,2)="15",AND(LEFT(M407,2)&lt;&gt;"15",LEFT(M407,2)&lt;&gt;"33"))),"x","")</f>
        <v/>
      </c>
      <c r="V407" s="22" t="str">
        <f>IF(AND(OR(LEFT(TH!L407,2)="15",LEFT(TH!M407,2)="15"),'152-CT'!$J$8=TH!F407),"x","")</f>
        <v/>
      </c>
      <c r="W407" s="22" t="str">
        <f>IF(AND(OR(LEFT(TH!L407,2)="15",LEFT(TH!M407,2)="15"),TK!$E$7=TH!F407),"x","")</f>
        <v/>
      </c>
      <c r="X407" s="22" t="str">
        <f>IF(OR(TH!L407=TH!$X$7,M407=TH!$X$7),"x","")</f>
        <v/>
      </c>
      <c r="Y407" s="22" t="str">
        <f>IF(AND(B407&lt;=NKC!$N$8,B407&gt;=NKC!$M$8),"x","")</f>
        <v/>
      </c>
      <c r="Z407" s="580"/>
      <c r="AA407" s="406"/>
      <c r="AB407" s="406"/>
      <c r="AC407" s="406"/>
    </row>
    <row r="408" spans="1:31" s="130" customFormat="1" ht="15.75" customHeight="1">
      <c r="A408" s="123" t="str">
        <f>IF(B408&lt;&gt;"",IF(AND(B408&gt;=_TM1,B408&lt;=_TM2,OR(TH!L408="1111",TH!M408="1111")),TH!D408,""),"")</f>
        <v>C03</v>
      </c>
      <c r="B408" s="12">
        <f t="shared" si="15"/>
        <v>10</v>
      </c>
      <c r="C408" s="108">
        <f t="shared" si="16"/>
        <v>42646</v>
      </c>
      <c r="D408" s="113" t="s">
        <v>454</v>
      </c>
      <c r="E408" s="113">
        <v>42646</v>
      </c>
      <c r="F408" s="112" t="s">
        <v>773</v>
      </c>
      <c r="G408" s="305" t="s">
        <v>698</v>
      </c>
      <c r="H408" s="129" t="s">
        <v>697</v>
      </c>
      <c r="I408" s="139"/>
      <c r="J408" s="139"/>
      <c r="K408" s="13">
        <v>5100454</v>
      </c>
      <c r="L408" s="116" t="s">
        <v>254</v>
      </c>
      <c r="M408" s="411" t="s">
        <v>46</v>
      </c>
      <c r="N408" s="22" t="str">
        <f>IF(AND('331-CT'!$E$7=TH!H408,OR(L408="331",M408="331")),"331",IF(AND(OR(L408="131",M408="131"),H408='131-CT'!$E$7),"131",""))</f>
        <v/>
      </c>
      <c r="O408" s="22" t="str">
        <f>IF(AND($B408&gt;='111'!$N$11,$B408&lt;='111'!$O$11,OR($L408=$O$7,$M408=$O$7)),"x","")</f>
        <v>x</v>
      </c>
      <c r="P408" s="22" t="str">
        <f>IF(AND($L408=$O$7,$B408&lt;'111'!$N$11),"x","")</f>
        <v/>
      </c>
      <c r="Q408" s="22" t="str">
        <f>IF(AND($M408=$O$7,$B408&lt;'111'!$N$11),"x","")</f>
        <v/>
      </c>
      <c r="R408" s="22" t="str">
        <f>IF(ISERROR(FIND('112'!$M$9,G408,1)),"",IF((AND(FIND('112'!$M$9,G408,1)&gt;=1,$B408&gt;='112'!$N$8,$B408&lt;='112'!$O$8,OR($L408='112'!$I$6,$M408='112'!$I$6))),"x",""))</f>
        <v/>
      </c>
      <c r="S408" s="22" t="str">
        <f>IF(ISERROR(FIND('112'!$M$9,G408,1)),"",IF((AND(LEFT(G408,2)=LEFT('112'!$M$9,2),B408&lt;'112'!$N$8,$L408='112'!$I$6)),"x",""))</f>
        <v/>
      </c>
      <c r="T408" s="22" t="str">
        <f>IF(ISERROR(FIND('112'!$M$9,G408,1)),"",IF((AND(RIGHT(G408,2)=RIGHT('112'!$M$9,2),B408&lt;'112'!$N$8,$M408='112'!$I$6)),"x",""))</f>
        <v/>
      </c>
      <c r="U408" s="22" t="str">
        <f>IF(AND(B408&gt;='IN-NX'!$P$3,B408&lt;='IN-NX'!$Q$3,'IN-NX'!$D$7=D408,OR(LEFT(L408,2)="15",AND(LEFT(M408,2)&lt;&gt;"15",LEFT(M408,2)&lt;&gt;"33"))),"x","")</f>
        <v/>
      </c>
      <c r="V408" s="22" t="str">
        <f>IF(AND(OR(LEFT(TH!L408,2)="15",LEFT(TH!M408,2)="15"),'152-CT'!$J$8=TH!F408),"x","")</f>
        <v/>
      </c>
      <c r="W408" s="22" t="str">
        <f>IF(AND(OR(LEFT(TH!L408,2)="15",LEFT(TH!M408,2)="15"),TK!$E$7=TH!F408),"x","")</f>
        <v/>
      </c>
      <c r="X408" s="22" t="str">
        <f>IF(OR(TH!L408=TH!$X$7,M408=TH!$X$7),"x","")</f>
        <v/>
      </c>
      <c r="Y408" s="22" t="str">
        <f>IF(AND(B408&lt;=NKC!$N$8,B408&gt;=NKC!$M$8),"x","")</f>
        <v/>
      </c>
      <c r="Z408" s="580">
        <v>4</v>
      </c>
      <c r="AA408" s="406"/>
    </row>
    <row r="409" spans="1:31" s="130" customFormat="1" ht="15.75" customHeight="1">
      <c r="A409" s="123" t="str">
        <f>IF(B409&lt;&gt;"",IF(AND(B409&gt;=_TM1,B409&lt;=_TM2,OR(TH!L409="1111",TH!M409="1111")),TH!D409,""),"")</f>
        <v>C03</v>
      </c>
      <c r="B409" s="12">
        <f t="shared" si="15"/>
        <v>10</v>
      </c>
      <c r="C409" s="108">
        <f t="shared" si="16"/>
        <v>42646</v>
      </c>
      <c r="D409" s="113" t="s">
        <v>454</v>
      </c>
      <c r="E409" s="113">
        <v>42646</v>
      </c>
      <c r="F409" s="112" t="s">
        <v>774</v>
      </c>
      <c r="G409" s="305" t="s">
        <v>698</v>
      </c>
      <c r="H409" s="129" t="s">
        <v>697</v>
      </c>
      <c r="I409" s="139"/>
      <c r="J409" s="139"/>
      <c r="K409" s="13">
        <v>510046</v>
      </c>
      <c r="L409" s="116" t="s">
        <v>9</v>
      </c>
      <c r="M409" s="411" t="s">
        <v>46</v>
      </c>
      <c r="N409" s="22" t="str">
        <f>IF(AND('331-CT'!$E$7=TH!H409,OR(L409="331",M409="331")),"331",IF(AND(OR(L409="131",M409="131"),H409='131-CT'!$E$7),"131",""))</f>
        <v/>
      </c>
      <c r="O409" s="22" t="str">
        <f>IF(AND($B409&gt;='111'!$N$11,$B409&lt;='111'!$O$11,OR($L409=$O$7,$M409=$O$7)),"x","")</f>
        <v>x</v>
      </c>
      <c r="P409" s="22" t="str">
        <f>IF(AND($L409=$O$7,$B409&lt;'111'!$N$11),"x","")</f>
        <v/>
      </c>
      <c r="Q409" s="22" t="str">
        <f>IF(AND($M409=$O$7,$B409&lt;'111'!$N$11),"x","")</f>
        <v/>
      </c>
      <c r="R409" s="22" t="str">
        <f>IF(ISERROR(FIND('112'!$M$9,G409,1)),"",IF((AND(FIND('112'!$M$9,G409,1)&gt;=1,$B409&gt;='112'!$N$8,$B409&lt;='112'!$O$8,OR($L409='112'!$I$6,$M409='112'!$I$6))),"x",""))</f>
        <v/>
      </c>
      <c r="S409" s="22" t="str">
        <f>IF(ISERROR(FIND('112'!$M$9,G409,1)),"",IF((AND(LEFT(G409,2)=LEFT('112'!$M$9,2),B409&lt;'112'!$N$8,$L409='112'!$I$6)),"x",""))</f>
        <v/>
      </c>
      <c r="T409" s="22" t="str">
        <f>IF(ISERROR(FIND('112'!$M$9,G409,1)),"",IF((AND(RIGHT(G409,2)=RIGHT('112'!$M$9,2),B409&lt;'112'!$N$8,$M409='112'!$I$6)),"x",""))</f>
        <v/>
      </c>
      <c r="U409" s="22" t="str">
        <f>IF(AND(B409&gt;='IN-NX'!$P$3,B409&lt;='IN-NX'!$Q$3,'IN-NX'!$D$7=D409,OR(LEFT(L409,2)="15",AND(LEFT(M409,2)&lt;&gt;"15",LEFT(M409,2)&lt;&gt;"33"))),"x","")</f>
        <v/>
      </c>
      <c r="V409" s="22" t="str">
        <f>IF(AND(OR(LEFT(TH!L409,2)="15",LEFT(TH!M409,2)="15"),'152-CT'!$J$8=TH!F409),"x","")</f>
        <v/>
      </c>
      <c r="W409" s="22" t="str">
        <f>IF(AND(OR(LEFT(TH!L409,2)="15",LEFT(TH!M409,2)="15"),TK!$E$7=TH!F409),"x","")</f>
        <v/>
      </c>
      <c r="X409" s="22" t="str">
        <f>IF(OR(TH!L409=TH!$X$7,M409=TH!$X$7),"x","")</f>
        <v/>
      </c>
      <c r="Y409" s="22" t="str">
        <f>IF(AND(B409&lt;=NKC!$N$8,B409&gt;=NKC!$M$8),"x","")</f>
        <v/>
      </c>
      <c r="Z409" s="580">
        <v>4</v>
      </c>
      <c r="AA409" s="406"/>
      <c r="AB409" s="406"/>
    </row>
    <row r="410" spans="1:31" s="130" customFormat="1" ht="15.75" customHeight="1">
      <c r="A410" s="123" t="str">
        <f>IF(B410&lt;&gt;"",IF(AND(B410&gt;=_TM1,B410&lt;=_TM2,OR(TH!L410="1111",TH!M410="1111")),TH!D410,""),"")</f>
        <v>C04</v>
      </c>
      <c r="B410" s="12">
        <f t="shared" si="15"/>
        <v>10</v>
      </c>
      <c r="C410" s="108">
        <f t="shared" si="16"/>
        <v>42647</v>
      </c>
      <c r="D410" s="113" t="s">
        <v>457</v>
      </c>
      <c r="E410" s="113">
        <v>42647</v>
      </c>
      <c r="F410" s="112" t="s">
        <v>471</v>
      </c>
      <c r="G410" s="114" t="s">
        <v>474</v>
      </c>
      <c r="H410" s="115" t="s">
        <v>488</v>
      </c>
      <c r="I410" s="139"/>
      <c r="J410" s="141"/>
      <c r="K410" s="13">
        <v>50000000</v>
      </c>
      <c r="L410" s="116" t="s">
        <v>24</v>
      </c>
      <c r="M410" s="411" t="s">
        <v>46</v>
      </c>
      <c r="N410" s="22" t="str">
        <f>IF(AND('331-CT'!$E$7=TH!H410,OR(L410="331",M410="331")),"331",IF(AND(OR(L410="131",M410="131"),H410='131-CT'!$E$7),"131",""))</f>
        <v/>
      </c>
      <c r="O410" s="22" t="str">
        <f>IF(AND($B410&gt;='111'!$N$11,$B410&lt;='111'!$O$11,OR($L410=$O$7,$M410=$O$7)),"x","")</f>
        <v>x</v>
      </c>
      <c r="P410" s="22" t="str">
        <f>IF(AND($L410=$O$7,$B410&lt;'111'!$N$11),"x","")</f>
        <v/>
      </c>
      <c r="Q410" s="22" t="str">
        <f>IF(AND($M410=$O$7,$B410&lt;'111'!$N$11),"x","")</f>
        <v/>
      </c>
      <c r="R410" s="22" t="str">
        <f>IF(ISERROR(FIND('112'!$M$9,G410,1)),"",IF((AND(FIND('112'!$M$9,G410,1)&gt;=1,$B410&gt;='112'!$N$8,$B410&lt;='112'!$O$8,OR($L410='112'!$I$6,$M410='112'!$I$6))),"x",""))</f>
        <v>x</v>
      </c>
      <c r="S410" s="22" t="str">
        <f>IF(ISERROR(FIND('112'!$M$9,G410,1)),"",IF((AND(LEFT(G410,2)=LEFT('112'!$M$9,2),B410&lt;'112'!$N$8,$L410='112'!$I$6)),"x",""))</f>
        <v/>
      </c>
      <c r="T410" s="22" t="str">
        <f>IF(ISERROR(FIND('112'!$M$9,G410,1)),"",IF((AND(RIGHT(G410,2)=RIGHT('112'!$M$9,2),B410&lt;'112'!$N$8,$M410='112'!$I$6)),"x",""))</f>
        <v/>
      </c>
      <c r="U410" s="22" t="str">
        <f>IF(AND(B410&gt;='IN-NX'!$P$3,B410&lt;='IN-NX'!$Q$3,'IN-NX'!$D$7=D410,OR(LEFT(L410,2)="15",AND(LEFT(M410,2)&lt;&gt;"15",LEFT(M410,2)&lt;&gt;"33"))),"x","")</f>
        <v/>
      </c>
      <c r="V410" s="22" t="str">
        <f>IF(AND(OR(LEFT(TH!L410,2)="15",LEFT(TH!M410,2)="15"),'152-CT'!$J$8=TH!F410),"x","")</f>
        <v/>
      </c>
      <c r="W410" s="22" t="str">
        <f>IF(AND(OR(LEFT(TH!L410,2)="15",LEFT(TH!M410,2)="15"),TK!$E$7=TH!F410),"x","")</f>
        <v/>
      </c>
      <c r="X410" s="22" t="str">
        <f>IF(OR(TH!L410=TH!$X$7,M410=TH!$X$7),"x","")</f>
        <v/>
      </c>
      <c r="Y410" s="22" t="str">
        <f>IF(AND(B410&lt;=NKC!$N$8,B410&gt;=NKC!$M$8),"x","")</f>
        <v/>
      </c>
      <c r="Z410" s="580"/>
      <c r="AA410" s="406"/>
      <c r="AB410" s="406"/>
      <c r="AD410" s="406"/>
      <c r="AE410" s="406"/>
    </row>
    <row r="411" spans="1:31" s="130" customFormat="1" ht="15.75" customHeight="1">
      <c r="A411" s="123" t="str">
        <f>IF(B411&lt;&gt;"",IF(AND(B411&gt;=_TM1,B411&lt;=_TM2,OR(TH!L411="1111",TH!M411="1111")),TH!D411,""),"")</f>
        <v/>
      </c>
      <c r="B411" s="12">
        <f t="shared" si="15"/>
        <v>10</v>
      </c>
      <c r="C411" s="108">
        <f t="shared" si="16"/>
        <v>42647</v>
      </c>
      <c r="D411" s="108" t="s">
        <v>470</v>
      </c>
      <c r="E411" s="113">
        <v>42647</v>
      </c>
      <c r="F411" s="114" t="s">
        <v>465</v>
      </c>
      <c r="G411" s="114" t="s">
        <v>474</v>
      </c>
      <c r="H411" s="561" t="s">
        <v>399</v>
      </c>
      <c r="I411" s="139"/>
      <c r="J411" s="139"/>
      <c r="K411" s="13">
        <v>50000000</v>
      </c>
      <c r="L411" s="116" t="s">
        <v>8</v>
      </c>
      <c r="M411" s="411" t="s">
        <v>24</v>
      </c>
      <c r="N411" s="22" t="str">
        <f>IF(AND('331-CT'!$E$7=TH!H411,OR(L411="331",M411="331")),"331",IF(AND(OR(L411="131",M411="131"),H411='131-CT'!$E$7),"131",""))</f>
        <v/>
      </c>
      <c r="O411" s="22" t="str">
        <f>IF(AND($B411&gt;='111'!$N$11,$B411&lt;='111'!$O$11,OR($L411=$O$7,$M411=$O$7)),"x","")</f>
        <v/>
      </c>
      <c r="P411" s="22" t="str">
        <f>IF(AND($L411=$O$7,$B411&lt;'111'!$N$11),"x","")</f>
        <v/>
      </c>
      <c r="Q411" s="22" t="str">
        <f>IF(AND($M411=$O$7,$B411&lt;'111'!$N$11),"x","")</f>
        <v/>
      </c>
      <c r="R411" s="22" t="str">
        <f>IF(ISERROR(FIND('112'!$M$9,G411,1)),"",IF((AND(FIND('112'!$M$9,G411,1)&gt;=1,$B411&gt;='112'!$N$8,$B411&lt;='112'!$O$8,OR($L411='112'!$I$6,$M411='112'!$I$6))),"x",""))</f>
        <v>x</v>
      </c>
      <c r="S411" s="22" t="str">
        <f>IF(ISERROR(FIND('112'!$M$9,G411,1)),"",IF((AND(LEFT(G411,2)=LEFT('112'!$M$9,2),B411&lt;'112'!$N$8,$L411='112'!$I$6)),"x",""))</f>
        <v/>
      </c>
      <c r="T411" s="22" t="str">
        <f>IF(ISERROR(FIND('112'!$M$9,G411,1)),"",IF((AND(RIGHT(G411,2)=RIGHT('112'!$M$9,2),B411&lt;'112'!$N$8,$M411='112'!$I$6)),"x",""))</f>
        <v/>
      </c>
      <c r="U411" s="22" t="str">
        <f>IF(AND(B411&gt;='IN-NX'!$P$3,B411&lt;='IN-NX'!$Q$3,'IN-NX'!$D$7=D411,OR(LEFT(L411,2)="15",AND(LEFT(M411,2)&lt;&gt;"15",LEFT(M411,2)&lt;&gt;"33"))),"x","")</f>
        <v/>
      </c>
      <c r="V411" s="22" t="str">
        <f>IF(AND(OR(LEFT(TH!L411,2)="15",LEFT(TH!M411,2)="15"),'152-CT'!$J$8=TH!F411),"x","")</f>
        <v/>
      </c>
      <c r="W411" s="22" t="str">
        <f>IF(AND(OR(LEFT(TH!L411,2)="15",LEFT(TH!M411,2)="15"),TK!$E$7=TH!F411),"x","")</f>
        <v/>
      </c>
      <c r="X411" s="22" t="str">
        <f>IF(OR(TH!L411=TH!$X$7,M411=TH!$X$7),"x","")</f>
        <v/>
      </c>
      <c r="Y411" s="22" t="str">
        <f>IF(AND(B411&lt;=NKC!$N$8,B411&gt;=NKC!$M$8),"x","")</f>
        <v/>
      </c>
      <c r="Z411" s="580"/>
      <c r="AA411" s="406"/>
      <c r="AB411" s="406"/>
      <c r="AC411" s="406"/>
    </row>
    <row r="412" spans="1:31" s="130" customFormat="1" ht="15.75" customHeight="1">
      <c r="A412" s="123" t="str">
        <f>IF(B412&lt;&gt;"",IF(AND(B412&gt;=_TM1,B412&lt;=_TM2,OR(TH!L412="1111",TH!M412="1111")),TH!D412,""),"")</f>
        <v/>
      </c>
      <c r="B412" s="12">
        <f t="shared" si="15"/>
        <v>10</v>
      </c>
      <c r="C412" s="108">
        <f t="shared" si="16"/>
        <v>42647</v>
      </c>
      <c r="D412" s="108" t="s">
        <v>470</v>
      </c>
      <c r="E412" s="113">
        <v>42647</v>
      </c>
      <c r="F412" s="114" t="s">
        <v>480</v>
      </c>
      <c r="G412" s="114" t="s">
        <v>474</v>
      </c>
      <c r="H412" s="129"/>
      <c r="I412" s="139"/>
      <c r="J412" s="139"/>
      <c r="K412" s="13">
        <v>10000</v>
      </c>
      <c r="L412" s="116" t="s">
        <v>82</v>
      </c>
      <c r="M412" s="411" t="s">
        <v>24</v>
      </c>
      <c r="N412" s="22" t="str">
        <f>IF(AND('331-CT'!$E$7=TH!H412,OR(L412="331",M412="331")),"331",IF(AND(OR(L412="131",M412="131"),H412='131-CT'!$E$7),"131",""))</f>
        <v/>
      </c>
      <c r="O412" s="22" t="str">
        <f>IF(AND($B412&gt;='111'!$N$11,$B412&lt;='111'!$O$11,OR($L412=$O$7,$M412=$O$7)),"x","")</f>
        <v/>
      </c>
      <c r="P412" s="22" t="str">
        <f>IF(AND($L412=$O$7,$B412&lt;'111'!$N$11),"x","")</f>
        <v/>
      </c>
      <c r="Q412" s="22" t="str">
        <f>IF(AND($M412=$O$7,$B412&lt;'111'!$N$11),"x","")</f>
        <v/>
      </c>
      <c r="R412" s="22" t="str">
        <f>IF(ISERROR(FIND('112'!$M$9,G412,1)),"",IF((AND(FIND('112'!$M$9,G412,1)&gt;=1,$B412&gt;='112'!$N$8,$B412&lt;='112'!$O$8,OR($L412='112'!$I$6,$M412='112'!$I$6))),"x",""))</f>
        <v>x</v>
      </c>
      <c r="S412" s="22" t="str">
        <f>IF(ISERROR(FIND('112'!$M$9,G412,1)),"",IF((AND(LEFT(G412,2)=LEFT('112'!$M$9,2),B412&lt;'112'!$N$8,$L412='112'!$I$6)),"x",""))</f>
        <v/>
      </c>
      <c r="T412" s="22" t="str">
        <f>IF(ISERROR(FIND('112'!$M$9,G412,1)),"",IF((AND(RIGHT(G412,2)=RIGHT('112'!$M$9,2),B412&lt;'112'!$N$8,$M412='112'!$I$6)),"x",""))</f>
        <v/>
      </c>
      <c r="U412" s="22" t="str">
        <f>IF(AND(B412&gt;='IN-NX'!$P$3,B412&lt;='IN-NX'!$Q$3,'IN-NX'!$D$7=D412,OR(LEFT(L412,2)="15",AND(LEFT(M412,2)&lt;&gt;"15",LEFT(M412,2)&lt;&gt;"33"))),"x","")</f>
        <v/>
      </c>
      <c r="V412" s="22" t="str">
        <f>IF(AND(OR(LEFT(TH!L412,2)="15",LEFT(TH!M412,2)="15"),'152-CT'!$J$8=TH!F412),"x","")</f>
        <v/>
      </c>
      <c r="W412" s="22" t="str">
        <f>IF(AND(OR(LEFT(TH!L412,2)="15",LEFT(TH!M412,2)="15"),TK!$E$7=TH!F412),"x","")</f>
        <v/>
      </c>
      <c r="X412" s="22" t="str">
        <f>IF(OR(TH!L412=TH!$X$7,M412=TH!$X$7),"x","")</f>
        <v>x</v>
      </c>
      <c r="Y412" s="22" t="str">
        <f>IF(AND(B412&lt;=NKC!$N$8,B412&gt;=NKC!$M$8),"x","")</f>
        <v/>
      </c>
      <c r="Z412" s="580">
        <v>4</v>
      </c>
      <c r="AA412" s="406"/>
      <c r="AB412" s="406"/>
      <c r="AC412" s="406"/>
    </row>
    <row r="413" spans="1:31" s="130" customFormat="1" ht="15.75" customHeight="1">
      <c r="A413" s="123" t="str">
        <f>IF(B413&lt;&gt;"",IF(AND(B413&gt;=_TM1,B413&lt;=_TM2,OR(TH!L413="1111",TH!M413="1111")),TH!D413,""),"")</f>
        <v/>
      </c>
      <c r="B413" s="12">
        <f t="shared" si="15"/>
        <v>10</v>
      </c>
      <c r="C413" s="108">
        <f t="shared" si="16"/>
        <v>42647</v>
      </c>
      <c r="D413" s="108" t="s">
        <v>470</v>
      </c>
      <c r="E413" s="113">
        <v>42647</v>
      </c>
      <c r="F413" s="114" t="s">
        <v>481</v>
      </c>
      <c r="G413" s="114" t="s">
        <v>474</v>
      </c>
      <c r="H413" s="129"/>
      <c r="I413" s="141"/>
      <c r="J413" s="141"/>
      <c r="K413" s="13">
        <v>1000</v>
      </c>
      <c r="L413" s="116" t="s">
        <v>9</v>
      </c>
      <c r="M413" s="411" t="s">
        <v>24</v>
      </c>
      <c r="N413" s="22" t="str">
        <f>IF(AND('331-CT'!$E$7=TH!H413,OR(L413="331",M413="331")),"331",IF(AND(OR(L413="131",M413="131"),H413='131-CT'!$E$7),"131",""))</f>
        <v/>
      </c>
      <c r="O413" s="22" t="str">
        <f>IF(AND($B413&gt;='111'!$N$11,$B413&lt;='111'!$O$11,OR($L413=$O$7,$M413=$O$7)),"x","")</f>
        <v/>
      </c>
      <c r="P413" s="22" t="str">
        <f>IF(AND($L413=$O$7,$B413&lt;'111'!$N$11),"x","")</f>
        <v/>
      </c>
      <c r="Q413" s="22" t="str">
        <f>IF(AND($M413=$O$7,$B413&lt;'111'!$N$11),"x","")</f>
        <v/>
      </c>
      <c r="R413" s="22" t="str">
        <f>IF(ISERROR(FIND('112'!$M$9,G413,1)),"",IF((AND(FIND('112'!$M$9,G413,1)&gt;=1,$B413&gt;='112'!$N$8,$B413&lt;='112'!$O$8,OR($L413='112'!$I$6,$M413='112'!$I$6))),"x",""))</f>
        <v>x</v>
      </c>
      <c r="S413" s="22" t="str">
        <f>IF(ISERROR(FIND('112'!$M$9,G413,1)),"",IF((AND(LEFT(G413,2)=LEFT('112'!$M$9,2),B413&lt;'112'!$N$8,$L413='112'!$I$6)),"x",""))</f>
        <v/>
      </c>
      <c r="T413" s="22" t="str">
        <f>IF(ISERROR(FIND('112'!$M$9,G413,1)),"",IF((AND(RIGHT(G413,2)=RIGHT('112'!$M$9,2),B413&lt;'112'!$N$8,$M413='112'!$I$6)),"x",""))</f>
        <v/>
      </c>
      <c r="U413" s="22" t="str">
        <f>IF(AND(B413&gt;='IN-NX'!$P$3,B413&lt;='IN-NX'!$Q$3,'IN-NX'!$D$7=D413,OR(LEFT(L413,2)="15",AND(LEFT(M413,2)&lt;&gt;"15",LEFT(M413,2)&lt;&gt;"33"))),"x","")</f>
        <v/>
      </c>
      <c r="V413" s="22" t="str">
        <f>IF(AND(OR(LEFT(TH!L413,2)="15",LEFT(TH!M413,2)="15"),'152-CT'!$J$8=TH!F413),"x","")</f>
        <v/>
      </c>
      <c r="W413" s="22" t="str">
        <f>IF(AND(OR(LEFT(TH!L413,2)="15",LEFT(TH!M413,2)="15"),TK!$E$7=TH!F413),"x","")</f>
        <v/>
      </c>
      <c r="X413" s="22" t="str">
        <f>IF(OR(TH!L413=TH!$X$7,M413=TH!$X$7),"x","")</f>
        <v/>
      </c>
      <c r="Y413" s="22" t="str">
        <f>IF(AND(B413&lt;=NKC!$N$8,B413&gt;=NKC!$M$8),"x","")</f>
        <v/>
      </c>
      <c r="Z413" s="580">
        <v>4</v>
      </c>
      <c r="AA413" s="406"/>
      <c r="AB413" s="406"/>
      <c r="AC413" s="406"/>
    </row>
    <row r="414" spans="1:31" s="130" customFormat="1" ht="15.75" customHeight="1">
      <c r="A414" s="123" t="str">
        <f>IF(B414&lt;&gt;"",IF(AND(B414&gt;=_TM1,B414&lt;=_TM2,OR(TH!L414="1111",TH!M414="1111")),TH!D414,""),"")</f>
        <v/>
      </c>
      <c r="B414" s="12">
        <f t="shared" si="15"/>
        <v>10</v>
      </c>
      <c r="C414" s="108">
        <f t="shared" si="16"/>
        <v>42647</v>
      </c>
      <c r="D414" s="108" t="s">
        <v>552</v>
      </c>
      <c r="E414" s="113">
        <v>42647</v>
      </c>
      <c r="F414" s="112" t="s">
        <v>802</v>
      </c>
      <c r="G414" s="303" t="s">
        <v>801</v>
      </c>
      <c r="H414" s="4" t="s">
        <v>366</v>
      </c>
      <c r="I414" s="139">
        <v>423</v>
      </c>
      <c r="J414" s="139">
        <v>8800</v>
      </c>
      <c r="K414" s="13">
        <f>ROUND(I414*J414,0)</f>
        <v>3722400</v>
      </c>
      <c r="L414" s="116" t="s">
        <v>252</v>
      </c>
      <c r="M414" s="411" t="s">
        <v>169</v>
      </c>
      <c r="N414" s="22" t="str">
        <f>IF(AND('331-CT'!$E$7=TH!H414,OR(L414="331",M414="331")),"331",IF(AND(OR(L414="131",M414="131"),H414='131-CT'!$E$7),"131",""))</f>
        <v/>
      </c>
      <c r="O414" s="22" t="str">
        <f>IF(AND($B414&gt;='111'!$N$11,$B414&lt;='111'!$O$11,OR($L414=$O$7,$M414=$O$7)),"x","")</f>
        <v/>
      </c>
      <c r="P414" s="22" t="str">
        <f>IF(AND($L414=$O$7,$B414&lt;'111'!$N$11),"x","")</f>
        <v/>
      </c>
      <c r="Q414" s="22" t="str">
        <f>IF(AND($M414=$O$7,$B414&lt;'111'!$N$11),"x","")</f>
        <v/>
      </c>
      <c r="R414" s="22" t="str">
        <f>IF(ISERROR(FIND('112'!$M$9,G414,1)),"",IF((AND(FIND('112'!$M$9,G414,1)&gt;=1,$B414&gt;='112'!$N$8,$B414&lt;='112'!$O$8,OR($L414='112'!$I$6,$M414='112'!$I$6))),"x",""))</f>
        <v/>
      </c>
      <c r="S414" s="22" t="str">
        <f>IF(ISERROR(FIND('112'!$M$9,G414,1)),"",IF((AND(LEFT(G414,2)=LEFT('112'!$M$9,2),B414&lt;'112'!$N$8,$L414='112'!$I$6)),"x",""))</f>
        <v/>
      </c>
      <c r="T414" s="22" t="str">
        <f>IF(ISERROR(FIND('112'!$M$9,G414,1)),"",IF((AND(RIGHT(G414,2)=RIGHT('112'!$M$9,2),B414&lt;'112'!$N$8,$M414='112'!$I$6)),"x",""))</f>
        <v/>
      </c>
      <c r="U414" s="22" t="str">
        <f>IF(AND(B414&gt;='IN-NX'!$P$3,B414&lt;='IN-NX'!$Q$3,'IN-NX'!$D$7=D414,OR(LEFT(L414,2)="15",AND(LEFT(M414,2)&lt;&gt;"15",LEFT(M414,2)&lt;&gt;"33"))),"x","")</f>
        <v/>
      </c>
      <c r="V414" s="22" t="str">
        <f>IF(AND(OR(LEFT(TH!L414,2)="15",LEFT(TH!M414,2)="15"),'152-CT'!$J$8=TH!F414),"x","")</f>
        <v/>
      </c>
      <c r="W414" s="22" t="str">
        <f>IF(AND(OR(LEFT(TH!L414,2)="15",LEFT(TH!M414,2)="15"),TK!$E$7=TH!F414),"x","")</f>
        <v/>
      </c>
      <c r="X414" s="22" t="str">
        <f>IF(OR(TH!L414=TH!$X$7,M414=TH!$X$7),"x","")</f>
        <v/>
      </c>
      <c r="Y414" s="22" t="str">
        <f>IF(AND(B414&lt;=NKC!$N$8,B414&gt;=NKC!$M$8),"x","")</f>
        <v/>
      </c>
      <c r="Z414" s="580"/>
      <c r="AA414" s="406"/>
    </row>
    <row r="415" spans="1:31" s="130" customFormat="1" ht="15.75" customHeight="1">
      <c r="A415" s="123" t="str">
        <f>IF(B415&lt;&gt;"",IF(AND(B415&gt;=_TM1,B415&lt;=_TM2,OR(TH!L415="1111",TH!M415="1111")),TH!D415,""),"")</f>
        <v/>
      </c>
      <c r="B415" s="12">
        <f t="shared" si="15"/>
        <v>10</v>
      </c>
      <c r="C415" s="108">
        <f t="shared" si="16"/>
        <v>42647</v>
      </c>
      <c r="D415" s="108" t="s">
        <v>552</v>
      </c>
      <c r="E415" s="113">
        <v>42647</v>
      </c>
      <c r="F415" s="112" t="s">
        <v>496</v>
      </c>
      <c r="G415" s="303" t="s">
        <v>801</v>
      </c>
      <c r="H415" s="4" t="s">
        <v>366</v>
      </c>
      <c r="I415" s="139"/>
      <c r="J415" s="139"/>
      <c r="K415" s="13">
        <v>372240</v>
      </c>
      <c r="L415" s="116" t="s">
        <v>252</v>
      </c>
      <c r="M415" s="411" t="s">
        <v>352</v>
      </c>
      <c r="N415" s="22" t="str">
        <f>IF(AND('331-CT'!$E$7=TH!H415,OR(L415="331",M415="331")),"331",IF(AND(OR(L415="131",M415="131"),H415='131-CT'!$E$7),"131",""))</f>
        <v/>
      </c>
      <c r="O415" s="22" t="str">
        <f>IF(AND($B415&gt;='111'!$N$11,$B415&lt;='111'!$O$11,OR($L415=$O$7,$M415=$O$7)),"x","")</f>
        <v/>
      </c>
      <c r="P415" s="22" t="str">
        <f>IF(AND($L415=$O$7,$B415&lt;'111'!$N$11),"x","")</f>
        <v/>
      </c>
      <c r="Q415" s="22" t="str">
        <f>IF(AND($M415=$O$7,$B415&lt;'111'!$N$11),"x","")</f>
        <v/>
      </c>
      <c r="R415" s="22" t="str">
        <f>IF(ISERROR(FIND('112'!$M$9,G415,1)),"",IF((AND(FIND('112'!$M$9,G415,1)&gt;=1,$B415&gt;='112'!$N$8,$B415&lt;='112'!$O$8,OR($L415='112'!$I$6,$M415='112'!$I$6))),"x",""))</f>
        <v/>
      </c>
      <c r="S415" s="22" t="str">
        <f>IF(ISERROR(FIND('112'!$M$9,G415,1)),"",IF((AND(LEFT(G415,2)=LEFT('112'!$M$9,2),B415&lt;'112'!$N$8,$L415='112'!$I$6)),"x",""))</f>
        <v/>
      </c>
      <c r="T415" s="22" t="str">
        <f>IF(ISERROR(FIND('112'!$M$9,G415,1)),"",IF((AND(RIGHT(G415,2)=RIGHT('112'!$M$9,2),B415&lt;'112'!$N$8,$M415='112'!$I$6)),"x",""))</f>
        <v/>
      </c>
      <c r="U415" s="22" t="str">
        <f>IF(AND(B415&gt;='IN-NX'!$P$3,B415&lt;='IN-NX'!$Q$3,'IN-NX'!$D$7=D415,OR(LEFT(L415,2)="15",AND(LEFT(M415,2)&lt;&gt;"15",LEFT(M415,2)&lt;&gt;"33"))),"x","")</f>
        <v/>
      </c>
      <c r="V415" s="22" t="str">
        <f>IF(AND(OR(LEFT(TH!L415,2)="15",LEFT(TH!M415,2)="15"),'152-CT'!$J$8=TH!F415),"x","")</f>
        <v/>
      </c>
      <c r="W415" s="22" t="str">
        <f>IF(AND(OR(LEFT(TH!L415,2)="15",LEFT(TH!M415,2)="15"),TK!$E$7=TH!F415),"x","")</f>
        <v/>
      </c>
      <c r="X415" s="22" t="str">
        <f>IF(OR(TH!L415=TH!$X$7,M415=TH!$X$7),"x","")</f>
        <v/>
      </c>
      <c r="Y415" s="22" t="str">
        <f>IF(AND(B415&lt;=NKC!$N$8,B415&gt;=NKC!$M$8),"x","")</f>
        <v/>
      </c>
      <c r="Z415" s="580"/>
      <c r="AA415" s="406"/>
      <c r="AB415" s="406"/>
      <c r="AD415" s="406"/>
      <c r="AE415" s="406"/>
    </row>
    <row r="416" spans="1:31" s="130" customFormat="1" ht="15.75" customHeight="1">
      <c r="A416" s="123" t="str">
        <f>IF(B416&lt;&gt;"",IF(AND(B416&gt;=_TM1,B416&lt;=_TM2,OR(TH!L416="1111",TH!M416="1111")),TH!D416,""),"")</f>
        <v/>
      </c>
      <c r="B416" s="12">
        <f t="shared" si="15"/>
        <v>10</v>
      </c>
      <c r="C416" s="108">
        <f t="shared" si="16"/>
        <v>42647</v>
      </c>
      <c r="D416" s="108" t="s">
        <v>553</v>
      </c>
      <c r="E416" s="113">
        <v>42647</v>
      </c>
      <c r="F416" s="112" t="s">
        <v>804</v>
      </c>
      <c r="G416" s="303" t="s">
        <v>803</v>
      </c>
      <c r="H416" s="4" t="s">
        <v>369</v>
      </c>
      <c r="I416" s="139">
        <v>943</v>
      </c>
      <c r="J416" s="139">
        <v>7135</v>
      </c>
      <c r="K416" s="13">
        <f>ROUND(I416*J416,0)</f>
        <v>6728305</v>
      </c>
      <c r="L416" s="116" t="s">
        <v>252</v>
      </c>
      <c r="M416" s="411" t="s">
        <v>169</v>
      </c>
      <c r="N416" s="22" t="str">
        <f>IF(AND('331-CT'!$E$7=TH!H416,OR(L416="331",M416="331")),"331",IF(AND(OR(L416="131",M416="131"),H416='131-CT'!$E$7),"131",""))</f>
        <v>131</v>
      </c>
      <c r="O416" s="22" t="str">
        <f>IF(AND($B416&gt;='111'!$N$11,$B416&lt;='111'!$O$11,OR($L416=$O$7,$M416=$O$7)),"x","")</f>
        <v/>
      </c>
      <c r="P416" s="22" t="str">
        <f>IF(AND($L416=$O$7,$B416&lt;'111'!$N$11),"x","")</f>
        <v/>
      </c>
      <c r="Q416" s="22" t="str">
        <f>IF(AND($M416=$O$7,$B416&lt;'111'!$N$11),"x","")</f>
        <v/>
      </c>
      <c r="R416" s="22" t="str">
        <f>IF(ISERROR(FIND('112'!$M$9,G416,1)),"",IF((AND(FIND('112'!$M$9,G416,1)&gt;=1,$B416&gt;='112'!$N$8,$B416&lt;='112'!$O$8,OR($L416='112'!$I$6,$M416='112'!$I$6))),"x",""))</f>
        <v/>
      </c>
      <c r="S416" s="22" t="str">
        <f>IF(ISERROR(FIND('112'!$M$9,G416,1)),"",IF((AND(LEFT(G416,2)=LEFT('112'!$M$9,2),B416&lt;'112'!$N$8,$L416='112'!$I$6)),"x",""))</f>
        <v/>
      </c>
      <c r="T416" s="22" t="str">
        <f>IF(ISERROR(FIND('112'!$M$9,G416,1)),"",IF((AND(RIGHT(G416,2)=RIGHT('112'!$M$9,2),B416&lt;'112'!$N$8,$M416='112'!$I$6)),"x",""))</f>
        <v/>
      </c>
      <c r="U416" s="22" t="str">
        <f>IF(AND(B416&gt;='IN-NX'!$P$3,B416&lt;='IN-NX'!$Q$3,'IN-NX'!$D$7=D416,OR(LEFT(L416,2)="15",AND(LEFT(M416,2)&lt;&gt;"15",LEFT(M416,2)&lt;&gt;"33"))),"x","")</f>
        <v/>
      </c>
      <c r="V416" s="22" t="str">
        <f>IF(AND(OR(LEFT(TH!L416,2)="15",LEFT(TH!M416,2)="15"),'152-CT'!$J$8=TH!F416),"x","")</f>
        <v/>
      </c>
      <c r="W416" s="22" t="str">
        <f>IF(AND(OR(LEFT(TH!L416,2)="15",LEFT(TH!M416,2)="15"),TK!$E$7=TH!F416),"x","")</f>
        <v/>
      </c>
      <c r="X416" s="22" t="str">
        <f>IF(OR(TH!L416=TH!$X$7,M416=TH!$X$7),"x","")</f>
        <v/>
      </c>
      <c r="Y416" s="22" t="str">
        <f>IF(AND(B416&lt;=NKC!$N$8,B416&gt;=NKC!$M$8),"x","")</f>
        <v/>
      </c>
      <c r="Z416" s="580"/>
      <c r="AA416" s="406"/>
    </row>
    <row r="417" spans="1:31" s="130" customFormat="1" ht="15.75" customHeight="1">
      <c r="A417" s="123" t="str">
        <f>IF(B417&lt;&gt;"",IF(AND(B417&gt;=_TM1,B417&lt;=_TM2,OR(TH!L417="1111",TH!M417="1111")),TH!D417,""),"")</f>
        <v/>
      </c>
      <c r="B417" s="12">
        <f t="shared" si="15"/>
        <v>10</v>
      </c>
      <c r="C417" s="108">
        <f t="shared" si="16"/>
        <v>42647</v>
      </c>
      <c r="D417" s="108" t="s">
        <v>553</v>
      </c>
      <c r="E417" s="113">
        <v>42647</v>
      </c>
      <c r="F417" s="112" t="s">
        <v>805</v>
      </c>
      <c r="G417" s="303" t="s">
        <v>803</v>
      </c>
      <c r="H417" s="4" t="s">
        <v>369</v>
      </c>
      <c r="I417" s="139">
        <v>270</v>
      </c>
      <c r="J417" s="139">
        <v>8719</v>
      </c>
      <c r="K417" s="13">
        <f>ROUND(I417*J417,0)</f>
        <v>2354130</v>
      </c>
      <c r="L417" s="116" t="s">
        <v>252</v>
      </c>
      <c r="M417" s="411" t="s">
        <v>169</v>
      </c>
      <c r="N417" s="22" t="str">
        <f>IF(AND('331-CT'!$E$7=TH!H417,OR(L417="331",M417="331")),"331",IF(AND(OR(L417="131",M417="131"),H417='131-CT'!$E$7),"131",""))</f>
        <v>131</v>
      </c>
      <c r="O417" s="22" t="str">
        <f>IF(AND($B417&gt;='111'!$N$11,$B417&lt;='111'!$O$11,OR($L417=$O$7,$M417=$O$7)),"x","")</f>
        <v/>
      </c>
      <c r="P417" s="22" t="str">
        <f>IF(AND($L417=$O$7,$B417&lt;'111'!$N$11),"x","")</f>
        <v/>
      </c>
      <c r="Q417" s="22" t="str">
        <f>IF(AND($M417=$O$7,$B417&lt;'111'!$N$11),"x","")</f>
        <v/>
      </c>
      <c r="R417" s="22" t="str">
        <f>IF(ISERROR(FIND('112'!$M$9,G417,1)),"",IF((AND(FIND('112'!$M$9,G417,1)&gt;=1,$B417&gt;='112'!$N$8,$B417&lt;='112'!$O$8,OR($L417='112'!$I$6,$M417='112'!$I$6))),"x",""))</f>
        <v/>
      </c>
      <c r="S417" s="22" t="str">
        <f>IF(ISERROR(FIND('112'!$M$9,G417,1)),"",IF((AND(LEFT(G417,2)=LEFT('112'!$M$9,2),B417&lt;'112'!$N$8,$L417='112'!$I$6)),"x",""))</f>
        <v/>
      </c>
      <c r="T417" s="22" t="str">
        <f>IF(ISERROR(FIND('112'!$M$9,G417,1)),"",IF((AND(RIGHT(G417,2)=RIGHT('112'!$M$9,2),B417&lt;'112'!$N$8,$M417='112'!$I$6)),"x",""))</f>
        <v/>
      </c>
      <c r="U417" s="22" t="str">
        <f>IF(AND(B417&gt;='IN-NX'!$P$3,B417&lt;='IN-NX'!$Q$3,'IN-NX'!$D$7=D417,OR(LEFT(L417,2)="15",AND(LEFT(M417,2)&lt;&gt;"15",LEFT(M417,2)&lt;&gt;"33"))),"x","")</f>
        <v/>
      </c>
      <c r="V417" s="22" t="str">
        <f>IF(AND(OR(LEFT(TH!L417,2)="15",LEFT(TH!M417,2)="15"),'152-CT'!$J$8=TH!F417),"x","")</f>
        <v/>
      </c>
      <c r="W417" s="22" t="str">
        <f>IF(AND(OR(LEFT(TH!L417,2)="15",LEFT(TH!M417,2)="15"),TK!$E$7=TH!F417),"x","")</f>
        <v/>
      </c>
      <c r="X417" s="22" t="str">
        <f>IF(OR(TH!L417=TH!$X$7,M417=TH!$X$7),"x","")</f>
        <v/>
      </c>
      <c r="Y417" s="22" t="str">
        <f>IF(AND(B417&lt;=NKC!$N$8,B417&gt;=NKC!$M$8),"x","")</f>
        <v/>
      </c>
      <c r="Z417" s="580"/>
      <c r="AA417" s="406"/>
    </row>
    <row r="418" spans="1:31" s="130" customFormat="1" ht="15.75" customHeight="1">
      <c r="A418" s="123" t="str">
        <f>IF(B418&lt;&gt;"",IF(AND(B418&gt;=_TM1,B418&lt;=_TM2,OR(TH!L418="1111",TH!M418="1111")),TH!D418,""),"")</f>
        <v/>
      </c>
      <c r="B418" s="12">
        <f t="shared" si="15"/>
        <v>10</v>
      </c>
      <c r="C418" s="108">
        <f t="shared" si="16"/>
        <v>42647</v>
      </c>
      <c r="D418" s="108" t="s">
        <v>553</v>
      </c>
      <c r="E418" s="113">
        <v>42647</v>
      </c>
      <c r="F418" s="112" t="s">
        <v>496</v>
      </c>
      <c r="G418" s="303" t="s">
        <v>803</v>
      </c>
      <c r="H418" s="4" t="s">
        <v>369</v>
      </c>
      <c r="I418" s="139"/>
      <c r="J418" s="139"/>
      <c r="K418" s="13">
        <v>908243</v>
      </c>
      <c r="L418" s="116" t="s">
        <v>252</v>
      </c>
      <c r="M418" s="411" t="s">
        <v>352</v>
      </c>
      <c r="N418" s="22" t="str">
        <f>IF(AND('331-CT'!$E$7=TH!H418,OR(L418="331",M418="331")),"331",IF(AND(OR(L418="131",M418="131"),H418='131-CT'!$E$7),"131",""))</f>
        <v>131</v>
      </c>
      <c r="O418" s="22" t="str">
        <f>IF(AND($B418&gt;='111'!$N$11,$B418&lt;='111'!$O$11,OR($L418=$O$7,$M418=$O$7)),"x","")</f>
        <v/>
      </c>
      <c r="P418" s="22" t="str">
        <f>IF(AND($L418=$O$7,$B418&lt;'111'!$N$11),"x","")</f>
        <v/>
      </c>
      <c r="Q418" s="22" t="str">
        <f>IF(AND($M418=$O$7,$B418&lt;'111'!$N$11),"x","")</f>
        <v/>
      </c>
      <c r="R418" s="22" t="str">
        <f>IF(ISERROR(FIND('112'!$M$9,G418,1)),"",IF((AND(FIND('112'!$M$9,G418,1)&gt;=1,$B418&gt;='112'!$N$8,$B418&lt;='112'!$O$8,OR($L418='112'!$I$6,$M418='112'!$I$6))),"x",""))</f>
        <v/>
      </c>
      <c r="S418" s="22" t="str">
        <f>IF(ISERROR(FIND('112'!$M$9,G418,1)),"",IF((AND(LEFT(G418,2)=LEFT('112'!$M$9,2),B418&lt;'112'!$N$8,$L418='112'!$I$6)),"x",""))</f>
        <v/>
      </c>
      <c r="T418" s="22" t="str">
        <f>IF(ISERROR(FIND('112'!$M$9,G418,1)),"",IF((AND(RIGHT(G418,2)=RIGHT('112'!$M$9,2),B418&lt;'112'!$N$8,$M418='112'!$I$6)),"x",""))</f>
        <v/>
      </c>
      <c r="U418" s="22" t="str">
        <f>IF(AND(B418&gt;='IN-NX'!$P$3,B418&lt;='IN-NX'!$Q$3,'IN-NX'!$D$7=D418,OR(LEFT(L418,2)="15",AND(LEFT(M418,2)&lt;&gt;"15",LEFT(M418,2)&lt;&gt;"33"))),"x","")</f>
        <v/>
      </c>
      <c r="V418" s="22" t="str">
        <f>IF(AND(OR(LEFT(TH!L418,2)="15",LEFT(TH!M418,2)="15"),'152-CT'!$J$8=TH!F418),"x","")</f>
        <v/>
      </c>
      <c r="W418" s="22" t="str">
        <f>IF(AND(OR(LEFT(TH!L418,2)="15",LEFT(TH!M418,2)="15"),TK!$E$7=TH!F418),"x","")</f>
        <v/>
      </c>
      <c r="X418" s="22" t="str">
        <f>IF(OR(TH!L418=TH!$X$7,M418=TH!$X$7),"x","")</f>
        <v/>
      </c>
      <c r="Y418" s="22" t="str">
        <f>IF(AND(B418&lt;=NKC!$N$8,B418&gt;=NKC!$M$8),"x","")</f>
        <v/>
      </c>
      <c r="Z418" s="580"/>
      <c r="AA418" s="406"/>
      <c r="AB418" s="406"/>
      <c r="AD418" s="406"/>
      <c r="AE418" s="406"/>
    </row>
    <row r="419" spans="1:31" s="130" customFormat="1" ht="15.75" customHeight="1">
      <c r="A419" s="123" t="str">
        <f>IF(B419&lt;&gt;"",IF(AND(B419&gt;=_TM1,B419&lt;=_TM2,OR(TH!L419="1111",TH!M419="1111")),TH!D419,""),"")</f>
        <v>T02</v>
      </c>
      <c r="B419" s="12">
        <f t="shared" si="15"/>
        <v>10</v>
      </c>
      <c r="C419" s="108">
        <f t="shared" si="16"/>
        <v>42647</v>
      </c>
      <c r="D419" s="108" t="s">
        <v>345</v>
      </c>
      <c r="E419" s="113">
        <v>42647</v>
      </c>
      <c r="F419" s="114" t="s">
        <v>484</v>
      </c>
      <c r="G419" s="303" t="s">
        <v>803</v>
      </c>
      <c r="H419" s="4" t="s">
        <v>369</v>
      </c>
      <c r="I419" s="139"/>
      <c r="J419" s="139"/>
      <c r="K419" s="13">
        <v>9990678</v>
      </c>
      <c r="L419" s="116" t="s">
        <v>46</v>
      </c>
      <c r="M419" s="411" t="s">
        <v>252</v>
      </c>
      <c r="N419" s="22" t="str">
        <f>IF(AND('331-CT'!$E$7=TH!H419,OR(L419="331",M419="331")),"331",IF(AND(OR(L419="131",M419="131"),H419='131-CT'!$E$7),"131",""))</f>
        <v>131</v>
      </c>
      <c r="O419" s="22" t="str">
        <f>IF(AND($B419&gt;='111'!$N$11,$B419&lt;='111'!$O$11,OR($L419=$O$7,$M419=$O$7)),"x","")</f>
        <v>x</v>
      </c>
      <c r="P419" s="22" t="str">
        <f>IF(AND($L419=$O$7,$B419&lt;'111'!$N$11),"x","")</f>
        <v/>
      </c>
      <c r="Q419" s="22" t="str">
        <f>IF(AND($M419=$O$7,$B419&lt;'111'!$N$11),"x","")</f>
        <v/>
      </c>
      <c r="R419" s="22" t="str">
        <f>IF(ISERROR(FIND('112'!$M$9,G419,1)),"",IF((AND(FIND('112'!$M$9,G419,1)&gt;=1,$B419&gt;='112'!$N$8,$B419&lt;='112'!$O$8,OR($L419='112'!$I$6,$M419='112'!$I$6))),"x",""))</f>
        <v/>
      </c>
      <c r="S419" s="22" t="str">
        <f>IF(ISERROR(FIND('112'!$M$9,G419,1)),"",IF((AND(LEFT(G419,2)=LEFT('112'!$M$9,2),B419&lt;'112'!$N$8,$L419='112'!$I$6)),"x",""))</f>
        <v/>
      </c>
      <c r="T419" s="22" t="str">
        <f>IF(ISERROR(FIND('112'!$M$9,G419,1)),"",IF((AND(RIGHT(G419,2)=RIGHT('112'!$M$9,2),B419&lt;'112'!$N$8,$M419='112'!$I$6)),"x",""))</f>
        <v/>
      </c>
      <c r="U419" s="22" t="str">
        <f>IF(AND(B419&gt;='IN-NX'!$P$3,B419&lt;='IN-NX'!$Q$3,'IN-NX'!$D$7=D419,OR(LEFT(L419,2)="15",AND(LEFT(M419,2)&lt;&gt;"15",LEFT(M419,2)&lt;&gt;"33"))),"x","")</f>
        <v/>
      </c>
      <c r="V419" s="22" t="str">
        <f>IF(AND(OR(LEFT(TH!L419,2)="15",LEFT(TH!M419,2)="15"),'152-CT'!$J$8=TH!F419),"x","")</f>
        <v/>
      </c>
      <c r="W419" s="22" t="str">
        <f>IF(AND(OR(LEFT(TH!L419,2)="15",LEFT(TH!M419,2)="15"),TK!$E$7=TH!F419),"x","")</f>
        <v/>
      </c>
      <c r="X419" s="22" t="str">
        <f>IF(OR(TH!L419=TH!$X$7,M419=TH!$X$7),"x","")</f>
        <v/>
      </c>
      <c r="Y419" s="22" t="str">
        <f>IF(AND(B419&lt;=NKC!$N$8,B419&gt;=NKC!$M$8),"x","")</f>
        <v/>
      </c>
      <c r="Z419" s="580"/>
      <c r="AA419" s="406"/>
      <c r="AB419" s="406"/>
      <c r="AD419" s="406"/>
      <c r="AE419" s="406"/>
    </row>
    <row r="420" spans="1:31" s="130" customFormat="1" ht="15.75" customHeight="1">
      <c r="A420" s="123" t="str">
        <f>IF(B420&lt;&gt;"",IF(AND(B420&gt;=_TM1,B420&lt;=_TM2,OR(TH!L420="1111",TH!M420="1111")),TH!D420,""),"")</f>
        <v>T03</v>
      </c>
      <c r="B420" s="12">
        <f t="shared" si="15"/>
        <v>10</v>
      </c>
      <c r="C420" s="108">
        <f t="shared" si="16"/>
        <v>42648</v>
      </c>
      <c r="D420" s="108" t="s">
        <v>349</v>
      </c>
      <c r="E420" s="113">
        <v>42648</v>
      </c>
      <c r="F420" s="114" t="s">
        <v>484</v>
      </c>
      <c r="G420" s="303" t="s">
        <v>1023</v>
      </c>
      <c r="H420" s="4" t="s">
        <v>618</v>
      </c>
      <c r="I420" s="139"/>
      <c r="J420" s="139"/>
      <c r="K420" s="13">
        <f>2994090+2192080+6443525+2279420</f>
        <v>13909115</v>
      </c>
      <c r="L420" s="116" t="s">
        <v>46</v>
      </c>
      <c r="M420" s="411" t="s">
        <v>252</v>
      </c>
      <c r="N420" s="22" t="str">
        <f>IF(AND('331-CT'!$E$7=TH!H420,OR(L420="331",M420="331")),"331",IF(AND(OR(L420="131",M420="131"),H420='131-CT'!$E$7),"131",""))</f>
        <v/>
      </c>
      <c r="O420" s="22" t="str">
        <f>IF(AND($B420&gt;='111'!$N$11,$B420&lt;='111'!$O$11,OR($L420=$O$7,$M420=$O$7)),"x","")</f>
        <v>x</v>
      </c>
      <c r="P420" s="22" t="str">
        <f>IF(AND($L420=$O$7,$B420&lt;'111'!$N$11),"x","")</f>
        <v/>
      </c>
      <c r="Q420" s="22" t="str">
        <f>IF(AND($M420=$O$7,$B420&lt;'111'!$N$11),"x","")</f>
        <v/>
      </c>
      <c r="R420" s="22" t="str">
        <f>IF(ISERROR(FIND('112'!$M$9,G420,1)),"",IF((AND(FIND('112'!$M$9,G420,1)&gt;=1,$B420&gt;='112'!$N$8,$B420&lt;='112'!$O$8,OR($L420='112'!$I$6,$M420='112'!$I$6))),"x",""))</f>
        <v/>
      </c>
      <c r="S420" s="22" t="str">
        <f>IF(ISERROR(FIND('112'!$M$9,G420,1)),"",IF((AND(LEFT(G420,2)=LEFT('112'!$M$9,2),B420&lt;'112'!$N$8,$L420='112'!$I$6)),"x",""))</f>
        <v/>
      </c>
      <c r="T420" s="22" t="str">
        <f>IF(ISERROR(FIND('112'!$M$9,G420,1)),"",IF((AND(RIGHT(G420,2)=RIGHT('112'!$M$9,2),B420&lt;'112'!$N$8,$M420='112'!$I$6)),"x",""))</f>
        <v/>
      </c>
      <c r="U420" s="22" t="str">
        <f>IF(AND(B420&gt;='IN-NX'!$P$3,B420&lt;='IN-NX'!$Q$3,'IN-NX'!$D$7=D420,OR(LEFT(L420,2)="15",AND(LEFT(M420,2)&lt;&gt;"15",LEFT(M420,2)&lt;&gt;"33"))),"x","")</f>
        <v/>
      </c>
      <c r="V420" s="22" t="str">
        <f>IF(AND(OR(LEFT(TH!L420,2)="15",LEFT(TH!M420,2)="15"),'152-CT'!$J$8=TH!F420),"x","")</f>
        <v/>
      </c>
      <c r="W420" s="22" t="str">
        <f>IF(AND(OR(LEFT(TH!L420,2)="15",LEFT(TH!M420,2)="15"),TK!$E$7=TH!F420),"x","")</f>
        <v/>
      </c>
      <c r="X420" s="22" t="str">
        <f>IF(OR(TH!L420=TH!$X$7,M420=TH!$X$7),"x","")</f>
        <v/>
      </c>
      <c r="Y420" s="22" t="str">
        <f>IF(AND(B420&lt;=NKC!$N$8,B420&gt;=NKC!$M$8),"x","")</f>
        <v/>
      </c>
      <c r="Z420" s="580"/>
      <c r="AA420" s="406"/>
      <c r="AB420" s="406"/>
      <c r="AD420" s="406"/>
      <c r="AE420" s="406"/>
    </row>
    <row r="421" spans="1:31" s="130" customFormat="1" ht="15.75" customHeight="1">
      <c r="A421" s="123" t="str">
        <f>IF(B421&lt;&gt;"",IF(AND(B421&gt;=_TM1,B421&lt;=_TM2,OR(TH!L421="1111",TH!M421="1111")),TH!D421,""),"")</f>
        <v/>
      </c>
      <c r="B421" s="12">
        <f t="shared" si="15"/>
        <v>10</v>
      </c>
      <c r="C421" s="108">
        <f t="shared" si="16"/>
        <v>42648</v>
      </c>
      <c r="D421" s="108" t="s">
        <v>554</v>
      </c>
      <c r="E421" s="113">
        <v>42648</v>
      </c>
      <c r="F421" s="112" t="s">
        <v>807</v>
      </c>
      <c r="G421" s="303" t="s">
        <v>806</v>
      </c>
      <c r="H421" s="4" t="s">
        <v>618</v>
      </c>
      <c r="I421" s="139">
        <v>305</v>
      </c>
      <c r="J421" s="139">
        <v>9400</v>
      </c>
      <c r="K421" s="13">
        <f>ROUND(I421*J421,0)</f>
        <v>2867000</v>
      </c>
      <c r="L421" s="116" t="s">
        <v>252</v>
      </c>
      <c r="M421" s="411" t="s">
        <v>169</v>
      </c>
      <c r="N421" s="22" t="str">
        <f>IF(AND('331-CT'!$E$7=TH!H421,OR(L421="331",M421="331")),"331",IF(AND(OR(L421="131",M421="131"),H421='131-CT'!$E$7),"131",""))</f>
        <v/>
      </c>
      <c r="O421" s="22" t="str">
        <f>IF(AND($B421&gt;='111'!$N$11,$B421&lt;='111'!$O$11,OR($L421=$O$7,$M421=$O$7)),"x","")</f>
        <v/>
      </c>
      <c r="P421" s="22" t="str">
        <f>IF(AND($L421=$O$7,$B421&lt;'111'!$N$11),"x","")</f>
        <v/>
      </c>
      <c r="Q421" s="22" t="str">
        <f>IF(AND($M421=$O$7,$B421&lt;'111'!$N$11),"x","")</f>
        <v/>
      </c>
      <c r="R421" s="22" t="str">
        <f>IF(ISERROR(FIND('112'!$M$9,G421,1)),"",IF((AND(FIND('112'!$M$9,G421,1)&gt;=1,$B421&gt;='112'!$N$8,$B421&lt;='112'!$O$8,OR($L421='112'!$I$6,$M421='112'!$I$6))),"x",""))</f>
        <v/>
      </c>
      <c r="S421" s="22" t="str">
        <f>IF(ISERROR(FIND('112'!$M$9,G421,1)),"",IF((AND(LEFT(G421,2)=LEFT('112'!$M$9,2),B421&lt;'112'!$N$8,$L421='112'!$I$6)),"x",""))</f>
        <v/>
      </c>
      <c r="T421" s="22" t="str">
        <f>IF(ISERROR(FIND('112'!$M$9,G421,1)),"",IF((AND(RIGHT(G421,2)=RIGHT('112'!$M$9,2),B421&lt;'112'!$N$8,$M421='112'!$I$6)),"x",""))</f>
        <v/>
      </c>
      <c r="U421" s="22" t="str">
        <f>IF(AND(B421&gt;='IN-NX'!$P$3,B421&lt;='IN-NX'!$Q$3,'IN-NX'!$D$7=D421,OR(LEFT(L421,2)="15",AND(LEFT(M421,2)&lt;&gt;"15",LEFT(M421,2)&lt;&gt;"33"))),"x","")</f>
        <v/>
      </c>
      <c r="V421" s="22" t="str">
        <f>IF(AND(OR(LEFT(TH!L421,2)="15",LEFT(TH!M421,2)="15"),'152-CT'!$J$8=TH!F421),"x","")</f>
        <v/>
      </c>
      <c r="W421" s="22" t="str">
        <f>IF(AND(OR(LEFT(TH!L421,2)="15",LEFT(TH!M421,2)="15"),TK!$E$7=TH!F421),"x","")</f>
        <v/>
      </c>
      <c r="X421" s="22" t="str">
        <f>IF(OR(TH!L421=TH!$X$7,M421=TH!$X$7),"x","")</f>
        <v/>
      </c>
      <c r="Y421" s="22" t="str">
        <f>IF(AND(B421&lt;=NKC!$N$8,B421&gt;=NKC!$M$8),"x","")</f>
        <v/>
      </c>
      <c r="Z421" s="580"/>
      <c r="AA421" s="406"/>
    </row>
    <row r="422" spans="1:31" s="130" customFormat="1" ht="15.75" customHeight="1">
      <c r="A422" s="123" t="str">
        <f>IF(B422&lt;&gt;"",IF(AND(B422&gt;=_TM1,B422&lt;=_TM2,OR(TH!L422="1111",TH!M422="1111")),TH!D422,""),"")</f>
        <v/>
      </c>
      <c r="B422" s="12">
        <f t="shared" si="15"/>
        <v>10</v>
      </c>
      <c r="C422" s="108">
        <f t="shared" si="16"/>
        <v>42648</v>
      </c>
      <c r="D422" s="108" t="s">
        <v>554</v>
      </c>
      <c r="E422" s="113">
        <v>42648</v>
      </c>
      <c r="F422" s="112" t="s">
        <v>808</v>
      </c>
      <c r="G422" s="303" t="s">
        <v>806</v>
      </c>
      <c r="H422" s="4" t="s">
        <v>618</v>
      </c>
      <c r="I422" s="139">
        <v>55</v>
      </c>
      <c r="J422" s="139">
        <v>12000</v>
      </c>
      <c r="K422" s="13">
        <f>ROUND(I422*J422,0)</f>
        <v>660000</v>
      </c>
      <c r="L422" s="116" t="s">
        <v>252</v>
      </c>
      <c r="M422" s="411" t="s">
        <v>169</v>
      </c>
      <c r="N422" s="22" t="str">
        <f>IF(AND('331-CT'!$E$7=TH!H422,OR(L422="331",M422="331")),"331",IF(AND(OR(L422="131",M422="131"),H422='131-CT'!$E$7),"131",""))</f>
        <v/>
      </c>
      <c r="O422" s="22" t="str">
        <f>IF(AND($B422&gt;='111'!$N$11,$B422&lt;='111'!$O$11,OR($L422=$O$7,$M422=$O$7)),"x","")</f>
        <v/>
      </c>
      <c r="P422" s="22" t="str">
        <f>IF(AND($L422=$O$7,$B422&lt;'111'!$N$11),"x","")</f>
        <v/>
      </c>
      <c r="Q422" s="22" t="str">
        <f>IF(AND($M422=$O$7,$B422&lt;'111'!$N$11),"x","")</f>
        <v/>
      </c>
      <c r="R422" s="22" t="str">
        <f>IF(ISERROR(FIND('112'!$M$9,G422,1)),"",IF((AND(FIND('112'!$M$9,G422,1)&gt;=1,$B422&gt;='112'!$N$8,$B422&lt;='112'!$O$8,OR($L422='112'!$I$6,$M422='112'!$I$6))),"x",""))</f>
        <v/>
      </c>
      <c r="S422" s="22" t="str">
        <f>IF(ISERROR(FIND('112'!$M$9,G422,1)),"",IF((AND(LEFT(G422,2)=LEFT('112'!$M$9,2),B422&lt;'112'!$N$8,$L422='112'!$I$6)),"x",""))</f>
        <v/>
      </c>
      <c r="T422" s="22" t="str">
        <f>IF(ISERROR(FIND('112'!$M$9,G422,1)),"",IF((AND(RIGHT(G422,2)=RIGHT('112'!$M$9,2),B422&lt;'112'!$N$8,$M422='112'!$I$6)),"x",""))</f>
        <v/>
      </c>
      <c r="U422" s="22" t="str">
        <f>IF(AND(B422&gt;='IN-NX'!$P$3,B422&lt;='IN-NX'!$Q$3,'IN-NX'!$D$7=D422,OR(LEFT(L422,2)="15",AND(LEFT(M422,2)&lt;&gt;"15",LEFT(M422,2)&lt;&gt;"33"))),"x","")</f>
        <v/>
      </c>
      <c r="V422" s="22" t="str">
        <f>IF(AND(OR(LEFT(TH!L422,2)="15",LEFT(TH!M422,2)="15"),'152-CT'!$J$8=TH!F422),"x","")</f>
        <v/>
      </c>
      <c r="W422" s="22" t="str">
        <f>IF(AND(OR(LEFT(TH!L422,2)="15",LEFT(TH!M422,2)="15"),TK!$E$7=TH!F422),"x","")</f>
        <v/>
      </c>
      <c r="X422" s="22" t="str">
        <f>IF(OR(TH!L422=TH!$X$7,M422=TH!$X$7),"x","")</f>
        <v/>
      </c>
      <c r="Y422" s="22" t="str">
        <f>IF(AND(B422&lt;=NKC!$N$8,B422&gt;=NKC!$M$8),"x","")</f>
        <v/>
      </c>
      <c r="Z422" s="580"/>
      <c r="AA422" s="406"/>
    </row>
    <row r="423" spans="1:31" s="130" customFormat="1" ht="15.75" customHeight="1">
      <c r="A423" s="123" t="str">
        <f>IF(B423&lt;&gt;"",IF(AND(B423&gt;=_TM1,B423&lt;=_TM2,OR(TH!L423="1111",TH!M423="1111")),TH!D423,""),"")</f>
        <v/>
      </c>
      <c r="B423" s="12">
        <f t="shared" si="15"/>
        <v>10</v>
      </c>
      <c r="C423" s="108">
        <f t="shared" si="16"/>
        <v>42648</v>
      </c>
      <c r="D423" s="108" t="s">
        <v>554</v>
      </c>
      <c r="E423" s="113">
        <v>42648</v>
      </c>
      <c r="F423" s="112" t="s">
        <v>809</v>
      </c>
      <c r="G423" s="303" t="s">
        <v>806</v>
      </c>
      <c r="H423" s="4" t="s">
        <v>618</v>
      </c>
      <c r="I423" s="139">
        <v>205</v>
      </c>
      <c r="J423" s="139">
        <v>3200</v>
      </c>
      <c r="K423" s="13">
        <f>ROUND(I423*J423,0)</f>
        <v>656000</v>
      </c>
      <c r="L423" s="116" t="s">
        <v>252</v>
      </c>
      <c r="M423" s="411" t="s">
        <v>169</v>
      </c>
      <c r="N423" s="22" t="str">
        <f>IF(AND('331-CT'!$E$7=TH!H423,OR(L423="331",M423="331")),"331",IF(AND(OR(L423="131",M423="131"),H423='131-CT'!$E$7),"131",""))</f>
        <v/>
      </c>
      <c r="O423" s="22" t="str">
        <f>IF(AND($B423&gt;='111'!$N$11,$B423&lt;='111'!$O$11,OR($L423=$O$7,$M423=$O$7)),"x","")</f>
        <v/>
      </c>
      <c r="P423" s="22" t="str">
        <f>IF(AND($L423=$O$7,$B423&lt;'111'!$N$11),"x","")</f>
        <v/>
      </c>
      <c r="Q423" s="22" t="str">
        <f>IF(AND($M423=$O$7,$B423&lt;'111'!$N$11),"x","")</f>
        <v/>
      </c>
      <c r="R423" s="22" t="str">
        <f>IF(ISERROR(FIND('112'!$M$9,G423,1)),"",IF((AND(FIND('112'!$M$9,G423,1)&gt;=1,$B423&gt;='112'!$N$8,$B423&lt;='112'!$O$8,OR($L423='112'!$I$6,$M423='112'!$I$6))),"x",""))</f>
        <v/>
      </c>
      <c r="S423" s="22" t="str">
        <f>IF(ISERROR(FIND('112'!$M$9,G423,1)),"",IF((AND(LEFT(G423,2)=LEFT('112'!$M$9,2),B423&lt;'112'!$N$8,$L423='112'!$I$6)),"x",""))</f>
        <v/>
      </c>
      <c r="T423" s="22" t="str">
        <f>IF(ISERROR(FIND('112'!$M$9,G423,1)),"",IF((AND(RIGHT(G423,2)=RIGHT('112'!$M$9,2),B423&lt;'112'!$N$8,$M423='112'!$I$6)),"x",""))</f>
        <v/>
      </c>
      <c r="U423" s="22" t="str">
        <f>IF(AND(B423&gt;='IN-NX'!$P$3,B423&lt;='IN-NX'!$Q$3,'IN-NX'!$D$7=D423,OR(LEFT(L423,2)="15",AND(LEFT(M423,2)&lt;&gt;"15",LEFT(M423,2)&lt;&gt;"33"))),"x","")</f>
        <v/>
      </c>
      <c r="V423" s="22" t="str">
        <f>IF(AND(OR(LEFT(TH!L423,2)="15",LEFT(TH!M423,2)="15"),'152-CT'!$J$8=TH!F423),"x","")</f>
        <v/>
      </c>
      <c r="W423" s="22" t="str">
        <f>IF(AND(OR(LEFT(TH!L423,2)="15",LEFT(TH!M423,2)="15"),TK!$E$7=TH!F423),"x","")</f>
        <v/>
      </c>
      <c r="X423" s="22" t="str">
        <f>IF(OR(TH!L423=TH!$X$7,M423=TH!$X$7),"x","")</f>
        <v/>
      </c>
      <c r="Y423" s="22" t="str">
        <f>IF(AND(B423&lt;=NKC!$N$8,B423&gt;=NKC!$M$8),"x","")</f>
        <v/>
      </c>
      <c r="Z423" s="580"/>
      <c r="AA423" s="406"/>
    </row>
    <row r="424" spans="1:31" s="130" customFormat="1" ht="15.75" customHeight="1">
      <c r="A424" s="123" t="str">
        <f>IF(B424&lt;&gt;"",IF(AND(B424&gt;=_TM1,B424&lt;=_TM2,OR(TH!L424="1111",TH!M424="1111")),TH!D424,""),"")</f>
        <v/>
      </c>
      <c r="B424" s="12">
        <f t="shared" si="15"/>
        <v>10</v>
      </c>
      <c r="C424" s="108">
        <f t="shared" si="16"/>
        <v>42648</v>
      </c>
      <c r="D424" s="108" t="s">
        <v>554</v>
      </c>
      <c r="E424" s="113">
        <v>42648</v>
      </c>
      <c r="F424" s="112" t="s">
        <v>496</v>
      </c>
      <c r="G424" s="303" t="s">
        <v>806</v>
      </c>
      <c r="H424" s="4" t="s">
        <v>618</v>
      </c>
      <c r="I424" s="139"/>
      <c r="J424" s="139"/>
      <c r="K424" s="13">
        <v>418300</v>
      </c>
      <c r="L424" s="116" t="s">
        <v>252</v>
      </c>
      <c r="M424" s="411" t="s">
        <v>352</v>
      </c>
      <c r="N424" s="22" t="str">
        <f>IF(AND('331-CT'!$E$7=TH!H424,OR(L424="331",M424="331")),"331",IF(AND(OR(L424="131",M424="131"),H424='131-CT'!$E$7),"131",""))</f>
        <v/>
      </c>
      <c r="O424" s="22" t="str">
        <f>IF(AND($B424&gt;='111'!$N$11,$B424&lt;='111'!$O$11,OR($L424=$O$7,$M424=$O$7)),"x","")</f>
        <v/>
      </c>
      <c r="P424" s="22" t="str">
        <f>IF(AND($L424=$O$7,$B424&lt;'111'!$N$11),"x","")</f>
        <v/>
      </c>
      <c r="Q424" s="22" t="str">
        <f>IF(AND($M424=$O$7,$B424&lt;'111'!$N$11),"x","")</f>
        <v/>
      </c>
      <c r="R424" s="22" t="str">
        <f>IF(ISERROR(FIND('112'!$M$9,G424,1)),"",IF((AND(FIND('112'!$M$9,G424,1)&gt;=1,$B424&gt;='112'!$N$8,$B424&lt;='112'!$O$8,OR($L424='112'!$I$6,$M424='112'!$I$6))),"x",""))</f>
        <v/>
      </c>
      <c r="S424" s="22" t="str">
        <f>IF(ISERROR(FIND('112'!$M$9,G424,1)),"",IF((AND(LEFT(G424,2)=LEFT('112'!$M$9,2),B424&lt;'112'!$N$8,$L424='112'!$I$6)),"x",""))</f>
        <v/>
      </c>
      <c r="T424" s="22" t="str">
        <f>IF(ISERROR(FIND('112'!$M$9,G424,1)),"",IF((AND(RIGHT(G424,2)=RIGHT('112'!$M$9,2),B424&lt;'112'!$N$8,$M424='112'!$I$6)),"x",""))</f>
        <v/>
      </c>
      <c r="U424" s="22" t="str">
        <f>IF(AND(B424&gt;='IN-NX'!$P$3,B424&lt;='IN-NX'!$Q$3,'IN-NX'!$D$7=D424,OR(LEFT(L424,2)="15",AND(LEFT(M424,2)&lt;&gt;"15",LEFT(M424,2)&lt;&gt;"33"))),"x","")</f>
        <v/>
      </c>
      <c r="V424" s="22" t="str">
        <f>IF(AND(OR(LEFT(TH!L424,2)="15",LEFT(TH!M424,2)="15"),'152-CT'!$J$8=TH!F424),"x","")</f>
        <v/>
      </c>
      <c r="W424" s="22" t="str">
        <f>IF(AND(OR(LEFT(TH!L424,2)="15",LEFT(TH!M424,2)="15"),TK!$E$7=TH!F424),"x","")</f>
        <v/>
      </c>
      <c r="X424" s="22" t="str">
        <f>IF(OR(TH!L424=TH!$X$7,M424=TH!$X$7),"x","")</f>
        <v/>
      </c>
      <c r="Y424" s="22" t="str">
        <f>IF(AND(B424&lt;=NKC!$N$8,B424&gt;=NKC!$M$8),"x","")</f>
        <v/>
      </c>
      <c r="Z424" s="580"/>
      <c r="AA424" s="406"/>
      <c r="AB424" s="406"/>
      <c r="AD424" s="406"/>
      <c r="AE424" s="406"/>
    </row>
    <row r="425" spans="1:31" s="130" customFormat="1" ht="15.75" customHeight="1">
      <c r="A425" s="123" t="str">
        <f>IF(B425&lt;&gt;"",IF(AND(B425&gt;=_TM1,B425&lt;=_TM2,OR(TH!L425="1111",TH!M425="1111")),TH!D425,""),"")</f>
        <v/>
      </c>
      <c r="B425" s="12">
        <f t="shared" si="15"/>
        <v>10</v>
      </c>
      <c r="C425" s="108">
        <f t="shared" si="16"/>
        <v>42648</v>
      </c>
      <c r="D425" s="108" t="s">
        <v>555</v>
      </c>
      <c r="E425" s="113">
        <v>42648</v>
      </c>
      <c r="F425" s="112" t="s">
        <v>520</v>
      </c>
      <c r="G425" s="303" t="s">
        <v>810</v>
      </c>
      <c r="H425" s="4" t="s">
        <v>365</v>
      </c>
      <c r="I425" s="139">
        <v>320</v>
      </c>
      <c r="J425" s="139">
        <v>5000</v>
      </c>
      <c r="K425" s="13">
        <f>ROUND(I425*J425,0)</f>
        <v>1600000</v>
      </c>
      <c r="L425" s="116" t="s">
        <v>252</v>
      </c>
      <c r="M425" s="411" t="s">
        <v>169</v>
      </c>
      <c r="N425" s="22" t="str">
        <f>IF(AND('331-CT'!$E$7=TH!H425,OR(L425="331",M425="331")),"331",IF(AND(OR(L425="131",M425="131"),H425='131-CT'!$E$7),"131",""))</f>
        <v/>
      </c>
      <c r="O425" s="22" t="str">
        <f>IF(AND($B425&gt;='111'!$N$11,$B425&lt;='111'!$O$11,OR($L425=$O$7,$M425=$O$7)),"x","")</f>
        <v/>
      </c>
      <c r="P425" s="22" t="str">
        <f>IF(AND($L425=$O$7,$B425&lt;'111'!$N$11),"x","")</f>
        <v/>
      </c>
      <c r="Q425" s="22" t="str">
        <f>IF(AND($M425=$O$7,$B425&lt;'111'!$N$11),"x","")</f>
        <v/>
      </c>
      <c r="R425" s="22" t="str">
        <f>IF(ISERROR(FIND('112'!$M$9,G425,1)),"",IF((AND(FIND('112'!$M$9,G425,1)&gt;=1,$B425&gt;='112'!$N$8,$B425&lt;='112'!$O$8,OR($L425='112'!$I$6,$M425='112'!$I$6))),"x",""))</f>
        <v/>
      </c>
      <c r="S425" s="22" t="str">
        <f>IF(ISERROR(FIND('112'!$M$9,G425,1)),"",IF((AND(LEFT(G425,2)=LEFT('112'!$M$9,2),B425&lt;'112'!$N$8,$L425='112'!$I$6)),"x",""))</f>
        <v/>
      </c>
      <c r="T425" s="22" t="str">
        <f>IF(ISERROR(FIND('112'!$M$9,G425,1)),"",IF((AND(RIGHT(G425,2)=RIGHT('112'!$M$9,2),B425&lt;'112'!$N$8,$M425='112'!$I$6)),"x",""))</f>
        <v/>
      </c>
      <c r="U425" s="22" t="str">
        <f>IF(AND(B425&gt;='IN-NX'!$P$3,B425&lt;='IN-NX'!$Q$3,'IN-NX'!$D$7=D425,OR(LEFT(L425,2)="15",AND(LEFT(M425,2)&lt;&gt;"15",LEFT(M425,2)&lt;&gt;"33"))),"x","")</f>
        <v/>
      </c>
      <c r="V425" s="22" t="str">
        <f>IF(AND(OR(LEFT(TH!L425,2)="15",LEFT(TH!M425,2)="15"),'152-CT'!$J$8=TH!F425),"x","")</f>
        <v/>
      </c>
      <c r="W425" s="22" t="str">
        <f>IF(AND(OR(LEFT(TH!L425,2)="15",LEFT(TH!M425,2)="15"),TK!$E$7=TH!F425),"x","")</f>
        <v/>
      </c>
      <c r="X425" s="22" t="str">
        <f>IF(OR(TH!L425=TH!$X$7,M425=TH!$X$7),"x","")</f>
        <v/>
      </c>
      <c r="Y425" s="22" t="str">
        <f>IF(AND(B425&lt;=NKC!$N$8,B425&gt;=NKC!$M$8),"x","")</f>
        <v/>
      </c>
      <c r="Z425" s="580"/>
      <c r="AA425" s="406"/>
    </row>
    <row r="426" spans="1:31" s="130" customFormat="1" ht="15.75" customHeight="1">
      <c r="A426" s="123" t="str">
        <f>IF(B426&lt;&gt;"",IF(AND(B426&gt;=_TM1,B426&lt;=_TM2,OR(TH!L426="1111",TH!M426="1111")),TH!D426,""),"")</f>
        <v/>
      </c>
      <c r="B426" s="12">
        <f t="shared" si="15"/>
        <v>10</v>
      </c>
      <c r="C426" s="108">
        <f t="shared" si="16"/>
        <v>42648</v>
      </c>
      <c r="D426" s="108" t="s">
        <v>555</v>
      </c>
      <c r="E426" s="113">
        <v>42648</v>
      </c>
      <c r="F426" s="112" t="s">
        <v>522</v>
      </c>
      <c r="G426" s="303" t="s">
        <v>810</v>
      </c>
      <c r="H426" s="4" t="s">
        <v>365</v>
      </c>
      <c r="I426" s="139">
        <v>659</v>
      </c>
      <c r="J426" s="139">
        <v>9700</v>
      </c>
      <c r="K426" s="13">
        <f>ROUND(I426*J426,0)</f>
        <v>6392300</v>
      </c>
      <c r="L426" s="116" t="s">
        <v>252</v>
      </c>
      <c r="M426" s="411" t="s">
        <v>169</v>
      </c>
      <c r="N426" s="22" t="str">
        <f>IF(AND('331-CT'!$E$7=TH!H426,OR(L426="331",M426="331")),"331",IF(AND(OR(L426="131",M426="131"),H426='131-CT'!$E$7),"131",""))</f>
        <v/>
      </c>
      <c r="O426" s="22" t="str">
        <f>IF(AND($B426&gt;='111'!$N$11,$B426&lt;='111'!$O$11,OR($L426=$O$7,$M426=$O$7)),"x","")</f>
        <v/>
      </c>
      <c r="P426" s="22" t="str">
        <f>IF(AND($L426=$O$7,$B426&lt;'111'!$N$11),"x","")</f>
        <v/>
      </c>
      <c r="Q426" s="22" t="str">
        <f>IF(AND($M426=$O$7,$B426&lt;'111'!$N$11),"x","")</f>
        <v/>
      </c>
      <c r="R426" s="22" t="str">
        <f>IF(ISERROR(FIND('112'!$M$9,G426,1)),"",IF((AND(FIND('112'!$M$9,G426,1)&gt;=1,$B426&gt;='112'!$N$8,$B426&lt;='112'!$O$8,OR($L426='112'!$I$6,$M426='112'!$I$6))),"x",""))</f>
        <v/>
      </c>
      <c r="S426" s="22" t="str">
        <f>IF(ISERROR(FIND('112'!$M$9,G426,1)),"",IF((AND(LEFT(G426,2)=LEFT('112'!$M$9,2),B426&lt;'112'!$N$8,$L426='112'!$I$6)),"x",""))</f>
        <v/>
      </c>
      <c r="T426" s="22" t="str">
        <f>IF(ISERROR(FIND('112'!$M$9,G426,1)),"",IF((AND(RIGHT(G426,2)=RIGHT('112'!$M$9,2),B426&lt;'112'!$N$8,$M426='112'!$I$6)),"x",""))</f>
        <v/>
      </c>
      <c r="U426" s="22" t="str">
        <f>IF(AND(B426&gt;='IN-NX'!$P$3,B426&lt;='IN-NX'!$Q$3,'IN-NX'!$D$7=D426,OR(LEFT(L426,2)="15",AND(LEFT(M426,2)&lt;&gt;"15",LEFT(M426,2)&lt;&gt;"33"))),"x","")</f>
        <v/>
      </c>
      <c r="V426" s="22" t="str">
        <f>IF(AND(OR(LEFT(TH!L426,2)="15",LEFT(TH!M426,2)="15"),'152-CT'!$J$8=TH!F426),"x","")</f>
        <v/>
      </c>
      <c r="W426" s="22" t="str">
        <f>IF(AND(OR(LEFT(TH!L426,2)="15",LEFT(TH!M426,2)="15"),TK!$E$7=TH!F426),"x","")</f>
        <v/>
      </c>
      <c r="X426" s="22" t="str">
        <f>IF(OR(TH!L426=TH!$X$7,M426=TH!$X$7),"x","")</f>
        <v/>
      </c>
      <c r="Y426" s="22" t="str">
        <f>IF(AND(B426&lt;=NKC!$N$8,B426&gt;=NKC!$M$8),"x","")</f>
        <v/>
      </c>
      <c r="Z426" s="580"/>
      <c r="AA426" s="406"/>
    </row>
    <row r="427" spans="1:31" s="130" customFormat="1" ht="15.75" customHeight="1">
      <c r="A427" s="123" t="str">
        <f>IF(B427&lt;&gt;"",IF(AND(B427&gt;=_TM1,B427&lt;=_TM2,OR(TH!L427="1111",TH!M427="1111")),TH!D427,""),"")</f>
        <v/>
      </c>
      <c r="B427" s="12">
        <f t="shared" si="15"/>
        <v>10</v>
      </c>
      <c r="C427" s="108">
        <f t="shared" si="16"/>
        <v>42648</v>
      </c>
      <c r="D427" s="108" t="s">
        <v>555</v>
      </c>
      <c r="E427" s="113">
        <v>42648</v>
      </c>
      <c r="F427" s="112" t="s">
        <v>496</v>
      </c>
      <c r="G427" s="303" t="s">
        <v>810</v>
      </c>
      <c r="H427" s="4" t="s">
        <v>365</v>
      </c>
      <c r="I427" s="139"/>
      <c r="J427" s="139"/>
      <c r="K427" s="13">
        <v>799230</v>
      </c>
      <c r="L427" s="116" t="s">
        <v>252</v>
      </c>
      <c r="M427" s="411" t="s">
        <v>352</v>
      </c>
      <c r="N427" s="22" t="str">
        <f>IF(AND('331-CT'!$E$7=TH!H427,OR(L427="331",M427="331")),"331",IF(AND(OR(L427="131",M427="131"),H427='131-CT'!$E$7),"131",""))</f>
        <v/>
      </c>
      <c r="O427" s="22" t="str">
        <f>IF(AND($B427&gt;='111'!$N$11,$B427&lt;='111'!$O$11,OR($L427=$O$7,$M427=$O$7)),"x","")</f>
        <v/>
      </c>
      <c r="P427" s="22" t="str">
        <f>IF(AND($L427=$O$7,$B427&lt;'111'!$N$11),"x","")</f>
        <v/>
      </c>
      <c r="Q427" s="22" t="str">
        <f>IF(AND($M427=$O$7,$B427&lt;'111'!$N$11),"x","")</f>
        <v/>
      </c>
      <c r="R427" s="22" t="str">
        <f>IF(ISERROR(FIND('112'!$M$9,G427,1)),"",IF((AND(FIND('112'!$M$9,G427,1)&gt;=1,$B427&gt;='112'!$N$8,$B427&lt;='112'!$O$8,OR($L427='112'!$I$6,$M427='112'!$I$6))),"x",""))</f>
        <v/>
      </c>
      <c r="S427" s="22" t="str">
        <f>IF(ISERROR(FIND('112'!$M$9,G427,1)),"",IF((AND(LEFT(G427,2)=LEFT('112'!$M$9,2),B427&lt;'112'!$N$8,$L427='112'!$I$6)),"x",""))</f>
        <v/>
      </c>
      <c r="T427" s="22" t="str">
        <f>IF(ISERROR(FIND('112'!$M$9,G427,1)),"",IF((AND(RIGHT(G427,2)=RIGHT('112'!$M$9,2),B427&lt;'112'!$N$8,$M427='112'!$I$6)),"x",""))</f>
        <v/>
      </c>
      <c r="U427" s="22" t="str">
        <f>IF(AND(B427&gt;='IN-NX'!$P$3,B427&lt;='IN-NX'!$Q$3,'IN-NX'!$D$7=D427,OR(LEFT(L427,2)="15",AND(LEFT(M427,2)&lt;&gt;"15",LEFT(M427,2)&lt;&gt;"33"))),"x","")</f>
        <v/>
      </c>
      <c r="V427" s="22" t="str">
        <f>IF(AND(OR(LEFT(TH!L427,2)="15",LEFT(TH!M427,2)="15"),'152-CT'!$J$8=TH!F427),"x","")</f>
        <v/>
      </c>
      <c r="W427" s="22" t="str">
        <f>IF(AND(OR(LEFT(TH!L427,2)="15",LEFT(TH!M427,2)="15"),TK!$E$7=TH!F427),"x","")</f>
        <v/>
      </c>
      <c r="X427" s="22" t="str">
        <f>IF(OR(TH!L427=TH!$X$7,M427=TH!$X$7),"x","")</f>
        <v/>
      </c>
      <c r="Y427" s="22" t="str">
        <f>IF(AND(B427&lt;=NKC!$N$8,B427&gt;=NKC!$M$8),"x","")</f>
        <v/>
      </c>
      <c r="Z427" s="580"/>
      <c r="AA427" s="406"/>
      <c r="AB427" s="406"/>
      <c r="AD427" s="406"/>
      <c r="AE427" s="406"/>
    </row>
    <row r="428" spans="1:31" s="130" customFormat="1" ht="15.75" customHeight="1">
      <c r="A428" s="123" t="str">
        <f>IF(B428&lt;&gt;"",IF(AND(B428&gt;=_TM1,B428&lt;=_TM2,OR(TH!L428="1111",TH!M428="1111")),TH!D428,""),"")</f>
        <v/>
      </c>
      <c r="B428" s="12">
        <f t="shared" si="15"/>
        <v>10</v>
      </c>
      <c r="C428" s="108">
        <f t="shared" si="16"/>
        <v>42649</v>
      </c>
      <c r="D428" s="108" t="s">
        <v>556</v>
      </c>
      <c r="E428" s="113">
        <v>42649</v>
      </c>
      <c r="F428" s="112" t="s">
        <v>526</v>
      </c>
      <c r="G428" s="303" t="s">
        <v>436</v>
      </c>
      <c r="H428" s="115" t="s">
        <v>525</v>
      </c>
      <c r="I428" s="139">
        <v>400</v>
      </c>
      <c r="J428" s="139">
        <v>20000</v>
      </c>
      <c r="K428" s="13">
        <f>ROUND(I428*J428,0)</f>
        <v>8000000</v>
      </c>
      <c r="L428" s="116" t="s">
        <v>252</v>
      </c>
      <c r="M428" s="411" t="s">
        <v>169</v>
      </c>
      <c r="N428" s="22" t="str">
        <f>IF(AND('331-CT'!$E$7=TH!H428,OR(L428="331",M428="331")),"331",IF(AND(OR(L428="131",M428="131"),H428='131-CT'!$E$7),"131",""))</f>
        <v/>
      </c>
      <c r="O428" s="22" t="str">
        <f>IF(AND($B428&gt;='111'!$N$11,$B428&lt;='111'!$O$11,OR($L428=$O$7,$M428=$O$7)),"x","")</f>
        <v/>
      </c>
      <c r="P428" s="22" t="str">
        <f>IF(AND($L428=$O$7,$B428&lt;'111'!$N$11),"x","")</f>
        <v/>
      </c>
      <c r="Q428" s="22" t="str">
        <f>IF(AND($M428=$O$7,$B428&lt;'111'!$N$11),"x","")</f>
        <v/>
      </c>
      <c r="R428" s="22" t="str">
        <f>IF(ISERROR(FIND('112'!$M$9,G428,1)),"",IF((AND(FIND('112'!$M$9,G428,1)&gt;=1,$B428&gt;='112'!$N$8,$B428&lt;='112'!$O$8,OR($L428='112'!$I$6,$M428='112'!$I$6))),"x",""))</f>
        <v/>
      </c>
      <c r="S428" s="22" t="str">
        <f>IF(ISERROR(FIND('112'!$M$9,G428,1)),"",IF((AND(LEFT(G428,2)=LEFT('112'!$M$9,2),B428&lt;'112'!$N$8,$L428='112'!$I$6)),"x",""))</f>
        <v/>
      </c>
      <c r="T428" s="22" t="str">
        <f>IF(ISERROR(FIND('112'!$M$9,G428,1)),"",IF((AND(RIGHT(G428,2)=RIGHT('112'!$M$9,2),B428&lt;'112'!$N$8,$M428='112'!$I$6)),"x",""))</f>
        <v/>
      </c>
      <c r="U428" s="22" t="str">
        <f>IF(AND(B428&gt;='IN-NX'!$P$3,B428&lt;='IN-NX'!$Q$3,'IN-NX'!$D$7=D428,OR(LEFT(L428,2)="15",AND(LEFT(M428,2)&lt;&gt;"15",LEFT(M428,2)&lt;&gt;"33"))),"x","")</f>
        <v/>
      </c>
      <c r="V428" s="22" t="str">
        <f>IF(AND(OR(LEFT(TH!L428,2)="15",LEFT(TH!M428,2)="15"),'152-CT'!$J$8=TH!F428),"x","")</f>
        <v/>
      </c>
      <c r="W428" s="22" t="str">
        <f>IF(AND(OR(LEFT(TH!L428,2)="15",LEFT(TH!M428,2)="15"),TK!$E$7=TH!F428),"x","")</f>
        <v/>
      </c>
      <c r="X428" s="22" t="str">
        <f>IF(OR(TH!L428=TH!$X$7,M428=TH!$X$7),"x","")</f>
        <v/>
      </c>
      <c r="Y428" s="22" t="str">
        <f>IF(AND(B428&lt;=NKC!$N$8,B428&gt;=NKC!$M$8),"x","")</f>
        <v/>
      </c>
      <c r="Z428" s="580"/>
      <c r="AA428" s="406"/>
      <c r="AD428" s="406"/>
      <c r="AE428" s="406"/>
    </row>
    <row r="429" spans="1:31" s="130" customFormat="1" ht="15.75" customHeight="1">
      <c r="A429" s="123" t="str">
        <f>IF(B429&lt;&gt;"",IF(AND(B429&gt;=_TM1,B429&lt;=_TM2,OR(TH!L429="1111",TH!M429="1111")),TH!D429,""),"")</f>
        <v/>
      </c>
      <c r="B429" s="12">
        <f t="shared" si="15"/>
        <v>10</v>
      </c>
      <c r="C429" s="108">
        <f t="shared" si="16"/>
        <v>42649</v>
      </c>
      <c r="D429" s="108" t="s">
        <v>556</v>
      </c>
      <c r="E429" s="113">
        <v>42649</v>
      </c>
      <c r="F429" s="112" t="s">
        <v>496</v>
      </c>
      <c r="G429" s="303" t="s">
        <v>436</v>
      </c>
      <c r="H429" s="115" t="s">
        <v>525</v>
      </c>
      <c r="I429" s="139"/>
      <c r="J429" s="139"/>
      <c r="K429" s="13">
        <v>800000</v>
      </c>
      <c r="L429" s="116" t="s">
        <v>252</v>
      </c>
      <c r="M429" s="411" t="s">
        <v>352</v>
      </c>
      <c r="N429" s="22" t="str">
        <f>IF(AND('331-CT'!$E$7=TH!H429,OR(L429="331",M429="331")),"331",IF(AND(OR(L429="131",M429="131"),H429='131-CT'!$E$7),"131",""))</f>
        <v/>
      </c>
      <c r="O429" s="22" t="str">
        <f>IF(AND($B429&gt;='111'!$N$11,$B429&lt;='111'!$O$11,OR($L429=$O$7,$M429=$O$7)),"x","")</f>
        <v/>
      </c>
      <c r="P429" s="22" t="str">
        <f>IF(AND($L429=$O$7,$B429&lt;'111'!$N$11),"x","")</f>
        <v/>
      </c>
      <c r="Q429" s="22" t="str">
        <f>IF(AND($M429=$O$7,$B429&lt;'111'!$N$11),"x","")</f>
        <v/>
      </c>
      <c r="R429" s="22" t="str">
        <f>IF(ISERROR(FIND('112'!$M$9,G429,1)),"",IF((AND(FIND('112'!$M$9,G429,1)&gt;=1,$B429&gt;='112'!$N$8,$B429&lt;='112'!$O$8,OR($L429='112'!$I$6,$M429='112'!$I$6))),"x",""))</f>
        <v/>
      </c>
      <c r="S429" s="22" t="str">
        <f>IF(ISERROR(FIND('112'!$M$9,G429,1)),"",IF((AND(LEFT(G429,2)=LEFT('112'!$M$9,2),B429&lt;'112'!$N$8,$L429='112'!$I$6)),"x",""))</f>
        <v/>
      </c>
      <c r="T429" s="22" t="str">
        <f>IF(ISERROR(FIND('112'!$M$9,G429,1)),"",IF((AND(RIGHT(G429,2)=RIGHT('112'!$M$9,2),B429&lt;'112'!$N$8,$M429='112'!$I$6)),"x",""))</f>
        <v/>
      </c>
      <c r="U429" s="22" t="str">
        <f>IF(AND(B429&gt;='IN-NX'!$P$3,B429&lt;='IN-NX'!$Q$3,'IN-NX'!$D$7=D429,OR(LEFT(L429,2)="15",AND(LEFT(M429,2)&lt;&gt;"15",LEFT(M429,2)&lt;&gt;"33"))),"x","")</f>
        <v/>
      </c>
      <c r="V429" s="22" t="str">
        <f>IF(AND(OR(LEFT(TH!L429,2)="15",LEFT(TH!M429,2)="15"),'152-CT'!$J$8=TH!F429),"x","")</f>
        <v/>
      </c>
      <c r="W429" s="22" t="str">
        <f>IF(AND(OR(LEFT(TH!L429,2)="15",LEFT(TH!M429,2)="15"),TK!$E$7=TH!F429),"x","")</f>
        <v/>
      </c>
      <c r="X429" s="22" t="str">
        <f>IF(OR(TH!L429=TH!$X$7,M429=TH!$X$7),"x","")</f>
        <v/>
      </c>
      <c r="Y429" s="22" t="str">
        <f>IF(AND(B429&lt;=NKC!$N$8,B429&gt;=NKC!$M$8),"x","")</f>
        <v/>
      </c>
      <c r="Z429" s="580"/>
      <c r="AA429" s="406"/>
      <c r="AB429" s="406"/>
      <c r="AD429" s="406"/>
      <c r="AE429" s="406"/>
    </row>
    <row r="430" spans="1:31" s="130" customFormat="1" ht="15.75" customHeight="1">
      <c r="A430" s="123" t="str">
        <f>IF(B430&lt;&gt;"",IF(AND(B430&gt;=_TM1,B430&lt;=_TM2,OR(TH!L430="1111",TH!M430="1111")),TH!D430,""),"")</f>
        <v/>
      </c>
      <c r="B430" s="12">
        <f t="shared" si="15"/>
        <v>10</v>
      </c>
      <c r="C430" s="108">
        <f t="shared" si="16"/>
        <v>42652</v>
      </c>
      <c r="D430" s="113" t="s">
        <v>460</v>
      </c>
      <c r="E430" s="113">
        <v>42652</v>
      </c>
      <c r="F430" s="112" t="s">
        <v>777</v>
      </c>
      <c r="G430" s="305" t="s">
        <v>779</v>
      </c>
      <c r="H430" s="115" t="s">
        <v>780</v>
      </c>
      <c r="I430" s="139">
        <v>13490</v>
      </c>
      <c r="J430" s="139">
        <v>750</v>
      </c>
      <c r="K430" s="13">
        <f>ROUND(I430*J430,0)</f>
        <v>10117500</v>
      </c>
      <c r="L430" s="116" t="s">
        <v>156</v>
      </c>
      <c r="M430" s="116" t="s">
        <v>8</v>
      </c>
      <c r="N430" s="22" t="str">
        <f>IF(AND('331-CT'!$E$7=TH!H430,OR(L430="331",M430="331")),"331",IF(AND(OR(L430="131",M430="131"),H430='131-CT'!$E$7),"131",""))</f>
        <v/>
      </c>
      <c r="O430" s="22" t="str">
        <f>IF(AND($B430&gt;='111'!$N$11,$B430&lt;='111'!$O$11,OR($L430=$O$7,$M430=$O$7)),"x","")</f>
        <v/>
      </c>
      <c r="P430" s="22" t="str">
        <f>IF(AND($L430=$O$7,$B430&lt;'111'!$N$11),"x","")</f>
        <v/>
      </c>
      <c r="Q430" s="22" t="str">
        <f>IF(AND($M430=$O$7,$B430&lt;'111'!$N$11),"x","")</f>
        <v/>
      </c>
      <c r="R430" s="22" t="str">
        <f>IF(ISERROR(FIND('112'!$M$9,G430,1)),"",IF((AND(FIND('112'!$M$9,G430,1)&gt;=1,$B430&gt;='112'!$N$8,$B430&lt;='112'!$O$8,OR($L430='112'!$I$6,$M430='112'!$I$6))),"x",""))</f>
        <v/>
      </c>
      <c r="S430" s="22" t="str">
        <f>IF(ISERROR(FIND('112'!$M$9,G430,1)),"",IF((AND(LEFT(G430,2)=LEFT('112'!$M$9,2),B430&lt;'112'!$N$8,$L430='112'!$I$6)),"x",""))</f>
        <v/>
      </c>
      <c r="T430" s="22" t="str">
        <f>IF(ISERROR(FIND('112'!$M$9,G430,1)),"",IF((AND(RIGHT(G430,2)=RIGHT('112'!$M$9,2),B430&lt;'112'!$N$8,$M430='112'!$I$6)),"x",""))</f>
        <v/>
      </c>
      <c r="U430" s="22" t="str">
        <f>IF(AND(B430&gt;='IN-NX'!$P$3,B430&lt;='IN-NX'!$Q$3,'IN-NX'!$D$7=D430,OR(LEFT(L430,2)="15",AND(LEFT(M430,2)&lt;&gt;"15",LEFT(M430,2)&lt;&gt;"33"))),"x","")</f>
        <v/>
      </c>
      <c r="V430" s="22" t="str">
        <f>IF(AND(OR(LEFT(TH!L430,2)="15",LEFT(TH!M430,2)="15"),'152-CT'!$J$8=TH!F430),"x","")</f>
        <v/>
      </c>
      <c r="W430" s="22" t="str">
        <f>IF(AND(OR(LEFT(TH!L430,2)="15",LEFT(TH!M430,2)="15"),TK!$E$7=TH!F430),"x","")</f>
        <v/>
      </c>
      <c r="X430" s="22" t="str">
        <f>IF(OR(TH!L430=TH!$X$7,M430=TH!$X$7),"x","")</f>
        <v/>
      </c>
      <c r="Y430" s="22" t="str">
        <f>IF(AND(B430&lt;=NKC!$N$8,B430&gt;=NKC!$M$8),"x","")</f>
        <v/>
      </c>
      <c r="Z430" s="580">
        <v>4</v>
      </c>
      <c r="AA430" s="406"/>
      <c r="AB430" s="406"/>
    </row>
    <row r="431" spans="1:31" s="130" customFormat="1" ht="15.75" customHeight="1">
      <c r="A431" s="123" t="str">
        <f>IF(B431&lt;&gt;"",IF(AND(B431&gt;=_TM1,B431&lt;=_TM2,OR(TH!L431="1111",TH!M431="1111")),TH!D431,""),"")</f>
        <v/>
      </c>
      <c r="B431" s="12">
        <f t="shared" si="15"/>
        <v>10</v>
      </c>
      <c r="C431" s="108">
        <f t="shared" si="16"/>
        <v>42652</v>
      </c>
      <c r="D431" s="113" t="s">
        <v>460</v>
      </c>
      <c r="E431" s="113">
        <v>42652</v>
      </c>
      <c r="F431" s="112" t="s">
        <v>778</v>
      </c>
      <c r="G431" s="305" t="s">
        <v>779</v>
      </c>
      <c r="H431" s="115" t="s">
        <v>780</v>
      </c>
      <c r="I431" s="139"/>
      <c r="J431" s="139"/>
      <c r="K431" s="13">
        <v>1011750</v>
      </c>
      <c r="L431" s="116" t="s">
        <v>9</v>
      </c>
      <c r="M431" s="116" t="s">
        <v>8</v>
      </c>
      <c r="N431" s="22" t="str">
        <f>IF(AND('331-CT'!$E$7=TH!H431,OR(L431="331",M431="331")),"331",IF(AND(OR(L431="131",M431="131"),H431='131-CT'!$E$7),"131",""))</f>
        <v/>
      </c>
      <c r="O431" s="22" t="str">
        <f>IF(AND($B431&gt;='111'!$N$11,$B431&lt;='111'!$O$11,OR($L431=$O$7,$M431=$O$7)),"x","")</f>
        <v/>
      </c>
      <c r="P431" s="22" t="str">
        <f>IF(AND($L431=$O$7,$B431&lt;'111'!$N$11),"x","")</f>
        <v/>
      </c>
      <c r="Q431" s="22" t="str">
        <f>IF(AND($M431=$O$7,$B431&lt;'111'!$N$11),"x","")</f>
        <v/>
      </c>
      <c r="R431" s="22" t="str">
        <f>IF(ISERROR(FIND('112'!$M$9,G431,1)),"",IF((AND(FIND('112'!$M$9,G431,1)&gt;=1,$B431&gt;='112'!$N$8,$B431&lt;='112'!$O$8,OR($L431='112'!$I$6,$M431='112'!$I$6))),"x",""))</f>
        <v/>
      </c>
      <c r="S431" s="22" t="str">
        <f>IF(ISERROR(FIND('112'!$M$9,G431,1)),"",IF((AND(LEFT(G431,2)=LEFT('112'!$M$9,2),B431&lt;'112'!$N$8,$L431='112'!$I$6)),"x",""))</f>
        <v/>
      </c>
      <c r="T431" s="22" t="str">
        <f>IF(ISERROR(FIND('112'!$M$9,G431,1)),"",IF((AND(RIGHT(G431,2)=RIGHT('112'!$M$9,2),B431&lt;'112'!$N$8,$M431='112'!$I$6)),"x",""))</f>
        <v/>
      </c>
      <c r="U431" s="22" t="str">
        <f>IF(AND(B431&gt;='IN-NX'!$P$3,B431&lt;='IN-NX'!$Q$3,'IN-NX'!$D$7=D431,OR(LEFT(L431,2)="15",AND(LEFT(M431,2)&lt;&gt;"15",LEFT(M431,2)&lt;&gt;"33"))),"x","")</f>
        <v/>
      </c>
      <c r="V431" s="22" t="str">
        <f>IF(AND(OR(LEFT(TH!L431,2)="15",LEFT(TH!M431,2)="15"),'152-CT'!$J$8=TH!F431),"x","")</f>
        <v/>
      </c>
      <c r="W431" s="22" t="str">
        <f>IF(AND(OR(LEFT(TH!L431,2)="15",LEFT(TH!M431,2)="15"),TK!$E$7=TH!F431),"x","")</f>
        <v/>
      </c>
      <c r="X431" s="22" t="str">
        <f>IF(OR(TH!L431=TH!$X$7,M431=TH!$X$7),"x","")</f>
        <v/>
      </c>
      <c r="Y431" s="22" t="str">
        <f>IF(AND(B431&lt;=NKC!$N$8,B431&gt;=NKC!$M$8),"x","")</f>
        <v/>
      </c>
      <c r="Z431" s="580">
        <v>4</v>
      </c>
      <c r="AA431" s="406"/>
    </row>
    <row r="432" spans="1:31" s="130" customFormat="1" ht="15.75" customHeight="1">
      <c r="A432" s="123" t="str">
        <f>IF(B432&lt;&gt;"",IF(AND(B432&gt;=_TM1,B432&lt;=_TM2,OR(TH!L432="1111",TH!M432="1111")),TH!D432,""),"")</f>
        <v>C05</v>
      </c>
      <c r="B432" s="12">
        <f t="shared" si="15"/>
        <v>10</v>
      </c>
      <c r="C432" s="108">
        <f t="shared" si="16"/>
        <v>42652</v>
      </c>
      <c r="D432" s="113" t="s">
        <v>458</v>
      </c>
      <c r="E432" s="113">
        <v>42652</v>
      </c>
      <c r="F432" s="112" t="s">
        <v>465</v>
      </c>
      <c r="G432" s="305" t="s">
        <v>779</v>
      </c>
      <c r="H432" s="115" t="s">
        <v>780</v>
      </c>
      <c r="I432" s="139"/>
      <c r="J432" s="139"/>
      <c r="K432" s="13">
        <v>11129250</v>
      </c>
      <c r="L432" s="116" t="s">
        <v>8</v>
      </c>
      <c r="M432" s="411" t="s">
        <v>46</v>
      </c>
      <c r="N432" s="22" t="str">
        <f>IF(AND('331-CT'!$E$7=TH!H432,OR(L432="331",M432="331")),"331",IF(AND(OR(L432="131",M432="131"),H432='131-CT'!$E$7),"131",""))</f>
        <v/>
      </c>
      <c r="O432" s="22" t="str">
        <f>IF(AND($B432&gt;='111'!$N$11,$B432&lt;='111'!$O$11,OR($L432=$O$7,$M432=$O$7)),"x","")</f>
        <v>x</v>
      </c>
      <c r="P432" s="22" t="str">
        <f>IF(AND($L432=$O$7,$B432&lt;'111'!$N$11),"x","")</f>
        <v/>
      </c>
      <c r="Q432" s="22" t="str">
        <f>IF(AND($M432=$O$7,$B432&lt;'111'!$N$11),"x","")</f>
        <v/>
      </c>
      <c r="R432" s="22" t="str">
        <f>IF(ISERROR(FIND('112'!$M$9,G432,1)),"",IF((AND(FIND('112'!$M$9,G432,1)&gt;=1,$B432&gt;='112'!$N$8,$B432&lt;='112'!$O$8,OR($L432='112'!$I$6,$M432='112'!$I$6))),"x",""))</f>
        <v/>
      </c>
      <c r="S432" s="22" t="str">
        <f>IF(ISERROR(FIND('112'!$M$9,G432,1)),"",IF((AND(LEFT(G432,2)=LEFT('112'!$M$9,2),B432&lt;'112'!$N$8,$L432='112'!$I$6)),"x",""))</f>
        <v/>
      </c>
      <c r="T432" s="22" t="str">
        <f>IF(ISERROR(FIND('112'!$M$9,G432,1)),"",IF((AND(RIGHT(G432,2)=RIGHT('112'!$M$9,2),B432&lt;'112'!$N$8,$M432='112'!$I$6)),"x",""))</f>
        <v/>
      </c>
      <c r="U432" s="22" t="str">
        <f>IF(AND(B432&gt;='IN-NX'!$P$3,B432&lt;='IN-NX'!$Q$3,'IN-NX'!$D$7=D432,OR(LEFT(L432,2)="15",AND(LEFT(M432,2)&lt;&gt;"15",LEFT(M432,2)&lt;&gt;"33"))),"x","")</f>
        <v/>
      </c>
      <c r="V432" s="22" t="str">
        <f>IF(AND(OR(LEFT(TH!L432,2)="15",LEFT(TH!M432,2)="15"),'152-CT'!$J$8=TH!F432),"x","")</f>
        <v/>
      </c>
      <c r="W432" s="22" t="str">
        <f>IF(AND(OR(LEFT(TH!L432,2)="15",LEFT(TH!M432,2)="15"),TK!$E$7=TH!F432),"x","")</f>
        <v/>
      </c>
      <c r="X432" s="22" t="str">
        <f>IF(OR(TH!L432=TH!$X$7,M432=TH!$X$7),"x","")</f>
        <v/>
      </c>
      <c r="Y432" s="22" t="str">
        <f>IF(AND(B432&lt;=NKC!$N$8,B432&gt;=NKC!$M$8),"x","")</f>
        <v/>
      </c>
      <c r="Z432" s="580"/>
      <c r="AA432" s="406"/>
      <c r="AB432" s="406"/>
    </row>
    <row r="433" spans="1:31" s="130" customFormat="1" ht="15.75" customHeight="1">
      <c r="A433" s="123" t="str">
        <f>IF(B433&lt;&gt;"",IF(AND(B433&gt;=_TM1,B433&lt;=_TM2,OR(TH!L433="1111",TH!M433="1111")),TH!D433,""),"")</f>
        <v/>
      </c>
      <c r="B433" s="12">
        <f t="shared" si="15"/>
        <v>10</v>
      </c>
      <c r="C433" s="108">
        <f t="shared" si="16"/>
        <v>42657</v>
      </c>
      <c r="D433" s="108" t="s">
        <v>469</v>
      </c>
      <c r="E433" s="113">
        <v>42657</v>
      </c>
      <c r="F433" s="112" t="s">
        <v>484</v>
      </c>
      <c r="G433" s="114" t="s">
        <v>474</v>
      </c>
      <c r="H433" s="4" t="s">
        <v>371</v>
      </c>
      <c r="I433" s="139"/>
      <c r="J433" s="141"/>
      <c r="K433" s="13">
        <v>43410950</v>
      </c>
      <c r="L433" s="116" t="s">
        <v>24</v>
      </c>
      <c r="M433" s="411" t="s">
        <v>252</v>
      </c>
      <c r="N433" s="22" t="str">
        <f>IF(AND('331-CT'!$E$7=TH!H433,OR(L433="331",M433="331")),"331",IF(AND(OR(L433="131",M433="131"),H433='131-CT'!$E$7),"131",""))</f>
        <v/>
      </c>
      <c r="O433" s="22" t="str">
        <f>IF(AND($B433&gt;='111'!$N$11,$B433&lt;='111'!$O$11,OR($L433=$O$7,$M433=$O$7)),"x","")</f>
        <v/>
      </c>
      <c r="P433" s="22" t="str">
        <f>IF(AND($L433=$O$7,$B433&lt;'111'!$N$11),"x","")</f>
        <v/>
      </c>
      <c r="Q433" s="22" t="str">
        <f>IF(AND($M433=$O$7,$B433&lt;'111'!$N$11),"x","")</f>
        <v/>
      </c>
      <c r="R433" s="22" t="str">
        <f>IF(ISERROR(FIND('112'!$M$9,G433,1)),"",IF((AND(FIND('112'!$M$9,G433,1)&gt;=1,$B433&gt;='112'!$N$8,$B433&lt;='112'!$O$8,OR($L433='112'!$I$6,$M433='112'!$I$6))),"x",""))</f>
        <v>x</v>
      </c>
      <c r="S433" s="22" t="str">
        <f>IF(ISERROR(FIND('112'!$M$9,G433,1)),"",IF((AND(LEFT(G433,2)=LEFT('112'!$M$9,2),B433&lt;'112'!$N$8,$L433='112'!$I$6)),"x",""))</f>
        <v/>
      </c>
      <c r="T433" s="22" t="str">
        <f>IF(ISERROR(FIND('112'!$M$9,G433,1)),"",IF((AND(RIGHT(G433,2)=RIGHT('112'!$M$9,2),B433&lt;'112'!$N$8,$M433='112'!$I$6)),"x",""))</f>
        <v/>
      </c>
      <c r="U433" s="22" t="str">
        <f>IF(AND(B433&gt;='IN-NX'!$P$3,B433&lt;='IN-NX'!$Q$3,'IN-NX'!$D$7=D433,OR(LEFT(L433,2)="15",AND(LEFT(M433,2)&lt;&gt;"15",LEFT(M433,2)&lt;&gt;"33"))),"x","")</f>
        <v/>
      </c>
      <c r="V433" s="22" t="str">
        <f>IF(AND(OR(LEFT(TH!L433,2)="15",LEFT(TH!M433,2)="15"),'152-CT'!$J$8=TH!F433),"x","")</f>
        <v/>
      </c>
      <c r="W433" s="22" t="str">
        <f>IF(AND(OR(LEFT(TH!L433,2)="15",LEFT(TH!M433,2)="15"),TK!$E$7=TH!F433),"x","")</f>
        <v/>
      </c>
      <c r="X433" s="22" t="str">
        <f>IF(OR(TH!L433=TH!$X$7,M433=TH!$X$7),"x","")</f>
        <v/>
      </c>
      <c r="Y433" s="22" t="str">
        <f>IF(AND(B433&lt;=NKC!$N$8,B433&gt;=NKC!$M$8),"x","")</f>
        <v/>
      </c>
      <c r="Z433" s="580"/>
      <c r="AA433" s="406"/>
      <c r="AD433" s="406"/>
      <c r="AE433" s="406"/>
    </row>
    <row r="434" spans="1:31" s="130" customFormat="1" ht="15.75" customHeight="1">
      <c r="A434" s="123" t="str">
        <f>IF(B434&lt;&gt;"",IF(AND(B434&gt;=_TM1,B434&lt;=_TM2,OR(TH!L434="1111",TH!M434="1111")),TH!D434,""),"")</f>
        <v/>
      </c>
      <c r="B434" s="12">
        <f t="shared" si="15"/>
        <v>10</v>
      </c>
      <c r="C434" s="108">
        <f t="shared" si="16"/>
        <v>42657</v>
      </c>
      <c r="D434" s="113" t="s">
        <v>461</v>
      </c>
      <c r="E434" s="113">
        <v>42657</v>
      </c>
      <c r="F434" s="112" t="s">
        <v>777</v>
      </c>
      <c r="G434" s="305" t="s">
        <v>781</v>
      </c>
      <c r="H434" s="115" t="s">
        <v>780</v>
      </c>
      <c r="I434" s="139">
        <v>16010</v>
      </c>
      <c r="J434" s="139">
        <v>800</v>
      </c>
      <c r="K434" s="13">
        <f>ROUND(I434*J434,0)</f>
        <v>12808000</v>
      </c>
      <c r="L434" s="116" t="s">
        <v>156</v>
      </c>
      <c r="M434" s="116" t="s">
        <v>8</v>
      </c>
      <c r="N434" s="22" t="str">
        <f>IF(AND('331-CT'!$E$7=TH!H434,OR(L434="331",M434="331")),"331",IF(AND(OR(L434="131",M434="131"),H434='131-CT'!$E$7),"131",""))</f>
        <v/>
      </c>
      <c r="O434" s="22" t="str">
        <f>IF(AND($B434&gt;='111'!$N$11,$B434&lt;='111'!$O$11,OR($L434=$O$7,$M434=$O$7)),"x","")</f>
        <v/>
      </c>
      <c r="P434" s="22" t="str">
        <f>IF(AND($L434=$O$7,$B434&lt;'111'!$N$11),"x","")</f>
        <v/>
      </c>
      <c r="Q434" s="22" t="str">
        <f>IF(AND($M434=$O$7,$B434&lt;'111'!$N$11),"x","")</f>
        <v/>
      </c>
      <c r="R434" s="22" t="str">
        <f>IF(ISERROR(FIND('112'!$M$9,G434,1)),"",IF((AND(FIND('112'!$M$9,G434,1)&gt;=1,$B434&gt;='112'!$N$8,$B434&lt;='112'!$O$8,OR($L434='112'!$I$6,$M434='112'!$I$6))),"x",""))</f>
        <v/>
      </c>
      <c r="S434" s="22" t="str">
        <f>IF(ISERROR(FIND('112'!$M$9,G434,1)),"",IF((AND(LEFT(G434,2)=LEFT('112'!$M$9,2),B434&lt;'112'!$N$8,$L434='112'!$I$6)),"x",""))</f>
        <v/>
      </c>
      <c r="T434" s="22" t="str">
        <f>IF(ISERROR(FIND('112'!$M$9,G434,1)),"",IF((AND(RIGHT(G434,2)=RIGHT('112'!$M$9,2),B434&lt;'112'!$N$8,$M434='112'!$I$6)),"x",""))</f>
        <v/>
      </c>
      <c r="U434" s="22" t="str">
        <f>IF(AND(B434&gt;='IN-NX'!$P$3,B434&lt;='IN-NX'!$Q$3,'IN-NX'!$D$7=D434,OR(LEFT(L434,2)="15",AND(LEFT(M434,2)&lt;&gt;"15",LEFT(M434,2)&lt;&gt;"33"))),"x","")</f>
        <v/>
      </c>
      <c r="V434" s="22" t="str">
        <f>IF(AND(OR(LEFT(TH!L434,2)="15",LEFT(TH!M434,2)="15"),'152-CT'!$J$8=TH!F434),"x","")</f>
        <v/>
      </c>
      <c r="W434" s="22" t="str">
        <f>IF(AND(OR(LEFT(TH!L434,2)="15",LEFT(TH!M434,2)="15"),TK!$E$7=TH!F434),"x","")</f>
        <v/>
      </c>
      <c r="X434" s="22" t="str">
        <f>IF(OR(TH!L434=TH!$X$7,M434=TH!$X$7),"x","")</f>
        <v/>
      </c>
      <c r="Y434" s="22" t="str">
        <f>IF(AND(B434&lt;=NKC!$N$8,B434&gt;=NKC!$M$8),"x","")</f>
        <v/>
      </c>
      <c r="Z434" s="580">
        <v>4</v>
      </c>
      <c r="AA434" s="406"/>
      <c r="AB434" s="406"/>
    </row>
    <row r="435" spans="1:31" s="130" customFormat="1" ht="15.75" customHeight="1">
      <c r="A435" s="123" t="str">
        <f>IF(B435&lt;&gt;"",IF(AND(B435&gt;=_TM1,B435&lt;=_TM2,OR(TH!L435="1111",TH!M435="1111")),TH!D435,""),"")</f>
        <v/>
      </c>
      <c r="B435" s="12">
        <f t="shared" si="15"/>
        <v>10</v>
      </c>
      <c r="C435" s="108">
        <f t="shared" si="16"/>
        <v>42657</v>
      </c>
      <c r="D435" s="113" t="s">
        <v>461</v>
      </c>
      <c r="E435" s="113">
        <v>42657</v>
      </c>
      <c r="F435" s="112" t="s">
        <v>778</v>
      </c>
      <c r="G435" s="305" t="s">
        <v>781</v>
      </c>
      <c r="H435" s="115" t="s">
        <v>780</v>
      </c>
      <c r="I435" s="139"/>
      <c r="J435" s="139"/>
      <c r="K435" s="13">
        <v>1280800</v>
      </c>
      <c r="L435" s="116" t="s">
        <v>9</v>
      </c>
      <c r="M435" s="116" t="s">
        <v>8</v>
      </c>
      <c r="N435" s="22" t="str">
        <f>IF(AND('331-CT'!$E$7=TH!H435,OR(L435="331",M435="331")),"331",IF(AND(OR(L435="131",M435="131"),H435='131-CT'!$E$7),"131",""))</f>
        <v/>
      </c>
      <c r="O435" s="22" t="str">
        <f>IF(AND($B435&gt;='111'!$N$11,$B435&lt;='111'!$O$11,OR($L435=$O$7,$M435=$O$7)),"x","")</f>
        <v/>
      </c>
      <c r="P435" s="22" t="str">
        <f>IF(AND($L435=$O$7,$B435&lt;'111'!$N$11),"x","")</f>
        <v/>
      </c>
      <c r="Q435" s="22" t="str">
        <f>IF(AND($M435=$O$7,$B435&lt;'111'!$N$11),"x","")</f>
        <v/>
      </c>
      <c r="R435" s="22" t="str">
        <f>IF(ISERROR(FIND('112'!$M$9,G435,1)),"",IF((AND(FIND('112'!$M$9,G435,1)&gt;=1,$B435&gt;='112'!$N$8,$B435&lt;='112'!$O$8,OR($L435='112'!$I$6,$M435='112'!$I$6))),"x",""))</f>
        <v/>
      </c>
      <c r="S435" s="22" t="str">
        <f>IF(ISERROR(FIND('112'!$M$9,G435,1)),"",IF((AND(LEFT(G435,2)=LEFT('112'!$M$9,2),B435&lt;'112'!$N$8,$L435='112'!$I$6)),"x",""))</f>
        <v/>
      </c>
      <c r="T435" s="22" t="str">
        <f>IF(ISERROR(FIND('112'!$M$9,G435,1)),"",IF((AND(RIGHT(G435,2)=RIGHT('112'!$M$9,2),B435&lt;'112'!$N$8,$M435='112'!$I$6)),"x",""))</f>
        <v/>
      </c>
      <c r="U435" s="22" t="str">
        <f>IF(AND(B435&gt;='IN-NX'!$P$3,B435&lt;='IN-NX'!$Q$3,'IN-NX'!$D$7=D435,OR(LEFT(L435,2)="15",AND(LEFT(M435,2)&lt;&gt;"15",LEFT(M435,2)&lt;&gt;"33"))),"x","")</f>
        <v/>
      </c>
      <c r="V435" s="22" t="str">
        <f>IF(AND(OR(LEFT(TH!L435,2)="15",LEFT(TH!M435,2)="15"),'152-CT'!$J$8=TH!F435),"x","")</f>
        <v/>
      </c>
      <c r="W435" s="22" t="str">
        <f>IF(AND(OR(LEFT(TH!L435,2)="15",LEFT(TH!M435,2)="15"),TK!$E$7=TH!F435),"x","")</f>
        <v/>
      </c>
      <c r="X435" s="22" t="str">
        <f>IF(OR(TH!L435=TH!$X$7,M435=TH!$X$7),"x","")</f>
        <v/>
      </c>
      <c r="Y435" s="22" t="str">
        <f>IF(AND(B435&lt;=NKC!$N$8,B435&gt;=NKC!$M$8),"x","")</f>
        <v/>
      </c>
      <c r="Z435" s="580">
        <v>4</v>
      </c>
      <c r="AA435" s="406"/>
      <c r="AB435" s="406"/>
    </row>
    <row r="436" spans="1:31" s="130" customFormat="1" ht="15.75" customHeight="1">
      <c r="A436" s="123" t="str">
        <f>IF(B436&lt;&gt;"",IF(AND(B436&gt;=_TM1,B436&lt;=_TM2,OR(TH!L436="1111",TH!M436="1111")),TH!D436,""),"")</f>
        <v>C06</v>
      </c>
      <c r="B436" s="12">
        <f t="shared" si="15"/>
        <v>10</v>
      </c>
      <c r="C436" s="108">
        <f t="shared" si="16"/>
        <v>42657</v>
      </c>
      <c r="D436" s="113" t="s">
        <v>459</v>
      </c>
      <c r="E436" s="113">
        <v>42657</v>
      </c>
      <c r="F436" s="112" t="s">
        <v>465</v>
      </c>
      <c r="G436" s="305" t="s">
        <v>781</v>
      </c>
      <c r="H436" s="115" t="s">
        <v>780</v>
      </c>
      <c r="I436" s="139"/>
      <c r="J436" s="139"/>
      <c r="K436" s="13">
        <v>14088800</v>
      </c>
      <c r="L436" s="116" t="s">
        <v>8</v>
      </c>
      <c r="M436" s="411" t="s">
        <v>46</v>
      </c>
      <c r="N436" s="22" t="str">
        <f>IF(AND('331-CT'!$E$7=TH!H436,OR(L436="331",M436="331")),"331",IF(AND(OR(L436="131",M436="131"),H436='131-CT'!$E$7),"131",""))</f>
        <v/>
      </c>
      <c r="O436" s="22" t="str">
        <f>IF(AND($B436&gt;='111'!$N$11,$B436&lt;='111'!$O$11,OR($L436=$O$7,$M436=$O$7)),"x","")</f>
        <v>x</v>
      </c>
      <c r="P436" s="22" t="str">
        <f>IF(AND($L436=$O$7,$B436&lt;'111'!$N$11),"x","")</f>
        <v/>
      </c>
      <c r="Q436" s="22" t="str">
        <f>IF(AND($M436=$O$7,$B436&lt;'111'!$N$11),"x","")</f>
        <v/>
      </c>
      <c r="R436" s="22" t="str">
        <f>IF(ISERROR(FIND('112'!$M$9,G436,1)),"",IF((AND(FIND('112'!$M$9,G436,1)&gt;=1,$B436&gt;='112'!$N$8,$B436&lt;='112'!$O$8,OR($L436='112'!$I$6,$M436='112'!$I$6))),"x",""))</f>
        <v/>
      </c>
      <c r="S436" s="22" t="str">
        <f>IF(ISERROR(FIND('112'!$M$9,G436,1)),"",IF((AND(LEFT(G436,2)=LEFT('112'!$M$9,2),B436&lt;'112'!$N$8,$L436='112'!$I$6)),"x",""))</f>
        <v/>
      </c>
      <c r="T436" s="22" t="str">
        <f>IF(ISERROR(FIND('112'!$M$9,G436,1)),"",IF((AND(RIGHT(G436,2)=RIGHT('112'!$M$9,2),B436&lt;'112'!$N$8,$M436='112'!$I$6)),"x",""))</f>
        <v/>
      </c>
      <c r="U436" s="22" t="str">
        <f>IF(AND(B436&gt;='IN-NX'!$P$3,B436&lt;='IN-NX'!$Q$3,'IN-NX'!$D$7=D436,OR(LEFT(L436,2)="15",AND(LEFT(M436,2)&lt;&gt;"15",LEFT(M436,2)&lt;&gt;"33"))),"x","")</f>
        <v/>
      </c>
      <c r="V436" s="22" t="str">
        <f>IF(AND(OR(LEFT(TH!L436,2)="15",LEFT(TH!M436,2)="15"),'152-CT'!$J$8=TH!F436),"x","")</f>
        <v/>
      </c>
      <c r="W436" s="22" t="str">
        <f>IF(AND(OR(LEFT(TH!L436,2)="15",LEFT(TH!M436,2)="15"),TK!$E$7=TH!F436),"x","")</f>
        <v/>
      </c>
      <c r="X436" s="22" t="str">
        <f>IF(OR(TH!L436=TH!$X$7,M436=TH!$X$7),"x","")</f>
        <v/>
      </c>
      <c r="Y436" s="22" t="str">
        <f>IF(AND(B436&lt;=NKC!$N$8,B436&gt;=NKC!$M$8),"x","")</f>
        <v/>
      </c>
      <c r="Z436" s="580"/>
      <c r="AA436" s="406"/>
      <c r="AB436" s="406"/>
    </row>
    <row r="437" spans="1:31" s="130" customFormat="1" ht="15.75" customHeight="1">
      <c r="A437" s="123" t="str">
        <f>IF(B437&lt;&gt;"",IF(AND(B437&gt;=_TM1,B437&lt;=_TM2,OR(TH!L437="1111",TH!M437="1111")),TH!D437,""),"")</f>
        <v/>
      </c>
      <c r="B437" s="12">
        <f t="shared" si="15"/>
        <v>10</v>
      </c>
      <c r="C437" s="108">
        <f t="shared" si="16"/>
        <v>42658</v>
      </c>
      <c r="D437" s="113" t="s">
        <v>324</v>
      </c>
      <c r="E437" s="113">
        <v>42658</v>
      </c>
      <c r="F437" s="112" t="s">
        <v>775</v>
      </c>
      <c r="G437" s="305" t="s">
        <v>776</v>
      </c>
      <c r="H437" s="115" t="s">
        <v>624</v>
      </c>
      <c r="I437" s="139"/>
      <c r="J437" s="139"/>
      <c r="K437" s="13">
        <v>37000000</v>
      </c>
      <c r="L437" s="116" t="s">
        <v>82</v>
      </c>
      <c r="M437" s="116" t="s">
        <v>8</v>
      </c>
      <c r="N437" s="22" t="str">
        <f>IF(AND('331-CT'!$E$7=TH!H437,OR(L437="331",M437="331")),"331",IF(AND(OR(L437="131",M437="131"),H437='131-CT'!$E$7),"131",""))</f>
        <v/>
      </c>
      <c r="O437" s="22" t="str">
        <f>IF(AND($B437&gt;='111'!$N$11,$B437&lt;='111'!$O$11,OR($L437=$O$7,$M437=$O$7)),"x","")</f>
        <v/>
      </c>
      <c r="P437" s="22" t="str">
        <f>IF(AND($L437=$O$7,$B437&lt;'111'!$N$11),"x","")</f>
        <v/>
      </c>
      <c r="Q437" s="22" t="str">
        <f>IF(AND($M437=$O$7,$B437&lt;'111'!$N$11),"x","")</f>
        <v/>
      </c>
      <c r="R437" s="22" t="str">
        <f>IF(ISERROR(FIND('112'!$M$9,G437,1)),"",IF((AND(FIND('112'!$M$9,G437,1)&gt;=1,$B437&gt;='112'!$N$8,$B437&lt;='112'!$O$8,OR($L437='112'!$I$6,$M437='112'!$I$6))),"x",""))</f>
        <v/>
      </c>
      <c r="S437" s="22" t="str">
        <f>IF(ISERROR(FIND('112'!$M$9,G437,1)),"",IF((AND(LEFT(G437,2)=LEFT('112'!$M$9,2),B437&lt;'112'!$N$8,$L437='112'!$I$6)),"x",""))</f>
        <v/>
      </c>
      <c r="T437" s="22" t="str">
        <f>IF(ISERROR(FIND('112'!$M$9,G437,1)),"",IF((AND(RIGHT(G437,2)=RIGHT('112'!$M$9,2),B437&lt;'112'!$N$8,$M437='112'!$I$6)),"x",""))</f>
        <v/>
      </c>
      <c r="U437" s="22" t="str">
        <f>IF(AND(B437&gt;='IN-NX'!$P$3,B437&lt;='IN-NX'!$Q$3,'IN-NX'!$D$7=D437,OR(LEFT(L437,2)="15",AND(LEFT(M437,2)&lt;&gt;"15",LEFT(M437,2)&lt;&gt;"33"))),"x","")</f>
        <v/>
      </c>
      <c r="V437" s="22" t="str">
        <f>IF(AND(OR(LEFT(TH!L437,2)="15",LEFT(TH!M437,2)="15"),'152-CT'!$J$8=TH!F437),"x","")</f>
        <v/>
      </c>
      <c r="W437" s="22" t="str">
        <f>IF(AND(OR(LEFT(TH!L437,2)="15",LEFT(TH!M437,2)="15"),TK!$E$7=TH!F437),"x","")</f>
        <v/>
      </c>
      <c r="X437" s="22" t="str">
        <f>IF(OR(TH!L437=TH!$X$7,M437=TH!$X$7),"x","")</f>
        <v>x</v>
      </c>
      <c r="Y437" s="22" t="str">
        <f>IF(AND(B437&lt;=NKC!$N$8,B437&gt;=NKC!$M$8),"x","")</f>
        <v/>
      </c>
      <c r="Z437" s="580">
        <v>4</v>
      </c>
      <c r="AA437" s="406"/>
      <c r="AB437" s="406"/>
    </row>
    <row r="438" spans="1:31" s="130" customFormat="1" ht="15.75" customHeight="1">
      <c r="A438" s="123" t="str">
        <f>IF(B438&lt;&gt;"",IF(AND(B438&gt;=_TM1,B438&lt;=_TM2,OR(TH!L438="1111",TH!M438="1111")),TH!D438,""),"")</f>
        <v/>
      </c>
      <c r="B438" s="12">
        <f t="shared" si="15"/>
        <v>10</v>
      </c>
      <c r="C438" s="108">
        <f t="shared" si="16"/>
        <v>42658</v>
      </c>
      <c r="D438" s="113" t="s">
        <v>324</v>
      </c>
      <c r="E438" s="113">
        <v>42658</v>
      </c>
      <c r="F438" s="112" t="s">
        <v>435</v>
      </c>
      <c r="G438" s="305" t="s">
        <v>776</v>
      </c>
      <c r="H438" s="115" t="s">
        <v>624</v>
      </c>
      <c r="I438" s="139"/>
      <c r="J438" s="139"/>
      <c r="K438" s="13">
        <v>3700000</v>
      </c>
      <c r="L438" s="116" t="s">
        <v>9</v>
      </c>
      <c r="M438" s="116" t="s">
        <v>8</v>
      </c>
      <c r="N438" s="22" t="str">
        <f>IF(AND('331-CT'!$E$7=TH!H438,OR(L438="331",M438="331")),"331",IF(AND(OR(L438="131",M438="131"),H438='131-CT'!$E$7),"131",""))</f>
        <v/>
      </c>
      <c r="O438" s="22" t="str">
        <f>IF(AND($B438&gt;='111'!$N$11,$B438&lt;='111'!$O$11,OR($L438=$O$7,$M438=$O$7)),"x","")</f>
        <v/>
      </c>
      <c r="P438" s="22" t="str">
        <f>IF(AND($L438=$O$7,$B438&lt;'111'!$N$11),"x","")</f>
        <v/>
      </c>
      <c r="Q438" s="22" t="str">
        <f>IF(AND($M438=$O$7,$B438&lt;'111'!$N$11),"x","")</f>
        <v/>
      </c>
      <c r="R438" s="22" t="str">
        <f>IF(ISERROR(FIND('112'!$M$9,G438,1)),"",IF((AND(FIND('112'!$M$9,G438,1)&gt;=1,$B438&gt;='112'!$N$8,$B438&lt;='112'!$O$8,OR($L438='112'!$I$6,$M438='112'!$I$6))),"x",""))</f>
        <v/>
      </c>
      <c r="S438" s="22" t="str">
        <f>IF(ISERROR(FIND('112'!$M$9,G438,1)),"",IF((AND(LEFT(G438,2)=LEFT('112'!$M$9,2),B438&lt;'112'!$N$8,$L438='112'!$I$6)),"x",""))</f>
        <v/>
      </c>
      <c r="T438" s="22" t="str">
        <f>IF(ISERROR(FIND('112'!$M$9,G438,1)),"",IF((AND(RIGHT(G438,2)=RIGHT('112'!$M$9,2),B438&lt;'112'!$N$8,$M438='112'!$I$6)),"x",""))</f>
        <v/>
      </c>
      <c r="U438" s="22" t="str">
        <f>IF(AND(B438&gt;='IN-NX'!$P$3,B438&lt;='IN-NX'!$Q$3,'IN-NX'!$D$7=D438,OR(LEFT(L438,2)="15",AND(LEFT(M438,2)&lt;&gt;"15",LEFT(M438,2)&lt;&gt;"33"))),"x","")</f>
        <v/>
      </c>
      <c r="V438" s="22" t="str">
        <f>IF(AND(OR(LEFT(TH!L438,2)="15",LEFT(TH!M438,2)="15"),'152-CT'!$J$8=TH!F438),"x","")</f>
        <v/>
      </c>
      <c r="W438" s="22" t="str">
        <f>IF(AND(OR(LEFT(TH!L438,2)="15",LEFT(TH!M438,2)="15"),TK!$E$7=TH!F438),"x","")</f>
        <v/>
      </c>
      <c r="X438" s="22" t="str">
        <f>IF(OR(TH!L438=TH!$X$7,M438=TH!$X$7),"x","")</f>
        <v/>
      </c>
      <c r="Y438" s="22" t="str">
        <f>IF(AND(B438&lt;=NKC!$N$8,B438&gt;=NKC!$M$8),"x","")</f>
        <v/>
      </c>
      <c r="Z438" s="580">
        <v>4</v>
      </c>
      <c r="AA438" s="406"/>
      <c r="AB438" s="406"/>
    </row>
    <row r="439" spans="1:31" s="130" customFormat="1" ht="15.75" customHeight="1">
      <c r="A439" s="123" t="str">
        <f>IF(B439&lt;&gt;"",IF(AND(B439&gt;=_TM1,B439&lt;=_TM2,OR(TH!L439="1111",TH!M439="1111")),TH!D439,""),"")</f>
        <v/>
      </c>
      <c r="B439" s="12">
        <f t="shared" si="15"/>
        <v>10</v>
      </c>
      <c r="C439" s="108">
        <f t="shared" si="16"/>
        <v>42660</v>
      </c>
      <c r="D439" s="108" t="s">
        <v>470</v>
      </c>
      <c r="E439" s="113">
        <v>42660</v>
      </c>
      <c r="F439" s="114" t="s">
        <v>479</v>
      </c>
      <c r="G439" s="114" t="s">
        <v>474</v>
      </c>
      <c r="H439" s="115" t="s">
        <v>624</v>
      </c>
      <c r="I439" s="139"/>
      <c r="J439" s="139"/>
      <c r="K439" s="13">
        <v>40700000</v>
      </c>
      <c r="L439" s="116" t="s">
        <v>8</v>
      </c>
      <c r="M439" s="411" t="s">
        <v>24</v>
      </c>
      <c r="N439" s="22" t="str">
        <f>IF(AND('331-CT'!$E$7=TH!H439,OR(L439="331",M439="331")),"331",IF(AND(OR(L439="131",M439="131"),H439='131-CT'!$E$7),"131",""))</f>
        <v/>
      </c>
      <c r="O439" s="22" t="str">
        <f>IF(AND($B439&gt;='111'!$N$11,$B439&lt;='111'!$O$11,OR($L439=$O$7,$M439=$O$7)),"x","")</f>
        <v/>
      </c>
      <c r="P439" s="22" t="str">
        <f>IF(AND($L439=$O$7,$B439&lt;'111'!$N$11),"x","")</f>
        <v/>
      </c>
      <c r="Q439" s="22" t="str">
        <f>IF(AND($M439=$O$7,$B439&lt;'111'!$N$11),"x","")</f>
        <v/>
      </c>
      <c r="R439" s="22" t="str">
        <f>IF(ISERROR(FIND('112'!$M$9,G439,1)),"",IF((AND(FIND('112'!$M$9,G439,1)&gt;=1,$B439&gt;='112'!$N$8,$B439&lt;='112'!$O$8,OR($L439='112'!$I$6,$M439='112'!$I$6))),"x",""))</f>
        <v>x</v>
      </c>
      <c r="S439" s="22" t="str">
        <f>IF(ISERROR(FIND('112'!$M$9,G439,1)),"",IF((AND(LEFT(G439,2)=LEFT('112'!$M$9,2),B439&lt;'112'!$N$8,$L439='112'!$I$6)),"x",""))</f>
        <v/>
      </c>
      <c r="T439" s="22" t="str">
        <f>IF(ISERROR(FIND('112'!$M$9,G439,1)),"",IF((AND(RIGHT(G439,2)=RIGHT('112'!$M$9,2),B439&lt;'112'!$N$8,$M439='112'!$I$6)),"x",""))</f>
        <v/>
      </c>
      <c r="U439" s="22" t="str">
        <f>IF(AND(B439&gt;='IN-NX'!$P$3,B439&lt;='IN-NX'!$Q$3,'IN-NX'!$D$7=D439,OR(LEFT(L439,2)="15",AND(LEFT(M439,2)&lt;&gt;"15",LEFT(M439,2)&lt;&gt;"33"))),"x","")</f>
        <v/>
      </c>
      <c r="V439" s="22" t="str">
        <f>IF(AND(OR(LEFT(TH!L439,2)="15",LEFT(TH!M439,2)="15"),'152-CT'!$J$8=TH!F439),"x","")</f>
        <v/>
      </c>
      <c r="W439" s="22" t="str">
        <f>IF(AND(OR(LEFT(TH!L439,2)="15",LEFT(TH!M439,2)="15"),TK!$E$7=TH!F439),"x","")</f>
        <v/>
      </c>
      <c r="X439" s="22" t="str">
        <f>IF(OR(TH!L439=TH!$X$7,M439=TH!$X$7),"x","")</f>
        <v/>
      </c>
      <c r="Y439" s="22" t="str">
        <f>IF(AND(B439&lt;=NKC!$N$8,B439&gt;=NKC!$M$8),"x","")</f>
        <v/>
      </c>
      <c r="Z439" s="580"/>
      <c r="AA439" s="406"/>
      <c r="AB439" s="406"/>
      <c r="AC439" s="406"/>
    </row>
    <row r="440" spans="1:31" s="130" customFormat="1" ht="15.75" customHeight="1">
      <c r="A440" s="123" t="str">
        <f>IF(B440&lt;&gt;"",IF(AND(B440&gt;=_TM1,B440&lt;=_TM2,OR(TH!L440="1111",TH!M440="1111")),TH!D440,""),"")</f>
        <v/>
      </c>
      <c r="B440" s="12">
        <f t="shared" si="15"/>
        <v>10</v>
      </c>
      <c r="C440" s="108">
        <f t="shared" si="16"/>
        <v>42660</v>
      </c>
      <c r="D440" s="113" t="s">
        <v>402</v>
      </c>
      <c r="E440" s="113">
        <v>42660</v>
      </c>
      <c r="F440" s="112" t="s">
        <v>783</v>
      </c>
      <c r="G440" s="305" t="s">
        <v>788</v>
      </c>
      <c r="H440" s="4" t="s">
        <v>398</v>
      </c>
      <c r="I440" s="139">
        <v>8032</v>
      </c>
      <c r="J440" s="139">
        <v>7800</v>
      </c>
      <c r="K440" s="13">
        <f>ROUND(I440*J440,0)</f>
        <v>62649600</v>
      </c>
      <c r="L440" s="116" t="s">
        <v>154</v>
      </c>
      <c r="M440" s="411" t="s">
        <v>8</v>
      </c>
      <c r="N440" s="22" t="str">
        <f>IF(AND('331-CT'!$E$7=TH!H440,OR(L440="331",M440="331")),"331",IF(AND(OR(L440="131",M440="131"),H440='131-CT'!$E$7),"131",""))</f>
        <v/>
      </c>
      <c r="O440" s="22" t="str">
        <f>IF(AND($B440&gt;='111'!$N$11,$B440&lt;='111'!$O$11,OR($L440=$O$7,$M440=$O$7)),"x","")</f>
        <v/>
      </c>
      <c r="P440" s="22" t="str">
        <f>IF(AND($L440=$O$7,$B440&lt;'111'!$N$11),"x","")</f>
        <v/>
      </c>
      <c r="Q440" s="22" t="str">
        <f>IF(AND($M440=$O$7,$B440&lt;'111'!$N$11),"x","")</f>
        <v/>
      </c>
      <c r="R440" s="22" t="str">
        <f>IF(ISERROR(FIND('112'!$M$9,G440,1)),"",IF((AND(FIND('112'!$M$9,G440,1)&gt;=1,$B440&gt;='112'!$N$8,$B440&lt;='112'!$O$8,OR($L440='112'!$I$6,$M440='112'!$I$6))),"x",""))</f>
        <v/>
      </c>
      <c r="S440" s="22" t="str">
        <f>IF(ISERROR(FIND('112'!$M$9,G440,1)),"",IF((AND(LEFT(G440,2)=LEFT('112'!$M$9,2),B440&lt;'112'!$N$8,$L440='112'!$I$6)),"x",""))</f>
        <v/>
      </c>
      <c r="T440" s="22" t="str">
        <f>IF(ISERROR(FIND('112'!$M$9,G440,1)),"",IF((AND(RIGHT(G440,2)=RIGHT('112'!$M$9,2),B440&lt;'112'!$N$8,$M440='112'!$I$6)),"x",""))</f>
        <v/>
      </c>
      <c r="U440" s="22" t="str">
        <f>IF(AND(B440&gt;='IN-NX'!$P$3,B440&lt;='IN-NX'!$Q$3,'IN-NX'!$D$7=D440,OR(LEFT(L440,2)="15",AND(LEFT(M440,2)&lt;&gt;"15",LEFT(M440,2)&lt;&gt;"33"))),"x","")</f>
        <v/>
      </c>
      <c r="V440" s="22" t="str">
        <f>IF(AND(OR(LEFT(TH!L440,2)="15",LEFT(TH!M440,2)="15"),'152-CT'!$J$8=TH!F440),"x","")</f>
        <v>x</v>
      </c>
      <c r="W440" s="22" t="str">
        <f>IF(AND(OR(LEFT(TH!L440,2)="15",LEFT(TH!M440,2)="15"),TK!$E$7=TH!F440),"x","")</f>
        <v/>
      </c>
      <c r="X440" s="22" t="str">
        <f>IF(OR(TH!L440=TH!$X$7,M440=TH!$X$7),"x","")</f>
        <v/>
      </c>
      <c r="Y440" s="22" t="str">
        <f>IF(AND(B440&lt;=NKC!$N$8,B440&gt;=NKC!$M$8),"x","")</f>
        <v/>
      </c>
      <c r="Z440" s="580">
        <v>4</v>
      </c>
      <c r="AA440" s="406"/>
      <c r="AB440" s="406"/>
    </row>
    <row r="441" spans="1:31" s="130" customFormat="1" ht="15.75" customHeight="1">
      <c r="A441" s="123" t="str">
        <f>IF(B441&lt;&gt;"",IF(AND(B441&gt;=_TM1,B441&lt;=_TM2,OR(TH!L441="1111",TH!M441="1111")),TH!D441,""),"")</f>
        <v/>
      </c>
      <c r="B441" s="12">
        <f t="shared" si="15"/>
        <v>10</v>
      </c>
      <c r="C441" s="108">
        <f t="shared" si="16"/>
        <v>42660</v>
      </c>
      <c r="D441" s="113" t="s">
        <v>402</v>
      </c>
      <c r="E441" s="113">
        <v>42660</v>
      </c>
      <c r="F441" s="112" t="s">
        <v>376</v>
      </c>
      <c r="G441" s="305" t="s">
        <v>788</v>
      </c>
      <c r="H441" s="4" t="s">
        <v>398</v>
      </c>
      <c r="I441" s="139"/>
      <c r="J441" s="139"/>
      <c r="K441" s="13">
        <v>6264960</v>
      </c>
      <c r="L441" s="116" t="s">
        <v>9</v>
      </c>
      <c r="M441" s="116" t="s">
        <v>8</v>
      </c>
      <c r="N441" s="22" t="str">
        <f>IF(AND('331-CT'!$E$7=TH!H441,OR(L441="331",M441="331")),"331",IF(AND(OR(L441="131",M441="131"),H441='131-CT'!$E$7),"131",""))</f>
        <v/>
      </c>
      <c r="O441" s="22" t="str">
        <f>IF(AND($B441&gt;='111'!$N$11,$B441&lt;='111'!$O$11,OR($L441=$O$7,$M441=$O$7)),"x","")</f>
        <v/>
      </c>
      <c r="P441" s="22" t="str">
        <f>IF(AND($L441=$O$7,$B441&lt;'111'!$N$11),"x","")</f>
        <v/>
      </c>
      <c r="Q441" s="22" t="str">
        <f>IF(AND($M441=$O$7,$B441&lt;'111'!$N$11),"x","")</f>
        <v/>
      </c>
      <c r="R441" s="22" t="str">
        <f>IF(ISERROR(FIND('112'!$M$9,G441,1)),"",IF((AND(FIND('112'!$M$9,G441,1)&gt;=1,$B441&gt;='112'!$N$8,$B441&lt;='112'!$O$8,OR($L441='112'!$I$6,$M441='112'!$I$6))),"x",""))</f>
        <v/>
      </c>
      <c r="S441" s="22" t="str">
        <f>IF(ISERROR(FIND('112'!$M$9,G441,1)),"",IF((AND(LEFT(G441,2)=LEFT('112'!$M$9,2),B441&lt;'112'!$N$8,$L441='112'!$I$6)),"x",""))</f>
        <v/>
      </c>
      <c r="T441" s="22" t="str">
        <f>IF(ISERROR(FIND('112'!$M$9,G441,1)),"",IF((AND(RIGHT(G441,2)=RIGHT('112'!$M$9,2),B441&lt;'112'!$N$8,$M441='112'!$I$6)),"x",""))</f>
        <v/>
      </c>
      <c r="U441" s="22" t="str">
        <f>IF(AND(B441&gt;='IN-NX'!$P$3,B441&lt;='IN-NX'!$Q$3,'IN-NX'!$D$7=D441,OR(LEFT(L441,2)="15",AND(LEFT(M441,2)&lt;&gt;"15",LEFT(M441,2)&lt;&gt;"33"))),"x","")</f>
        <v/>
      </c>
      <c r="V441" s="22" t="str">
        <f>IF(AND(OR(LEFT(TH!L441,2)="15",LEFT(TH!M441,2)="15"),'152-CT'!$J$8=TH!F441),"x","")</f>
        <v/>
      </c>
      <c r="W441" s="22" t="str">
        <f>IF(AND(OR(LEFT(TH!L441,2)="15",LEFT(TH!M441,2)="15"),TK!$E$7=TH!F441),"x","")</f>
        <v/>
      </c>
      <c r="X441" s="22" t="str">
        <f>IF(OR(TH!L441=TH!$X$7,M441=TH!$X$7),"x","")</f>
        <v/>
      </c>
      <c r="Y441" s="22" t="str">
        <f>IF(AND(B441&lt;=NKC!$N$8,B441&gt;=NKC!$M$8),"x","")</f>
        <v/>
      </c>
      <c r="Z441" s="580">
        <v>4</v>
      </c>
      <c r="AA441" s="406"/>
      <c r="AB441" s="406"/>
    </row>
    <row r="442" spans="1:31" s="130" customFormat="1" ht="15.75" customHeight="1">
      <c r="A442" s="123" t="str">
        <f>IF(B442&lt;&gt;"",IF(AND(B442&gt;=_TM1,B442&lt;=_TM2,OR(TH!L442="1111",TH!M442="1111")),TH!D442,""),"")</f>
        <v/>
      </c>
      <c r="B442" s="12">
        <f t="shared" si="15"/>
        <v>10</v>
      </c>
      <c r="C442" s="108">
        <f t="shared" si="16"/>
        <v>42660</v>
      </c>
      <c r="D442" s="113" t="s">
        <v>403</v>
      </c>
      <c r="E442" s="113">
        <v>42660</v>
      </c>
      <c r="F442" s="112" t="s">
        <v>783</v>
      </c>
      <c r="G442" s="305" t="s">
        <v>790</v>
      </c>
      <c r="H442" s="4" t="s">
        <v>398</v>
      </c>
      <c r="I442" s="139">
        <v>7448</v>
      </c>
      <c r="J442" s="139">
        <v>8200</v>
      </c>
      <c r="K442" s="13">
        <f>ROUND(I442*J442,0)</f>
        <v>61073600</v>
      </c>
      <c r="L442" s="116" t="s">
        <v>154</v>
      </c>
      <c r="M442" s="411" t="s">
        <v>8</v>
      </c>
      <c r="N442" s="22" t="str">
        <f>IF(AND('331-CT'!$E$7=TH!H442,OR(L442="331",M442="331")),"331",IF(AND(OR(L442="131",M442="131"),H442='131-CT'!$E$7),"131",""))</f>
        <v/>
      </c>
      <c r="O442" s="22" t="str">
        <f>IF(AND($B442&gt;='111'!$N$11,$B442&lt;='111'!$O$11,OR($L442=$O$7,$M442=$O$7)),"x","")</f>
        <v/>
      </c>
      <c r="P442" s="22" t="str">
        <f>IF(AND($L442=$O$7,$B442&lt;'111'!$N$11),"x","")</f>
        <v/>
      </c>
      <c r="Q442" s="22" t="str">
        <f>IF(AND($M442=$O$7,$B442&lt;'111'!$N$11),"x","")</f>
        <v/>
      </c>
      <c r="R442" s="22" t="str">
        <f>IF(ISERROR(FIND('112'!$M$9,G442,1)),"",IF((AND(FIND('112'!$M$9,G442,1)&gt;=1,$B442&gt;='112'!$N$8,$B442&lt;='112'!$O$8,OR($L442='112'!$I$6,$M442='112'!$I$6))),"x",""))</f>
        <v/>
      </c>
      <c r="S442" s="22" t="str">
        <f>IF(ISERROR(FIND('112'!$M$9,G442,1)),"",IF((AND(LEFT(G442,2)=LEFT('112'!$M$9,2),B442&lt;'112'!$N$8,$L442='112'!$I$6)),"x",""))</f>
        <v/>
      </c>
      <c r="T442" s="22" t="str">
        <f>IF(ISERROR(FIND('112'!$M$9,G442,1)),"",IF((AND(RIGHT(G442,2)=RIGHT('112'!$M$9,2),B442&lt;'112'!$N$8,$M442='112'!$I$6)),"x",""))</f>
        <v/>
      </c>
      <c r="U442" s="22" t="str">
        <f>IF(AND(B442&gt;='IN-NX'!$P$3,B442&lt;='IN-NX'!$Q$3,'IN-NX'!$D$7=D442,OR(LEFT(L442,2)="15",AND(LEFT(M442,2)&lt;&gt;"15",LEFT(M442,2)&lt;&gt;"33"))),"x","")</f>
        <v/>
      </c>
      <c r="V442" s="22" t="str">
        <f>IF(AND(OR(LEFT(TH!L442,2)="15",LEFT(TH!M442,2)="15"),'152-CT'!$J$8=TH!F442),"x","")</f>
        <v>x</v>
      </c>
      <c r="W442" s="22" t="str">
        <f>IF(AND(OR(LEFT(TH!L442,2)="15",LEFT(TH!M442,2)="15"),TK!$E$7=TH!F442),"x","")</f>
        <v/>
      </c>
      <c r="X442" s="22" t="str">
        <f>IF(OR(TH!L442=TH!$X$7,M442=TH!$X$7),"x","")</f>
        <v/>
      </c>
      <c r="Y442" s="22" t="str">
        <f>IF(AND(B442&lt;=NKC!$N$8,B442&gt;=NKC!$M$8),"x","")</f>
        <v/>
      </c>
      <c r="Z442" s="580">
        <v>4</v>
      </c>
      <c r="AA442" s="406"/>
    </row>
    <row r="443" spans="1:31" s="130" customFormat="1" ht="15.75" customHeight="1">
      <c r="A443" s="123" t="str">
        <f>IF(B443&lt;&gt;"",IF(AND(B443&gt;=_TM1,B443&lt;=_TM2,OR(TH!L443="1111",TH!M443="1111")),TH!D443,""),"")</f>
        <v/>
      </c>
      <c r="B443" s="12">
        <f t="shared" si="15"/>
        <v>10</v>
      </c>
      <c r="C443" s="108">
        <f t="shared" si="16"/>
        <v>42660</v>
      </c>
      <c r="D443" s="113" t="s">
        <v>403</v>
      </c>
      <c r="E443" s="113">
        <v>42660</v>
      </c>
      <c r="F443" s="112" t="s">
        <v>376</v>
      </c>
      <c r="G443" s="305" t="s">
        <v>790</v>
      </c>
      <c r="H443" s="4" t="s">
        <v>398</v>
      </c>
      <c r="I443" s="139"/>
      <c r="J443" s="139"/>
      <c r="K443" s="13">
        <v>6107360</v>
      </c>
      <c r="L443" s="116" t="s">
        <v>9</v>
      </c>
      <c r="M443" s="116" t="s">
        <v>8</v>
      </c>
      <c r="N443" s="22" t="str">
        <f>IF(AND('331-CT'!$E$7=TH!H443,OR(L443="331",M443="331")),"331",IF(AND(OR(L443="131",M443="131"),H443='131-CT'!$E$7),"131",""))</f>
        <v/>
      </c>
      <c r="O443" s="22" t="str">
        <f>IF(AND($B443&gt;='111'!$N$11,$B443&lt;='111'!$O$11,OR($L443=$O$7,$M443=$O$7)),"x","")</f>
        <v/>
      </c>
      <c r="P443" s="22" t="str">
        <f>IF(AND($L443=$O$7,$B443&lt;'111'!$N$11),"x","")</f>
        <v/>
      </c>
      <c r="Q443" s="22" t="str">
        <f>IF(AND($M443=$O$7,$B443&lt;'111'!$N$11),"x","")</f>
        <v/>
      </c>
      <c r="R443" s="22" t="str">
        <f>IF(ISERROR(FIND('112'!$M$9,G443,1)),"",IF((AND(FIND('112'!$M$9,G443,1)&gt;=1,$B443&gt;='112'!$N$8,$B443&lt;='112'!$O$8,OR($L443='112'!$I$6,$M443='112'!$I$6))),"x",""))</f>
        <v/>
      </c>
      <c r="S443" s="22" t="str">
        <f>IF(ISERROR(FIND('112'!$M$9,G443,1)),"",IF((AND(LEFT(G443,2)=LEFT('112'!$M$9,2),B443&lt;'112'!$N$8,$L443='112'!$I$6)),"x",""))</f>
        <v/>
      </c>
      <c r="T443" s="22" t="str">
        <f>IF(ISERROR(FIND('112'!$M$9,G443,1)),"",IF((AND(RIGHT(G443,2)=RIGHT('112'!$M$9,2),B443&lt;'112'!$N$8,$M443='112'!$I$6)),"x",""))</f>
        <v/>
      </c>
      <c r="U443" s="22" t="str">
        <f>IF(AND(B443&gt;='IN-NX'!$P$3,B443&lt;='IN-NX'!$Q$3,'IN-NX'!$D$7=D443,OR(LEFT(L443,2)="15",AND(LEFT(M443,2)&lt;&gt;"15",LEFT(M443,2)&lt;&gt;"33"))),"x","")</f>
        <v/>
      </c>
      <c r="V443" s="22" t="str">
        <f>IF(AND(OR(LEFT(TH!L443,2)="15",LEFT(TH!M443,2)="15"),'152-CT'!$J$8=TH!F443),"x","")</f>
        <v/>
      </c>
      <c r="W443" s="22" t="str">
        <f>IF(AND(OR(LEFT(TH!L443,2)="15",LEFT(TH!M443,2)="15"),TK!$E$7=TH!F443),"x","")</f>
        <v/>
      </c>
      <c r="X443" s="22" t="str">
        <f>IF(OR(TH!L443=TH!$X$7,M443=TH!$X$7),"x","")</f>
        <v/>
      </c>
      <c r="Y443" s="22" t="str">
        <f>IF(AND(B443&lt;=NKC!$N$8,B443&gt;=NKC!$M$8),"x","")</f>
        <v/>
      </c>
      <c r="Z443" s="580">
        <v>4</v>
      </c>
      <c r="AA443" s="406"/>
      <c r="AB443" s="406"/>
      <c r="AC443" s="406"/>
    </row>
    <row r="444" spans="1:31" s="130" customFormat="1" ht="15.75" customHeight="1">
      <c r="A444" s="123" t="str">
        <f>IF(B444&lt;&gt;"",IF(AND(B444&gt;=_TM1,B444&lt;=_TM2,OR(TH!L444="1111",TH!M444="1111")),TH!D444,""),"")</f>
        <v/>
      </c>
      <c r="B444" s="12">
        <f t="shared" si="15"/>
        <v>10</v>
      </c>
      <c r="C444" s="108">
        <f t="shared" si="16"/>
        <v>42660</v>
      </c>
      <c r="D444" s="113" t="s">
        <v>404</v>
      </c>
      <c r="E444" s="113">
        <v>42660</v>
      </c>
      <c r="F444" s="112" t="s">
        <v>783</v>
      </c>
      <c r="G444" s="305" t="s">
        <v>789</v>
      </c>
      <c r="H444" s="4" t="s">
        <v>398</v>
      </c>
      <c r="I444" s="139">
        <v>2161</v>
      </c>
      <c r="J444" s="139">
        <v>8200</v>
      </c>
      <c r="K444" s="13">
        <f>ROUND(I444*J444,0)</f>
        <v>17720200</v>
      </c>
      <c r="L444" s="116" t="s">
        <v>154</v>
      </c>
      <c r="M444" s="411" t="s">
        <v>8</v>
      </c>
      <c r="N444" s="22" t="str">
        <f>IF(AND('331-CT'!$E$7=TH!H444,OR(L444="331",M444="331")),"331",IF(AND(OR(L444="131",M444="131"),H444='131-CT'!$E$7),"131",""))</f>
        <v/>
      </c>
      <c r="O444" s="22" t="str">
        <f>IF(AND($B444&gt;='111'!$N$11,$B444&lt;='111'!$O$11,OR($L444=$O$7,$M444=$O$7)),"x","")</f>
        <v/>
      </c>
      <c r="P444" s="22" t="str">
        <f>IF(AND($L444=$O$7,$B444&lt;'111'!$N$11),"x","")</f>
        <v/>
      </c>
      <c r="Q444" s="22" t="str">
        <f>IF(AND($M444=$O$7,$B444&lt;'111'!$N$11),"x","")</f>
        <v/>
      </c>
      <c r="R444" s="22" t="str">
        <f>IF(ISERROR(FIND('112'!$M$9,G444,1)),"",IF((AND(FIND('112'!$M$9,G444,1)&gt;=1,$B444&gt;='112'!$N$8,$B444&lt;='112'!$O$8,OR($L444='112'!$I$6,$M444='112'!$I$6))),"x",""))</f>
        <v/>
      </c>
      <c r="S444" s="22" t="str">
        <f>IF(ISERROR(FIND('112'!$M$9,G444,1)),"",IF((AND(LEFT(G444,2)=LEFT('112'!$M$9,2),B444&lt;'112'!$N$8,$L444='112'!$I$6)),"x",""))</f>
        <v/>
      </c>
      <c r="T444" s="22" t="str">
        <f>IF(ISERROR(FIND('112'!$M$9,G444,1)),"",IF((AND(RIGHT(G444,2)=RIGHT('112'!$M$9,2),B444&lt;'112'!$N$8,$M444='112'!$I$6)),"x",""))</f>
        <v/>
      </c>
      <c r="U444" s="22" t="str">
        <f>IF(AND(B444&gt;='IN-NX'!$P$3,B444&lt;='IN-NX'!$Q$3,'IN-NX'!$D$7=D444,OR(LEFT(L444,2)="15",AND(LEFT(M444,2)&lt;&gt;"15",LEFT(M444,2)&lt;&gt;"33"))),"x","")</f>
        <v/>
      </c>
      <c r="V444" s="22" t="str">
        <f>IF(AND(OR(LEFT(TH!L444,2)="15",LEFT(TH!M444,2)="15"),'152-CT'!$J$8=TH!F444),"x","")</f>
        <v>x</v>
      </c>
      <c r="W444" s="22" t="str">
        <f>IF(AND(OR(LEFT(TH!L444,2)="15",LEFT(TH!M444,2)="15"),TK!$E$7=TH!F444),"x","")</f>
        <v/>
      </c>
      <c r="X444" s="22" t="str">
        <f>IF(OR(TH!L444=TH!$X$7,M444=TH!$X$7),"x","")</f>
        <v/>
      </c>
      <c r="Y444" s="22" t="str">
        <f>IF(AND(B444&lt;=NKC!$N$8,B444&gt;=NKC!$M$8),"x","")</f>
        <v/>
      </c>
      <c r="Z444" s="580">
        <v>4</v>
      </c>
      <c r="AA444" s="406"/>
      <c r="AB444" s="406"/>
      <c r="AC444" s="406"/>
    </row>
    <row r="445" spans="1:31" s="130" customFormat="1" ht="15.75" customHeight="1">
      <c r="A445" s="123" t="str">
        <f>IF(B445&lt;&gt;"",IF(AND(B445&gt;=_TM1,B445&lt;=_TM2,OR(TH!L445="1111",TH!M445="1111")),TH!D445,""),"")</f>
        <v/>
      </c>
      <c r="B445" s="12">
        <f t="shared" si="15"/>
        <v>10</v>
      </c>
      <c r="C445" s="108">
        <f t="shared" si="16"/>
        <v>42660</v>
      </c>
      <c r="D445" s="113" t="s">
        <v>404</v>
      </c>
      <c r="E445" s="113">
        <v>42660</v>
      </c>
      <c r="F445" s="112" t="s">
        <v>376</v>
      </c>
      <c r="G445" s="305" t="s">
        <v>789</v>
      </c>
      <c r="H445" s="4" t="s">
        <v>398</v>
      </c>
      <c r="I445" s="139"/>
      <c r="J445" s="139"/>
      <c r="K445" s="13">
        <v>1772020</v>
      </c>
      <c r="L445" s="116" t="s">
        <v>9</v>
      </c>
      <c r="M445" s="116" t="s">
        <v>8</v>
      </c>
      <c r="N445" s="22" t="str">
        <f>IF(AND('331-CT'!$E$7=TH!H445,OR(L445="331",M445="331")),"331",IF(AND(OR(L445="131",M445="131"),H445='131-CT'!$E$7),"131",""))</f>
        <v/>
      </c>
      <c r="O445" s="22" t="str">
        <f>IF(AND($B445&gt;='111'!$N$11,$B445&lt;='111'!$O$11,OR($L445=$O$7,$M445=$O$7)),"x","")</f>
        <v/>
      </c>
      <c r="P445" s="22" t="str">
        <f>IF(AND($L445=$O$7,$B445&lt;'111'!$N$11),"x","")</f>
        <v/>
      </c>
      <c r="Q445" s="22" t="str">
        <f>IF(AND($M445=$O$7,$B445&lt;'111'!$N$11),"x","")</f>
        <v/>
      </c>
      <c r="R445" s="22" t="str">
        <f>IF(ISERROR(FIND('112'!$M$9,G445,1)),"",IF((AND(FIND('112'!$M$9,G445,1)&gt;=1,$B445&gt;='112'!$N$8,$B445&lt;='112'!$O$8,OR($L445='112'!$I$6,$M445='112'!$I$6))),"x",""))</f>
        <v/>
      </c>
      <c r="S445" s="22" t="str">
        <f>IF(ISERROR(FIND('112'!$M$9,G445,1)),"",IF((AND(LEFT(G445,2)=LEFT('112'!$M$9,2),B445&lt;'112'!$N$8,$L445='112'!$I$6)),"x",""))</f>
        <v/>
      </c>
      <c r="T445" s="22" t="str">
        <f>IF(ISERROR(FIND('112'!$M$9,G445,1)),"",IF((AND(RIGHT(G445,2)=RIGHT('112'!$M$9,2),B445&lt;'112'!$N$8,$M445='112'!$I$6)),"x",""))</f>
        <v/>
      </c>
      <c r="U445" s="22" t="str">
        <f>IF(AND(B445&gt;='IN-NX'!$P$3,B445&lt;='IN-NX'!$Q$3,'IN-NX'!$D$7=D445,OR(LEFT(L445,2)="15",AND(LEFT(M445,2)&lt;&gt;"15",LEFT(M445,2)&lt;&gt;"33"))),"x","")</f>
        <v/>
      </c>
      <c r="V445" s="22" t="str">
        <f>IF(AND(OR(LEFT(TH!L445,2)="15",LEFT(TH!M445,2)="15"),'152-CT'!$J$8=TH!F445),"x","")</f>
        <v/>
      </c>
      <c r="W445" s="22" t="str">
        <f>IF(AND(OR(LEFT(TH!L445,2)="15",LEFT(TH!M445,2)="15"),TK!$E$7=TH!F445),"x","")</f>
        <v/>
      </c>
      <c r="X445" s="22" t="str">
        <f>IF(OR(TH!L445=TH!$X$7,M445=TH!$X$7),"x","")</f>
        <v/>
      </c>
      <c r="Y445" s="22" t="str">
        <f>IF(AND(B445&lt;=NKC!$N$8,B445&gt;=NKC!$M$8),"x","")</f>
        <v/>
      </c>
      <c r="Z445" s="580">
        <v>4</v>
      </c>
      <c r="AA445" s="406"/>
    </row>
    <row r="446" spans="1:31" s="130" customFormat="1" ht="15.75" customHeight="1">
      <c r="A446" s="123" t="str">
        <f>IF(B446&lt;&gt;"",IF(AND(B446&gt;=_TM1,B446&lt;=_TM2,OR(TH!L446="1111",TH!M446="1111")),TH!D446,""),"")</f>
        <v/>
      </c>
      <c r="B446" s="12">
        <f t="shared" si="15"/>
        <v>10</v>
      </c>
      <c r="C446" s="108">
        <f t="shared" si="16"/>
        <v>42660</v>
      </c>
      <c r="D446" s="113" t="s">
        <v>455</v>
      </c>
      <c r="E446" s="113">
        <v>42660</v>
      </c>
      <c r="F446" s="112" t="s">
        <v>783</v>
      </c>
      <c r="G446" s="305" t="s">
        <v>1076</v>
      </c>
      <c r="H446" s="4" t="s">
        <v>398</v>
      </c>
      <c r="I446" s="139">
        <v>9042</v>
      </c>
      <c r="J446" s="139">
        <v>7800</v>
      </c>
      <c r="K446" s="13">
        <f>ROUND(I446*J446,0)</f>
        <v>70527600</v>
      </c>
      <c r="L446" s="116" t="s">
        <v>154</v>
      </c>
      <c r="M446" s="411" t="s">
        <v>8</v>
      </c>
      <c r="N446" s="22" t="str">
        <f>IF(AND('331-CT'!$E$7=TH!H446,OR(L446="331",M446="331")),"331",IF(AND(OR(L446="131",M446="131"),H446='131-CT'!$E$7),"131",""))</f>
        <v/>
      </c>
      <c r="O446" s="22" t="str">
        <f>IF(AND($B446&gt;='111'!$N$11,$B446&lt;='111'!$O$11,OR($L446=$O$7,$M446=$O$7)),"x","")</f>
        <v/>
      </c>
      <c r="P446" s="22" t="str">
        <f>IF(AND($L446=$O$7,$B446&lt;'111'!$N$11),"x","")</f>
        <v/>
      </c>
      <c r="Q446" s="22" t="str">
        <f>IF(AND($M446=$O$7,$B446&lt;'111'!$N$11),"x","")</f>
        <v/>
      </c>
      <c r="R446" s="22" t="str">
        <f>IF(ISERROR(FIND('112'!$M$9,G446,1)),"",IF((AND(FIND('112'!$M$9,G446,1)&gt;=1,$B446&gt;='112'!$N$8,$B446&lt;='112'!$O$8,OR($L446='112'!$I$6,$M446='112'!$I$6))),"x",""))</f>
        <v/>
      </c>
      <c r="S446" s="22" t="str">
        <f>IF(ISERROR(FIND('112'!$M$9,G446,1)),"",IF((AND(LEFT(G446,2)=LEFT('112'!$M$9,2),B446&lt;'112'!$N$8,$L446='112'!$I$6)),"x",""))</f>
        <v/>
      </c>
      <c r="T446" s="22" t="str">
        <f>IF(ISERROR(FIND('112'!$M$9,G446,1)),"",IF((AND(RIGHT(G446,2)=RIGHT('112'!$M$9,2),B446&lt;'112'!$N$8,$M446='112'!$I$6)),"x",""))</f>
        <v/>
      </c>
      <c r="U446" s="22" t="str">
        <f>IF(AND(B446&gt;='IN-NX'!$P$3,B446&lt;='IN-NX'!$Q$3,'IN-NX'!$D$7=D446,OR(LEFT(L446,2)="15",AND(LEFT(M446,2)&lt;&gt;"15",LEFT(M446,2)&lt;&gt;"33"))),"x","")</f>
        <v/>
      </c>
      <c r="V446" s="22" t="str">
        <f>IF(AND(OR(LEFT(TH!L446,2)="15",LEFT(TH!M446,2)="15"),'152-CT'!$J$8=TH!F446),"x","")</f>
        <v>x</v>
      </c>
      <c r="W446" s="22" t="str">
        <f>IF(AND(OR(LEFT(TH!L446,2)="15",LEFT(TH!M446,2)="15"),TK!$E$7=TH!F446),"x","")</f>
        <v/>
      </c>
      <c r="X446" s="22" t="str">
        <f>IF(OR(TH!L446=TH!$X$7,M446=TH!$X$7),"x","")</f>
        <v/>
      </c>
      <c r="Y446" s="22" t="str">
        <f>IF(AND(B446&lt;=NKC!$N$8,B446&gt;=NKC!$M$8),"x","")</f>
        <v/>
      </c>
      <c r="Z446" s="580">
        <v>4</v>
      </c>
      <c r="AA446" s="406"/>
      <c r="AB446" s="406"/>
      <c r="AC446" s="406"/>
    </row>
    <row r="447" spans="1:31" s="130" customFormat="1" ht="15.75" customHeight="1">
      <c r="A447" s="123" t="str">
        <f>IF(B447&lt;&gt;"",IF(AND(B447&gt;=_TM1,B447&lt;=_TM2,OR(TH!L447="1111",TH!M447="1111")),TH!D447,""),"")</f>
        <v/>
      </c>
      <c r="B447" s="12">
        <f t="shared" si="15"/>
        <v>10</v>
      </c>
      <c r="C447" s="108">
        <f t="shared" si="16"/>
        <v>42660</v>
      </c>
      <c r="D447" s="113" t="s">
        <v>455</v>
      </c>
      <c r="E447" s="113">
        <v>42660</v>
      </c>
      <c r="F447" s="112" t="s">
        <v>376</v>
      </c>
      <c r="G447" s="305" t="s">
        <v>1076</v>
      </c>
      <c r="H447" s="4" t="s">
        <v>398</v>
      </c>
      <c r="I447" s="139"/>
      <c r="J447" s="139"/>
      <c r="K447" s="13">
        <v>7052760</v>
      </c>
      <c r="L447" s="116" t="s">
        <v>9</v>
      </c>
      <c r="M447" s="116" t="s">
        <v>8</v>
      </c>
      <c r="N447" s="22" t="str">
        <f>IF(AND('331-CT'!$E$7=TH!H447,OR(L447="331",M447="331")),"331",IF(AND(OR(L447="131",M447="131"),H447='131-CT'!$E$7),"131",""))</f>
        <v/>
      </c>
      <c r="O447" s="22" t="str">
        <f>IF(AND($B447&gt;='111'!$N$11,$B447&lt;='111'!$O$11,OR($L447=$O$7,$M447=$O$7)),"x","")</f>
        <v/>
      </c>
      <c r="P447" s="22" t="str">
        <f>IF(AND($L447=$O$7,$B447&lt;'111'!$N$11),"x","")</f>
        <v/>
      </c>
      <c r="Q447" s="22" t="str">
        <f>IF(AND($M447=$O$7,$B447&lt;'111'!$N$11),"x","")</f>
        <v/>
      </c>
      <c r="R447" s="22" t="str">
        <f>IF(ISERROR(FIND('112'!$M$9,G447,1)),"",IF((AND(FIND('112'!$M$9,G447,1)&gt;=1,$B447&gt;='112'!$N$8,$B447&lt;='112'!$O$8,OR($L447='112'!$I$6,$M447='112'!$I$6))),"x",""))</f>
        <v/>
      </c>
      <c r="S447" s="22" t="str">
        <f>IF(ISERROR(FIND('112'!$M$9,G447,1)),"",IF((AND(LEFT(G447,2)=LEFT('112'!$M$9,2),B447&lt;'112'!$N$8,$L447='112'!$I$6)),"x",""))</f>
        <v/>
      </c>
      <c r="T447" s="22" t="str">
        <f>IF(ISERROR(FIND('112'!$M$9,G447,1)),"",IF((AND(RIGHT(G447,2)=RIGHT('112'!$M$9,2),B447&lt;'112'!$N$8,$M447='112'!$I$6)),"x",""))</f>
        <v/>
      </c>
      <c r="U447" s="22" t="str">
        <f>IF(AND(B447&gt;='IN-NX'!$P$3,B447&lt;='IN-NX'!$Q$3,'IN-NX'!$D$7=D447,OR(LEFT(L447,2)="15",AND(LEFT(M447,2)&lt;&gt;"15",LEFT(M447,2)&lt;&gt;"33"))),"x","")</f>
        <v/>
      </c>
      <c r="V447" s="22" t="str">
        <f>IF(AND(OR(LEFT(TH!L447,2)="15",LEFT(TH!M447,2)="15"),'152-CT'!$J$8=TH!F447),"x","")</f>
        <v/>
      </c>
      <c r="W447" s="22" t="str">
        <f>IF(AND(OR(LEFT(TH!L447,2)="15",LEFT(TH!M447,2)="15"),TK!$E$7=TH!F447),"x","")</f>
        <v/>
      </c>
      <c r="X447" s="22" t="str">
        <f>IF(OR(TH!L447=TH!$X$7,M447=TH!$X$7),"x","")</f>
        <v/>
      </c>
      <c r="Y447" s="22" t="str">
        <f>IF(AND(B447&lt;=NKC!$N$8,B447&gt;=NKC!$M$8),"x","")</f>
        <v/>
      </c>
      <c r="Z447" s="580">
        <v>4</v>
      </c>
      <c r="AA447" s="406"/>
    </row>
    <row r="448" spans="1:31" s="130" customFormat="1" ht="15.75" customHeight="1">
      <c r="A448" s="123" t="str">
        <f>IF(B448&lt;&gt;"",IF(AND(B448&gt;=_TM1,B448&lt;=_TM2,OR(TH!L448="1111",TH!M448="1111")),TH!D448,""),"")</f>
        <v/>
      </c>
      <c r="B448" s="12">
        <f t="shared" si="15"/>
        <v>10</v>
      </c>
      <c r="C448" s="108">
        <f t="shared" si="16"/>
        <v>42660</v>
      </c>
      <c r="D448" s="108" t="s">
        <v>557</v>
      </c>
      <c r="E448" s="113">
        <v>42660</v>
      </c>
      <c r="F448" s="112" t="s">
        <v>674</v>
      </c>
      <c r="G448" s="303" t="s">
        <v>761</v>
      </c>
      <c r="H448" s="4" t="s">
        <v>371</v>
      </c>
      <c r="I448" s="139">
        <v>1800</v>
      </c>
      <c r="J448" s="139">
        <v>9100</v>
      </c>
      <c r="K448" s="13">
        <f>ROUND(I448*J448,0)</f>
        <v>16380000</v>
      </c>
      <c r="L448" s="116" t="s">
        <v>252</v>
      </c>
      <c r="M448" s="411" t="s">
        <v>169</v>
      </c>
      <c r="N448" s="22" t="str">
        <f>IF(AND('331-CT'!$E$7=TH!H448,OR(L448="331",M448="331")),"331",IF(AND(OR(L448="131",M448="131"),H448='131-CT'!$E$7),"131",""))</f>
        <v/>
      </c>
      <c r="O448" s="22" t="str">
        <f>IF(AND($B448&gt;='111'!$N$11,$B448&lt;='111'!$O$11,OR($L448=$O$7,$M448=$O$7)),"x","")</f>
        <v/>
      </c>
      <c r="P448" s="22" t="str">
        <f>IF(AND($L448=$O$7,$B448&lt;'111'!$N$11),"x","")</f>
        <v/>
      </c>
      <c r="Q448" s="22" t="str">
        <f>IF(AND($M448=$O$7,$B448&lt;'111'!$N$11),"x","")</f>
        <v/>
      </c>
      <c r="R448" s="22" t="str">
        <f>IF(ISERROR(FIND('112'!$M$9,G448,1)),"",IF((AND(FIND('112'!$M$9,G448,1)&gt;=1,$B448&gt;='112'!$N$8,$B448&lt;='112'!$O$8,OR($L448='112'!$I$6,$M448='112'!$I$6))),"x",""))</f>
        <v/>
      </c>
      <c r="S448" s="22" t="str">
        <f>IF(ISERROR(FIND('112'!$M$9,G448,1)),"",IF((AND(LEFT(G448,2)=LEFT('112'!$M$9,2),B448&lt;'112'!$N$8,$L448='112'!$I$6)),"x",""))</f>
        <v/>
      </c>
      <c r="T448" s="22" t="str">
        <f>IF(ISERROR(FIND('112'!$M$9,G448,1)),"",IF((AND(RIGHT(G448,2)=RIGHT('112'!$M$9,2),B448&lt;'112'!$N$8,$M448='112'!$I$6)),"x",""))</f>
        <v/>
      </c>
      <c r="U448" s="22" t="str">
        <f>IF(AND(B448&gt;='IN-NX'!$P$3,B448&lt;='IN-NX'!$Q$3,'IN-NX'!$D$7=D448,OR(LEFT(L448,2)="15",AND(LEFT(M448,2)&lt;&gt;"15",LEFT(M448,2)&lt;&gt;"33"))),"x","")</f>
        <v/>
      </c>
      <c r="V448" s="22" t="str">
        <f>IF(AND(OR(LEFT(TH!L448,2)="15",LEFT(TH!M448,2)="15"),'152-CT'!$J$8=TH!F448),"x","")</f>
        <v/>
      </c>
      <c r="W448" s="22" t="str">
        <f>IF(AND(OR(LEFT(TH!L448,2)="15",LEFT(TH!M448,2)="15"),TK!$E$7=TH!F448),"x","")</f>
        <v/>
      </c>
      <c r="X448" s="22" t="str">
        <f>IF(OR(TH!L448=TH!$X$7,M448=TH!$X$7),"x","")</f>
        <v/>
      </c>
      <c r="Y448" s="22" t="str">
        <f>IF(AND(B448&lt;=NKC!$N$8,B448&gt;=NKC!$M$8),"x","")</f>
        <v/>
      </c>
      <c r="Z448" s="580"/>
      <c r="AA448" s="406"/>
      <c r="AD448" s="406"/>
      <c r="AE448" s="406"/>
    </row>
    <row r="449" spans="1:31" s="130" customFormat="1" ht="15.75" customHeight="1">
      <c r="A449" s="123" t="str">
        <f>IF(B449&lt;&gt;"",IF(AND(B449&gt;=_TM1,B449&lt;=_TM2,OR(TH!L449="1111",TH!M449="1111")),TH!D449,""),"")</f>
        <v/>
      </c>
      <c r="B449" s="12">
        <f t="shared" si="15"/>
        <v>10</v>
      </c>
      <c r="C449" s="108">
        <f t="shared" si="16"/>
        <v>42660</v>
      </c>
      <c r="D449" s="108" t="s">
        <v>557</v>
      </c>
      <c r="E449" s="113">
        <v>42660</v>
      </c>
      <c r="F449" s="112" t="s">
        <v>673</v>
      </c>
      <c r="G449" s="303" t="s">
        <v>761</v>
      </c>
      <c r="H449" s="4" t="s">
        <v>371</v>
      </c>
      <c r="I449" s="139">
        <v>26</v>
      </c>
      <c r="J449" s="139">
        <v>13000</v>
      </c>
      <c r="K449" s="13">
        <f>ROUND(I449*J449,0)</f>
        <v>338000</v>
      </c>
      <c r="L449" s="116" t="s">
        <v>252</v>
      </c>
      <c r="M449" s="411" t="s">
        <v>169</v>
      </c>
      <c r="N449" s="22" t="str">
        <f>IF(AND('331-CT'!$E$7=TH!H449,OR(L449="331",M449="331")),"331",IF(AND(OR(L449="131",M449="131"),H449='131-CT'!$E$7),"131",""))</f>
        <v/>
      </c>
      <c r="O449" s="22" t="str">
        <f>IF(AND($B449&gt;='111'!$N$11,$B449&lt;='111'!$O$11,OR($L449=$O$7,$M449=$O$7)),"x","")</f>
        <v/>
      </c>
      <c r="P449" s="22" t="str">
        <f>IF(AND($L449=$O$7,$B449&lt;'111'!$N$11),"x","")</f>
        <v/>
      </c>
      <c r="Q449" s="22" t="str">
        <f>IF(AND($M449=$O$7,$B449&lt;'111'!$N$11),"x","")</f>
        <v/>
      </c>
      <c r="R449" s="22" t="str">
        <f>IF(ISERROR(FIND('112'!$M$9,G449,1)),"",IF((AND(FIND('112'!$M$9,G449,1)&gt;=1,$B449&gt;='112'!$N$8,$B449&lt;='112'!$O$8,OR($L449='112'!$I$6,$M449='112'!$I$6))),"x",""))</f>
        <v/>
      </c>
      <c r="S449" s="22" t="str">
        <f>IF(ISERROR(FIND('112'!$M$9,G449,1)),"",IF((AND(LEFT(G449,2)=LEFT('112'!$M$9,2),B449&lt;'112'!$N$8,$L449='112'!$I$6)),"x",""))</f>
        <v/>
      </c>
      <c r="T449" s="22" t="str">
        <f>IF(ISERROR(FIND('112'!$M$9,G449,1)),"",IF((AND(RIGHT(G449,2)=RIGHT('112'!$M$9,2),B449&lt;'112'!$N$8,$M449='112'!$I$6)),"x",""))</f>
        <v/>
      </c>
      <c r="U449" s="22" t="str">
        <f>IF(AND(B449&gt;='IN-NX'!$P$3,B449&lt;='IN-NX'!$Q$3,'IN-NX'!$D$7=D449,OR(LEFT(L449,2)="15",AND(LEFT(M449,2)&lt;&gt;"15",LEFT(M449,2)&lt;&gt;"33"))),"x","")</f>
        <v/>
      </c>
      <c r="V449" s="22" t="str">
        <f>IF(AND(OR(LEFT(TH!L449,2)="15",LEFT(TH!M449,2)="15"),'152-CT'!$J$8=TH!F449),"x","")</f>
        <v/>
      </c>
      <c r="W449" s="22" t="str">
        <f>IF(AND(OR(LEFT(TH!L449,2)="15",LEFT(TH!M449,2)="15"),TK!$E$7=TH!F449),"x","")</f>
        <v/>
      </c>
      <c r="X449" s="22" t="str">
        <f>IF(OR(TH!L449=TH!$X$7,M449=TH!$X$7),"x","")</f>
        <v/>
      </c>
      <c r="Y449" s="22" t="str">
        <f>IF(AND(B449&lt;=NKC!$N$8,B449&gt;=NKC!$M$8),"x","")</f>
        <v/>
      </c>
      <c r="Z449" s="580"/>
      <c r="AA449" s="406"/>
      <c r="AB449" s="406"/>
      <c r="AD449" s="406"/>
      <c r="AE449" s="406"/>
    </row>
    <row r="450" spans="1:31" s="130" customFormat="1" ht="15.75" customHeight="1">
      <c r="A450" s="123" t="str">
        <f>IF(B450&lt;&gt;"",IF(AND(B450&gt;=_TM1,B450&lt;=_TM2,OR(TH!L450="1111",TH!M450="1111")),TH!D450,""),"")</f>
        <v/>
      </c>
      <c r="B450" s="12">
        <f t="shared" si="15"/>
        <v>10</v>
      </c>
      <c r="C450" s="108">
        <f t="shared" si="16"/>
        <v>42660</v>
      </c>
      <c r="D450" s="108" t="s">
        <v>557</v>
      </c>
      <c r="E450" s="113">
        <v>42660</v>
      </c>
      <c r="F450" s="112" t="s">
        <v>496</v>
      </c>
      <c r="G450" s="303" t="s">
        <v>761</v>
      </c>
      <c r="H450" s="4" t="s">
        <v>371</v>
      </c>
      <c r="I450" s="140"/>
      <c r="J450" s="139"/>
      <c r="K450" s="13">
        <v>1671800</v>
      </c>
      <c r="L450" s="116" t="s">
        <v>252</v>
      </c>
      <c r="M450" s="411" t="s">
        <v>352</v>
      </c>
      <c r="N450" s="22" t="str">
        <f>IF(AND('331-CT'!$E$7=TH!H450,OR(L450="331",M450="331")),"331",IF(AND(OR(L450="131",M450="131"),H450='131-CT'!$E$7),"131",""))</f>
        <v/>
      </c>
      <c r="O450" s="22" t="str">
        <f>IF(AND($B450&gt;='111'!$N$11,$B450&lt;='111'!$O$11,OR($L450=$O$7,$M450=$O$7)),"x","")</f>
        <v/>
      </c>
      <c r="P450" s="22" t="str">
        <f>IF(AND($L450=$O$7,$B450&lt;'111'!$N$11),"x","")</f>
        <v/>
      </c>
      <c r="Q450" s="22" t="str">
        <f>IF(AND($M450=$O$7,$B450&lt;'111'!$N$11),"x","")</f>
        <v/>
      </c>
      <c r="R450" s="22" t="str">
        <f>IF(ISERROR(FIND('112'!$M$9,G450,1)),"",IF((AND(FIND('112'!$M$9,G450,1)&gt;=1,$B450&gt;='112'!$N$8,$B450&lt;='112'!$O$8,OR($L450='112'!$I$6,$M450='112'!$I$6))),"x",""))</f>
        <v/>
      </c>
      <c r="S450" s="22" t="str">
        <f>IF(ISERROR(FIND('112'!$M$9,G450,1)),"",IF((AND(LEFT(G450,2)=LEFT('112'!$M$9,2),B450&lt;'112'!$N$8,$L450='112'!$I$6)),"x",""))</f>
        <v/>
      </c>
      <c r="T450" s="22" t="str">
        <f>IF(ISERROR(FIND('112'!$M$9,G450,1)),"",IF((AND(RIGHT(G450,2)=RIGHT('112'!$M$9,2),B450&lt;'112'!$N$8,$M450='112'!$I$6)),"x",""))</f>
        <v/>
      </c>
      <c r="U450" s="22" t="str">
        <f>IF(AND(B450&gt;='IN-NX'!$P$3,B450&lt;='IN-NX'!$Q$3,'IN-NX'!$D$7=D450,OR(LEFT(L450,2)="15",AND(LEFT(M450,2)&lt;&gt;"15",LEFT(M450,2)&lt;&gt;"33"))),"x","")</f>
        <v/>
      </c>
      <c r="V450" s="22" t="str">
        <f>IF(AND(OR(LEFT(TH!L450,2)="15",LEFT(TH!M450,2)="15"),'152-CT'!$J$8=TH!F450),"x","")</f>
        <v/>
      </c>
      <c r="W450" s="22" t="str">
        <f>IF(AND(OR(LEFT(TH!L450,2)="15",LEFT(TH!M450,2)="15"),TK!$E$7=TH!F450),"x","")</f>
        <v/>
      </c>
      <c r="X450" s="22" t="str">
        <f>IF(OR(TH!L450=TH!$X$7,M450=TH!$X$7),"x","")</f>
        <v/>
      </c>
      <c r="Y450" s="22" t="str">
        <f>IF(AND(B450&lt;=NKC!$N$8,B450&gt;=NKC!$M$8),"x","")</f>
        <v/>
      </c>
      <c r="Z450" s="580"/>
      <c r="AA450" s="406"/>
      <c r="AB450" s="406"/>
    </row>
    <row r="451" spans="1:31" s="130" customFormat="1" ht="15.75" customHeight="1">
      <c r="A451" s="123" t="str">
        <f>IF(B451&lt;&gt;"",IF(AND(B451&gt;=_TM1,B451&lt;=_TM2,OR(TH!L451="1111",TH!M451="1111")),TH!D451,""),"")</f>
        <v>T04</v>
      </c>
      <c r="B451" s="12">
        <f t="shared" si="15"/>
        <v>10</v>
      </c>
      <c r="C451" s="108">
        <f t="shared" si="16"/>
        <v>42661</v>
      </c>
      <c r="D451" s="108" t="s">
        <v>643</v>
      </c>
      <c r="E451" s="113">
        <v>42661</v>
      </c>
      <c r="F451" s="114" t="s">
        <v>485</v>
      </c>
      <c r="G451" s="114" t="s">
        <v>474</v>
      </c>
      <c r="H451" s="115" t="s">
        <v>488</v>
      </c>
      <c r="I451" s="139"/>
      <c r="J451" s="139"/>
      <c r="K451" s="13">
        <v>3000000</v>
      </c>
      <c r="L451" s="116" t="s">
        <v>46</v>
      </c>
      <c r="M451" s="411" t="s">
        <v>24</v>
      </c>
      <c r="N451" s="22" t="str">
        <f>IF(AND('331-CT'!$E$7=TH!H451,OR(L451="331",M451="331")),"331",IF(AND(OR(L451="131",M451="131"),H451='131-CT'!$E$7),"131",""))</f>
        <v/>
      </c>
      <c r="O451" s="22" t="str">
        <f>IF(AND($B451&gt;='111'!$N$11,$B451&lt;='111'!$O$11,OR($L451=$O$7,$M451=$O$7)),"x","")</f>
        <v>x</v>
      </c>
      <c r="P451" s="22" t="str">
        <f>IF(AND($L451=$O$7,$B451&lt;'111'!$N$11),"x","")</f>
        <v/>
      </c>
      <c r="Q451" s="22" t="str">
        <f>IF(AND($M451=$O$7,$B451&lt;'111'!$N$11),"x","")</f>
        <v/>
      </c>
      <c r="R451" s="22" t="str">
        <f>IF(ISERROR(FIND('112'!$M$9,G451,1)),"",IF((AND(FIND('112'!$M$9,G451,1)&gt;=1,$B451&gt;='112'!$N$8,$B451&lt;='112'!$O$8,OR($L451='112'!$I$6,$M451='112'!$I$6))),"x",""))</f>
        <v>x</v>
      </c>
      <c r="S451" s="22" t="str">
        <f>IF(ISERROR(FIND('112'!$M$9,G451,1)),"",IF((AND(LEFT(G451,2)=LEFT('112'!$M$9,2),B451&lt;'112'!$N$8,$L451='112'!$I$6)),"x",""))</f>
        <v/>
      </c>
      <c r="T451" s="22" t="str">
        <f>IF(ISERROR(FIND('112'!$M$9,G451,1)),"",IF((AND(RIGHT(G451,2)=RIGHT('112'!$M$9,2),B451&lt;'112'!$N$8,$M451='112'!$I$6)),"x",""))</f>
        <v/>
      </c>
      <c r="U451" s="22" t="str">
        <f>IF(AND(B451&gt;='IN-NX'!$P$3,B451&lt;='IN-NX'!$Q$3,'IN-NX'!$D$7=D451,OR(LEFT(L451,2)="15",AND(LEFT(M451,2)&lt;&gt;"15",LEFT(M451,2)&lt;&gt;"33"))),"x","")</f>
        <v/>
      </c>
      <c r="V451" s="22" t="str">
        <f>IF(AND(OR(LEFT(TH!L451,2)="15",LEFT(TH!M451,2)="15"),'152-CT'!$J$8=TH!F451),"x","")</f>
        <v/>
      </c>
      <c r="W451" s="22" t="str">
        <f>IF(AND(OR(LEFT(TH!L451,2)="15",LEFT(TH!M451,2)="15"),TK!$E$7=TH!F451),"x","")</f>
        <v/>
      </c>
      <c r="X451" s="22" t="str">
        <f>IF(OR(TH!L451=TH!$X$7,M451=TH!$X$7),"x","")</f>
        <v/>
      </c>
      <c r="Y451" s="22" t="str">
        <f>IF(AND(B451&lt;=NKC!$N$8,B451&gt;=NKC!$M$8),"x","")</f>
        <v/>
      </c>
      <c r="Z451" s="580"/>
      <c r="AA451" s="406"/>
      <c r="AC451" s="406"/>
    </row>
    <row r="452" spans="1:31" s="130" customFormat="1" ht="15.75" customHeight="1">
      <c r="A452" s="123" t="str">
        <f>IF(B452&lt;&gt;"",IF(AND(B452&gt;=_TM1,B452&lt;=_TM2,OR(TH!L452="1111",TH!M452="1111")),TH!D452,""),"")</f>
        <v/>
      </c>
      <c r="B452" s="12">
        <f t="shared" si="15"/>
        <v>10</v>
      </c>
      <c r="C452" s="108">
        <f t="shared" si="16"/>
        <v>42662</v>
      </c>
      <c r="D452" s="108" t="s">
        <v>469</v>
      </c>
      <c r="E452" s="113">
        <v>42662</v>
      </c>
      <c r="F452" s="112" t="s">
        <v>484</v>
      </c>
      <c r="G452" s="114" t="s">
        <v>474</v>
      </c>
      <c r="H452" s="115" t="s">
        <v>544</v>
      </c>
      <c r="I452" s="139"/>
      <c r="J452" s="141"/>
      <c r="K452" s="13">
        <v>104148000</v>
      </c>
      <c r="L452" s="116" t="s">
        <v>24</v>
      </c>
      <c r="M452" s="411" t="s">
        <v>252</v>
      </c>
      <c r="N452" s="22" t="str">
        <f>IF(AND('331-CT'!$E$7=TH!H452,OR(L452="331",M452="331")),"331",IF(AND(OR(L452="131",M452="131"),H452='131-CT'!$E$7),"131",""))</f>
        <v/>
      </c>
      <c r="O452" s="22" t="str">
        <f>IF(AND($B452&gt;='111'!$N$11,$B452&lt;='111'!$O$11,OR($L452=$O$7,$M452=$O$7)),"x","")</f>
        <v/>
      </c>
      <c r="P452" s="22" t="str">
        <f>IF(AND($L452=$O$7,$B452&lt;'111'!$N$11),"x","")</f>
        <v/>
      </c>
      <c r="Q452" s="22" t="str">
        <f>IF(AND($M452=$O$7,$B452&lt;'111'!$N$11),"x","")</f>
        <v/>
      </c>
      <c r="R452" s="22" t="str">
        <f>IF(ISERROR(FIND('112'!$M$9,G452,1)),"",IF((AND(FIND('112'!$M$9,G452,1)&gt;=1,$B452&gt;='112'!$N$8,$B452&lt;='112'!$O$8,OR($L452='112'!$I$6,$M452='112'!$I$6))),"x",""))</f>
        <v>x</v>
      </c>
      <c r="S452" s="22" t="str">
        <f>IF(ISERROR(FIND('112'!$M$9,G452,1)),"",IF((AND(LEFT(G452,2)=LEFT('112'!$M$9,2),B452&lt;'112'!$N$8,$L452='112'!$I$6)),"x",""))</f>
        <v/>
      </c>
      <c r="T452" s="22" t="str">
        <f>IF(ISERROR(FIND('112'!$M$9,G452,1)),"",IF((AND(RIGHT(G452,2)=RIGHT('112'!$M$9,2),B452&lt;'112'!$N$8,$M452='112'!$I$6)),"x",""))</f>
        <v/>
      </c>
      <c r="U452" s="22" t="str">
        <f>IF(AND(B452&gt;='IN-NX'!$P$3,B452&lt;='IN-NX'!$Q$3,'IN-NX'!$D$7=D452,OR(LEFT(L452,2)="15",AND(LEFT(M452,2)&lt;&gt;"15",LEFT(M452,2)&lt;&gt;"33"))),"x","")</f>
        <v/>
      </c>
      <c r="V452" s="22" t="str">
        <f>IF(AND(OR(LEFT(TH!L452,2)="15",LEFT(TH!M452,2)="15"),'152-CT'!$J$8=TH!F452),"x","")</f>
        <v/>
      </c>
      <c r="W452" s="22" t="str">
        <f>IF(AND(OR(LEFT(TH!L452,2)="15",LEFT(TH!M452,2)="15"),TK!$E$7=TH!F452),"x","")</f>
        <v/>
      </c>
      <c r="X452" s="22" t="str">
        <f>IF(OR(TH!L452=TH!$X$7,M452=TH!$X$7),"x","")</f>
        <v/>
      </c>
      <c r="Y452" s="22" t="str">
        <f>IF(AND(B452&lt;=NKC!$N$8,B452&gt;=NKC!$M$8),"x","")</f>
        <v/>
      </c>
      <c r="Z452" s="580"/>
      <c r="AA452" s="406"/>
      <c r="AB452" s="406"/>
      <c r="AD452" s="406"/>
      <c r="AE452" s="406"/>
    </row>
    <row r="453" spans="1:31" s="130" customFormat="1" ht="15.75" customHeight="1">
      <c r="A453" s="123" t="str">
        <f>IF(B453&lt;&gt;"",IF(AND(B453&gt;=_TM1,B453&lt;=_TM2,OR(TH!L453="1111",TH!M453="1111")),TH!D453,""),"")</f>
        <v/>
      </c>
      <c r="B453" s="12">
        <f t="shared" si="15"/>
        <v>10</v>
      </c>
      <c r="C453" s="108">
        <f t="shared" si="16"/>
        <v>42662</v>
      </c>
      <c r="D453" s="113" t="s">
        <v>456</v>
      </c>
      <c r="E453" s="113">
        <v>42662</v>
      </c>
      <c r="F453" s="112" t="s">
        <v>783</v>
      </c>
      <c r="G453" s="305" t="s">
        <v>782</v>
      </c>
      <c r="H453" s="4" t="s">
        <v>398</v>
      </c>
      <c r="I453" s="139">
        <v>6632</v>
      </c>
      <c r="J453" s="139">
        <v>8200</v>
      </c>
      <c r="K453" s="13">
        <f>ROUND(I453*J453,0)</f>
        <v>54382400</v>
      </c>
      <c r="L453" s="116" t="s">
        <v>154</v>
      </c>
      <c r="M453" s="411" t="s">
        <v>8</v>
      </c>
      <c r="N453" s="22" t="str">
        <f>IF(AND('331-CT'!$E$7=TH!H453,OR(L453="331",M453="331")),"331",IF(AND(OR(L453="131",M453="131"),H453='131-CT'!$E$7),"131",""))</f>
        <v/>
      </c>
      <c r="O453" s="22" t="str">
        <f>IF(AND($B453&gt;='111'!$N$11,$B453&lt;='111'!$O$11,OR($L453=$O$7,$M453=$O$7)),"x","")</f>
        <v/>
      </c>
      <c r="P453" s="22" t="str">
        <f>IF(AND($L453=$O$7,$B453&lt;'111'!$N$11),"x","")</f>
        <v/>
      </c>
      <c r="Q453" s="22" t="str">
        <f>IF(AND($M453=$O$7,$B453&lt;'111'!$N$11),"x","")</f>
        <v/>
      </c>
      <c r="R453" s="22" t="str">
        <f>IF(ISERROR(FIND('112'!$M$9,G453,1)),"",IF((AND(FIND('112'!$M$9,G453,1)&gt;=1,$B453&gt;='112'!$N$8,$B453&lt;='112'!$O$8,OR($L453='112'!$I$6,$M453='112'!$I$6))),"x",""))</f>
        <v/>
      </c>
      <c r="S453" s="22" t="str">
        <f>IF(ISERROR(FIND('112'!$M$9,G453,1)),"",IF((AND(LEFT(G453,2)=LEFT('112'!$M$9,2),B453&lt;'112'!$N$8,$L453='112'!$I$6)),"x",""))</f>
        <v/>
      </c>
      <c r="T453" s="22" t="str">
        <f>IF(ISERROR(FIND('112'!$M$9,G453,1)),"",IF((AND(RIGHT(G453,2)=RIGHT('112'!$M$9,2),B453&lt;'112'!$N$8,$M453='112'!$I$6)),"x",""))</f>
        <v/>
      </c>
      <c r="U453" s="22" t="str">
        <f>IF(AND(B453&gt;='IN-NX'!$P$3,B453&lt;='IN-NX'!$Q$3,'IN-NX'!$D$7=D453,OR(LEFT(L453,2)="15",AND(LEFT(M453,2)&lt;&gt;"15",LEFT(M453,2)&lt;&gt;"33"))),"x","")</f>
        <v/>
      </c>
      <c r="V453" s="22" t="str">
        <f>IF(AND(OR(LEFT(TH!L453,2)="15",LEFT(TH!M453,2)="15"),'152-CT'!$J$8=TH!F453),"x","")</f>
        <v>x</v>
      </c>
      <c r="W453" s="22" t="str">
        <f>IF(AND(OR(LEFT(TH!L453,2)="15",LEFT(TH!M453,2)="15"),TK!$E$7=TH!F453),"x","")</f>
        <v/>
      </c>
      <c r="X453" s="22" t="str">
        <f>IF(OR(TH!L453=TH!$X$7,M453=TH!$X$7),"x","")</f>
        <v/>
      </c>
      <c r="Y453" s="22" t="str">
        <f>IF(AND(B453&lt;=NKC!$N$8,B453&gt;=NKC!$M$8),"x","")</f>
        <v/>
      </c>
      <c r="Z453" s="580">
        <v>4</v>
      </c>
      <c r="AA453" s="406"/>
      <c r="AB453" s="406"/>
    </row>
    <row r="454" spans="1:31" s="130" customFormat="1" ht="15.75" customHeight="1">
      <c r="A454" s="123" t="str">
        <f>IF(B454&lt;&gt;"",IF(AND(B454&gt;=_TM1,B454&lt;=_TM2,OR(TH!L454="1111",TH!M454="1111")),TH!D454,""),"")</f>
        <v/>
      </c>
      <c r="B454" s="12">
        <f t="shared" si="15"/>
        <v>10</v>
      </c>
      <c r="C454" s="108">
        <f t="shared" si="16"/>
        <v>42662</v>
      </c>
      <c r="D454" s="113" t="s">
        <v>456</v>
      </c>
      <c r="E454" s="113">
        <v>42662</v>
      </c>
      <c r="F454" s="112" t="s">
        <v>376</v>
      </c>
      <c r="G454" s="305" t="s">
        <v>782</v>
      </c>
      <c r="H454" s="4" t="s">
        <v>398</v>
      </c>
      <c r="I454" s="139"/>
      <c r="J454" s="139"/>
      <c r="K454" s="13">
        <v>5438240</v>
      </c>
      <c r="L454" s="116" t="s">
        <v>9</v>
      </c>
      <c r="M454" s="116" t="s">
        <v>8</v>
      </c>
      <c r="N454" s="22" t="str">
        <f>IF(AND('331-CT'!$E$7=TH!H454,OR(L454="331",M454="331")),"331",IF(AND(OR(L454="131",M454="131"),H454='131-CT'!$E$7),"131",""))</f>
        <v/>
      </c>
      <c r="O454" s="22" t="str">
        <f>IF(AND($B454&gt;='111'!$N$11,$B454&lt;='111'!$O$11,OR($L454=$O$7,$M454=$O$7)),"x","")</f>
        <v/>
      </c>
      <c r="P454" s="22" t="str">
        <f>IF(AND($L454=$O$7,$B454&lt;'111'!$N$11),"x","")</f>
        <v/>
      </c>
      <c r="Q454" s="22" t="str">
        <f>IF(AND($M454=$O$7,$B454&lt;'111'!$N$11),"x","")</f>
        <v/>
      </c>
      <c r="R454" s="22" t="str">
        <f>IF(ISERROR(FIND('112'!$M$9,G454,1)),"",IF((AND(FIND('112'!$M$9,G454,1)&gt;=1,$B454&gt;='112'!$N$8,$B454&lt;='112'!$O$8,OR($L454='112'!$I$6,$M454='112'!$I$6))),"x",""))</f>
        <v/>
      </c>
      <c r="S454" s="22" t="str">
        <f>IF(ISERROR(FIND('112'!$M$9,G454,1)),"",IF((AND(LEFT(G454,2)=LEFT('112'!$M$9,2),B454&lt;'112'!$N$8,$L454='112'!$I$6)),"x",""))</f>
        <v/>
      </c>
      <c r="T454" s="22" t="str">
        <f>IF(ISERROR(FIND('112'!$M$9,G454,1)),"",IF((AND(RIGHT(G454,2)=RIGHT('112'!$M$9,2),B454&lt;'112'!$N$8,$M454='112'!$I$6)),"x",""))</f>
        <v/>
      </c>
      <c r="U454" s="22" t="str">
        <f>IF(AND(B454&gt;='IN-NX'!$P$3,B454&lt;='IN-NX'!$Q$3,'IN-NX'!$D$7=D454,OR(LEFT(L454,2)="15",AND(LEFT(M454,2)&lt;&gt;"15",LEFT(M454,2)&lt;&gt;"33"))),"x","")</f>
        <v/>
      </c>
      <c r="V454" s="22" t="str">
        <f>IF(AND(OR(LEFT(TH!L454,2)="15",LEFT(TH!M454,2)="15"),'152-CT'!$J$8=TH!F454),"x","")</f>
        <v/>
      </c>
      <c r="W454" s="22" t="str">
        <f>IF(AND(OR(LEFT(TH!L454,2)="15",LEFT(TH!M454,2)="15"),TK!$E$7=TH!F454),"x","")</f>
        <v/>
      </c>
      <c r="X454" s="22" t="str">
        <f>IF(OR(TH!L454=TH!$X$7,M454=TH!$X$7),"x","")</f>
        <v/>
      </c>
      <c r="Y454" s="22" t="str">
        <f>IF(AND(B454&lt;=NKC!$N$8,B454&gt;=NKC!$M$8),"x","")</f>
        <v/>
      </c>
      <c r="Z454" s="580">
        <v>4</v>
      </c>
      <c r="AA454" s="406"/>
      <c r="AB454" s="406"/>
    </row>
    <row r="455" spans="1:31" s="130" customFormat="1" ht="15.75" customHeight="1">
      <c r="A455" s="123" t="str">
        <f>IF(B455&lt;&gt;"",IF(AND(B455&gt;=_TM1,B455&lt;=_TM2,OR(TH!L455="1111",TH!M455="1111")),TH!D455,""),"")</f>
        <v/>
      </c>
      <c r="B455" s="12">
        <f t="shared" si="15"/>
        <v>10</v>
      </c>
      <c r="C455" s="108">
        <f t="shared" si="16"/>
        <v>42662</v>
      </c>
      <c r="D455" s="108" t="s">
        <v>558</v>
      </c>
      <c r="E455" s="113">
        <v>42662</v>
      </c>
      <c r="F455" s="112" t="s">
        <v>667</v>
      </c>
      <c r="G455" s="303" t="s">
        <v>762</v>
      </c>
      <c r="H455" s="115" t="s">
        <v>525</v>
      </c>
      <c r="I455" s="140">
        <v>520</v>
      </c>
      <c r="J455" s="140">
        <v>3311</v>
      </c>
      <c r="K455" s="13">
        <f>ROUND(I455*J455,0)</f>
        <v>1721720</v>
      </c>
      <c r="L455" s="116" t="s">
        <v>252</v>
      </c>
      <c r="M455" s="411" t="s">
        <v>169</v>
      </c>
      <c r="N455" s="22" t="str">
        <f>IF(AND('331-CT'!$E$7=TH!H455,OR(L455="331",M455="331")),"331",IF(AND(OR(L455="131",M455="131"),H455='131-CT'!$E$7),"131",""))</f>
        <v/>
      </c>
      <c r="O455" s="22" t="str">
        <f>IF(AND($B455&gt;='111'!$N$11,$B455&lt;='111'!$O$11,OR($L455=$O$7,$M455=$O$7)),"x","")</f>
        <v/>
      </c>
      <c r="P455" s="22" t="str">
        <f>IF(AND($L455=$O$7,$B455&lt;'111'!$N$11),"x","")</f>
        <v/>
      </c>
      <c r="Q455" s="22" t="str">
        <f>IF(AND($M455=$O$7,$B455&lt;'111'!$N$11),"x","")</f>
        <v/>
      </c>
      <c r="R455" s="22" t="str">
        <f>IF(ISERROR(FIND('112'!$M$9,G455,1)),"",IF((AND(FIND('112'!$M$9,G455,1)&gt;=1,$B455&gt;='112'!$N$8,$B455&lt;='112'!$O$8,OR($L455='112'!$I$6,$M455='112'!$I$6))),"x",""))</f>
        <v/>
      </c>
      <c r="S455" s="22" t="str">
        <f>IF(ISERROR(FIND('112'!$M$9,G455,1)),"",IF((AND(LEFT(G455,2)=LEFT('112'!$M$9,2),B455&lt;'112'!$N$8,$L455='112'!$I$6)),"x",""))</f>
        <v/>
      </c>
      <c r="T455" s="22" t="str">
        <f>IF(ISERROR(FIND('112'!$M$9,G455,1)),"",IF((AND(RIGHT(G455,2)=RIGHT('112'!$M$9,2),B455&lt;'112'!$N$8,$M455='112'!$I$6)),"x",""))</f>
        <v/>
      </c>
      <c r="U455" s="22" t="str">
        <f>IF(AND(B455&gt;='IN-NX'!$P$3,B455&lt;='IN-NX'!$Q$3,'IN-NX'!$D$7=D455,OR(LEFT(L455,2)="15",AND(LEFT(M455,2)&lt;&gt;"15",LEFT(M455,2)&lt;&gt;"33"))),"x","")</f>
        <v/>
      </c>
      <c r="V455" s="22" t="str">
        <f>IF(AND(OR(LEFT(TH!L455,2)="15",LEFT(TH!M455,2)="15"),'152-CT'!$J$8=TH!F455),"x","")</f>
        <v/>
      </c>
      <c r="W455" s="22" t="str">
        <f>IF(AND(OR(LEFT(TH!L455,2)="15",LEFT(TH!M455,2)="15"),TK!$E$7=TH!F455),"x","")</f>
        <v/>
      </c>
      <c r="X455" s="22" t="str">
        <f>IF(OR(TH!L455=TH!$X$7,M455=TH!$X$7),"x","")</f>
        <v/>
      </c>
      <c r="Y455" s="22" t="str">
        <f>IF(AND(B455&lt;=NKC!$N$8,B455&gt;=NKC!$M$8),"x","")</f>
        <v/>
      </c>
      <c r="Z455" s="580"/>
      <c r="AA455" s="406"/>
      <c r="AB455" s="406"/>
    </row>
    <row r="456" spans="1:31" s="130" customFormat="1" ht="15.75" customHeight="1">
      <c r="A456" s="123" t="str">
        <f>IF(B456&lt;&gt;"",IF(AND(B456&gt;=_TM1,B456&lt;=_TM2,OR(TH!L456="1111",TH!M456="1111")),TH!D456,""),"")</f>
        <v/>
      </c>
      <c r="B456" s="12">
        <f t="shared" si="15"/>
        <v>10</v>
      </c>
      <c r="C456" s="108">
        <f t="shared" si="16"/>
        <v>42662</v>
      </c>
      <c r="D456" s="108" t="s">
        <v>558</v>
      </c>
      <c r="E456" s="113">
        <v>42662</v>
      </c>
      <c r="F456" s="112" t="s">
        <v>526</v>
      </c>
      <c r="G456" s="303" t="s">
        <v>762</v>
      </c>
      <c r="H456" s="115" t="s">
        <v>525</v>
      </c>
      <c r="I456" s="140">
        <v>100</v>
      </c>
      <c r="J456" s="140">
        <v>20000</v>
      </c>
      <c r="K456" s="13">
        <f>ROUND(I456*J456,0)</f>
        <v>2000000</v>
      </c>
      <c r="L456" s="116" t="s">
        <v>252</v>
      </c>
      <c r="M456" s="411" t="s">
        <v>169</v>
      </c>
      <c r="N456" s="22" t="str">
        <f>IF(AND('331-CT'!$E$7=TH!H456,OR(L456="331",M456="331")),"331",IF(AND(OR(L456="131",M456="131"),H456='131-CT'!$E$7),"131",""))</f>
        <v/>
      </c>
      <c r="O456" s="22" t="str">
        <f>IF(AND($B456&gt;='111'!$N$11,$B456&lt;='111'!$O$11,OR($L456=$O$7,$M456=$O$7)),"x","")</f>
        <v/>
      </c>
      <c r="P456" s="22" t="str">
        <f>IF(AND($L456=$O$7,$B456&lt;'111'!$N$11),"x","")</f>
        <v/>
      </c>
      <c r="Q456" s="22" t="str">
        <f>IF(AND($M456=$O$7,$B456&lt;'111'!$N$11),"x","")</f>
        <v/>
      </c>
      <c r="R456" s="22" t="str">
        <f>IF(ISERROR(FIND('112'!$M$9,G456,1)),"",IF((AND(FIND('112'!$M$9,G456,1)&gt;=1,$B456&gt;='112'!$N$8,$B456&lt;='112'!$O$8,OR($L456='112'!$I$6,$M456='112'!$I$6))),"x",""))</f>
        <v/>
      </c>
      <c r="S456" s="22" t="str">
        <f>IF(ISERROR(FIND('112'!$M$9,G456,1)),"",IF((AND(LEFT(G456,2)=LEFT('112'!$M$9,2),B456&lt;'112'!$N$8,$L456='112'!$I$6)),"x",""))</f>
        <v/>
      </c>
      <c r="T456" s="22" t="str">
        <f>IF(ISERROR(FIND('112'!$M$9,G456,1)),"",IF((AND(RIGHT(G456,2)=RIGHT('112'!$M$9,2),B456&lt;'112'!$N$8,$M456='112'!$I$6)),"x",""))</f>
        <v/>
      </c>
      <c r="U456" s="22" t="str">
        <f>IF(AND(B456&gt;='IN-NX'!$P$3,B456&lt;='IN-NX'!$Q$3,'IN-NX'!$D$7=D456,OR(LEFT(L456,2)="15",AND(LEFT(M456,2)&lt;&gt;"15",LEFT(M456,2)&lt;&gt;"33"))),"x","")</f>
        <v/>
      </c>
      <c r="V456" s="22" t="str">
        <f>IF(AND(OR(LEFT(TH!L456,2)="15",LEFT(TH!M456,2)="15"),'152-CT'!$J$8=TH!F456),"x","")</f>
        <v/>
      </c>
      <c r="W456" s="22" t="str">
        <f>IF(AND(OR(LEFT(TH!L456,2)="15",LEFT(TH!M456,2)="15"),TK!$E$7=TH!F456),"x","")</f>
        <v/>
      </c>
      <c r="X456" s="22" t="str">
        <f>IF(OR(TH!L456=TH!$X$7,M456=TH!$X$7),"x","")</f>
        <v/>
      </c>
      <c r="Y456" s="22" t="str">
        <f>IF(AND(B456&lt;=NKC!$N$8,B456&gt;=NKC!$M$8),"x","")</f>
        <v/>
      </c>
      <c r="Z456" s="580"/>
      <c r="AA456" s="406"/>
      <c r="AB456" s="406"/>
    </row>
    <row r="457" spans="1:31" s="130" customFormat="1" ht="15.75" customHeight="1">
      <c r="A457" s="123" t="str">
        <f>IF(B457&lt;&gt;"",IF(AND(B457&gt;=_TM1,B457&lt;=_TM2,OR(TH!L457="1111",TH!M457="1111")),TH!D457,""),"")</f>
        <v/>
      </c>
      <c r="B457" s="12">
        <f t="shared" si="15"/>
        <v>10</v>
      </c>
      <c r="C457" s="108">
        <f t="shared" si="16"/>
        <v>42662</v>
      </c>
      <c r="D457" s="108" t="s">
        <v>558</v>
      </c>
      <c r="E457" s="113">
        <v>42662</v>
      </c>
      <c r="F457" s="112" t="s">
        <v>496</v>
      </c>
      <c r="G457" s="303" t="s">
        <v>762</v>
      </c>
      <c r="H457" s="115" t="s">
        <v>525</v>
      </c>
      <c r="I457" s="140"/>
      <c r="J457" s="140"/>
      <c r="K457" s="13">
        <v>372172</v>
      </c>
      <c r="L457" s="116" t="s">
        <v>252</v>
      </c>
      <c r="M457" s="411" t="s">
        <v>352</v>
      </c>
      <c r="N457" s="22" t="str">
        <f>IF(AND('331-CT'!$E$7=TH!H457,OR(L457="331",M457="331")),"331",IF(AND(OR(L457="131",M457="131"),H457='131-CT'!$E$7),"131",""))</f>
        <v/>
      </c>
      <c r="O457" s="22" t="str">
        <f>IF(AND($B457&gt;='111'!$N$11,$B457&lt;='111'!$O$11,OR($L457=$O$7,$M457=$O$7)),"x","")</f>
        <v/>
      </c>
      <c r="P457" s="22" t="str">
        <f>IF(AND($L457=$O$7,$B457&lt;'111'!$N$11),"x","")</f>
        <v/>
      </c>
      <c r="Q457" s="22" t="str">
        <f>IF(AND($M457=$O$7,$B457&lt;'111'!$N$11),"x","")</f>
        <v/>
      </c>
      <c r="R457" s="22" t="str">
        <f>IF(ISERROR(FIND('112'!$M$9,G457,1)),"",IF((AND(FIND('112'!$M$9,G457,1)&gt;=1,$B457&gt;='112'!$N$8,$B457&lt;='112'!$O$8,OR($L457='112'!$I$6,$M457='112'!$I$6))),"x",""))</f>
        <v/>
      </c>
      <c r="S457" s="22" t="str">
        <f>IF(ISERROR(FIND('112'!$M$9,G457,1)),"",IF((AND(LEFT(G457,2)=LEFT('112'!$M$9,2),B457&lt;'112'!$N$8,$L457='112'!$I$6)),"x",""))</f>
        <v/>
      </c>
      <c r="T457" s="22" t="str">
        <f>IF(ISERROR(FIND('112'!$M$9,G457,1)),"",IF((AND(RIGHT(G457,2)=RIGHT('112'!$M$9,2),B457&lt;'112'!$N$8,$M457='112'!$I$6)),"x",""))</f>
        <v/>
      </c>
      <c r="U457" s="22" t="str">
        <f>IF(AND(B457&gt;='IN-NX'!$P$3,B457&lt;='IN-NX'!$Q$3,'IN-NX'!$D$7=D457,OR(LEFT(L457,2)="15",AND(LEFT(M457,2)&lt;&gt;"15",LEFT(M457,2)&lt;&gt;"33"))),"x","")</f>
        <v/>
      </c>
      <c r="V457" s="22" t="str">
        <f>IF(AND(OR(LEFT(TH!L457,2)="15",LEFT(TH!M457,2)="15"),'152-CT'!$J$8=TH!F457),"x","")</f>
        <v/>
      </c>
      <c r="W457" s="22" t="str">
        <f>IF(AND(OR(LEFT(TH!L457,2)="15",LEFT(TH!M457,2)="15"),TK!$E$7=TH!F457),"x","")</f>
        <v/>
      </c>
      <c r="X457" s="22" t="str">
        <f>IF(OR(TH!L457=TH!$X$7,M457=TH!$X$7),"x","")</f>
        <v/>
      </c>
      <c r="Y457" s="22" t="str">
        <f>IF(AND(B457&lt;=NKC!$N$8,B457&gt;=NKC!$M$8),"x","")</f>
        <v/>
      </c>
      <c r="Z457" s="580"/>
      <c r="AA457" s="406"/>
      <c r="AB457" s="406"/>
    </row>
    <row r="458" spans="1:31" s="130" customFormat="1" ht="15.75" customHeight="1">
      <c r="A458" s="123" t="str">
        <f>IF(B458&lt;&gt;"",IF(AND(B458&gt;=_TM1,B458&lt;=_TM2,OR(TH!L458="1111",TH!M458="1111")),TH!D458,""),"")</f>
        <v>T05</v>
      </c>
      <c r="B458" s="12">
        <f t="shared" si="15"/>
        <v>10</v>
      </c>
      <c r="C458" s="108">
        <f t="shared" si="16"/>
        <v>42662</v>
      </c>
      <c r="D458" s="108" t="s">
        <v>989</v>
      </c>
      <c r="E458" s="113">
        <v>42662</v>
      </c>
      <c r="F458" s="114" t="s">
        <v>484</v>
      </c>
      <c r="G458" s="303" t="s">
        <v>1028</v>
      </c>
      <c r="H458" s="115" t="s">
        <v>525</v>
      </c>
      <c r="I458" s="140"/>
      <c r="J458" s="140"/>
      <c r="K458" s="13">
        <f>4093892+8800000</f>
        <v>12893892</v>
      </c>
      <c r="L458" s="116" t="s">
        <v>46</v>
      </c>
      <c r="M458" s="411" t="s">
        <v>252</v>
      </c>
      <c r="N458" s="22" t="str">
        <f>IF(AND('331-CT'!$E$7=TH!H458,OR(L458="331",M458="331")),"331",IF(AND(OR(L458="131",M458="131"),H458='131-CT'!$E$7),"131",""))</f>
        <v/>
      </c>
      <c r="O458" s="22" t="str">
        <f>IF(AND($B458&gt;='111'!$N$11,$B458&lt;='111'!$O$11,OR($L458=$O$7,$M458=$O$7)),"x","")</f>
        <v>x</v>
      </c>
      <c r="P458" s="22" t="str">
        <f>IF(AND($L458=$O$7,$B458&lt;'111'!$N$11),"x","")</f>
        <v/>
      </c>
      <c r="Q458" s="22" t="str">
        <f>IF(AND($M458=$O$7,$B458&lt;'111'!$N$11),"x","")</f>
        <v/>
      </c>
      <c r="R458" s="22" t="str">
        <f>IF(ISERROR(FIND('112'!$M$9,G458,1)),"",IF((AND(FIND('112'!$M$9,G458,1)&gt;=1,$B458&gt;='112'!$N$8,$B458&lt;='112'!$O$8,OR($L458='112'!$I$6,$M458='112'!$I$6))),"x",""))</f>
        <v/>
      </c>
      <c r="S458" s="22" t="str">
        <f>IF(ISERROR(FIND('112'!$M$9,G458,1)),"",IF((AND(LEFT(G458,2)=LEFT('112'!$M$9,2),B458&lt;'112'!$N$8,$L458='112'!$I$6)),"x",""))</f>
        <v/>
      </c>
      <c r="T458" s="22" t="str">
        <f>IF(ISERROR(FIND('112'!$M$9,G458,1)),"",IF((AND(RIGHT(G458,2)=RIGHT('112'!$M$9,2),B458&lt;'112'!$N$8,$M458='112'!$I$6)),"x",""))</f>
        <v/>
      </c>
      <c r="U458" s="22" t="str">
        <f>IF(AND(B458&gt;='IN-NX'!$P$3,B458&lt;='IN-NX'!$Q$3,'IN-NX'!$D$7=D458,OR(LEFT(L458,2)="15",AND(LEFT(M458,2)&lt;&gt;"15",LEFT(M458,2)&lt;&gt;"33"))),"x","")</f>
        <v/>
      </c>
      <c r="V458" s="22" t="str">
        <f>IF(AND(OR(LEFT(TH!L458,2)="15",LEFT(TH!M458,2)="15"),'152-CT'!$J$8=TH!F458),"x","")</f>
        <v/>
      </c>
      <c r="W458" s="22" t="str">
        <f>IF(AND(OR(LEFT(TH!L458,2)="15",LEFT(TH!M458,2)="15"),TK!$E$7=TH!F458),"x","")</f>
        <v/>
      </c>
      <c r="X458" s="22" t="str">
        <f>IF(OR(TH!L458=TH!$X$7,M458=TH!$X$7),"x","")</f>
        <v/>
      </c>
      <c r="Y458" s="22" t="str">
        <f>IF(AND(B458&lt;=NKC!$N$8,B458&gt;=NKC!$M$8),"x","")</f>
        <v/>
      </c>
      <c r="Z458" s="580"/>
      <c r="AA458" s="406"/>
      <c r="AB458" s="406"/>
    </row>
    <row r="459" spans="1:31" s="130" customFormat="1" ht="15.75" customHeight="1">
      <c r="A459" s="123" t="str">
        <f>IF(B459&lt;&gt;"",IF(AND(B459&gt;=_TM1,B459&lt;=_TM2,OR(TH!L459="1111",TH!M459="1111")),TH!D459,""),"")</f>
        <v>T06</v>
      </c>
      <c r="B459" s="12">
        <f t="shared" si="15"/>
        <v>10</v>
      </c>
      <c r="C459" s="108">
        <f t="shared" si="16"/>
        <v>42663</v>
      </c>
      <c r="D459" s="108" t="s">
        <v>990</v>
      </c>
      <c r="E459" s="113">
        <v>42663</v>
      </c>
      <c r="F459" s="114" t="s">
        <v>485</v>
      </c>
      <c r="G459" s="114" t="s">
        <v>474</v>
      </c>
      <c r="H459" s="115" t="s">
        <v>488</v>
      </c>
      <c r="I459" s="139"/>
      <c r="J459" s="139"/>
      <c r="K459" s="13">
        <v>104000000</v>
      </c>
      <c r="L459" s="116" t="s">
        <v>46</v>
      </c>
      <c r="M459" s="411" t="s">
        <v>24</v>
      </c>
      <c r="N459" s="22" t="str">
        <f>IF(AND('331-CT'!$E$7=TH!H459,OR(L459="331",M459="331")),"331",IF(AND(OR(L459="131",M459="131"),H459='131-CT'!$E$7),"131",""))</f>
        <v/>
      </c>
      <c r="O459" s="22" t="str">
        <f>IF(AND($B459&gt;='111'!$N$11,$B459&lt;='111'!$O$11,OR($L459=$O$7,$M459=$O$7)),"x","")</f>
        <v>x</v>
      </c>
      <c r="P459" s="22" t="str">
        <f>IF(AND($L459=$O$7,$B459&lt;'111'!$N$11),"x","")</f>
        <v/>
      </c>
      <c r="Q459" s="22" t="str">
        <f>IF(AND($M459=$O$7,$B459&lt;'111'!$N$11),"x","")</f>
        <v/>
      </c>
      <c r="R459" s="22" t="str">
        <f>IF(ISERROR(FIND('112'!$M$9,G459,1)),"",IF((AND(FIND('112'!$M$9,G459,1)&gt;=1,$B459&gt;='112'!$N$8,$B459&lt;='112'!$O$8,OR($L459='112'!$I$6,$M459='112'!$I$6))),"x",""))</f>
        <v>x</v>
      </c>
      <c r="S459" s="22" t="str">
        <f>IF(ISERROR(FIND('112'!$M$9,G459,1)),"",IF((AND(LEFT(G459,2)=LEFT('112'!$M$9,2),B459&lt;'112'!$N$8,$L459='112'!$I$6)),"x",""))</f>
        <v/>
      </c>
      <c r="T459" s="22" t="str">
        <f>IF(ISERROR(FIND('112'!$M$9,G459,1)),"",IF((AND(RIGHT(G459,2)=RIGHT('112'!$M$9,2),B459&lt;'112'!$N$8,$M459='112'!$I$6)),"x",""))</f>
        <v/>
      </c>
      <c r="U459" s="22" t="str">
        <f>IF(AND(B459&gt;='IN-NX'!$P$3,B459&lt;='IN-NX'!$Q$3,'IN-NX'!$D$7=D459,OR(LEFT(L459,2)="15",AND(LEFT(M459,2)&lt;&gt;"15",LEFT(M459,2)&lt;&gt;"33"))),"x","")</f>
        <v/>
      </c>
      <c r="V459" s="22" t="str">
        <f>IF(AND(OR(LEFT(TH!L459,2)="15",LEFT(TH!M459,2)="15"),'152-CT'!$J$8=TH!F459),"x","")</f>
        <v/>
      </c>
      <c r="W459" s="22" t="str">
        <f>IF(AND(OR(LEFT(TH!L459,2)="15",LEFT(TH!M459,2)="15"),TK!$E$7=TH!F459),"x","")</f>
        <v/>
      </c>
      <c r="X459" s="22" t="str">
        <f>IF(OR(TH!L459=TH!$X$7,M459=TH!$X$7),"x","")</f>
        <v/>
      </c>
      <c r="Y459" s="22" t="str">
        <f>IF(AND(B459&lt;=NKC!$N$8,B459&gt;=NKC!$M$8),"x","")</f>
        <v/>
      </c>
      <c r="Z459" s="580"/>
      <c r="AA459" s="406"/>
      <c r="AB459" s="406"/>
    </row>
    <row r="460" spans="1:31" s="130" customFormat="1" ht="15.75" customHeight="1">
      <c r="A460" s="123" t="str">
        <f>IF(B460&lt;&gt;"",IF(AND(B460&gt;=_TM1,B460&lt;=_TM2,OR(TH!L460="1111",TH!M460="1111")),TH!D460,""),"")</f>
        <v>C07</v>
      </c>
      <c r="B460" s="12">
        <f t="shared" si="15"/>
        <v>10</v>
      </c>
      <c r="C460" s="108">
        <f t="shared" si="16"/>
        <v>42663</v>
      </c>
      <c r="D460" s="113" t="s">
        <v>462</v>
      </c>
      <c r="E460" s="113">
        <v>42663</v>
      </c>
      <c r="F460" s="112" t="s">
        <v>791</v>
      </c>
      <c r="G460" s="305" t="s">
        <v>793</v>
      </c>
      <c r="H460" s="115" t="s">
        <v>794</v>
      </c>
      <c r="I460" s="139"/>
      <c r="J460" s="139"/>
      <c r="K460" s="13">
        <v>934000</v>
      </c>
      <c r="L460" s="116" t="s">
        <v>82</v>
      </c>
      <c r="M460" s="411" t="s">
        <v>46</v>
      </c>
      <c r="N460" s="22" t="str">
        <f>IF(AND('331-CT'!$E$7=TH!H460,OR(L460="331",M460="331")),"331",IF(AND(OR(L460="131",M460="131"),H460='131-CT'!$E$7),"131",""))</f>
        <v/>
      </c>
      <c r="O460" s="22" t="str">
        <f>IF(AND($B460&gt;='111'!$N$11,$B460&lt;='111'!$O$11,OR($L460=$O$7,$M460=$O$7)),"x","")</f>
        <v>x</v>
      </c>
      <c r="P460" s="22" t="str">
        <f>IF(AND($L460=$O$7,$B460&lt;'111'!$N$11),"x","")</f>
        <v/>
      </c>
      <c r="Q460" s="22" t="str">
        <f>IF(AND($M460=$O$7,$B460&lt;'111'!$N$11),"x","")</f>
        <v/>
      </c>
      <c r="R460" s="22" t="str">
        <f>IF(ISERROR(FIND('112'!$M$9,G460,1)),"",IF((AND(FIND('112'!$M$9,G460,1)&gt;=1,$B460&gt;='112'!$N$8,$B460&lt;='112'!$O$8,OR($L460='112'!$I$6,$M460='112'!$I$6))),"x",""))</f>
        <v/>
      </c>
      <c r="S460" s="22" t="str">
        <f>IF(ISERROR(FIND('112'!$M$9,G460,1)),"",IF((AND(LEFT(G460,2)=LEFT('112'!$M$9,2),B460&lt;'112'!$N$8,$L460='112'!$I$6)),"x",""))</f>
        <v/>
      </c>
      <c r="T460" s="22" t="str">
        <f>IF(ISERROR(FIND('112'!$M$9,G460,1)),"",IF((AND(RIGHT(G460,2)=RIGHT('112'!$M$9,2),B460&lt;'112'!$N$8,$M460='112'!$I$6)),"x",""))</f>
        <v/>
      </c>
      <c r="U460" s="22" t="str">
        <f>IF(AND(B460&gt;='IN-NX'!$P$3,B460&lt;='IN-NX'!$Q$3,'IN-NX'!$D$7=D460,OR(LEFT(L460,2)="15",AND(LEFT(M460,2)&lt;&gt;"15",LEFT(M460,2)&lt;&gt;"33"))),"x","")</f>
        <v/>
      </c>
      <c r="V460" s="22" t="str">
        <f>IF(AND(OR(LEFT(TH!L460,2)="15",LEFT(TH!M460,2)="15"),'152-CT'!$J$8=TH!F460),"x","")</f>
        <v/>
      </c>
      <c r="W460" s="22" t="str">
        <f>IF(AND(OR(LEFT(TH!L460,2)="15",LEFT(TH!M460,2)="15"),TK!$E$7=TH!F460),"x","")</f>
        <v/>
      </c>
      <c r="X460" s="22" t="str">
        <f>IF(OR(TH!L460=TH!$X$7,M460=TH!$X$7),"x","")</f>
        <v>x</v>
      </c>
      <c r="Y460" s="22" t="str">
        <f>IF(AND(B460&lt;=NKC!$N$8,B460&gt;=NKC!$M$8),"x","")</f>
        <v/>
      </c>
      <c r="Z460" s="580">
        <v>4</v>
      </c>
      <c r="AA460" s="406"/>
      <c r="AB460" s="406"/>
    </row>
    <row r="461" spans="1:31" s="130" customFormat="1" ht="15.75" customHeight="1">
      <c r="A461" s="123" t="str">
        <f>IF(B461&lt;&gt;"",IF(AND(B461&gt;=_TM1,B461&lt;=_TM2,OR(TH!L461="1111",TH!M461="1111")),TH!D461,""),"")</f>
        <v>C07</v>
      </c>
      <c r="B461" s="12">
        <f t="shared" si="15"/>
        <v>10</v>
      </c>
      <c r="C461" s="108">
        <f t="shared" si="16"/>
        <v>42663</v>
      </c>
      <c r="D461" s="113" t="s">
        <v>462</v>
      </c>
      <c r="E461" s="113">
        <v>42663</v>
      </c>
      <c r="F461" s="112" t="s">
        <v>792</v>
      </c>
      <c r="G461" s="305" t="s">
        <v>793</v>
      </c>
      <c r="H461" s="115" t="s">
        <v>794</v>
      </c>
      <c r="I461" s="139"/>
      <c r="J461" s="139"/>
      <c r="K461" s="13">
        <v>93400</v>
      </c>
      <c r="L461" s="116" t="s">
        <v>9</v>
      </c>
      <c r="M461" s="411" t="s">
        <v>46</v>
      </c>
      <c r="N461" s="22" t="str">
        <f>IF(AND('331-CT'!$E$7=TH!H461,OR(L461="331",M461="331")),"331",IF(AND(OR(L461="131",M461="131"),H461='131-CT'!$E$7),"131",""))</f>
        <v/>
      </c>
      <c r="O461" s="22" t="str">
        <f>IF(AND($B461&gt;='111'!$N$11,$B461&lt;='111'!$O$11,OR($L461=$O$7,$M461=$O$7)),"x","")</f>
        <v>x</v>
      </c>
      <c r="P461" s="22" t="str">
        <f>IF(AND($L461=$O$7,$B461&lt;'111'!$N$11),"x","")</f>
        <v/>
      </c>
      <c r="Q461" s="22" t="str">
        <f>IF(AND($M461=$O$7,$B461&lt;'111'!$N$11),"x","")</f>
        <v/>
      </c>
      <c r="R461" s="22" t="str">
        <f>IF(ISERROR(FIND('112'!$M$9,G461,1)),"",IF((AND(FIND('112'!$M$9,G461,1)&gt;=1,$B461&gt;='112'!$N$8,$B461&lt;='112'!$O$8,OR($L461='112'!$I$6,$M461='112'!$I$6))),"x",""))</f>
        <v/>
      </c>
      <c r="S461" s="22" t="str">
        <f>IF(ISERROR(FIND('112'!$M$9,G461,1)),"",IF((AND(LEFT(G461,2)=LEFT('112'!$M$9,2),B461&lt;'112'!$N$8,$L461='112'!$I$6)),"x",""))</f>
        <v/>
      </c>
      <c r="T461" s="22" t="str">
        <f>IF(ISERROR(FIND('112'!$M$9,G461,1)),"",IF((AND(RIGHT(G461,2)=RIGHT('112'!$M$9,2),B461&lt;'112'!$N$8,$M461='112'!$I$6)),"x",""))</f>
        <v/>
      </c>
      <c r="U461" s="22" t="str">
        <f>IF(AND(B461&gt;='IN-NX'!$P$3,B461&lt;='IN-NX'!$Q$3,'IN-NX'!$D$7=D461,OR(LEFT(L461,2)="15",AND(LEFT(M461,2)&lt;&gt;"15",LEFT(M461,2)&lt;&gt;"33"))),"x","")</f>
        <v/>
      </c>
      <c r="V461" s="22" t="str">
        <f>IF(AND(OR(LEFT(TH!L461,2)="15",LEFT(TH!M461,2)="15"),'152-CT'!$J$8=TH!F461),"x","")</f>
        <v/>
      </c>
      <c r="W461" s="22" t="str">
        <f>IF(AND(OR(LEFT(TH!L461,2)="15",LEFT(TH!M461,2)="15"),TK!$E$7=TH!F461),"x","")</f>
        <v/>
      </c>
      <c r="X461" s="22" t="str">
        <f>IF(OR(TH!L461=TH!$X$7,M461=TH!$X$7),"x","")</f>
        <v/>
      </c>
      <c r="Y461" s="22" t="str">
        <f>IF(AND(B461&lt;=NKC!$N$8,B461&gt;=NKC!$M$8),"x","")</f>
        <v/>
      </c>
      <c r="Z461" s="580">
        <v>4</v>
      </c>
      <c r="AA461" s="406"/>
      <c r="AB461" s="406"/>
    </row>
    <row r="462" spans="1:31" s="130" customFormat="1" ht="15.75" customHeight="1">
      <c r="A462" s="123" t="str">
        <f>IF(B462&lt;&gt;"",IF(AND(B462&gt;=_TM1,B462&lt;=_TM2,OR(TH!L462="1111",TH!M462="1111")),TH!D462,""),"")</f>
        <v/>
      </c>
      <c r="B462" s="12">
        <f t="shared" si="15"/>
        <v>10</v>
      </c>
      <c r="C462" s="108">
        <f t="shared" si="16"/>
        <v>42665</v>
      </c>
      <c r="D462" s="113" t="s">
        <v>463</v>
      </c>
      <c r="E462" s="113">
        <v>42665</v>
      </c>
      <c r="F462" s="112" t="s">
        <v>777</v>
      </c>
      <c r="G462" s="305" t="s">
        <v>795</v>
      </c>
      <c r="H462" s="115" t="s">
        <v>780</v>
      </c>
      <c r="I462" s="139">
        <v>13030</v>
      </c>
      <c r="J462" s="139">
        <v>800</v>
      </c>
      <c r="K462" s="13">
        <f>ROUND(I462*J462,0)</f>
        <v>10424000</v>
      </c>
      <c r="L462" s="116" t="s">
        <v>156</v>
      </c>
      <c r="M462" s="116" t="s">
        <v>8</v>
      </c>
      <c r="N462" s="22" t="str">
        <f>IF(AND('331-CT'!$E$7=TH!H462,OR(L462="331",M462="331")),"331",IF(AND(OR(L462="131",M462="131"),H462='131-CT'!$E$7),"131",""))</f>
        <v/>
      </c>
      <c r="O462" s="22" t="str">
        <f>IF(AND($B462&gt;='111'!$N$11,$B462&lt;='111'!$O$11,OR($L462=$O$7,$M462=$O$7)),"x","")</f>
        <v/>
      </c>
      <c r="P462" s="22" t="str">
        <f>IF(AND($L462=$O$7,$B462&lt;'111'!$N$11),"x","")</f>
        <v/>
      </c>
      <c r="Q462" s="22" t="str">
        <f>IF(AND($M462=$O$7,$B462&lt;'111'!$N$11),"x","")</f>
        <v/>
      </c>
      <c r="R462" s="22" t="str">
        <f>IF(ISERROR(FIND('112'!$M$9,G462,1)),"",IF((AND(FIND('112'!$M$9,G462,1)&gt;=1,$B462&gt;='112'!$N$8,$B462&lt;='112'!$O$8,OR($L462='112'!$I$6,$M462='112'!$I$6))),"x",""))</f>
        <v/>
      </c>
      <c r="S462" s="22" t="str">
        <f>IF(ISERROR(FIND('112'!$M$9,G462,1)),"",IF((AND(LEFT(G462,2)=LEFT('112'!$M$9,2),B462&lt;'112'!$N$8,$L462='112'!$I$6)),"x",""))</f>
        <v/>
      </c>
      <c r="T462" s="22" t="str">
        <f>IF(ISERROR(FIND('112'!$M$9,G462,1)),"",IF((AND(RIGHT(G462,2)=RIGHT('112'!$M$9,2),B462&lt;'112'!$N$8,$M462='112'!$I$6)),"x",""))</f>
        <v/>
      </c>
      <c r="U462" s="22" t="str">
        <f>IF(AND(B462&gt;='IN-NX'!$P$3,B462&lt;='IN-NX'!$Q$3,'IN-NX'!$D$7=D462,OR(LEFT(L462,2)="15",AND(LEFT(M462,2)&lt;&gt;"15",LEFT(M462,2)&lt;&gt;"33"))),"x","")</f>
        <v/>
      </c>
      <c r="V462" s="22" t="str">
        <f>IF(AND(OR(LEFT(TH!L462,2)="15",LEFT(TH!M462,2)="15"),'152-CT'!$J$8=TH!F462),"x","")</f>
        <v/>
      </c>
      <c r="W462" s="22" t="str">
        <f>IF(AND(OR(LEFT(TH!L462,2)="15",LEFT(TH!M462,2)="15"),TK!$E$7=TH!F462),"x","")</f>
        <v/>
      </c>
      <c r="X462" s="22" t="str">
        <f>IF(OR(TH!L462=TH!$X$7,M462=TH!$X$7),"x","")</f>
        <v/>
      </c>
      <c r="Y462" s="22" t="str">
        <f>IF(AND(B462&lt;=NKC!$N$8,B462&gt;=NKC!$M$8),"x","")</f>
        <v/>
      </c>
      <c r="Z462" s="580">
        <v>4</v>
      </c>
      <c r="AA462" s="406"/>
      <c r="AB462" s="406"/>
    </row>
    <row r="463" spans="1:31" s="130" customFormat="1" ht="15.75" customHeight="1">
      <c r="A463" s="123" t="str">
        <f>IF(B463&lt;&gt;"",IF(AND(B463&gt;=_TM1,B463&lt;=_TM2,OR(TH!L463="1111",TH!M463="1111")),TH!D463,""),"")</f>
        <v/>
      </c>
      <c r="B463" s="12">
        <f t="shared" si="15"/>
        <v>10</v>
      </c>
      <c r="C463" s="108">
        <f t="shared" si="16"/>
        <v>42665</v>
      </c>
      <c r="D463" s="113" t="s">
        <v>463</v>
      </c>
      <c r="E463" s="113">
        <v>42665</v>
      </c>
      <c r="F463" s="112" t="s">
        <v>778</v>
      </c>
      <c r="G463" s="305" t="s">
        <v>795</v>
      </c>
      <c r="H463" s="115" t="s">
        <v>780</v>
      </c>
      <c r="I463" s="139"/>
      <c r="J463" s="139"/>
      <c r="K463" s="13">
        <v>1042400</v>
      </c>
      <c r="L463" s="116" t="s">
        <v>9</v>
      </c>
      <c r="M463" s="116" t="s">
        <v>8</v>
      </c>
      <c r="N463" s="22" t="str">
        <f>IF(AND('331-CT'!$E$7=TH!H463,OR(L463="331",M463="331")),"331",IF(AND(OR(L463="131",M463="131"),H463='131-CT'!$E$7),"131",""))</f>
        <v/>
      </c>
      <c r="O463" s="22" t="str">
        <f>IF(AND($B463&gt;='111'!$N$11,$B463&lt;='111'!$O$11,OR($L463=$O$7,$M463=$O$7)),"x","")</f>
        <v/>
      </c>
      <c r="P463" s="22" t="str">
        <f>IF(AND($L463=$O$7,$B463&lt;'111'!$N$11),"x","")</f>
        <v/>
      </c>
      <c r="Q463" s="22" t="str">
        <f>IF(AND($M463=$O$7,$B463&lt;'111'!$N$11),"x","")</f>
        <v/>
      </c>
      <c r="R463" s="22" t="str">
        <f>IF(ISERROR(FIND('112'!$M$9,G463,1)),"",IF((AND(FIND('112'!$M$9,G463,1)&gt;=1,$B463&gt;='112'!$N$8,$B463&lt;='112'!$O$8,OR($L463='112'!$I$6,$M463='112'!$I$6))),"x",""))</f>
        <v/>
      </c>
      <c r="S463" s="22" t="str">
        <f>IF(ISERROR(FIND('112'!$M$9,G463,1)),"",IF((AND(LEFT(G463,2)=LEFT('112'!$M$9,2),B463&lt;'112'!$N$8,$L463='112'!$I$6)),"x",""))</f>
        <v/>
      </c>
      <c r="T463" s="22" t="str">
        <f>IF(ISERROR(FIND('112'!$M$9,G463,1)),"",IF((AND(RIGHT(G463,2)=RIGHT('112'!$M$9,2),B463&lt;'112'!$N$8,$M463='112'!$I$6)),"x",""))</f>
        <v/>
      </c>
      <c r="U463" s="22" t="str">
        <f>IF(AND(B463&gt;='IN-NX'!$P$3,B463&lt;='IN-NX'!$Q$3,'IN-NX'!$D$7=D463,OR(LEFT(L463,2)="15",AND(LEFT(M463,2)&lt;&gt;"15",LEFT(M463,2)&lt;&gt;"33"))),"x","")</f>
        <v/>
      </c>
      <c r="V463" s="22" t="str">
        <f>IF(AND(OR(LEFT(TH!L463,2)="15",LEFT(TH!M463,2)="15"),'152-CT'!$J$8=TH!F463),"x","")</f>
        <v/>
      </c>
      <c r="W463" s="22" t="str">
        <f>IF(AND(OR(LEFT(TH!L463,2)="15",LEFT(TH!M463,2)="15"),TK!$E$7=TH!F463),"x","")</f>
        <v/>
      </c>
      <c r="X463" s="22" t="str">
        <f>IF(OR(TH!L463=TH!$X$7,M463=TH!$X$7),"x","")</f>
        <v/>
      </c>
      <c r="Y463" s="22" t="str">
        <f>IF(AND(B463&lt;=NKC!$N$8,B463&gt;=NKC!$M$8),"x","")</f>
        <v/>
      </c>
      <c r="Z463" s="580">
        <v>4</v>
      </c>
      <c r="AA463" s="406"/>
      <c r="AB463" s="406"/>
    </row>
    <row r="464" spans="1:31" s="130" customFormat="1" ht="15.75" customHeight="1">
      <c r="A464" s="123" t="str">
        <f>IF(B464&lt;&gt;"",IF(AND(B464&gt;=_TM1,B464&lt;=_TM2,OR(TH!L464="1111",TH!M464="1111")),TH!D464,""),"")</f>
        <v>C08</v>
      </c>
      <c r="B464" s="12">
        <f t="shared" si="15"/>
        <v>10</v>
      </c>
      <c r="C464" s="108">
        <f t="shared" si="16"/>
        <v>42665</v>
      </c>
      <c r="D464" s="113" t="s">
        <v>640</v>
      </c>
      <c r="E464" s="113">
        <v>42665</v>
      </c>
      <c r="F464" s="112" t="s">
        <v>465</v>
      </c>
      <c r="G464" s="305" t="s">
        <v>795</v>
      </c>
      <c r="H464" s="115" t="s">
        <v>780</v>
      </c>
      <c r="I464" s="139"/>
      <c r="J464" s="139"/>
      <c r="K464" s="13">
        <v>11466400</v>
      </c>
      <c r="L464" s="116" t="s">
        <v>8</v>
      </c>
      <c r="M464" s="411" t="s">
        <v>46</v>
      </c>
      <c r="N464" s="22" t="str">
        <f>IF(AND('331-CT'!$E$7=TH!H464,OR(L464="331",M464="331")),"331",IF(AND(OR(L464="131",M464="131"),H464='131-CT'!$E$7),"131",""))</f>
        <v/>
      </c>
      <c r="O464" s="22" t="str">
        <f>IF(AND($B464&gt;='111'!$N$11,$B464&lt;='111'!$O$11,OR($L464=$O$7,$M464=$O$7)),"x","")</f>
        <v>x</v>
      </c>
      <c r="P464" s="22" t="str">
        <f>IF(AND($L464=$O$7,$B464&lt;'111'!$N$11),"x","")</f>
        <v/>
      </c>
      <c r="Q464" s="22" t="str">
        <f>IF(AND($M464=$O$7,$B464&lt;'111'!$N$11),"x","")</f>
        <v/>
      </c>
      <c r="R464" s="22" t="str">
        <f>IF(ISERROR(FIND('112'!$M$9,G464,1)),"",IF((AND(FIND('112'!$M$9,G464,1)&gt;=1,$B464&gt;='112'!$N$8,$B464&lt;='112'!$O$8,OR($L464='112'!$I$6,$M464='112'!$I$6))),"x",""))</f>
        <v/>
      </c>
      <c r="S464" s="22" t="str">
        <f>IF(ISERROR(FIND('112'!$M$9,G464,1)),"",IF((AND(LEFT(G464,2)=LEFT('112'!$M$9,2),B464&lt;'112'!$N$8,$L464='112'!$I$6)),"x",""))</f>
        <v/>
      </c>
      <c r="T464" s="22" t="str">
        <f>IF(ISERROR(FIND('112'!$M$9,G464,1)),"",IF((AND(RIGHT(G464,2)=RIGHT('112'!$M$9,2),B464&lt;'112'!$N$8,$M464='112'!$I$6)),"x",""))</f>
        <v/>
      </c>
      <c r="U464" s="22" t="str">
        <f>IF(AND(B464&gt;='IN-NX'!$P$3,B464&lt;='IN-NX'!$Q$3,'IN-NX'!$D$7=D464,OR(LEFT(L464,2)="15",AND(LEFT(M464,2)&lt;&gt;"15",LEFT(M464,2)&lt;&gt;"33"))),"x","")</f>
        <v/>
      </c>
      <c r="V464" s="22" t="str">
        <f>IF(AND(OR(LEFT(TH!L464,2)="15",LEFT(TH!M464,2)="15"),'152-CT'!$J$8=TH!F464),"x","")</f>
        <v/>
      </c>
      <c r="W464" s="22" t="str">
        <f>IF(AND(OR(LEFT(TH!L464,2)="15",LEFT(TH!M464,2)="15"),TK!$E$7=TH!F464),"x","")</f>
        <v/>
      </c>
      <c r="X464" s="22" t="str">
        <f>IF(OR(TH!L464=TH!$X$7,M464=TH!$X$7),"x","")</f>
        <v/>
      </c>
      <c r="Y464" s="22" t="str">
        <f>IF(AND(B464&lt;=NKC!$N$8,B464&gt;=NKC!$M$8),"x","")</f>
        <v/>
      </c>
      <c r="Z464" s="580"/>
      <c r="AA464" s="406"/>
    </row>
    <row r="465" spans="1:31" s="130" customFormat="1" ht="15.75" customHeight="1">
      <c r="A465" s="123" t="str">
        <f>IF(B465&lt;&gt;"",IF(AND(B465&gt;=_TM1,B465&lt;=_TM2,OR(TH!L465="1111",TH!M465="1111")),TH!D465,""),"")</f>
        <v/>
      </c>
      <c r="B465" s="12">
        <f t="shared" ref="B465:B528" si="17">IF(C465&lt;&gt;"",MONTH(C465),"")</f>
        <v>10</v>
      </c>
      <c r="C465" s="108">
        <f t="shared" si="16"/>
        <v>42667</v>
      </c>
      <c r="D465" s="108" t="s">
        <v>469</v>
      </c>
      <c r="E465" s="113">
        <v>42667</v>
      </c>
      <c r="F465" s="112" t="s">
        <v>484</v>
      </c>
      <c r="G465" s="114" t="s">
        <v>474</v>
      </c>
      <c r="H465" s="4" t="s">
        <v>623</v>
      </c>
      <c r="I465" s="139"/>
      <c r="J465" s="141"/>
      <c r="K465" s="13">
        <v>3548160</v>
      </c>
      <c r="L465" s="116" t="s">
        <v>24</v>
      </c>
      <c r="M465" s="411" t="s">
        <v>252</v>
      </c>
      <c r="N465" s="22" t="str">
        <f>IF(AND('331-CT'!$E$7=TH!H465,OR(L465="331",M465="331")),"331",IF(AND(OR(L465="131",M465="131"),H465='131-CT'!$E$7),"131",""))</f>
        <v/>
      </c>
      <c r="O465" s="22" t="str">
        <f>IF(AND($B465&gt;='111'!$N$11,$B465&lt;='111'!$O$11,OR($L465=$O$7,$M465=$O$7)),"x","")</f>
        <v/>
      </c>
      <c r="P465" s="22" t="str">
        <f>IF(AND($L465=$O$7,$B465&lt;'111'!$N$11),"x","")</f>
        <v/>
      </c>
      <c r="Q465" s="22" t="str">
        <f>IF(AND($M465=$O$7,$B465&lt;'111'!$N$11),"x","")</f>
        <v/>
      </c>
      <c r="R465" s="22" t="str">
        <f>IF(ISERROR(FIND('112'!$M$9,G465,1)),"",IF((AND(FIND('112'!$M$9,G465,1)&gt;=1,$B465&gt;='112'!$N$8,$B465&lt;='112'!$O$8,OR($L465='112'!$I$6,$M465='112'!$I$6))),"x",""))</f>
        <v>x</v>
      </c>
      <c r="S465" s="22" t="str">
        <f>IF(ISERROR(FIND('112'!$M$9,G465,1)),"",IF((AND(LEFT(G465,2)=LEFT('112'!$M$9,2),B465&lt;'112'!$N$8,$L465='112'!$I$6)),"x",""))</f>
        <v/>
      </c>
      <c r="T465" s="22" t="str">
        <f>IF(ISERROR(FIND('112'!$M$9,G465,1)),"",IF((AND(RIGHT(G465,2)=RIGHT('112'!$M$9,2),B465&lt;'112'!$N$8,$M465='112'!$I$6)),"x",""))</f>
        <v/>
      </c>
      <c r="U465" s="22" t="str">
        <f>IF(AND(B465&gt;='IN-NX'!$P$3,B465&lt;='IN-NX'!$Q$3,'IN-NX'!$D$7=D465,OR(LEFT(L465,2)="15",AND(LEFT(M465,2)&lt;&gt;"15",LEFT(M465,2)&lt;&gt;"33"))),"x","")</f>
        <v/>
      </c>
      <c r="V465" s="22" t="str">
        <f>IF(AND(OR(LEFT(TH!L465,2)="15",LEFT(TH!M465,2)="15"),'152-CT'!$J$8=TH!F465),"x","")</f>
        <v/>
      </c>
      <c r="W465" s="22" t="str">
        <f>IF(AND(OR(LEFT(TH!L465,2)="15",LEFT(TH!M465,2)="15"),TK!$E$7=TH!F465),"x","")</f>
        <v/>
      </c>
      <c r="X465" s="22" t="str">
        <f>IF(OR(TH!L465=TH!$X$7,M465=TH!$X$7),"x","")</f>
        <v/>
      </c>
      <c r="Y465" s="22" t="str">
        <f>IF(AND(B465&lt;=NKC!$N$8,B465&gt;=NKC!$M$8),"x","")</f>
        <v/>
      </c>
      <c r="Z465" s="580"/>
      <c r="AA465" s="406"/>
      <c r="AD465" s="406"/>
      <c r="AE465" s="406"/>
    </row>
    <row r="466" spans="1:31" s="130" customFormat="1" ht="15.75" customHeight="1">
      <c r="A466" s="123" t="str">
        <f>IF(B466&lt;&gt;"",IF(AND(B466&gt;=_TM1,B466&lt;=_TM2,OR(TH!L466="1111",TH!M466="1111")),TH!D466,""),"")</f>
        <v/>
      </c>
      <c r="B466" s="12">
        <f t="shared" si="17"/>
        <v>10</v>
      </c>
      <c r="C466" s="108">
        <f t="shared" si="16"/>
        <v>42668</v>
      </c>
      <c r="D466" s="108" t="s">
        <v>469</v>
      </c>
      <c r="E466" s="113">
        <v>42668</v>
      </c>
      <c r="F466" s="112" t="s">
        <v>476</v>
      </c>
      <c r="G466" s="114" t="s">
        <v>474</v>
      </c>
      <c r="H466" s="115"/>
      <c r="I466" s="139"/>
      <c r="J466" s="141"/>
      <c r="K466" s="13">
        <v>4672</v>
      </c>
      <c r="L466" s="116" t="s">
        <v>24</v>
      </c>
      <c r="M466" s="411" t="s">
        <v>39</v>
      </c>
      <c r="N466" s="22" t="str">
        <f>IF(AND('331-CT'!$E$7=TH!H466,OR(L466="331",M466="331")),"331",IF(AND(OR(L466="131",M466="131"),H466='131-CT'!$E$7),"131",""))</f>
        <v/>
      </c>
      <c r="O466" s="22" t="str">
        <f>IF(AND($B466&gt;='111'!$N$11,$B466&lt;='111'!$O$11,OR($L466=$O$7,$M466=$O$7)),"x","")</f>
        <v/>
      </c>
      <c r="P466" s="22" t="str">
        <f>IF(AND($L466=$O$7,$B466&lt;'111'!$N$11),"x","")</f>
        <v/>
      </c>
      <c r="Q466" s="22" t="str">
        <f>IF(AND($M466=$O$7,$B466&lt;'111'!$N$11),"x","")</f>
        <v/>
      </c>
      <c r="R466" s="22" t="str">
        <f>IF(ISERROR(FIND('112'!$M$9,G466,1)),"",IF((AND(FIND('112'!$M$9,G466,1)&gt;=1,$B466&gt;='112'!$N$8,$B466&lt;='112'!$O$8,OR($L466='112'!$I$6,$M466='112'!$I$6))),"x",""))</f>
        <v>x</v>
      </c>
      <c r="S466" s="22" t="str">
        <f>IF(ISERROR(FIND('112'!$M$9,G466,1)),"",IF((AND(LEFT(G466,2)=LEFT('112'!$M$9,2),B466&lt;'112'!$N$8,$L466='112'!$I$6)),"x",""))</f>
        <v/>
      </c>
      <c r="T466" s="22" t="str">
        <f>IF(ISERROR(FIND('112'!$M$9,G466,1)),"",IF((AND(RIGHT(G466,2)=RIGHT('112'!$M$9,2),B466&lt;'112'!$N$8,$M466='112'!$I$6)),"x",""))</f>
        <v/>
      </c>
      <c r="U466" s="22" t="str">
        <f>IF(AND(B466&gt;='IN-NX'!$P$3,B466&lt;='IN-NX'!$Q$3,'IN-NX'!$D$7=D466,OR(LEFT(L466,2)="15",AND(LEFT(M466,2)&lt;&gt;"15",LEFT(M466,2)&lt;&gt;"33"))),"x","")</f>
        <v/>
      </c>
      <c r="V466" s="22" t="str">
        <f>IF(AND(OR(LEFT(TH!L466,2)="15",LEFT(TH!M466,2)="15"),'152-CT'!$J$8=TH!F466),"x","")</f>
        <v/>
      </c>
      <c r="W466" s="22" t="str">
        <f>IF(AND(OR(LEFT(TH!L466,2)="15",LEFT(TH!M466,2)="15"),TK!$E$7=TH!F466),"x","")</f>
        <v/>
      </c>
      <c r="X466" s="22" t="str">
        <f>IF(OR(TH!L466=TH!$X$7,M466=TH!$X$7),"x","")</f>
        <v/>
      </c>
      <c r="Y466" s="22" t="str">
        <f>IF(AND(B466&lt;=NKC!$N$8,B466&gt;=NKC!$M$8),"x","")</f>
        <v/>
      </c>
      <c r="Z466" s="580"/>
      <c r="AA466" s="406"/>
      <c r="AB466" s="406"/>
      <c r="AD466" s="406"/>
      <c r="AE466" s="406"/>
    </row>
    <row r="467" spans="1:31" s="130" customFormat="1" ht="15.75" customHeight="1">
      <c r="A467" s="123" t="str">
        <f>IF(B467&lt;&gt;"",IF(AND(B467&gt;=_TM1,B467&lt;=_TM2,OR(TH!L467="1111",TH!M467="1111")),TH!D467,""),"")</f>
        <v>T07</v>
      </c>
      <c r="B467" s="12">
        <f t="shared" si="17"/>
        <v>10</v>
      </c>
      <c r="C467" s="108">
        <f t="shared" si="16"/>
        <v>42668</v>
      </c>
      <c r="D467" s="108" t="s">
        <v>991</v>
      </c>
      <c r="E467" s="113">
        <v>42668</v>
      </c>
      <c r="F467" s="114" t="s">
        <v>485</v>
      </c>
      <c r="G467" s="114" t="s">
        <v>474</v>
      </c>
      <c r="H467" s="129" t="s">
        <v>475</v>
      </c>
      <c r="I467" s="139"/>
      <c r="J467" s="139"/>
      <c r="K467" s="13">
        <v>3500000</v>
      </c>
      <c r="L467" s="116" t="s">
        <v>46</v>
      </c>
      <c r="M467" s="411" t="s">
        <v>24</v>
      </c>
      <c r="N467" s="22" t="str">
        <f>IF(AND('331-CT'!$E$7=TH!H467,OR(L467="331",M467="331")),"331",IF(AND(OR(L467="131",M467="131"),H467='131-CT'!$E$7),"131",""))</f>
        <v/>
      </c>
      <c r="O467" s="22" t="str">
        <f>IF(AND($B467&gt;='111'!$N$11,$B467&lt;='111'!$O$11,OR($L467=$O$7,$M467=$O$7)),"x","")</f>
        <v>x</v>
      </c>
      <c r="P467" s="22" t="str">
        <f>IF(AND($L467=$O$7,$B467&lt;'111'!$N$11),"x","")</f>
        <v/>
      </c>
      <c r="Q467" s="22" t="str">
        <f>IF(AND($M467=$O$7,$B467&lt;'111'!$N$11),"x","")</f>
        <v/>
      </c>
      <c r="R467" s="22" t="str">
        <f>IF(ISERROR(FIND('112'!$M$9,G467,1)),"",IF((AND(FIND('112'!$M$9,G467,1)&gt;=1,$B467&gt;='112'!$N$8,$B467&lt;='112'!$O$8,OR($L467='112'!$I$6,$M467='112'!$I$6))),"x",""))</f>
        <v>x</v>
      </c>
      <c r="S467" s="22" t="str">
        <f>IF(ISERROR(FIND('112'!$M$9,G467,1)),"",IF((AND(LEFT(G467,2)=LEFT('112'!$M$9,2),B467&lt;'112'!$N$8,$L467='112'!$I$6)),"x",""))</f>
        <v/>
      </c>
      <c r="T467" s="22" t="str">
        <f>IF(ISERROR(FIND('112'!$M$9,G467,1)),"",IF((AND(RIGHT(G467,2)=RIGHT('112'!$M$9,2),B467&lt;'112'!$N$8,$M467='112'!$I$6)),"x",""))</f>
        <v/>
      </c>
      <c r="U467" s="22" t="str">
        <f>IF(AND(B467&gt;='IN-NX'!$P$3,B467&lt;='IN-NX'!$Q$3,'IN-NX'!$D$7=D467,OR(LEFT(L467,2)="15",AND(LEFT(M467,2)&lt;&gt;"15",LEFT(M467,2)&lt;&gt;"33"))),"x","")</f>
        <v/>
      </c>
      <c r="V467" s="22" t="str">
        <f>IF(AND(OR(LEFT(TH!L467,2)="15",LEFT(TH!M467,2)="15"),'152-CT'!$J$8=TH!F467),"x","")</f>
        <v/>
      </c>
      <c r="W467" s="22" t="str">
        <f>IF(AND(OR(LEFT(TH!L467,2)="15",LEFT(TH!M467,2)="15"),TK!$E$7=TH!F467),"x","")</f>
        <v/>
      </c>
      <c r="X467" s="22" t="str">
        <f>IF(OR(TH!L467=TH!$X$7,M467=TH!$X$7),"x","")</f>
        <v/>
      </c>
      <c r="Y467" s="22" t="str">
        <f>IF(AND(B467&lt;=NKC!$N$8,B467&gt;=NKC!$M$8),"x","")</f>
        <v/>
      </c>
      <c r="Z467" s="580"/>
      <c r="AA467" s="406"/>
    </row>
    <row r="468" spans="1:31" s="130" customFormat="1" ht="15.75" customHeight="1">
      <c r="A468" s="123" t="str">
        <f>IF(B468&lt;&gt;"",IF(AND(B468&gt;=_TM1,B468&lt;=_TM2,OR(TH!L468="1111",TH!M468="1111")),TH!D468,""),"")</f>
        <v/>
      </c>
      <c r="B468" s="12">
        <f t="shared" si="17"/>
        <v>10</v>
      </c>
      <c r="C468" s="108">
        <f t="shared" si="16"/>
        <v>42668</v>
      </c>
      <c r="D468" s="108" t="s">
        <v>470</v>
      </c>
      <c r="E468" s="113">
        <v>42668</v>
      </c>
      <c r="F468" s="114" t="s">
        <v>477</v>
      </c>
      <c r="G468" s="114" t="s">
        <v>474</v>
      </c>
      <c r="H468" s="115"/>
      <c r="I468" s="139"/>
      <c r="J468" s="139"/>
      <c r="K468" s="13">
        <v>10000</v>
      </c>
      <c r="L468" s="116" t="s">
        <v>82</v>
      </c>
      <c r="M468" s="411" t="s">
        <v>24</v>
      </c>
      <c r="N468" s="22" t="str">
        <f>IF(AND('331-CT'!$E$7=TH!H468,OR(L468="331",M468="331")),"331",IF(AND(OR(L468="131",M468="131"),H468='131-CT'!$E$7),"131",""))</f>
        <v/>
      </c>
      <c r="O468" s="22" t="str">
        <f>IF(AND($B468&gt;='111'!$N$11,$B468&lt;='111'!$O$11,OR($L468=$O$7,$M468=$O$7)),"x","")</f>
        <v/>
      </c>
      <c r="P468" s="22" t="str">
        <f>IF(AND($L468=$O$7,$B468&lt;'111'!$N$11),"x","")</f>
        <v/>
      </c>
      <c r="Q468" s="22" t="str">
        <f>IF(AND($M468=$O$7,$B468&lt;'111'!$N$11),"x","")</f>
        <v/>
      </c>
      <c r="R468" s="22" t="str">
        <f>IF(ISERROR(FIND('112'!$M$9,G468,1)),"",IF((AND(FIND('112'!$M$9,G468,1)&gt;=1,$B468&gt;='112'!$N$8,$B468&lt;='112'!$O$8,OR($L468='112'!$I$6,$M468='112'!$I$6))),"x",""))</f>
        <v>x</v>
      </c>
      <c r="S468" s="22" t="str">
        <f>IF(ISERROR(FIND('112'!$M$9,G468,1)),"",IF((AND(LEFT(G468,2)=LEFT('112'!$M$9,2),B468&lt;'112'!$N$8,$L468='112'!$I$6)),"x",""))</f>
        <v/>
      </c>
      <c r="T468" s="22" t="str">
        <f>IF(ISERROR(FIND('112'!$M$9,G468,1)),"",IF((AND(RIGHT(G468,2)=RIGHT('112'!$M$9,2),B468&lt;'112'!$N$8,$M468='112'!$I$6)),"x",""))</f>
        <v/>
      </c>
      <c r="U468" s="22" t="str">
        <f>IF(AND(B468&gt;='IN-NX'!$P$3,B468&lt;='IN-NX'!$Q$3,'IN-NX'!$D$7=D468,OR(LEFT(L468,2)="15",AND(LEFT(M468,2)&lt;&gt;"15",LEFT(M468,2)&lt;&gt;"33"))),"x","")</f>
        <v/>
      </c>
      <c r="V468" s="22" t="str">
        <f>IF(AND(OR(LEFT(TH!L468,2)="15",LEFT(TH!M468,2)="15"),'152-CT'!$J$8=TH!F468),"x","")</f>
        <v/>
      </c>
      <c r="W468" s="22" t="str">
        <f>IF(AND(OR(LEFT(TH!L468,2)="15",LEFT(TH!M468,2)="15"),TK!$E$7=TH!F468),"x","")</f>
        <v/>
      </c>
      <c r="X468" s="22" t="str">
        <f>IF(OR(TH!L468=TH!$X$7,M468=TH!$X$7),"x","")</f>
        <v>x</v>
      </c>
      <c r="Y468" s="22" t="str">
        <f>IF(AND(B468&lt;=NKC!$N$8,B468&gt;=NKC!$M$8),"x","")</f>
        <v/>
      </c>
      <c r="Z468" s="580">
        <v>4</v>
      </c>
      <c r="AA468" s="406"/>
      <c r="AB468" s="406"/>
    </row>
    <row r="469" spans="1:31" s="130" customFormat="1" ht="15.75" customHeight="1">
      <c r="A469" s="123" t="str">
        <f>IF(B469&lt;&gt;"",IF(AND(B469&gt;=_TM1,B469&lt;=_TM2,OR(TH!L469="1111",TH!M469="1111")),TH!D469,""),"")</f>
        <v/>
      </c>
      <c r="B469" s="12">
        <f t="shared" si="17"/>
        <v>10</v>
      </c>
      <c r="C469" s="108">
        <f t="shared" ref="C469:C532" si="18">E469</f>
        <v>42668</v>
      </c>
      <c r="D469" s="108" t="s">
        <v>470</v>
      </c>
      <c r="E469" s="113">
        <v>42668</v>
      </c>
      <c r="F469" s="114" t="s">
        <v>478</v>
      </c>
      <c r="G469" s="114" t="s">
        <v>474</v>
      </c>
      <c r="H469" s="115"/>
      <c r="I469" s="139"/>
      <c r="J469" s="139"/>
      <c r="K469" s="13">
        <v>1000</v>
      </c>
      <c r="L469" s="116" t="s">
        <v>9</v>
      </c>
      <c r="M469" s="411" t="s">
        <v>24</v>
      </c>
      <c r="N469" s="22" t="str">
        <f>IF(AND('331-CT'!$E$7=TH!H469,OR(L469="331",M469="331")),"331",IF(AND(OR(L469="131",M469="131"),H469='131-CT'!$E$7),"131",""))</f>
        <v/>
      </c>
      <c r="O469" s="22" t="str">
        <f>IF(AND($B469&gt;='111'!$N$11,$B469&lt;='111'!$O$11,OR($L469=$O$7,$M469=$O$7)),"x","")</f>
        <v/>
      </c>
      <c r="P469" s="22" t="str">
        <f>IF(AND($L469=$O$7,$B469&lt;'111'!$N$11),"x","")</f>
        <v/>
      </c>
      <c r="Q469" s="22" t="str">
        <f>IF(AND($M469=$O$7,$B469&lt;'111'!$N$11),"x","")</f>
        <v/>
      </c>
      <c r="R469" s="22" t="str">
        <f>IF(ISERROR(FIND('112'!$M$9,G469,1)),"",IF((AND(FIND('112'!$M$9,G469,1)&gt;=1,$B469&gt;='112'!$N$8,$B469&lt;='112'!$O$8,OR($L469='112'!$I$6,$M469='112'!$I$6))),"x",""))</f>
        <v>x</v>
      </c>
      <c r="S469" s="22" t="str">
        <f>IF(ISERROR(FIND('112'!$M$9,G469,1)),"",IF((AND(LEFT(G469,2)=LEFT('112'!$M$9,2),B469&lt;'112'!$N$8,$L469='112'!$I$6)),"x",""))</f>
        <v/>
      </c>
      <c r="T469" s="22" t="str">
        <f>IF(ISERROR(FIND('112'!$M$9,G469,1)),"",IF((AND(RIGHT(G469,2)=RIGHT('112'!$M$9,2),B469&lt;'112'!$N$8,$M469='112'!$I$6)),"x",""))</f>
        <v/>
      </c>
      <c r="U469" s="22" t="str">
        <f>IF(AND(B469&gt;='IN-NX'!$P$3,B469&lt;='IN-NX'!$Q$3,'IN-NX'!$D$7=D469,OR(LEFT(L469,2)="15",AND(LEFT(M469,2)&lt;&gt;"15",LEFT(M469,2)&lt;&gt;"33"))),"x","")</f>
        <v/>
      </c>
      <c r="V469" s="22" t="str">
        <f>IF(AND(OR(LEFT(TH!L469,2)="15",LEFT(TH!M469,2)="15"),'152-CT'!$J$8=TH!F469),"x","")</f>
        <v/>
      </c>
      <c r="W469" s="22" t="str">
        <f>IF(AND(OR(LEFT(TH!L469,2)="15",LEFT(TH!M469,2)="15"),TK!$E$7=TH!F469),"x","")</f>
        <v/>
      </c>
      <c r="X469" s="22" t="str">
        <f>IF(OR(TH!L469=TH!$X$7,M469=TH!$X$7),"x","")</f>
        <v/>
      </c>
      <c r="Y469" s="22" t="str">
        <f>IF(AND(B469&lt;=NKC!$N$8,B469&gt;=NKC!$M$8),"x","")</f>
        <v/>
      </c>
      <c r="Z469" s="580">
        <v>4</v>
      </c>
      <c r="AA469" s="406"/>
    </row>
    <row r="470" spans="1:31" s="130" customFormat="1" ht="15.75" customHeight="1">
      <c r="A470" s="123" t="str">
        <f>IF(B470&lt;&gt;"",IF(AND(B470&gt;=_TM1,B470&lt;=_TM2,OR(TH!L470="1111",TH!M470="1111")),TH!D470,""),"")</f>
        <v/>
      </c>
      <c r="B470" s="12">
        <f t="shared" si="17"/>
        <v>10</v>
      </c>
      <c r="C470" s="108">
        <f t="shared" si="18"/>
        <v>42672</v>
      </c>
      <c r="D470" s="108" t="s">
        <v>559</v>
      </c>
      <c r="E470" s="113">
        <v>42672</v>
      </c>
      <c r="F470" s="112" t="s">
        <v>668</v>
      </c>
      <c r="G470" s="303" t="s">
        <v>763</v>
      </c>
      <c r="H470" s="4" t="s">
        <v>371</v>
      </c>
      <c r="I470" s="140">
        <f>20+16</f>
        <v>36</v>
      </c>
      <c r="J470" s="140">
        <v>15400</v>
      </c>
      <c r="K470" s="13">
        <f>ROUND(I470*J470,0)</f>
        <v>554400</v>
      </c>
      <c r="L470" s="116" t="s">
        <v>252</v>
      </c>
      <c r="M470" s="411" t="s">
        <v>169</v>
      </c>
      <c r="N470" s="22" t="str">
        <f>IF(AND('331-CT'!$E$7=TH!H470,OR(L470="331",M470="331")),"331",IF(AND(OR(L470="131",M470="131"),H470='131-CT'!$E$7),"131",""))</f>
        <v/>
      </c>
      <c r="O470" s="22" t="str">
        <f>IF(AND($B470&gt;='111'!$N$11,$B470&lt;='111'!$O$11,OR($L470=$O$7,$M470=$O$7)),"x","")</f>
        <v/>
      </c>
      <c r="P470" s="22" t="str">
        <f>IF(AND($L470=$O$7,$B470&lt;'111'!$N$11),"x","")</f>
        <v/>
      </c>
      <c r="Q470" s="22" t="str">
        <f>IF(AND($M470=$O$7,$B470&lt;'111'!$N$11),"x","")</f>
        <v/>
      </c>
      <c r="R470" s="22" t="str">
        <f>IF(ISERROR(FIND('112'!$M$9,G470,1)),"",IF((AND(FIND('112'!$M$9,G470,1)&gt;=1,$B470&gt;='112'!$N$8,$B470&lt;='112'!$O$8,OR($L470='112'!$I$6,$M470='112'!$I$6))),"x",""))</f>
        <v/>
      </c>
      <c r="S470" s="22" t="str">
        <f>IF(ISERROR(FIND('112'!$M$9,G470,1)),"",IF((AND(LEFT(G470,2)=LEFT('112'!$M$9,2),B470&lt;'112'!$N$8,$L470='112'!$I$6)),"x",""))</f>
        <v/>
      </c>
      <c r="T470" s="22" t="str">
        <f>IF(ISERROR(FIND('112'!$M$9,G470,1)),"",IF((AND(RIGHT(G470,2)=RIGHT('112'!$M$9,2),B470&lt;'112'!$N$8,$M470='112'!$I$6)),"x",""))</f>
        <v/>
      </c>
      <c r="U470" s="22" t="str">
        <f>IF(AND(B470&gt;='IN-NX'!$P$3,B470&lt;='IN-NX'!$Q$3,'IN-NX'!$D$7=D470,OR(LEFT(L470,2)="15",AND(LEFT(M470,2)&lt;&gt;"15",LEFT(M470,2)&lt;&gt;"33"))),"x","")</f>
        <v/>
      </c>
      <c r="V470" s="22" t="str">
        <f>IF(AND(OR(LEFT(TH!L470,2)="15",LEFT(TH!M470,2)="15"),'152-CT'!$J$8=TH!F470),"x","")</f>
        <v/>
      </c>
      <c r="W470" s="22" t="str">
        <f>IF(AND(OR(LEFT(TH!L470,2)="15",LEFT(TH!M470,2)="15"),TK!$E$7=TH!F470),"x","")</f>
        <v/>
      </c>
      <c r="X470" s="22" t="str">
        <f>IF(OR(TH!L470=TH!$X$7,M470=TH!$X$7),"x","")</f>
        <v/>
      </c>
      <c r="Y470" s="22" t="str">
        <f>IF(AND(B470&lt;=NKC!$N$8,B470&gt;=NKC!$M$8),"x","")</f>
        <v/>
      </c>
      <c r="Z470" s="580"/>
      <c r="AA470" s="406"/>
      <c r="AB470" s="406"/>
      <c r="AD470" s="406"/>
      <c r="AE470" s="406"/>
    </row>
    <row r="471" spans="1:31" s="130" customFormat="1" ht="15.75" customHeight="1">
      <c r="A471" s="123" t="str">
        <f>IF(B471&lt;&gt;"",IF(AND(B471&gt;=_TM1,B471&lt;=_TM2,OR(TH!L471="1111",TH!M471="1111")),TH!D471,""),"")</f>
        <v/>
      </c>
      <c r="B471" s="12">
        <f t="shared" si="17"/>
        <v>10</v>
      </c>
      <c r="C471" s="108">
        <f t="shared" si="18"/>
        <v>42672</v>
      </c>
      <c r="D471" s="108" t="s">
        <v>559</v>
      </c>
      <c r="E471" s="113">
        <v>42672</v>
      </c>
      <c r="F471" s="112" t="s">
        <v>655</v>
      </c>
      <c r="G471" s="303" t="s">
        <v>763</v>
      </c>
      <c r="H471" s="4" t="s">
        <v>371</v>
      </c>
      <c r="I471" s="140">
        <v>110</v>
      </c>
      <c r="J471" s="140">
        <v>17500</v>
      </c>
      <c r="K471" s="13">
        <f>ROUND(I471*J471,0)</f>
        <v>1925000</v>
      </c>
      <c r="L471" s="116" t="s">
        <v>252</v>
      </c>
      <c r="M471" s="411" t="s">
        <v>169</v>
      </c>
      <c r="N471" s="22" t="str">
        <f>IF(AND('331-CT'!$E$7=TH!H471,OR(L471="331",M471="331")),"331",IF(AND(OR(L471="131",M471="131"),H471='131-CT'!$E$7),"131",""))</f>
        <v/>
      </c>
      <c r="O471" s="22" t="str">
        <f>IF(AND($B471&gt;='111'!$N$11,$B471&lt;='111'!$O$11,OR($L471=$O$7,$M471=$O$7)),"x","")</f>
        <v/>
      </c>
      <c r="P471" s="22" t="str">
        <f>IF(AND($L471=$O$7,$B471&lt;'111'!$N$11),"x","")</f>
        <v/>
      </c>
      <c r="Q471" s="22" t="str">
        <f>IF(AND($M471=$O$7,$B471&lt;'111'!$N$11),"x","")</f>
        <v/>
      </c>
      <c r="R471" s="22" t="str">
        <f>IF(ISERROR(FIND('112'!$M$9,G471,1)),"",IF((AND(FIND('112'!$M$9,G471,1)&gt;=1,$B471&gt;='112'!$N$8,$B471&lt;='112'!$O$8,OR($L471='112'!$I$6,$M471='112'!$I$6))),"x",""))</f>
        <v/>
      </c>
      <c r="S471" s="22" t="str">
        <f>IF(ISERROR(FIND('112'!$M$9,G471,1)),"",IF((AND(LEFT(G471,2)=LEFT('112'!$M$9,2),B471&lt;'112'!$N$8,$L471='112'!$I$6)),"x",""))</f>
        <v/>
      </c>
      <c r="T471" s="22" t="str">
        <f>IF(ISERROR(FIND('112'!$M$9,G471,1)),"",IF((AND(RIGHT(G471,2)=RIGHT('112'!$M$9,2),B471&lt;'112'!$N$8,$M471='112'!$I$6)),"x",""))</f>
        <v/>
      </c>
      <c r="U471" s="22" t="str">
        <f>IF(AND(B471&gt;='IN-NX'!$P$3,B471&lt;='IN-NX'!$Q$3,'IN-NX'!$D$7=D471,OR(LEFT(L471,2)="15",AND(LEFT(M471,2)&lt;&gt;"15",LEFT(M471,2)&lt;&gt;"33"))),"x","")</f>
        <v/>
      </c>
      <c r="V471" s="22" t="str">
        <f>IF(AND(OR(LEFT(TH!L471,2)="15",LEFT(TH!M471,2)="15"),'152-CT'!$J$8=TH!F471),"x","")</f>
        <v/>
      </c>
      <c r="W471" s="22" t="str">
        <f>IF(AND(OR(LEFT(TH!L471,2)="15",LEFT(TH!M471,2)="15"),TK!$E$7=TH!F471),"x","")</f>
        <v/>
      </c>
      <c r="X471" s="22" t="str">
        <f>IF(OR(TH!L471=TH!$X$7,M471=TH!$X$7),"x","")</f>
        <v/>
      </c>
      <c r="Y471" s="22" t="str">
        <f>IF(AND(B471&lt;=NKC!$N$8,B471&gt;=NKC!$M$8),"x","")</f>
        <v/>
      </c>
      <c r="Z471" s="580"/>
      <c r="AA471" s="406"/>
      <c r="AB471" s="406"/>
      <c r="AD471" s="406"/>
      <c r="AE471" s="406"/>
    </row>
    <row r="472" spans="1:31" s="130" customFormat="1" ht="15.75" customHeight="1">
      <c r="A472" s="123" t="str">
        <f>IF(B472&lt;&gt;"",IF(AND(B472&gt;=_TM1,B472&lt;=_TM2,OR(TH!L472="1111",TH!M472="1111")),TH!D472,""),"")</f>
        <v/>
      </c>
      <c r="B472" s="12">
        <f t="shared" si="17"/>
        <v>10</v>
      </c>
      <c r="C472" s="108">
        <f t="shared" si="18"/>
        <v>42672</v>
      </c>
      <c r="D472" s="108" t="s">
        <v>559</v>
      </c>
      <c r="E472" s="113">
        <v>42672</v>
      </c>
      <c r="F472" s="112" t="s">
        <v>669</v>
      </c>
      <c r="G472" s="303" t="s">
        <v>763</v>
      </c>
      <c r="H472" s="4" t="s">
        <v>371</v>
      </c>
      <c r="I472" s="140">
        <v>111</v>
      </c>
      <c r="J472" s="140">
        <v>11700</v>
      </c>
      <c r="K472" s="13">
        <f>ROUND(I472*J472,0)</f>
        <v>1298700</v>
      </c>
      <c r="L472" s="116" t="s">
        <v>252</v>
      </c>
      <c r="M472" s="411" t="s">
        <v>169</v>
      </c>
      <c r="N472" s="22" t="str">
        <f>IF(AND('331-CT'!$E$7=TH!H472,OR(L472="331",M472="331")),"331",IF(AND(OR(L472="131",M472="131"),H472='131-CT'!$E$7),"131",""))</f>
        <v/>
      </c>
      <c r="O472" s="22" t="str">
        <f>IF(AND($B472&gt;='111'!$N$11,$B472&lt;='111'!$O$11,OR($L472=$O$7,$M472=$O$7)),"x","")</f>
        <v/>
      </c>
      <c r="P472" s="22" t="str">
        <f>IF(AND($L472=$O$7,$B472&lt;'111'!$N$11),"x","")</f>
        <v/>
      </c>
      <c r="Q472" s="22" t="str">
        <f>IF(AND($M472=$O$7,$B472&lt;'111'!$N$11),"x","")</f>
        <v/>
      </c>
      <c r="R472" s="22" t="str">
        <f>IF(ISERROR(FIND('112'!$M$9,G472,1)),"",IF((AND(FIND('112'!$M$9,G472,1)&gt;=1,$B472&gt;='112'!$N$8,$B472&lt;='112'!$O$8,OR($L472='112'!$I$6,$M472='112'!$I$6))),"x",""))</f>
        <v/>
      </c>
      <c r="S472" s="22" t="str">
        <f>IF(ISERROR(FIND('112'!$M$9,G472,1)),"",IF((AND(LEFT(G472,2)=LEFT('112'!$M$9,2),B472&lt;'112'!$N$8,$L472='112'!$I$6)),"x",""))</f>
        <v/>
      </c>
      <c r="T472" s="22" t="str">
        <f>IF(ISERROR(FIND('112'!$M$9,G472,1)),"",IF((AND(RIGHT(G472,2)=RIGHT('112'!$M$9,2),B472&lt;'112'!$N$8,$M472='112'!$I$6)),"x",""))</f>
        <v/>
      </c>
      <c r="U472" s="22" t="str">
        <f>IF(AND(B472&gt;='IN-NX'!$P$3,B472&lt;='IN-NX'!$Q$3,'IN-NX'!$D$7=D472,OR(LEFT(L472,2)="15",AND(LEFT(M472,2)&lt;&gt;"15",LEFT(M472,2)&lt;&gt;"33"))),"x","")</f>
        <v/>
      </c>
      <c r="V472" s="22" t="str">
        <f>IF(AND(OR(LEFT(TH!L472,2)="15",LEFT(TH!M472,2)="15"),'152-CT'!$J$8=TH!F472),"x","")</f>
        <v/>
      </c>
      <c r="W472" s="22" t="str">
        <f>IF(AND(OR(LEFT(TH!L472,2)="15",LEFT(TH!M472,2)="15"),TK!$E$7=TH!F472),"x","")</f>
        <v/>
      </c>
      <c r="X472" s="22" t="str">
        <f>IF(OR(TH!L472=TH!$X$7,M472=TH!$X$7),"x","")</f>
        <v/>
      </c>
      <c r="Y472" s="22" t="str">
        <f>IF(AND(B472&lt;=NKC!$N$8,B472&gt;=NKC!$M$8),"x","")</f>
        <v/>
      </c>
      <c r="Z472" s="580"/>
      <c r="AA472" s="406"/>
      <c r="AB472" s="406"/>
      <c r="AD472" s="406"/>
      <c r="AE472" s="406"/>
    </row>
    <row r="473" spans="1:31" s="130" customFormat="1" ht="15.75" customHeight="1">
      <c r="A473" s="123" t="str">
        <f>IF(B473&lt;&gt;"",IF(AND(B473&gt;=_TM1,B473&lt;=_TM2,OR(TH!L473="1111",TH!M473="1111")),TH!D473,""),"")</f>
        <v/>
      </c>
      <c r="B473" s="12">
        <f t="shared" si="17"/>
        <v>10</v>
      </c>
      <c r="C473" s="108">
        <f t="shared" si="18"/>
        <v>42672</v>
      </c>
      <c r="D473" s="108" t="s">
        <v>559</v>
      </c>
      <c r="E473" s="113">
        <v>42672</v>
      </c>
      <c r="F473" s="112" t="s">
        <v>670</v>
      </c>
      <c r="G473" s="303" t="s">
        <v>763</v>
      </c>
      <c r="H473" s="4" t="s">
        <v>371</v>
      </c>
      <c r="I473" s="140">
        <v>18</v>
      </c>
      <c r="J473" s="140">
        <v>18000</v>
      </c>
      <c r="K473" s="13">
        <f>ROUND(I473*J473,0)</f>
        <v>324000</v>
      </c>
      <c r="L473" s="116" t="s">
        <v>252</v>
      </c>
      <c r="M473" s="411" t="s">
        <v>169</v>
      </c>
      <c r="N473" s="22" t="str">
        <f>IF(AND('331-CT'!$E$7=TH!H473,OR(L473="331",M473="331")),"331",IF(AND(OR(L473="131",M473="131"),H473='131-CT'!$E$7),"131",""))</f>
        <v/>
      </c>
      <c r="O473" s="22" t="str">
        <f>IF(AND($B473&gt;='111'!$N$11,$B473&lt;='111'!$O$11,OR($L473=$O$7,$M473=$O$7)),"x","")</f>
        <v/>
      </c>
      <c r="P473" s="22" t="str">
        <f>IF(AND($L473=$O$7,$B473&lt;'111'!$N$11),"x","")</f>
        <v/>
      </c>
      <c r="Q473" s="22" t="str">
        <f>IF(AND($M473=$O$7,$B473&lt;'111'!$N$11),"x","")</f>
        <v/>
      </c>
      <c r="R473" s="22" t="str">
        <f>IF(ISERROR(FIND('112'!$M$9,G473,1)),"",IF((AND(FIND('112'!$M$9,G473,1)&gt;=1,$B473&gt;='112'!$N$8,$B473&lt;='112'!$O$8,OR($L473='112'!$I$6,$M473='112'!$I$6))),"x",""))</f>
        <v/>
      </c>
      <c r="S473" s="22" t="str">
        <f>IF(ISERROR(FIND('112'!$M$9,G473,1)),"",IF((AND(LEFT(G473,2)=LEFT('112'!$M$9,2),B473&lt;'112'!$N$8,$L473='112'!$I$6)),"x",""))</f>
        <v/>
      </c>
      <c r="T473" s="22" t="str">
        <f>IF(ISERROR(FIND('112'!$M$9,G473,1)),"",IF((AND(RIGHT(G473,2)=RIGHT('112'!$M$9,2),B473&lt;'112'!$N$8,$M473='112'!$I$6)),"x",""))</f>
        <v/>
      </c>
      <c r="U473" s="22" t="str">
        <f>IF(AND(B473&gt;='IN-NX'!$P$3,B473&lt;='IN-NX'!$Q$3,'IN-NX'!$D$7=D473,OR(LEFT(L473,2)="15",AND(LEFT(M473,2)&lt;&gt;"15",LEFT(M473,2)&lt;&gt;"33"))),"x","")</f>
        <v/>
      </c>
      <c r="V473" s="22" t="str">
        <f>IF(AND(OR(LEFT(TH!L473,2)="15",LEFT(TH!M473,2)="15"),'152-CT'!$J$8=TH!F473),"x","")</f>
        <v/>
      </c>
      <c r="W473" s="22" t="str">
        <f>IF(AND(OR(LEFT(TH!L473,2)="15",LEFT(TH!M473,2)="15"),TK!$E$7=TH!F473),"x","")</f>
        <v/>
      </c>
      <c r="X473" s="22" t="str">
        <f>IF(OR(TH!L473=TH!$X$7,M473=TH!$X$7),"x","")</f>
        <v/>
      </c>
      <c r="Y473" s="22" t="str">
        <f>IF(AND(B473&lt;=NKC!$N$8,B473&gt;=NKC!$M$8),"x","")</f>
        <v/>
      </c>
      <c r="Z473" s="580"/>
      <c r="AA473" s="406"/>
      <c r="AB473" s="406"/>
      <c r="AD473" s="406"/>
      <c r="AE473" s="406"/>
    </row>
    <row r="474" spans="1:31" s="130" customFormat="1" ht="15.75" customHeight="1">
      <c r="A474" s="123" t="str">
        <f>IF(B474&lt;&gt;"",IF(AND(B474&gt;=_TM1,B474&lt;=_TM2,OR(TH!L474="1111",TH!M474="1111")),TH!D474,""),"")</f>
        <v/>
      </c>
      <c r="B474" s="12">
        <f t="shared" si="17"/>
        <v>10</v>
      </c>
      <c r="C474" s="108">
        <f t="shared" si="18"/>
        <v>42672</v>
      </c>
      <c r="D474" s="108" t="s">
        <v>559</v>
      </c>
      <c r="E474" s="113">
        <v>42672</v>
      </c>
      <c r="F474" s="112" t="s">
        <v>500</v>
      </c>
      <c r="G474" s="303" t="s">
        <v>763</v>
      </c>
      <c r="H474" s="4" t="s">
        <v>371</v>
      </c>
      <c r="I474" s="140">
        <v>52</v>
      </c>
      <c r="J474" s="140">
        <v>9800</v>
      </c>
      <c r="K474" s="13">
        <f>ROUND(I474*J474,0)</f>
        <v>509600</v>
      </c>
      <c r="L474" s="116" t="s">
        <v>252</v>
      </c>
      <c r="M474" s="411" t="s">
        <v>169</v>
      </c>
      <c r="N474" s="22" t="str">
        <f>IF(AND('331-CT'!$E$7=TH!H474,OR(L474="331",M474="331")),"331",IF(AND(OR(L474="131",M474="131"),H474='131-CT'!$E$7),"131",""))</f>
        <v/>
      </c>
      <c r="O474" s="22" t="str">
        <f>IF(AND($B474&gt;='111'!$N$11,$B474&lt;='111'!$O$11,OR($L474=$O$7,$M474=$O$7)),"x","")</f>
        <v/>
      </c>
      <c r="P474" s="22" t="str">
        <f>IF(AND($L474=$O$7,$B474&lt;'111'!$N$11),"x","")</f>
        <v/>
      </c>
      <c r="Q474" s="22" t="str">
        <f>IF(AND($M474=$O$7,$B474&lt;'111'!$N$11),"x","")</f>
        <v/>
      </c>
      <c r="R474" s="22" t="str">
        <f>IF(ISERROR(FIND('112'!$M$9,G474,1)),"",IF((AND(FIND('112'!$M$9,G474,1)&gt;=1,$B474&gt;='112'!$N$8,$B474&lt;='112'!$O$8,OR($L474='112'!$I$6,$M474='112'!$I$6))),"x",""))</f>
        <v/>
      </c>
      <c r="S474" s="22" t="str">
        <f>IF(ISERROR(FIND('112'!$M$9,G474,1)),"",IF((AND(LEFT(G474,2)=LEFT('112'!$M$9,2),B474&lt;'112'!$N$8,$L474='112'!$I$6)),"x",""))</f>
        <v/>
      </c>
      <c r="T474" s="22" t="str">
        <f>IF(ISERROR(FIND('112'!$M$9,G474,1)),"",IF((AND(RIGHT(G474,2)=RIGHT('112'!$M$9,2),B474&lt;'112'!$N$8,$M474='112'!$I$6)),"x",""))</f>
        <v/>
      </c>
      <c r="U474" s="22" t="str">
        <f>IF(AND(B474&gt;='IN-NX'!$P$3,B474&lt;='IN-NX'!$Q$3,'IN-NX'!$D$7=D474,OR(LEFT(L474,2)="15",AND(LEFT(M474,2)&lt;&gt;"15",LEFT(M474,2)&lt;&gt;"33"))),"x","")</f>
        <v/>
      </c>
      <c r="V474" s="22" t="str">
        <f>IF(AND(OR(LEFT(TH!L474,2)="15",LEFT(TH!M474,2)="15"),'152-CT'!$J$8=TH!F474),"x","")</f>
        <v/>
      </c>
      <c r="W474" s="22" t="str">
        <f>IF(AND(OR(LEFT(TH!L474,2)="15",LEFT(TH!M474,2)="15"),TK!$E$7=TH!F474),"x","")</f>
        <v/>
      </c>
      <c r="X474" s="22" t="str">
        <f>IF(OR(TH!L474=TH!$X$7,M474=TH!$X$7),"x","")</f>
        <v/>
      </c>
      <c r="Y474" s="22" t="str">
        <f>IF(AND(B474&lt;=NKC!$N$8,B474&gt;=NKC!$M$8),"x","")</f>
        <v/>
      </c>
      <c r="Z474" s="580"/>
      <c r="AA474" s="406"/>
      <c r="AB474" s="406"/>
      <c r="AD474" s="406"/>
      <c r="AE474" s="406"/>
    </row>
    <row r="475" spans="1:31" s="130" customFormat="1" ht="15.75" customHeight="1">
      <c r="A475" s="123" t="str">
        <f>IF(B475&lt;&gt;"",IF(AND(B475&gt;=_TM1,B475&lt;=_TM2,OR(TH!L475="1111",TH!M475="1111")),TH!D475,""),"")</f>
        <v/>
      </c>
      <c r="B475" s="12">
        <f t="shared" si="17"/>
        <v>10</v>
      </c>
      <c r="C475" s="108">
        <f t="shared" si="18"/>
        <v>42672</v>
      </c>
      <c r="D475" s="108" t="s">
        <v>559</v>
      </c>
      <c r="E475" s="113">
        <v>42672</v>
      </c>
      <c r="F475" s="112" t="s">
        <v>496</v>
      </c>
      <c r="G475" s="303" t="s">
        <v>763</v>
      </c>
      <c r="H475" s="4" t="s">
        <v>371</v>
      </c>
      <c r="I475" s="140"/>
      <c r="J475" s="140"/>
      <c r="K475" s="13">
        <v>461170</v>
      </c>
      <c r="L475" s="116" t="s">
        <v>252</v>
      </c>
      <c r="M475" s="411" t="s">
        <v>352</v>
      </c>
      <c r="N475" s="22" t="str">
        <f>IF(AND('331-CT'!$E$7=TH!H475,OR(L475="331",M475="331")),"331",IF(AND(OR(L475="131",M475="131"),H475='131-CT'!$E$7),"131",""))</f>
        <v/>
      </c>
      <c r="O475" s="22" t="str">
        <f>IF(AND($B475&gt;='111'!$N$11,$B475&lt;='111'!$O$11,OR($L475=$O$7,$M475=$O$7)),"x","")</f>
        <v/>
      </c>
      <c r="P475" s="22" t="str">
        <f>IF(AND($L475=$O$7,$B475&lt;'111'!$N$11),"x","")</f>
        <v/>
      </c>
      <c r="Q475" s="22" t="str">
        <f>IF(AND($M475=$O$7,$B475&lt;'111'!$N$11),"x","")</f>
        <v/>
      </c>
      <c r="R475" s="22" t="str">
        <f>IF(ISERROR(FIND('112'!$M$9,G475,1)),"",IF((AND(FIND('112'!$M$9,G475,1)&gt;=1,$B475&gt;='112'!$N$8,$B475&lt;='112'!$O$8,OR($L475='112'!$I$6,$M475='112'!$I$6))),"x",""))</f>
        <v/>
      </c>
      <c r="S475" s="22" t="str">
        <f>IF(ISERROR(FIND('112'!$M$9,G475,1)),"",IF((AND(LEFT(G475,2)=LEFT('112'!$M$9,2),B475&lt;'112'!$N$8,$L475='112'!$I$6)),"x",""))</f>
        <v/>
      </c>
      <c r="T475" s="22" t="str">
        <f>IF(ISERROR(FIND('112'!$M$9,G475,1)),"",IF((AND(RIGHT(G475,2)=RIGHT('112'!$M$9,2),B475&lt;'112'!$N$8,$M475='112'!$I$6)),"x",""))</f>
        <v/>
      </c>
      <c r="U475" s="22" t="str">
        <f>IF(AND(B475&gt;='IN-NX'!$P$3,B475&lt;='IN-NX'!$Q$3,'IN-NX'!$D$7=D475,OR(LEFT(L475,2)="15",AND(LEFT(M475,2)&lt;&gt;"15",LEFT(M475,2)&lt;&gt;"33"))),"x","")</f>
        <v/>
      </c>
      <c r="V475" s="22" t="str">
        <f>IF(AND(OR(LEFT(TH!L475,2)="15",LEFT(TH!M475,2)="15"),'152-CT'!$J$8=TH!F475),"x","")</f>
        <v/>
      </c>
      <c r="W475" s="22" t="str">
        <f>IF(AND(OR(LEFT(TH!L475,2)="15",LEFT(TH!M475,2)="15"),TK!$E$7=TH!F475),"x","")</f>
        <v/>
      </c>
      <c r="X475" s="22" t="str">
        <f>IF(OR(TH!L475=TH!$X$7,M475=TH!$X$7),"x","")</f>
        <v/>
      </c>
      <c r="Y475" s="22" t="str">
        <f>IF(AND(B475&lt;=NKC!$N$8,B475&gt;=NKC!$M$8),"x","")</f>
        <v/>
      </c>
      <c r="Z475" s="580"/>
      <c r="AA475" s="406"/>
      <c r="AB475" s="406"/>
      <c r="AD475" s="406"/>
      <c r="AE475" s="406"/>
    </row>
    <row r="476" spans="1:31" s="130" customFormat="1" ht="15.75" customHeight="1">
      <c r="A476" s="123" t="str">
        <f>IF(B476&lt;&gt;"",IF(AND(B476&gt;=_TM1,B476&lt;=_TM2,OR(TH!L476="1111",TH!M476="1111")),TH!D476,""),"")</f>
        <v/>
      </c>
      <c r="B476" s="12">
        <f t="shared" si="17"/>
        <v>10</v>
      </c>
      <c r="C476" s="108">
        <f t="shared" si="18"/>
        <v>42672</v>
      </c>
      <c r="D476" s="108" t="s">
        <v>560</v>
      </c>
      <c r="E476" s="113">
        <v>42672</v>
      </c>
      <c r="F476" s="112" t="s">
        <v>500</v>
      </c>
      <c r="G476" s="303" t="s">
        <v>764</v>
      </c>
      <c r="H476" s="4" t="s">
        <v>371</v>
      </c>
      <c r="I476" s="139">
        <f>102+52+52</f>
        <v>206</v>
      </c>
      <c r="J476" s="139">
        <v>9800</v>
      </c>
      <c r="K476" s="13">
        <f>ROUND(I476*J476,0)</f>
        <v>2018800</v>
      </c>
      <c r="L476" s="116" t="s">
        <v>252</v>
      </c>
      <c r="M476" s="411" t="s">
        <v>169</v>
      </c>
      <c r="N476" s="22" t="str">
        <f>IF(AND('331-CT'!$E$7=TH!H476,OR(L476="331",M476="331")),"331",IF(AND(OR(L476="131",M476="131"),H476='131-CT'!$E$7),"131",""))</f>
        <v/>
      </c>
      <c r="O476" s="22" t="str">
        <f>IF(AND($B476&gt;='111'!$N$11,$B476&lt;='111'!$O$11,OR($L476=$O$7,$M476=$O$7)),"x","")</f>
        <v/>
      </c>
      <c r="P476" s="22" t="str">
        <f>IF(AND($L476=$O$7,$B476&lt;'111'!$N$11),"x","")</f>
        <v/>
      </c>
      <c r="Q476" s="22" t="str">
        <f>IF(AND($M476=$O$7,$B476&lt;'111'!$N$11),"x","")</f>
        <v/>
      </c>
      <c r="R476" s="22" t="str">
        <f>IF(ISERROR(FIND('112'!$M$9,G476,1)),"",IF((AND(FIND('112'!$M$9,G476,1)&gt;=1,$B476&gt;='112'!$N$8,$B476&lt;='112'!$O$8,OR($L476='112'!$I$6,$M476='112'!$I$6))),"x",""))</f>
        <v/>
      </c>
      <c r="S476" s="22" t="str">
        <f>IF(ISERROR(FIND('112'!$M$9,G476,1)),"",IF((AND(LEFT(G476,2)=LEFT('112'!$M$9,2),B476&lt;'112'!$N$8,$L476='112'!$I$6)),"x",""))</f>
        <v/>
      </c>
      <c r="T476" s="22" t="str">
        <f>IF(ISERROR(FIND('112'!$M$9,G476,1)),"",IF((AND(RIGHT(G476,2)=RIGHT('112'!$M$9,2),B476&lt;'112'!$N$8,$M476='112'!$I$6)),"x",""))</f>
        <v/>
      </c>
      <c r="U476" s="22" t="str">
        <f>IF(AND(B476&gt;='IN-NX'!$P$3,B476&lt;='IN-NX'!$Q$3,'IN-NX'!$D$7=D476,OR(LEFT(L476,2)="15",AND(LEFT(M476,2)&lt;&gt;"15",LEFT(M476,2)&lt;&gt;"33"))),"x","")</f>
        <v/>
      </c>
      <c r="V476" s="22" t="str">
        <f>IF(AND(OR(LEFT(TH!L476,2)="15",LEFT(TH!M476,2)="15"),'152-CT'!$J$8=TH!F476),"x","")</f>
        <v/>
      </c>
      <c r="W476" s="22" t="str">
        <f>IF(AND(OR(LEFT(TH!L476,2)="15",LEFT(TH!M476,2)="15"),TK!$E$7=TH!F476),"x","")</f>
        <v/>
      </c>
      <c r="X476" s="22" t="str">
        <f>IF(OR(TH!L476=TH!$X$7,M476=TH!$X$7),"x","")</f>
        <v/>
      </c>
      <c r="Y476" s="22" t="str">
        <f>IF(AND(B476&lt;=NKC!$N$8,B476&gt;=NKC!$M$8),"x","")</f>
        <v/>
      </c>
      <c r="Z476" s="580"/>
      <c r="AA476" s="406"/>
      <c r="AD476" s="406"/>
      <c r="AE476" s="406"/>
    </row>
    <row r="477" spans="1:31" s="130" customFormat="1" ht="15.75" customHeight="1">
      <c r="A477" s="123" t="str">
        <f>IF(B477&lt;&gt;"",IF(AND(B477&gt;=_TM1,B477&lt;=_TM2,OR(TH!L477="1111",TH!M477="1111")),TH!D477,""),"")</f>
        <v/>
      </c>
      <c r="B477" s="12">
        <f t="shared" si="17"/>
        <v>10</v>
      </c>
      <c r="C477" s="108">
        <f t="shared" si="18"/>
        <v>42672</v>
      </c>
      <c r="D477" s="108" t="s">
        <v>560</v>
      </c>
      <c r="E477" s="113">
        <v>42672</v>
      </c>
      <c r="F477" s="112" t="s">
        <v>671</v>
      </c>
      <c r="G477" s="303" t="s">
        <v>764</v>
      </c>
      <c r="H477" s="4" t="s">
        <v>371</v>
      </c>
      <c r="I477" s="139">
        <v>330</v>
      </c>
      <c r="J477" s="139">
        <v>7000</v>
      </c>
      <c r="K477" s="13">
        <f>ROUND(I477*J477,0)</f>
        <v>2310000</v>
      </c>
      <c r="L477" s="116" t="s">
        <v>252</v>
      </c>
      <c r="M477" s="411" t="s">
        <v>169</v>
      </c>
      <c r="N477" s="22" t="str">
        <f>IF(AND('331-CT'!$E$7=TH!H477,OR(L477="331",M477="331")),"331",IF(AND(OR(L477="131",M477="131"),H477='131-CT'!$E$7),"131",""))</f>
        <v/>
      </c>
      <c r="O477" s="22" t="str">
        <f>IF(AND($B477&gt;='111'!$N$11,$B477&lt;='111'!$O$11,OR($L477=$O$7,$M477=$O$7)),"x","")</f>
        <v/>
      </c>
      <c r="P477" s="22" t="str">
        <f>IF(AND($L477=$O$7,$B477&lt;'111'!$N$11),"x","")</f>
        <v/>
      </c>
      <c r="Q477" s="22" t="str">
        <f>IF(AND($M477=$O$7,$B477&lt;'111'!$N$11),"x","")</f>
        <v/>
      </c>
      <c r="R477" s="22" t="str">
        <f>IF(ISERROR(FIND('112'!$M$9,G477,1)),"",IF((AND(FIND('112'!$M$9,G477,1)&gt;=1,$B477&gt;='112'!$N$8,$B477&lt;='112'!$O$8,OR($L477='112'!$I$6,$M477='112'!$I$6))),"x",""))</f>
        <v/>
      </c>
      <c r="S477" s="22" t="str">
        <f>IF(ISERROR(FIND('112'!$M$9,G477,1)),"",IF((AND(LEFT(G477,2)=LEFT('112'!$M$9,2),B477&lt;'112'!$N$8,$L477='112'!$I$6)),"x",""))</f>
        <v/>
      </c>
      <c r="T477" s="22" t="str">
        <f>IF(ISERROR(FIND('112'!$M$9,G477,1)),"",IF((AND(RIGHT(G477,2)=RIGHT('112'!$M$9,2),B477&lt;'112'!$N$8,$M477='112'!$I$6)),"x",""))</f>
        <v/>
      </c>
      <c r="U477" s="22" t="str">
        <f>IF(AND(B477&gt;='IN-NX'!$P$3,B477&lt;='IN-NX'!$Q$3,'IN-NX'!$D$7=D477,OR(LEFT(L477,2)="15",AND(LEFT(M477,2)&lt;&gt;"15",LEFT(M477,2)&lt;&gt;"33"))),"x","")</f>
        <v/>
      </c>
      <c r="V477" s="22" t="str">
        <f>IF(AND(OR(LEFT(TH!L477,2)="15",LEFT(TH!M477,2)="15"),'152-CT'!$J$8=TH!F477),"x","")</f>
        <v/>
      </c>
      <c r="W477" s="22" t="str">
        <f>IF(AND(OR(LEFT(TH!L477,2)="15",LEFT(TH!M477,2)="15"),TK!$E$7=TH!F477),"x","")</f>
        <v/>
      </c>
      <c r="X477" s="22" t="str">
        <f>IF(OR(TH!L477=TH!$X$7,M477=TH!$X$7),"x","")</f>
        <v/>
      </c>
      <c r="Y477" s="22" t="str">
        <f>IF(AND(B477&lt;=NKC!$N$8,B477&gt;=NKC!$M$8),"x","")</f>
        <v/>
      </c>
      <c r="Z477" s="580"/>
      <c r="AA477" s="406"/>
      <c r="AB477" s="406"/>
      <c r="AD477" s="406"/>
      <c r="AE477" s="406"/>
    </row>
    <row r="478" spans="1:31" s="130" customFormat="1" ht="15.75" customHeight="1">
      <c r="A478" s="123" t="str">
        <f>IF(B478&lt;&gt;"",IF(AND(B478&gt;=_TM1,B478&lt;=_TM2,OR(TH!L478="1111",TH!M478="1111")),TH!D478,""),"")</f>
        <v/>
      </c>
      <c r="B478" s="12">
        <f t="shared" si="17"/>
        <v>10</v>
      </c>
      <c r="C478" s="108">
        <f t="shared" si="18"/>
        <v>42672</v>
      </c>
      <c r="D478" s="108" t="s">
        <v>560</v>
      </c>
      <c r="E478" s="113">
        <v>42672</v>
      </c>
      <c r="F478" s="112" t="s">
        <v>672</v>
      </c>
      <c r="G478" s="303" t="s">
        <v>764</v>
      </c>
      <c r="H478" s="4" t="s">
        <v>371</v>
      </c>
      <c r="I478" s="139">
        <v>23</v>
      </c>
      <c r="J478" s="139">
        <v>8700</v>
      </c>
      <c r="K478" s="13">
        <f>ROUND(I478*J478,0)</f>
        <v>200100</v>
      </c>
      <c r="L478" s="116" t="s">
        <v>252</v>
      </c>
      <c r="M478" s="411" t="s">
        <v>169</v>
      </c>
      <c r="N478" s="22" t="str">
        <f>IF(AND('331-CT'!$E$7=TH!H478,OR(L478="331",M478="331")),"331",IF(AND(OR(L478="131",M478="131"),H478='131-CT'!$E$7),"131",""))</f>
        <v/>
      </c>
      <c r="O478" s="22" t="str">
        <f>IF(AND($B478&gt;='111'!$N$11,$B478&lt;='111'!$O$11,OR($L478=$O$7,$M478=$O$7)),"x","")</f>
        <v/>
      </c>
      <c r="P478" s="22" t="str">
        <f>IF(AND($L478=$O$7,$B478&lt;'111'!$N$11),"x","")</f>
        <v/>
      </c>
      <c r="Q478" s="22" t="str">
        <f>IF(AND($M478=$O$7,$B478&lt;'111'!$N$11),"x","")</f>
        <v/>
      </c>
      <c r="R478" s="22" t="str">
        <f>IF(ISERROR(FIND('112'!$M$9,G478,1)),"",IF((AND(FIND('112'!$M$9,G478,1)&gt;=1,$B478&gt;='112'!$N$8,$B478&lt;='112'!$O$8,OR($L478='112'!$I$6,$M478='112'!$I$6))),"x",""))</f>
        <v/>
      </c>
      <c r="S478" s="22" t="str">
        <f>IF(ISERROR(FIND('112'!$M$9,G478,1)),"",IF((AND(LEFT(G478,2)=LEFT('112'!$M$9,2),B478&lt;'112'!$N$8,$L478='112'!$I$6)),"x",""))</f>
        <v/>
      </c>
      <c r="T478" s="22" t="str">
        <f>IF(ISERROR(FIND('112'!$M$9,G478,1)),"",IF((AND(RIGHT(G478,2)=RIGHT('112'!$M$9,2),B478&lt;'112'!$N$8,$M478='112'!$I$6)),"x",""))</f>
        <v/>
      </c>
      <c r="U478" s="22" t="str">
        <f>IF(AND(B478&gt;='IN-NX'!$P$3,B478&lt;='IN-NX'!$Q$3,'IN-NX'!$D$7=D478,OR(LEFT(L478,2)="15",AND(LEFT(M478,2)&lt;&gt;"15",LEFT(M478,2)&lt;&gt;"33"))),"x","")</f>
        <v/>
      </c>
      <c r="V478" s="22" t="str">
        <f>IF(AND(OR(LEFT(TH!L478,2)="15",LEFT(TH!M478,2)="15"),'152-CT'!$J$8=TH!F478),"x","")</f>
        <v/>
      </c>
      <c r="W478" s="22" t="str">
        <f>IF(AND(OR(LEFT(TH!L478,2)="15",LEFT(TH!M478,2)="15"),TK!$E$7=TH!F478),"x","")</f>
        <v/>
      </c>
      <c r="X478" s="22" t="str">
        <f>IF(OR(TH!L478=TH!$X$7,M478=TH!$X$7),"x","")</f>
        <v/>
      </c>
      <c r="Y478" s="22" t="str">
        <f>IF(AND(B478&lt;=NKC!$N$8,B478&gt;=NKC!$M$8),"x","")</f>
        <v/>
      </c>
      <c r="Z478" s="580"/>
      <c r="AA478" s="406"/>
      <c r="AB478" s="406"/>
      <c r="AD478" s="406"/>
      <c r="AE478" s="406"/>
    </row>
    <row r="479" spans="1:31" s="130" customFormat="1" ht="15.75" customHeight="1">
      <c r="A479" s="123" t="str">
        <f>IF(B479&lt;&gt;"",IF(AND(B479&gt;=_TM1,B479&lt;=_TM2,OR(TH!L479="1111",TH!M479="1111")),TH!D479,""),"")</f>
        <v/>
      </c>
      <c r="B479" s="12">
        <f t="shared" si="17"/>
        <v>10</v>
      </c>
      <c r="C479" s="108">
        <f t="shared" si="18"/>
        <v>42672</v>
      </c>
      <c r="D479" s="108" t="s">
        <v>560</v>
      </c>
      <c r="E479" s="113">
        <v>42672</v>
      </c>
      <c r="F479" s="112" t="s">
        <v>673</v>
      </c>
      <c r="G479" s="303" t="s">
        <v>764</v>
      </c>
      <c r="H479" s="4" t="s">
        <v>371</v>
      </c>
      <c r="I479" s="139">
        <v>55</v>
      </c>
      <c r="J479" s="139">
        <v>12300</v>
      </c>
      <c r="K479" s="13">
        <f>ROUND(I479*J479,0)</f>
        <v>676500</v>
      </c>
      <c r="L479" s="116" t="s">
        <v>252</v>
      </c>
      <c r="M479" s="411" t="s">
        <v>169</v>
      </c>
      <c r="N479" s="22" t="str">
        <f>IF(AND('331-CT'!$E$7=TH!H479,OR(L479="331",M479="331")),"331",IF(AND(OR(L479="131",M479="131"),H479='131-CT'!$E$7),"131",""))</f>
        <v/>
      </c>
      <c r="O479" s="22" t="str">
        <f>IF(AND($B479&gt;='111'!$N$11,$B479&lt;='111'!$O$11,OR($L479=$O$7,$M479=$O$7)),"x","")</f>
        <v/>
      </c>
      <c r="P479" s="22" t="str">
        <f>IF(AND($L479=$O$7,$B479&lt;'111'!$N$11),"x","")</f>
        <v/>
      </c>
      <c r="Q479" s="22" t="str">
        <f>IF(AND($M479=$O$7,$B479&lt;'111'!$N$11),"x","")</f>
        <v/>
      </c>
      <c r="R479" s="22" t="str">
        <f>IF(ISERROR(FIND('112'!$M$9,G479,1)),"",IF((AND(FIND('112'!$M$9,G479,1)&gt;=1,$B479&gt;='112'!$N$8,$B479&lt;='112'!$O$8,OR($L479='112'!$I$6,$M479='112'!$I$6))),"x",""))</f>
        <v/>
      </c>
      <c r="S479" s="22" t="str">
        <f>IF(ISERROR(FIND('112'!$M$9,G479,1)),"",IF((AND(LEFT(G479,2)=LEFT('112'!$M$9,2),B479&lt;'112'!$N$8,$L479='112'!$I$6)),"x",""))</f>
        <v/>
      </c>
      <c r="T479" s="22" t="str">
        <f>IF(ISERROR(FIND('112'!$M$9,G479,1)),"",IF((AND(RIGHT(G479,2)=RIGHT('112'!$M$9,2),B479&lt;'112'!$N$8,$M479='112'!$I$6)),"x",""))</f>
        <v/>
      </c>
      <c r="U479" s="22" t="str">
        <f>IF(AND(B479&gt;='IN-NX'!$P$3,B479&lt;='IN-NX'!$Q$3,'IN-NX'!$D$7=D479,OR(LEFT(L479,2)="15",AND(LEFT(M479,2)&lt;&gt;"15",LEFT(M479,2)&lt;&gt;"33"))),"x","")</f>
        <v/>
      </c>
      <c r="V479" s="22" t="str">
        <f>IF(AND(OR(LEFT(TH!L479,2)="15",LEFT(TH!M479,2)="15"),'152-CT'!$J$8=TH!F479),"x","")</f>
        <v/>
      </c>
      <c r="W479" s="22" t="str">
        <f>IF(AND(OR(LEFT(TH!L479,2)="15",LEFT(TH!M479,2)="15"),TK!$E$7=TH!F479),"x","")</f>
        <v/>
      </c>
      <c r="X479" s="22" t="str">
        <f>IF(OR(TH!L479=TH!$X$7,M479=TH!$X$7),"x","")</f>
        <v/>
      </c>
      <c r="Y479" s="22" t="str">
        <f>IF(AND(B479&lt;=NKC!$N$8,B479&gt;=NKC!$M$8),"x","")</f>
        <v/>
      </c>
      <c r="Z479" s="580"/>
      <c r="AA479" s="406"/>
      <c r="AB479" s="406"/>
      <c r="AD479" s="406"/>
      <c r="AE479" s="406"/>
    </row>
    <row r="480" spans="1:31" s="130" customFormat="1" ht="15.75" customHeight="1">
      <c r="A480" s="123" t="str">
        <f>IF(B480&lt;&gt;"",IF(AND(B480&gt;=_TM1,B480&lt;=_TM2,OR(TH!L480="1111",TH!M480="1111")),TH!D480,""),"")</f>
        <v/>
      </c>
      <c r="B480" s="12">
        <f t="shared" si="17"/>
        <v>10</v>
      </c>
      <c r="C480" s="108">
        <f t="shared" si="18"/>
        <v>42672</v>
      </c>
      <c r="D480" s="108" t="s">
        <v>560</v>
      </c>
      <c r="E480" s="113">
        <v>42672</v>
      </c>
      <c r="F480" s="112" t="s">
        <v>496</v>
      </c>
      <c r="G480" s="303" t="s">
        <v>764</v>
      </c>
      <c r="H480" s="4" t="s">
        <v>371</v>
      </c>
      <c r="I480" s="139"/>
      <c r="J480" s="139"/>
      <c r="K480" s="13">
        <v>520540</v>
      </c>
      <c r="L480" s="116" t="s">
        <v>252</v>
      </c>
      <c r="M480" s="411" t="s">
        <v>352</v>
      </c>
      <c r="N480" s="22" t="str">
        <f>IF(AND('331-CT'!$E$7=TH!H480,OR(L480="331",M480="331")),"331",IF(AND(OR(L480="131",M480="131"),H480='131-CT'!$E$7),"131",""))</f>
        <v/>
      </c>
      <c r="O480" s="22" t="str">
        <f>IF(AND($B480&gt;='111'!$N$11,$B480&lt;='111'!$O$11,OR($L480=$O$7,$M480=$O$7)),"x","")</f>
        <v/>
      </c>
      <c r="P480" s="22" t="str">
        <f>IF(AND($L480=$O$7,$B480&lt;'111'!$N$11),"x","")</f>
        <v/>
      </c>
      <c r="Q480" s="22" t="str">
        <f>IF(AND($M480=$O$7,$B480&lt;'111'!$N$11),"x","")</f>
        <v/>
      </c>
      <c r="R480" s="22" t="str">
        <f>IF(ISERROR(FIND('112'!$M$9,G480,1)),"",IF((AND(FIND('112'!$M$9,G480,1)&gt;=1,$B480&gt;='112'!$N$8,$B480&lt;='112'!$O$8,OR($L480='112'!$I$6,$M480='112'!$I$6))),"x",""))</f>
        <v/>
      </c>
      <c r="S480" s="22" t="str">
        <f>IF(ISERROR(FIND('112'!$M$9,G480,1)),"",IF((AND(LEFT(G480,2)=LEFT('112'!$M$9,2),B480&lt;'112'!$N$8,$L480='112'!$I$6)),"x",""))</f>
        <v/>
      </c>
      <c r="T480" s="22" t="str">
        <f>IF(ISERROR(FIND('112'!$M$9,G480,1)),"",IF((AND(RIGHT(G480,2)=RIGHT('112'!$M$9,2),B480&lt;'112'!$N$8,$M480='112'!$I$6)),"x",""))</f>
        <v/>
      </c>
      <c r="U480" s="22" t="str">
        <f>IF(AND(B480&gt;='IN-NX'!$P$3,B480&lt;='IN-NX'!$Q$3,'IN-NX'!$D$7=D480,OR(LEFT(L480,2)="15",AND(LEFT(M480,2)&lt;&gt;"15",LEFT(M480,2)&lt;&gt;"33"))),"x","")</f>
        <v/>
      </c>
      <c r="V480" s="22" t="str">
        <f>IF(AND(OR(LEFT(TH!L480,2)="15",LEFT(TH!M480,2)="15"),'152-CT'!$J$8=TH!F480),"x","")</f>
        <v/>
      </c>
      <c r="W480" s="22" t="str">
        <f>IF(AND(OR(LEFT(TH!L480,2)="15",LEFT(TH!M480,2)="15"),TK!$E$7=TH!F480),"x","")</f>
        <v/>
      </c>
      <c r="X480" s="22" t="str">
        <f>IF(OR(TH!L480=TH!$X$7,M480=TH!$X$7),"x","")</f>
        <v/>
      </c>
      <c r="Y480" s="22" t="str">
        <f>IF(AND(B480&lt;=NKC!$N$8,B480&gt;=NKC!$M$8),"x","")</f>
        <v/>
      </c>
      <c r="Z480" s="580"/>
      <c r="AA480" s="406"/>
      <c r="AB480" s="406"/>
      <c r="AD480" s="406"/>
      <c r="AE480" s="406"/>
    </row>
    <row r="481" spans="1:31" s="130" customFormat="1" ht="15.75" customHeight="1">
      <c r="A481" s="123" t="str">
        <f>IF(B481&lt;&gt;"",IF(AND(B481&gt;=_TM1,B481&lt;=_TM2,OR(TH!L481="1111",TH!M481="1111")),TH!D481,""),"")</f>
        <v/>
      </c>
      <c r="B481" s="12">
        <f t="shared" si="17"/>
        <v>10</v>
      </c>
      <c r="C481" s="108">
        <f t="shared" si="18"/>
        <v>42672</v>
      </c>
      <c r="D481" s="108" t="s">
        <v>561</v>
      </c>
      <c r="E481" s="113">
        <v>42672</v>
      </c>
      <c r="F481" s="112" t="s">
        <v>674</v>
      </c>
      <c r="G481" s="303" t="s">
        <v>765</v>
      </c>
      <c r="H481" s="4" t="s">
        <v>371</v>
      </c>
      <c r="I481" s="139">
        <v>210</v>
      </c>
      <c r="J481" s="139">
        <v>9200</v>
      </c>
      <c r="K481" s="13">
        <f t="shared" ref="K481:K488" si="19">ROUND(I481*J481,0)</f>
        <v>1932000</v>
      </c>
      <c r="L481" s="116" t="s">
        <v>252</v>
      </c>
      <c r="M481" s="411" t="s">
        <v>169</v>
      </c>
      <c r="N481" s="22" t="str">
        <f>IF(AND('331-CT'!$E$7=TH!H481,OR(L481="331",M481="331")),"331",IF(AND(OR(L481="131",M481="131"),H481='131-CT'!$E$7),"131",""))</f>
        <v/>
      </c>
      <c r="O481" s="22" t="str">
        <f>IF(AND($B481&gt;='111'!$N$11,$B481&lt;='111'!$O$11,OR($L481=$O$7,$M481=$O$7)),"x","")</f>
        <v/>
      </c>
      <c r="P481" s="22" t="str">
        <f>IF(AND($L481=$O$7,$B481&lt;'111'!$N$11),"x","")</f>
        <v/>
      </c>
      <c r="Q481" s="22" t="str">
        <f>IF(AND($M481=$O$7,$B481&lt;'111'!$N$11),"x","")</f>
        <v/>
      </c>
      <c r="R481" s="22" t="str">
        <f>IF(ISERROR(FIND('112'!$M$9,G481,1)),"",IF((AND(FIND('112'!$M$9,G481,1)&gt;=1,$B481&gt;='112'!$N$8,$B481&lt;='112'!$O$8,OR($L481='112'!$I$6,$M481='112'!$I$6))),"x",""))</f>
        <v/>
      </c>
      <c r="S481" s="22" t="str">
        <f>IF(ISERROR(FIND('112'!$M$9,G481,1)),"",IF((AND(LEFT(G481,2)=LEFT('112'!$M$9,2),B481&lt;'112'!$N$8,$L481='112'!$I$6)),"x",""))</f>
        <v/>
      </c>
      <c r="T481" s="22" t="str">
        <f>IF(ISERROR(FIND('112'!$M$9,G481,1)),"",IF((AND(RIGHT(G481,2)=RIGHT('112'!$M$9,2),B481&lt;'112'!$N$8,$M481='112'!$I$6)),"x",""))</f>
        <v/>
      </c>
      <c r="U481" s="22" t="str">
        <f>IF(AND(B481&gt;='IN-NX'!$P$3,B481&lt;='IN-NX'!$Q$3,'IN-NX'!$D$7=D481,OR(LEFT(L481,2)="15",AND(LEFT(M481,2)&lt;&gt;"15",LEFT(M481,2)&lt;&gt;"33"))),"x","")</f>
        <v/>
      </c>
      <c r="V481" s="22" t="str">
        <f>IF(AND(OR(LEFT(TH!L481,2)="15",LEFT(TH!M481,2)="15"),'152-CT'!$J$8=TH!F481),"x","")</f>
        <v/>
      </c>
      <c r="W481" s="22" t="str">
        <f>IF(AND(OR(LEFT(TH!L481,2)="15",LEFT(TH!M481,2)="15"),TK!$E$7=TH!F481),"x","")</f>
        <v/>
      </c>
      <c r="X481" s="22" t="str">
        <f>IF(OR(TH!L481=TH!$X$7,M481=TH!$X$7),"x","")</f>
        <v/>
      </c>
      <c r="Y481" s="22" t="str">
        <f>IF(AND(B481&lt;=NKC!$N$8,B481&gt;=NKC!$M$8),"x","")</f>
        <v/>
      </c>
      <c r="Z481" s="580"/>
      <c r="AA481" s="406"/>
      <c r="AB481" s="406"/>
      <c r="AD481" s="406"/>
      <c r="AE481" s="406"/>
    </row>
    <row r="482" spans="1:31" s="130" customFormat="1" ht="15.75" customHeight="1">
      <c r="A482" s="123" t="str">
        <f>IF(B482&lt;&gt;"",IF(AND(B482&gt;=_TM1,B482&lt;=_TM2,OR(TH!L482="1111",TH!M482="1111")),TH!D482,""),"")</f>
        <v/>
      </c>
      <c r="B482" s="12">
        <f t="shared" si="17"/>
        <v>10</v>
      </c>
      <c r="C482" s="108">
        <f t="shared" si="18"/>
        <v>42672</v>
      </c>
      <c r="D482" s="108" t="s">
        <v>561</v>
      </c>
      <c r="E482" s="113">
        <v>42672</v>
      </c>
      <c r="F482" s="112" t="s">
        <v>675</v>
      </c>
      <c r="G482" s="303" t="s">
        <v>765</v>
      </c>
      <c r="H482" s="4" t="s">
        <v>371</v>
      </c>
      <c r="I482" s="139">
        <v>160</v>
      </c>
      <c r="J482" s="139">
        <v>19700</v>
      </c>
      <c r="K482" s="13">
        <f t="shared" si="19"/>
        <v>3152000</v>
      </c>
      <c r="L482" s="116" t="s">
        <v>252</v>
      </c>
      <c r="M482" s="411" t="s">
        <v>169</v>
      </c>
      <c r="N482" s="22" t="str">
        <f>IF(AND('331-CT'!$E$7=TH!H482,OR(L482="331",M482="331")),"331",IF(AND(OR(L482="131",M482="131"),H482='131-CT'!$E$7),"131",""))</f>
        <v/>
      </c>
      <c r="O482" s="22" t="str">
        <f>IF(AND($B482&gt;='111'!$N$11,$B482&lt;='111'!$O$11,OR($L482=$O$7,$M482=$O$7)),"x","")</f>
        <v/>
      </c>
      <c r="P482" s="22" t="str">
        <f>IF(AND($L482=$O$7,$B482&lt;'111'!$N$11),"x","")</f>
        <v/>
      </c>
      <c r="Q482" s="22" t="str">
        <f>IF(AND($M482=$O$7,$B482&lt;'111'!$N$11),"x","")</f>
        <v/>
      </c>
      <c r="R482" s="22" t="str">
        <f>IF(ISERROR(FIND('112'!$M$9,G482,1)),"",IF((AND(FIND('112'!$M$9,G482,1)&gt;=1,$B482&gt;='112'!$N$8,$B482&lt;='112'!$O$8,OR($L482='112'!$I$6,$M482='112'!$I$6))),"x",""))</f>
        <v/>
      </c>
      <c r="S482" s="22" t="str">
        <f>IF(ISERROR(FIND('112'!$M$9,G482,1)),"",IF((AND(LEFT(G482,2)=LEFT('112'!$M$9,2),B482&lt;'112'!$N$8,$L482='112'!$I$6)),"x",""))</f>
        <v/>
      </c>
      <c r="T482" s="22" t="str">
        <f>IF(ISERROR(FIND('112'!$M$9,G482,1)),"",IF((AND(RIGHT(G482,2)=RIGHT('112'!$M$9,2),B482&lt;'112'!$N$8,$M482='112'!$I$6)),"x",""))</f>
        <v/>
      </c>
      <c r="U482" s="22" t="str">
        <f>IF(AND(B482&gt;='IN-NX'!$P$3,B482&lt;='IN-NX'!$Q$3,'IN-NX'!$D$7=D482,OR(LEFT(L482,2)="15",AND(LEFT(M482,2)&lt;&gt;"15",LEFT(M482,2)&lt;&gt;"33"))),"x","")</f>
        <v/>
      </c>
      <c r="V482" s="22" t="str">
        <f>IF(AND(OR(LEFT(TH!L482,2)="15",LEFT(TH!M482,2)="15"),'152-CT'!$J$8=TH!F482),"x","")</f>
        <v/>
      </c>
      <c r="W482" s="22" t="str">
        <f>IF(AND(OR(LEFT(TH!L482,2)="15",LEFT(TH!M482,2)="15"),TK!$E$7=TH!F482),"x","")</f>
        <v/>
      </c>
      <c r="X482" s="22" t="str">
        <f>IF(OR(TH!L482=TH!$X$7,M482=TH!$X$7),"x","")</f>
        <v/>
      </c>
      <c r="Y482" s="22" t="str">
        <f>IF(AND(B482&lt;=NKC!$N$8,B482&gt;=NKC!$M$8),"x","")</f>
        <v/>
      </c>
      <c r="Z482" s="580"/>
      <c r="AA482" s="406"/>
      <c r="AD482" s="406"/>
      <c r="AE482" s="406"/>
    </row>
    <row r="483" spans="1:31" s="130" customFormat="1" ht="15.75" customHeight="1">
      <c r="A483" s="123" t="str">
        <f>IF(B483&lt;&gt;"",IF(AND(B483&gt;=_TM1,B483&lt;=_TM2,OR(TH!L483="1111",TH!M483="1111")),TH!D483,""),"")</f>
        <v/>
      </c>
      <c r="B483" s="12">
        <f t="shared" si="17"/>
        <v>10</v>
      </c>
      <c r="C483" s="108">
        <f t="shared" si="18"/>
        <v>42672</v>
      </c>
      <c r="D483" s="108" t="s">
        <v>561</v>
      </c>
      <c r="E483" s="113">
        <v>42672</v>
      </c>
      <c r="F483" s="112" t="s">
        <v>500</v>
      </c>
      <c r="G483" s="303" t="s">
        <v>765</v>
      </c>
      <c r="H483" s="4" t="s">
        <v>371</v>
      </c>
      <c r="I483" s="139">
        <v>160</v>
      </c>
      <c r="J483" s="139">
        <v>9800</v>
      </c>
      <c r="K483" s="13">
        <f t="shared" si="19"/>
        <v>1568000</v>
      </c>
      <c r="L483" s="116" t="s">
        <v>252</v>
      </c>
      <c r="M483" s="411" t="s">
        <v>169</v>
      </c>
      <c r="N483" s="22" t="str">
        <f>IF(AND('331-CT'!$E$7=TH!H483,OR(L483="331",M483="331")),"331",IF(AND(OR(L483="131",M483="131"),H483='131-CT'!$E$7),"131",""))</f>
        <v/>
      </c>
      <c r="O483" s="22" t="str">
        <f>IF(AND($B483&gt;='111'!$N$11,$B483&lt;='111'!$O$11,OR($L483=$O$7,$M483=$O$7)),"x","")</f>
        <v/>
      </c>
      <c r="P483" s="22" t="str">
        <f>IF(AND($L483=$O$7,$B483&lt;'111'!$N$11),"x","")</f>
        <v/>
      </c>
      <c r="Q483" s="22" t="str">
        <f>IF(AND($M483=$O$7,$B483&lt;'111'!$N$11),"x","")</f>
        <v/>
      </c>
      <c r="R483" s="22" t="str">
        <f>IF(ISERROR(FIND('112'!$M$9,G483,1)),"",IF((AND(FIND('112'!$M$9,G483,1)&gt;=1,$B483&gt;='112'!$N$8,$B483&lt;='112'!$O$8,OR($L483='112'!$I$6,$M483='112'!$I$6))),"x",""))</f>
        <v/>
      </c>
      <c r="S483" s="22" t="str">
        <f>IF(ISERROR(FIND('112'!$M$9,G483,1)),"",IF((AND(LEFT(G483,2)=LEFT('112'!$M$9,2),B483&lt;'112'!$N$8,$L483='112'!$I$6)),"x",""))</f>
        <v/>
      </c>
      <c r="T483" s="22" t="str">
        <f>IF(ISERROR(FIND('112'!$M$9,G483,1)),"",IF((AND(RIGHT(G483,2)=RIGHT('112'!$M$9,2),B483&lt;'112'!$N$8,$M483='112'!$I$6)),"x",""))</f>
        <v/>
      </c>
      <c r="U483" s="22" t="str">
        <f>IF(AND(B483&gt;='IN-NX'!$P$3,B483&lt;='IN-NX'!$Q$3,'IN-NX'!$D$7=D483,OR(LEFT(L483,2)="15",AND(LEFT(M483,2)&lt;&gt;"15",LEFT(M483,2)&lt;&gt;"33"))),"x","")</f>
        <v/>
      </c>
      <c r="V483" s="22" t="str">
        <f>IF(AND(OR(LEFT(TH!L483,2)="15",LEFT(TH!M483,2)="15"),'152-CT'!$J$8=TH!F483),"x","")</f>
        <v/>
      </c>
      <c r="W483" s="22" t="str">
        <f>IF(AND(OR(LEFT(TH!L483,2)="15",LEFT(TH!M483,2)="15"),TK!$E$7=TH!F483),"x","")</f>
        <v/>
      </c>
      <c r="X483" s="22" t="str">
        <f>IF(OR(TH!L483=TH!$X$7,M483=TH!$X$7),"x","")</f>
        <v/>
      </c>
      <c r="Y483" s="22" t="str">
        <f>IF(AND(B483&lt;=NKC!$N$8,B483&gt;=NKC!$M$8),"x","")</f>
        <v/>
      </c>
      <c r="Z483" s="580"/>
      <c r="AA483" s="406"/>
      <c r="AB483" s="406"/>
      <c r="AD483" s="406"/>
      <c r="AE483" s="406"/>
    </row>
    <row r="484" spans="1:31" s="130" customFormat="1" ht="15.75" customHeight="1">
      <c r="A484" s="123" t="str">
        <f>IF(B484&lt;&gt;"",IF(AND(B484&gt;=_TM1,B484&lt;=_TM2,OR(TH!L484="1111",TH!M484="1111")),TH!D484,""),"")</f>
        <v/>
      </c>
      <c r="B484" s="12">
        <f t="shared" si="17"/>
        <v>10</v>
      </c>
      <c r="C484" s="108">
        <f t="shared" si="18"/>
        <v>42672</v>
      </c>
      <c r="D484" s="108" t="s">
        <v>561</v>
      </c>
      <c r="E484" s="113">
        <v>42672</v>
      </c>
      <c r="F484" s="112" t="s">
        <v>676</v>
      </c>
      <c r="G484" s="303" t="s">
        <v>765</v>
      </c>
      <c r="H484" s="4" t="s">
        <v>371</v>
      </c>
      <c r="I484" s="139">
        <v>160</v>
      </c>
      <c r="J484" s="139">
        <v>8200</v>
      </c>
      <c r="K484" s="13">
        <f t="shared" si="19"/>
        <v>1312000</v>
      </c>
      <c r="L484" s="116" t="s">
        <v>252</v>
      </c>
      <c r="M484" s="411" t="s">
        <v>169</v>
      </c>
      <c r="N484" s="22" t="str">
        <f>IF(AND('331-CT'!$E$7=TH!H484,OR(L484="331",M484="331")),"331",IF(AND(OR(L484="131",M484="131"),H484='131-CT'!$E$7),"131",""))</f>
        <v/>
      </c>
      <c r="O484" s="22" t="str">
        <f>IF(AND($B484&gt;='111'!$N$11,$B484&lt;='111'!$O$11,OR($L484=$O$7,$M484=$O$7)),"x","")</f>
        <v/>
      </c>
      <c r="P484" s="22" t="str">
        <f>IF(AND($L484=$O$7,$B484&lt;'111'!$N$11),"x","")</f>
        <v/>
      </c>
      <c r="Q484" s="22" t="str">
        <f>IF(AND($M484=$O$7,$B484&lt;'111'!$N$11),"x","")</f>
        <v/>
      </c>
      <c r="R484" s="22" t="str">
        <f>IF(ISERROR(FIND('112'!$M$9,G484,1)),"",IF((AND(FIND('112'!$M$9,G484,1)&gt;=1,$B484&gt;='112'!$N$8,$B484&lt;='112'!$O$8,OR($L484='112'!$I$6,$M484='112'!$I$6))),"x",""))</f>
        <v/>
      </c>
      <c r="S484" s="22" t="str">
        <f>IF(ISERROR(FIND('112'!$M$9,G484,1)),"",IF((AND(LEFT(G484,2)=LEFT('112'!$M$9,2),B484&lt;'112'!$N$8,$L484='112'!$I$6)),"x",""))</f>
        <v/>
      </c>
      <c r="T484" s="22" t="str">
        <f>IF(ISERROR(FIND('112'!$M$9,G484,1)),"",IF((AND(RIGHT(G484,2)=RIGHT('112'!$M$9,2),B484&lt;'112'!$N$8,$M484='112'!$I$6)),"x",""))</f>
        <v/>
      </c>
      <c r="U484" s="22" t="str">
        <f>IF(AND(B484&gt;='IN-NX'!$P$3,B484&lt;='IN-NX'!$Q$3,'IN-NX'!$D$7=D484,OR(LEFT(L484,2)="15",AND(LEFT(M484,2)&lt;&gt;"15",LEFT(M484,2)&lt;&gt;"33"))),"x","")</f>
        <v/>
      </c>
      <c r="V484" s="22" t="str">
        <f>IF(AND(OR(LEFT(TH!L484,2)="15",LEFT(TH!M484,2)="15"),'152-CT'!$J$8=TH!F484),"x","")</f>
        <v/>
      </c>
      <c r="W484" s="22" t="str">
        <f>IF(AND(OR(LEFT(TH!L484,2)="15",LEFT(TH!M484,2)="15"),TK!$E$7=TH!F484),"x","")</f>
        <v/>
      </c>
      <c r="X484" s="22" t="str">
        <f>IF(OR(TH!L484=TH!$X$7,M484=TH!$X$7),"x","")</f>
        <v/>
      </c>
      <c r="Y484" s="22" t="str">
        <f>IF(AND(B484&lt;=NKC!$N$8,B484&gt;=NKC!$M$8),"x","")</f>
        <v/>
      </c>
      <c r="Z484" s="580"/>
      <c r="AA484" s="406"/>
      <c r="AB484" s="406"/>
      <c r="AD484" s="406"/>
      <c r="AE484" s="406"/>
    </row>
    <row r="485" spans="1:31" s="130" customFormat="1" ht="15.75" customHeight="1">
      <c r="A485" s="123" t="str">
        <f>IF(B485&lt;&gt;"",IF(AND(B485&gt;=_TM1,B485&lt;=_TM2,OR(TH!L485="1111",TH!M485="1111")),TH!D485,""),"")</f>
        <v/>
      </c>
      <c r="B485" s="12">
        <f t="shared" si="17"/>
        <v>10</v>
      </c>
      <c r="C485" s="108">
        <f t="shared" si="18"/>
        <v>42672</v>
      </c>
      <c r="D485" s="108" t="s">
        <v>561</v>
      </c>
      <c r="E485" s="113">
        <v>42672</v>
      </c>
      <c r="F485" s="112" t="s">
        <v>677</v>
      </c>
      <c r="G485" s="303" t="s">
        <v>765</v>
      </c>
      <c r="H485" s="4" t="s">
        <v>371</v>
      </c>
      <c r="I485" s="139">
        <v>103</v>
      </c>
      <c r="J485" s="139">
        <v>9500</v>
      </c>
      <c r="K485" s="13">
        <f t="shared" si="19"/>
        <v>978500</v>
      </c>
      <c r="L485" s="116" t="s">
        <v>252</v>
      </c>
      <c r="M485" s="411" t="s">
        <v>169</v>
      </c>
      <c r="N485" s="22" t="str">
        <f>IF(AND('331-CT'!$E$7=TH!H485,OR(L485="331",M485="331")),"331",IF(AND(OR(L485="131",M485="131"),H485='131-CT'!$E$7),"131",""))</f>
        <v/>
      </c>
      <c r="O485" s="22" t="str">
        <f>IF(AND($B485&gt;='111'!$N$11,$B485&lt;='111'!$O$11,OR($L485=$O$7,$M485=$O$7)),"x","")</f>
        <v/>
      </c>
      <c r="P485" s="22" t="str">
        <f>IF(AND($L485=$O$7,$B485&lt;'111'!$N$11),"x","")</f>
        <v/>
      </c>
      <c r="Q485" s="22" t="str">
        <f>IF(AND($M485=$O$7,$B485&lt;'111'!$N$11),"x","")</f>
        <v/>
      </c>
      <c r="R485" s="22" t="str">
        <f>IF(ISERROR(FIND('112'!$M$9,G485,1)),"",IF((AND(FIND('112'!$M$9,G485,1)&gt;=1,$B485&gt;='112'!$N$8,$B485&lt;='112'!$O$8,OR($L485='112'!$I$6,$M485='112'!$I$6))),"x",""))</f>
        <v/>
      </c>
      <c r="S485" s="22" t="str">
        <f>IF(ISERROR(FIND('112'!$M$9,G485,1)),"",IF((AND(LEFT(G485,2)=LEFT('112'!$M$9,2),B485&lt;'112'!$N$8,$L485='112'!$I$6)),"x",""))</f>
        <v/>
      </c>
      <c r="T485" s="22" t="str">
        <f>IF(ISERROR(FIND('112'!$M$9,G485,1)),"",IF((AND(RIGHT(G485,2)=RIGHT('112'!$M$9,2),B485&lt;'112'!$N$8,$M485='112'!$I$6)),"x",""))</f>
        <v/>
      </c>
      <c r="U485" s="22" t="str">
        <f>IF(AND(B485&gt;='IN-NX'!$P$3,B485&lt;='IN-NX'!$Q$3,'IN-NX'!$D$7=D485,OR(LEFT(L485,2)="15",AND(LEFT(M485,2)&lt;&gt;"15",LEFT(M485,2)&lt;&gt;"33"))),"x","")</f>
        <v/>
      </c>
      <c r="V485" s="22" t="str">
        <f>IF(AND(OR(LEFT(TH!L485,2)="15",LEFT(TH!M485,2)="15"),'152-CT'!$J$8=TH!F485),"x","")</f>
        <v/>
      </c>
      <c r="W485" s="22" t="str">
        <f>IF(AND(OR(LEFT(TH!L485,2)="15",LEFT(TH!M485,2)="15"),TK!$E$7=TH!F485),"x","")</f>
        <v/>
      </c>
      <c r="X485" s="22" t="str">
        <f>IF(OR(TH!L485=TH!$X$7,M485=TH!$X$7),"x","")</f>
        <v/>
      </c>
      <c r="Y485" s="22" t="str">
        <f>IF(AND(B485&lt;=NKC!$N$8,B485&gt;=NKC!$M$8),"x","")</f>
        <v/>
      </c>
      <c r="Z485" s="580"/>
      <c r="AA485" s="406"/>
      <c r="AB485" s="406"/>
      <c r="AD485" s="406"/>
      <c r="AE485" s="406"/>
    </row>
    <row r="486" spans="1:31" s="130" customFormat="1" ht="15.75" customHeight="1">
      <c r="A486" s="123" t="str">
        <f>IF(B486&lt;&gt;"",IF(AND(B486&gt;=_TM1,B486&lt;=_TM2,OR(TH!L486="1111",TH!M486="1111")),TH!D486,""),"")</f>
        <v/>
      </c>
      <c r="B486" s="12">
        <f t="shared" si="17"/>
        <v>10</v>
      </c>
      <c r="C486" s="108">
        <f t="shared" si="18"/>
        <v>42672</v>
      </c>
      <c r="D486" s="108" t="s">
        <v>561</v>
      </c>
      <c r="E486" s="113">
        <v>42672</v>
      </c>
      <c r="F486" s="112" t="s">
        <v>678</v>
      </c>
      <c r="G486" s="303" t="s">
        <v>765</v>
      </c>
      <c r="H486" s="4" t="s">
        <v>371</v>
      </c>
      <c r="I486" s="139">
        <v>7</v>
      </c>
      <c r="J486" s="139">
        <v>15400</v>
      </c>
      <c r="K486" s="13">
        <f t="shared" si="19"/>
        <v>107800</v>
      </c>
      <c r="L486" s="116" t="s">
        <v>252</v>
      </c>
      <c r="M486" s="411" t="s">
        <v>169</v>
      </c>
      <c r="N486" s="22" t="str">
        <f>IF(AND('331-CT'!$E$7=TH!H486,OR(L486="331",M486="331")),"331",IF(AND(OR(L486="131",M486="131"),H486='131-CT'!$E$7),"131",""))</f>
        <v/>
      </c>
      <c r="O486" s="22" t="str">
        <f>IF(AND($B486&gt;='111'!$N$11,$B486&lt;='111'!$O$11,OR($L486=$O$7,$M486=$O$7)),"x","")</f>
        <v/>
      </c>
      <c r="P486" s="22" t="str">
        <f>IF(AND($L486=$O$7,$B486&lt;'111'!$N$11),"x","")</f>
        <v/>
      </c>
      <c r="Q486" s="22" t="str">
        <f>IF(AND($M486=$O$7,$B486&lt;'111'!$N$11),"x","")</f>
        <v/>
      </c>
      <c r="R486" s="22" t="str">
        <f>IF(ISERROR(FIND('112'!$M$9,G486,1)),"",IF((AND(FIND('112'!$M$9,G486,1)&gt;=1,$B486&gt;='112'!$N$8,$B486&lt;='112'!$O$8,OR($L486='112'!$I$6,$M486='112'!$I$6))),"x",""))</f>
        <v/>
      </c>
      <c r="S486" s="22" t="str">
        <f>IF(ISERROR(FIND('112'!$M$9,G486,1)),"",IF((AND(LEFT(G486,2)=LEFT('112'!$M$9,2),B486&lt;'112'!$N$8,$L486='112'!$I$6)),"x",""))</f>
        <v/>
      </c>
      <c r="T486" s="22" t="str">
        <f>IF(ISERROR(FIND('112'!$M$9,G486,1)),"",IF((AND(RIGHT(G486,2)=RIGHT('112'!$M$9,2),B486&lt;'112'!$N$8,$M486='112'!$I$6)),"x",""))</f>
        <v/>
      </c>
      <c r="U486" s="22" t="str">
        <f>IF(AND(B486&gt;='IN-NX'!$P$3,B486&lt;='IN-NX'!$Q$3,'IN-NX'!$D$7=D486,OR(LEFT(L486,2)="15",AND(LEFT(M486,2)&lt;&gt;"15",LEFT(M486,2)&lt;&gt;"33"))),"x","")</f>
        <v/>
      </c>
      <c r="V486" s="22" t="str">
        <f>IF(AND(OR(LEFT(TH!L486,2)="15",LEFT(TH!M486,2)="15"),'152-CT'!$J$8=TH!F486),"x","")</f>
        <v/>
      </c>
      <c r="W486" s="22" t="str">
        <f>IF(AND(OR(LEFT(TH!L486,2)="15",LEFT(TH!M486,2)="15"),TK!$E$7=TH!F486),"x","")</f>
        <v/>
      </c>
      <c r="X486" s="22" t="str">
        <f>IF(OR(TH!L486=TH!$X$7,M486=TH!$X$7),"x","")</f>
        <v/>
      </c>
      <c r="Y486" s="22" t="str">
        <f>IF(AND(B486&lt;=NKC!$N$8,B486&gt;=NKC!$M$8),"x","")</f>
        <v/>
      </c>
      <c r="Z486" s="580"/>
      <c r="AA486" s="406"/>
      <c r="AB486" s="406"/>
      <c r="AD486" s="406"/>
      <c r="AE486" s="406"/>
    </row>
    <row r="487" spans="1:31" s="130" customFormat="1" ht="15.75" customHeight="1">
      <c r="A487" s="123" t="str">
        <f>IF(B487&lt;&gt;"",IF(AND(B487&gt;=_TM1,B487&lt;=_TM2,OR(TH!L487="1111",TH!M487="1111")),TH!D487,""),"")</f>
        <v/>
      </c>
      <c r="B487" s="12">
        <f t="shared" si="17"/>
        <v>10</v>
      </c>
      <c r="C487" s="108">
        <f t="shared" si="18"/>
        <v>42672</v>
      </c>
      <c r="D487" s="108" t="s">
        <v>561</v>
      </c>
      <c r="E487" s="113">
        <v>42672</v>
      </c>
      <c r="F487" s="112" t="s">
        <v>679</v>
      </c>
      <c r="G487" s="303" t="s">
        <v>765</v>
      </c>
      <c r="H487" s="4" t="s">
        <v>371</v>
      </c>
      <c r="I487" s="139">
        <v>105</v>
      </c>
      <c r="J487" s="139">
        <v>8100</v>
      </c>
      <c r="K487" s="13">
        <f t="shared" si="19"/>
        <v>850500</v>
      </c>
      <c r="L487" s="116" t="s">
        <v>252</v>
      </c>
      <c r="M487" s="411" t="s">
        <v>169</v>
      </c>
      <c r="N487" s="22" t="str">
        <f>IF(AND('331-CT'!$E$7=TH!H487,OR(L487="331",M487="331")),"331",IF(AND(OR(L487="131",M487="131"),H487='131-CT'!$E$7),"131",""))</f>
        <v/>
      </c>
      <c r="O487" s="22" t="str">
        <f>IF(AND($B487&gt;='111'!$N$11,$B487&lt;='111'!$O$11,OR($L487=$O$7,$M487=$O$7)),"x","")</f>
        <v/>
      </c>
      <c r="P487" s="22" t="str">
        <f>IF(AND($L487=$O$7,$B487&lt;'111'!$N$11),"x","")</f>
        <v/>
      </c>
      <c r="Q487" s="22" t="str">
        <f>IF(AND($M487=$O$7,$B487&lt;'111'!$N$11),"x","")</f>
        <v/>
      </c>
      <c r="R487" s="22" t="str">
        <f>IF(ISERROR(FIND('112'!$M$9,G487,1)),"",IF((AND(FIND('112'!$M$9,G487,1)&gt;=1,$B487&gt;='112'!$N$8,$B487&lt;='112'!$O$8,OR($L487='112'!$I$6,$M487='112'!$I$6))),"x",""))</f>
        <v/>
      </c>
      <c r="S487" s="22" t="str">
        <f>IF(ISERROR(FIND('112'!$M$9,G487,1)),"",IF((AND(LEFT(G487,2)=LEFT('112'!$M$9,2),B487&lt;'112'!$N$8,$L487='112'!$I$6)),"x",""))</f>
        <v/>
      </c>
      <c r="T487" s="22" t="str">
        <f>IF(ISERROR(FIND('112'!$M$9,G487,1)),"",IF((AND(RIGHT(G487,2)=RIGHT('112'!$M$9,2),B487&lt;'112'!$N$8,$M487='112'!$I$6)),"x",""))</f>
        <v/>
      </c>
      <c r="U487" s="22" t="str">
        <f>IF(AND(B487&gt;='IN-NX'!$P$3,B487&lt;='IN-NX'!$Q$3,'IN-NX'!$D$7=D487,OR(LEFT(L487,2)="15",AND(LEFT(M487,2)&lt;&gt;"15",LEFT(M487,2)&lt;&gt;"33"))),"x","")</f>
        <v/>
      </c>
      <c r="V487" s="22" t="str">
        <f>IF(AND(OR(LEFT(TH!L487,2)="15",LEFT(TH!M487,2)="15"),'152-CT'!$J$8=TH!F487),"x","")</f>
        <v/>
      </c>
      <c r="W487" s="22" t="str">
        <f>IF(AND(OR(LEFT(TH!L487,2)="15",LEFT(TH!M487,2)="15"),TK!$E$7=TH!F487),"x","")</f>
        <v/>
      </c>
      <c r="X487" s="22" t="str">
        <f>IF(OR(TH!L487=TH!$X$7,M487=TH!$X$7),"x","")</f>
        <v/>
      </c>
      <c r="Y487" s="22" t="str">
        <f>IF(AND(B487&lt;=NKC!$N$8,B487&gt;=NKC!$M$8),"x","")</f>
        <v/>
      </c>
      <c r="Z487" s="580"/>
      <c r="AA487" s="406"/>
      <c r="AD487" s="406"/>
      <c r="AE487" s="406"/>
    </row>
    <row r="488" spans="1:31" s="130" customFormat="1" ht="15.75" customHeight="1">
      <c r="A488" s="123" t="str">
        <f>IF(B488&lt;&gt;"",IF(AND(B488&gt;=_TM1,B488&lt;=_TM2,OR(TH!L488="1111",TH!M488="1111")),TH!D488,""),"")</f>
        <v/>
      </c>
      <c r="B488" s="12">
        <f t="shared" si="17"/>
        <v>10</v>
      </c>
      <c r="C488" s="108">
        <f t="shared" si="18"/>
        <v>42672</v>
      </c>
      <c r="D488" s="108" t="s">
        <v>561</v>
      </c>
      <c r="E488" s="113">
        <v>42672</v>
      </c>
      <c r="F488" s="112" t="s">
        <v>680</v>
      </c>
      <c r="G488" s="303" t="s">
        <v>765</v>
      </c>
      <c r="H488" s="4" t="s">
        <v>371</v>
      </c>
      <c r="I488" s="139">
        <v>110</v>
      </c>
      <c r="J488" s="139">
        <v>6500</v>
      </c>
      <c r="K488" s="13">
        <f t="shared" si="19"/>
        <v>715000</v>
      </c>
      <c r="L488" s="116" t="s">
        <v>252</v>
      </c>
      <c r="M488" s="411" t="s">
        <v>169</v>
      </c>
      <c r="N488" s="22" t="str">
        <f>IF(AND('331-CT'!$E$7=TH!H488,OR(L488="331",M488="331")),"331",IF(AND(OR(L488="131",M488="131"),H488='131-CT'!$E$7),"131",""))</f>
        <v/>
      </c>
      <c r="O488" s="22" t="str">
        <f>IF(AND($B488&gt;='111'!$N$11,$B488&lt;='111'!$O$11,OR($L488=$O$7,$M488=$O$7)),"x","")</f>
        <v/>
      </c>
      <c r="P488" s="22" t="str">
        <f>IF(AND($L488=$O$7,$B488&lt;'111'!$N$11),"x","")</f>
        <v/>
      </c>
      <c r="Q488" s="22" t="str">
        <f>IF(AND($M488=$O$7,$B488&lt;'111'!$N$11),"x","")</f>
        <v/>
      </c>
      <c r="R488" s="22" t="str">
        <f>IF(ISERROR(FIND('112'!$M$9,G488,1)),"",IF((AND(FIND('112'!$M$9,G488,1)&gt;=1,$B488&gt;='112'!$N$8,$B488&lt;='112'!$O$8,OR($L488='112'!$I$6,$M488='112'!$I$6))),"x",""))</f>
        <v/>
      </c>
      <c r="S488" s="22" t="str">
        <f>IF(ISERROR(FIND('112'!$M$9,G488,1)),"",IF((AND(LEFT(G488,2)=LEFT('112'!$M$9,2),B488&lt;'112'!$N$8,$L488='112'!$I$6)),"x",""))</f>
        <v/>
      </c>
      <c r="T488" s="22" t="str">
        <f>IF(ISERROR(FIND('112'!$M$9,G488,1)),"",IF((AND(RIGHT(G488,2)=RIGHT('112'!$M$9,2),B488&lt;'112'!$N$8,$M488='112'!$I$6)),"x",""))</f>
        <v/>
      </c>
      <c r="U488" s="22" t="str">
        <f>IF(AND(B488&gt;='IN-NX'!$P$3,B488&lt;='IN-NX'!$Q$3,'IN-NX'!$D$7=D488,OR(LEFT(L488,2)="15",AND(LEFT(M488,2)&lt;&gt;"15",LEFT(M488,2)&lt;&gt;"33"))),"x","")</f>
        <v/>
      </c>
      <c r="V488" s="22" t="str">
        <f>IF(AND(OR(LEFT(TH!L488,2)="15",LEFT(TH!M488,2)="15"),'152-CT'!$J$8=TH!F488),"x","")</f>
        <v/>
      </c>
      <c r="W488" s="22" t="str">
        <f>IF(AND(OR(LEFT(TH!L488,2)="15",LEFT(TH!M488,2)="15"),TK!$E$7=TH!F488),"x","")</f>
        <v/>
      </c>
      <c r="X488" s="22" t="str">
        <f>IF(OR(TH!L488=TH!$X$7,M488=TH!$X$7),"x","")</f>
        <v/>
      </c>
      <c r="Y488" s="22" t="str">
        <f>IF(AND(B488&lt;=NKC!$N$8,B488&gt;=NKC!$M$8),"x","")</f>
        <v/>
      </c>
      <c r="Z488" s="580"/>
      <c r="AA488" s="406"/>
      <c r="AB488" s="406"/>
      <c r="AD488" s="406"/>
      <c r="AE488" s="406"/>
    </row>
    <row r="489" spans="1:31" s="130" customFormat="1" ht="15.75" customHeight="1">
      <c r="A489" s="123" t="str">
        <f>IF(B489&lt;&gt;"",IF(AND(B489&gt;=_TM1,B489&lt;=_TM2,OR(TH!L489="1111",TH!M489="1111")),TH!D489,""),"")</f>
        <v/>
      </c>
      <c r="B489" s="12">
        <f t="shared" si="17"/>
        <v>10</v>
      </c>
      <c r="C489" s="108">
        <f t="shared" si="18"/>
        <v>42672</v>
      </c>
      <c r="D489" s="108" t="s">
        <v>561</v>
      </c>
      <c r="E489" s="113">
        <v>42672</v>
      </c>
      <c r="F489" s="112" t="s">
        <v>496</v>
      </c>
      <c r="G489" s="303" t="s">
        <v>765</v>
      </c>
      <c r="H489" s="4" t="s">
        <v>371</v>
      </c>
      <c r="I489" s="139"/>
      <c r="J489" s="139"/>
      <c r="K489" s="13">
        <v>1061580</v>
      </c>
      <c r="L489" s="116" t="s">
        <v>252</v>
      </c>
      <c r="M489" s="411" t="s">
        <v>352</v>
      </c>
      <c r="N489" s="22" t="str">
        <f>IF(AND('331-CT'!$E$7=TH!H489,OR(L489="331",M489="331")),"331",IF(AND(OR(L489="131",M489="131"),H489='131-CT'!$E$7),"131",""))</f>
        <v/>
      </c>
      <c r="O489" s="22" t="str">
        <f>IF(AND($B489&gt;='111'!$N$11,$B489&lt;='111'!$O$11,OR($L489=$O$7,$M489=$O$7)),"x","")</f>
        <v/>
      </c>
      <c r="P489" s="22" t="str">
        <f>IF(AND($L489=$O$7,$B489&lt;'111'!$N$11),"x","")</f>
        <v/>
      </c>
      <c r="Q489" s="22" t="str">
        <f>IF(AND($M489=$O$7,$B489&lt;'111'!$N$11),"x","")</f>
        <v/>
      </c>
      <c r="R489" s="22" t="str">
        <f>IF(ISERROR(FIND('112'!$M$9,G489,1)),"",IF((AND(FIND('112'!$M$9,G489,1)&gt;=1,$B489&gt;='112'!$N$8,$B489&lt;='112'!$O$8,OR($L489='112'!$I$6,$M489='112'!$I$6))),"x",""))</f>
        <v/>
      </c>
      <c r="S489" s="22" t="str">
        <f>IF(ISERROR(FIND('112'!$M$9,G489,1)),"",IF((AND(LEFT(G489,2)=LEFT('112'!$M$9,2),B489&lt;'112'!$N$8,$L489='112'!$I$6)),"x",""))</f>
        <v/>
      </c>
      <c r="T489" s="22" t="str">
        <f>IF(ISERROR(FIND('112'!$M$9,G489,1)),"",IF((AND(RIGHT(G489,2)=RIGHT('112'!$M$9,2),B489&lt;'112'!$N$8,$M489='112'!$I$6)),"x",""))</f>
        <v/>
      </c>
      <c r="U489" s="22" t="str">
        <f>IF(AND(B489&gt;='IN-NX'!$P$3,B489&lt;='IN-NX'!$Q$3,'IN-NX'!$D$7=D489,OR(LEFT(L489,2)="15",AND(LEFT(M489,2)&lt;&gt;"15",LEFT(M489,2)&lt;&gt;"33"))),"x","")</f>
        <v/>
      </c>
      <c r="V489" s="22" t="str">
        <f>IF(AND(OR(LEFT(TH!L489,2)="15",LEFT(TH!M489,2)="15"),'152-CT'!$J$8=TH!F489),"x","")</f>
        <v/>
      </c>
      <c r="W489" s="22" t="str">
        <f>IF(AND(OR(LEFT(TH!L489,2)="15",LEFT(TH!M489,2)="15"),TK!$E$7=TH!F489),"x","")</f>
        <v/>
      </c>
      <c r="X489" s="22" t="str">
        <f>IF(OR(TH!L489=TH!$X$7,M489=TH!$X$7),"x","")</f>
        <v/>
      </c>
      <c r="Y489" s="22" t="str">
        <f>IF(AND(B489&lt;=NKC!$N$8,B489&gt;=NKC!$M$8),"x","")</f>
        <v/>
      </c>
      <c r="Z489" s="580"/>
      <c r="AA489" s="406"/>
      <c r="AB489" s="406"/>
      <c r="AD489" s="406"/>
      <c r="AE489" s="406"/>
    </row>
    <row r="490" spans="1:31" s="130" customFormat="1" ht="15.75" customHeight="1">
      <c r="A490" s="123" t="str">
        <f>IF(B490&lt;&gt;"",IF(AND(B490&gt;=_TM1,B490&lt;=_TM2,OR(TH!L490="1111",TH!M490="1111")),TH!D490,""),"")</f>
        <v>C09</v>
      </c>
      <c r="B490" s="12">
        <f t="shared" si="17"/>
        <v>10</v>
      </c>
      <c r="C490" s="108">
        <f t="shared" si="18"/>
        <v>42673</v>
      </c>
      <c r="D490" s="113" t="s">
        <v>464</v>
      </c>
      <c r="E490" s="113">
        <v>42673</v>
      </c>
      <c r="F490" s="112" t="s">
        <v>626</v>
      </c>
      <c r="G490" s="303"/>
      <c r="H490" s="115" t="s">
        <v>488</v>
      </c>
      <c r="I490" s="139"/>
      <c r="J490" s="139"/>
      <c r="K490" s="13">
        <f>ROUND((21*15000+2*10000)/1.1,0)</f>
        <v>304545</v>
      </c>
      <c r="L490" s="116" t="s">
        <v>254</v>
      </c>
      <c r="M490" s="411" t="s">
        <v>46</v>
      </c>
      <c r="N490" s="22" t="str">
        <f>IF(AND('331-CT'!$E$7=TH!H490,OR(L490="331",M490="331")),"331",IF(AND(OR(L490="131",M490="131"),H490='131-CT'!$E$7),"131",""))</f>
        <v/>
      </c>
      <c r="O490" s="22" t="str">
        <f>IF(AND($B490&gt;='111'!$N$11,$B490&lt;='111'!$O$11,OR($L490=$O$7,$M490=$O$7)),"x","")</f>
        <v>x</v>
      </c>
      <c r="P490" s="22" t="str">
        <f>IF(AND($L490=$O$7,$B490&lt;'111'!$N$11),"x","")</f>
        <v/>
      </c>
      <c r="Q490" s="22" t="str">
        <f>IF(AND($M490=$O$7,$B490&lt;'111'!$N$11),"x","")</f>
        <v/>
      </c>
      <c r="R490" s="22" t="str">
        <f>IF(ISERROR(FIND('112'!$M$9,G490,1)),"",IF((AND(FIND('112'!$M$9,G490,1)&gt;=1,$B490&gt;='112'!$N$8,$B490&lt;='112'!$O$8,OR($L490='112'!$I$6,$M490='112'!$I$6))),"x",""))</f>
        <v/>
      </c>
      <c r="S490" s="22" t="str">
        <f>IF(ISERROR(FIND('112'!$M$9,G490,1)),"",IF((AND(LEFT(G490,2)=LEFT('112'!$M$9,2),B490&lt;'112'!$N$8,$L490='112'!$I$6)),"x",""))</f>
        <v/>
      </c>
      <c r="T490" s="22" t="str">
        <f>IF(ISERROR(FIND('112'!$M$9,G490,1)),"",IF((AND(RIGHT(G490,2)=RIGHT('112'!$M$9,2),B490&lt;'112'!$N$8,$M490='112'!$I$6)),"x",""))</f>
        <v/>
      </c>
      <c r="U490" s="22" t="str">
        <f>IF(AND(B490&gt;='IN-NX'!$P$3,B490&lt;='IN-NX'!$Q$3,'IN-NX'!$D$7=D490,OR(LEFT(L490,2)="15",AND(LEFT(M490,2)&lt;&gt;"15",LEFT(M490,2)&lt;&gt;"33"))),"x","")</f>
        <v/>
      </c>
      <c r="V490" s="22" t="str">
        <f>IF(AND(OR(LEFT(TH!L490,2)="15",LEFT(TH!M490,2)="15"),'152-CT'!$J$8=TH!F490),"x","")</f>
        <v/>
      </c>
      <c r="W490" s="22" t="str">
        <f>IF(AND(OR(LEFT(TH!L490,2)="15",LEFT(TH!M490,2)="15"),TK!$E$7=TH!F490),"x","")</f>
        <v/>
      </c>
      <c r="X490" s="22" t="str">
        <f>IF(OR(TH!L490=TH!$X$7,M490=TH!$X$7),"x","")</f>
        <v/>
      </c>
      <c r="Y490" s="22" t="str">
        <f>IF(AND(B490&lt;=NKC!$N$8,B490&gt;=NKC!$M$8),"x","")</f>
        <v/>
      </c>
      <c r="Z490" s="580">
        <v>4</v>
      </c>
      <c r="AA490" s="406"/>
      <c r="AB490" s="406"/>
    </row>
    <row r="491" spans="1:31" s="130" customFormat="1" ht="15.75" customHeight="1">
      <c r="A491" s="123" t="str">
        <f>IF(B491&lt;&gt;"",IF(AND(B491&gt;=_TM1,B491&lt;=_TM2,OR(TH!L491="1111",TH!M491="1111")),TH!D491,""),"")</f>
        <v>C09</v>
      </c>
      <c r="B491" s="12">
        <f t="shared" si="17"/>
        <v>10</v>
      </c>
      <c r="C491" s="108">
        <f t="shared" si="18"/>
        <v>42673</v>
      </c>
      <c r="D491" s="113" t="s">
        <v>464</v>
      </c>
      <c r="E491" s="113">
        <v>42673</v>
      </c>
      <c r="F491" s="112" t="s">
        <v>627</v>
      </c>
      <c r="G491" s="303"/>
      <c r="H491" s="115" t="s">
        <v>488</v>
      </c>
      <c r="I491" s="139"/>
      <c r="J491" s="139"/>
      <c r="K491" s="13">
        <v>30455</v>
      </c>
      <c r="L491" s="116" t="s">
        <v>9</v>
      </c>
      <c r="M491" s="411" t="s">
        <v>46</v>
      </c>
      <c r="N491" s="22" t="str">
        <f>IF(AND('331-CT'!$E$7=TH!H491,OR(L491="331",M491="331")),"331",IF(AND(OR(L491="131",M491="131"),H491='131-CT'!$E$7),"131",""))</f>
        <v/>
      </c>
      <c r="O491" s="22" t="str">
        <f>IF(AND($B491&gt;='111'!$N$11,$B491&lt;='111'!$O$11,OR($L491=$O$7,$M491=$O$7)),"x","")</f>
        <v>x</v>
      </c>
      <c r="P491" s="22" t="str">
        <f>IF(AND($L491=$O$7,$B491&lt;'111'!$N$11),"x","")</f>
        <v/>
      </c>
      <c r="Q491" s="22" t="str">
        <f>IF(AND($M491=$O$7,$B491&lt;'111'!$N$11),"x","")</f>
        <v/>
      </c>
      <c r="R491" s="22" t="str">
        <f>IF(ISERROR(FIND('112'!$M$9,G491,1)),"",IF((AND(FIND('112'!$M$9,G491,1)&gt;=1,$B491&gt;='112'!$N$8,$B491&lt;='112'!$O$8,OR($L491='112'!$I$6,$M491='112'!$I$6))),"x",""))</f>
        <v/>
      </c>
      <c r="S491" s="22" t="str">
        <f>IF(ISERROR(FIND('112'!$M$9,G491,1)),"",IF((AND(LEFT(G491,2)=LEFT('112'!$M$9,2),B491&lt;'112'!$N$8,$L491='112'!$I$6)),"x",""))</f>
        <v/>
      </c>
      <c r="T491" s="22" t="str">
        <f>IF(ISERROR(FIND('112'!$M$9,G491,1)),"",IF((AND(RIGHT(G491,2)=RIGHT('112'!$M$9,2),B491&lt;'112'!$N$8,$M491='112'!$I$6)),"x",""))</f>
        <v/>
      </c>
      <c r="U491" s="22" t="str">
        <f>IF(AND(B491&gt;='IN-NX'!$P$3,B491&lt;='IN-NX'!$Q$3,'IN-NX'!$D$7=D491,OR(LEFT(L491,2)="15",AND(LEFT(M491,2)&lt;&gt;"15",LEFT(M491,2)&lt;&gt;"33"))),"x","")</f>
        <v/>
      </c>
      <c r="V491" s="22" t="str">
        <f>IF(AND(OR(LEFT(TH!L491,2)="15",LEFT(TH!M491,2)="15"),'152-CT'!$J$8=TH!F491),"x","")</f>
        <v/>
      </c>
      <c r="W491" s="22" t="str">
        <f>IF(AND(OR(LEFT(TH!L491,2)="15",LEFT(TH!M491,2)="15"),TK!$E$7=TH!F491),"x","")</f>
        <v/>
      </c>
      <c r="X491" s="22" t="str">
        <f>IF(OR(TH!L491=TH!$X$7,M491=TH!$X$7),"x","")</f>
        <v/>
      </c>
      <c r="Y491" s="22" t="str">
        <f>IF(AND(B491&lt;=NKC!$N$8,B491&gt;=NKC!$M$8),"x","")</f>
        <v/>
      </c>
      <c r="Z491" s="580">
        <v>4</v>
      </c>
      <c r="AA491" s="406"/>
      <c r="AB491" s="406"/>
    </row>
    <row r="492" spans="1:31" s="130" customFormat="1" ht="15.75" customHeight="1">
      <c r="A492" s="123" t="str">
        <f>IF(B492&lt;&gt;"",IF(AND(B492&gt;=_TM1,B492&lt;=_TM2,OR(TH!L492="1111",TH!M492="1111")),TH!D492,""),"")</f>
        <v/>
      </c>
      <c r="B492" s="599">
        <f t="shared" si="17"/>
        <v>10</v>
      </c>
      <c r="C492" s="574">
        <f t="shared" si="18"/>
        <v>42674</v>
      </c>
      <c r="D492" s="574" t="s">
        <v>324</v>
      </c>
      <c r="E492" s="574">
        <v>42674</v>
      </c>
      <c r="F492" s="577" t="s">
        <v>821</v>
      </c>
      <c r="G492" s="595"/>
      <c r="H492" s="596"/>
      <c r="I492" s="576"/>
      <c r="J492" s="576"/>
      <c r="K492" s="579">
        <v>4390000</v>
      </c>
      <c r="L492" s="597" t="s">
        <v>82</v>
      </c>
      <c r="M492" s="597" t="s">
        <v>255</v>
      </c>
      <c r="N492" s="22" t="str">
        <f>IF(AND('331-CT'!$E$7=TH!H492,OR(L492="331",M492="331")),"331",IF(AND(OR(L492="131",M492="131"),H492='131-CT'!$E$7),"131",""))</f>
        <v/>
      </c>
      <c r="O492" s="22" t="str">
        <f>IF(AND($B492&gt;='111'!$N$11,$B492&lt;='111'!$O$11,OR($L492=$O$7,$M492=$O$7)),"x","")</f>
        <v/>
      </c>
      <c r="P492" s="22" t="str">
        <f>IF(AND($L492=$O$7,$B492&lt;'111'!$N$11),"x","")</f>
        <v/>
      </c>
      <c r="Q492" s="22" t="str">
        <f>IF(AND($M492=$O$7,$B492&lt;'111'!$N$11),"x","")</f>
        <v/>
      </c>
      <c r="R492" s="22" t="str">
        <f>IF(ISERROR(FIND('112'!$M$9,G492,1)),"",IF((AND(FIND('112'!$M$9,G492,1)&gt;=1,$B492&gt;='112'!$N$8,$B492&lt;='112'!$O$8,OR($L492='112'!$I$6,$M492='112'!$I$6))),"x",""))</f>
        <v/>
      </c>
      <c r="S492" s="22" t="str">
        <f>IF(ISERROR(FIND('112'!$M$9,G492,1)),"",IF((AND(LEFT(G492,2)=LEFT('112'!$M$9,2),B492&lt;'112'!$N$8,$L492='112'!$I$6)),"x",""))</f>
        <v/>
      </c>
      <c r="T492" s="22" t="str">
        <f>IF(ISERROR(FIND('112'!$M$9,G492,1)),"",IF((AND(RIGHT(G492,2)=RIGHT('112'!$M$9,2),B492&lt;'112'!$N$8,$M492='112'!$I$6)),"x",""))</f>
        <v/>
      </c>
      <c r="U492" s="22" t="str">
        <f>IF(AND(B492&gt;='IN-NX'!$P$3,B492&lt;='IN-NX'!$Q$3,'IN-NX'!$D$7=D492,OR(LEFT(L492,2)="15",AND(LEFT(M492,2)&lt;&gt;"15",LEFT(M492,2)&lt;&gt;"33"))),"x","")</f>
        <v/>
      </c>
      <c r="V492" s="22" t="str">
        <f>IF(AND(OR(LEFT(TH!L492,2)="15",LEFT(TH!M492,2)="15"),'152-CT'!$J$8=TH!F492),"x","")</f>
        <v/>
      </c>
      <c r="W492" s="22" t="str">
        <f>IF(AND(OR(LEFT(TH!L492,2)="15",LEFT(TH!M492,2)="15"),TK!$E$7=TH!F492),"x","")</f>
        <v/>
      </c>
      <c r="X492" s="22" t="str">
        <f>IF(OR(TH!L492=TH!$X$7,M492=TH!$X$7),"x","")</f>
        <v>x</v>
      </c>
      <c r="Y492" s="22" t="str">
        <f>IF(AND(B492&lt;=NKC!$N$8,B492&gt;=NKC!$M$8),"x","")</f>
        <v/>
      </c>
      <c r="Z492" s="598"/>
      <c r="AA492" s="598"/>
      <c r="AB492" s="598"/>
      <c r="AC492" s="598"/>
      <c r="AD492" s="598"/>
      <c r="AE492" s="598"/>
    </row>
    <row r="493" spans="1:31" s="130" customFormat="1" ht="15.75" customHeight="1">
      <c r="A493" s="123" t="str">
        <f>IF(B493&lt;&gt;"",IF(AND(B493&gt;=_TM1,B493&lt;=_TM2,OR(TH!L493="1111",TH!M493="1111")),TH!D493,""),"")</f>
        <v/>
      </c>
      <c r="B493" s="599">
        <f t="shared" si="17"/>
        <v>10</v>
      </c>
      <c r="C493" s="574">
        <f t="shared" si="18"/>
        <v>42674</v>
      </c>
      <c r="D493" s="574" t="s">
        <v>324</v>
      </c>
      <c r="E493" s="574">
        <v>42674</v>
      </c>
      <c r="F493" s="577" t="s">
        <v>822</v>
      </c>
      <c r="G493" s="595"/>
      <c r="H493" s="596"/>
      <c r="I493" s="576"/>
      <c r="J493" s="576"/>
      <c r="K493" s="579">
        <v>13960000</v>
      </c>
      <c r="L493" s="597" t="s">
        <v>160</v>
      </c>
      <c r="M493" s="597" t="s">
        <v>255</v>
      </c>
      <c r="N493" s="22" t="str">
        <f>IF(AND('331-CT'!$E$7=TH!H493,OR(L493="331",M493="331")),"331",IF(AND(OR(L493="131",M493="131"),H493='131-CT'!$E$7),"131",""))</f>
        <v/>
      </c>
      <c r="O493" s="22" t="str">
        <f>IF(AND($B493&gt;='111'!$N$11,$B493&lt;='111'!$O$11,OR($L493=$O$7,$M493=$O$7)),"x","")</f>
        <v/>
      </c>
      <c r="P493" s="22" t="str">
        <f>IF(AND($L493=$O$7,$B493&lt;'111'!$N$11),"x","")</f>
        <v/>
      </c>
      <c r="Q493" s="22" t="str">
        <f>IF(AND($M493=$O$7,$B493&lt;'111'!$N$11),"x","")</f>
        <v/>
      </c>
      <c r="R493" s="22" t="str">
        <f>IF(ISERROR(FIND('112'!$M$9,G493,1)),"",IF((AND(FIND('112'!$M$9,G493,1)&gt;=1,$B493&gt;='112'!$N$8,$B493&lt;='112'!$O$8,OR($L493='112'!$I$6,$M493='112'!$I$6))),"x",""))</f>
        <v/>
      </c>
      <c r="S493" s="22" t="str">
        <f>IF(ISERROR(FIND('112'!$M$9,G493,1)),"",IF((AND(LEFT(G493,2)=LEFT('112'!$M$9,2),B493&lt;'112'!$N$8,$L493='112'!$I$6)),"x",""))</f>
        <v/>
      </c>
      <c r="T493" s="22" t="str">
        <f>IF(ISERROR(FIND('112'!$M$9,G493,1)),"",IF((AND(RIGHT(G493,2)=RIGHT('112'!$M$9,2),B493&lt;'112'!$N$8,$M493='112'!$I$6)),"x",""))</f>
        <v/>
      </c>
      <c r="U493" s="22" t="str">
        <f>IF(AND(B493&gt;='IN-NX'!$P$3,B493&lt;='IN-NX'!$Q$3,'IN-NX'!$D$7=D493,OR(LEFT(L493,2)="15",AND(LEFT(M493,2)&lt;&gt;"15",LEFT(M493,2)&lt;&gt;"33"))),"x","")</f>
        <v/>
      </c>
      <c r="V493" s="22" t="str">
        <f>IF(AND(OR(LEFT(TH!L493,2)="15",LEFT(TH!M493,2)="15"),'152-CT'!$J$8=TH!F493),"x","")</f>
        <v/>
      </c>
      <c r="W493" s="22" t="str">
        <f>IF(AND(OR(LEFT(TH!L493,2)="15",LEFT(TH!M493,2)="15"),TK!$E$7=TH!F493),"x","")</f>
        <v/>
      </c>
      <c r="X493" s="22" t="str">
        <f>IF(OR(TH!L493=TH!$X$7,M493=TH!$X$7),"x","")</f>
        <v/>
      </c>
      <c r="Y493" s="22" t="str">
        <f>IF(AND(B493&lt;=NKC!$N$8,B493&gt;=NKC!$M$8),"x","")</f>
        <v/>
      </c>
      <c r="Z493" s="598"/>
      <c r="AA493" s="598"/>
      <c r="AB493" s="598"/>
      <c r="AC493" s="598"/>
      <c r="AD493" s="598"/>
      <c r="AE493" s="598"/>
    </row>
    <row r="494" spans="1:31" s="130" customFormat="1" ht="15.75" customHeight="1">
      <c r="A494" s="123" t="str">
        <f>IF(B494&lt;&gt;"",IF(AND(B494&gt;=_TM1,B494&lt;=_TM2,OR(TH!L494="1111",TH!M494="1111")),TH!D494,""),"")</f>
        <v>C10</v>
      </c>
      <c r="B494" s="599">
        <f t="shared" si="17"/>
        <v>10</v>
      </c>
      <c r="C494" s="574">
        <f t="shared" si="18"/>
        <v>42674</v>
      </c>
      <c r="D494" s="574" t="s">
        <v>466</v>
      </c>
      <c r="E494" s="574">
        <v>42674</v>
      </c>
      <c r="F494" s="577" t="str">
        <f>"Thanh toán tiền lương tháng "&amp;MONTH(E494)&amp;"/"&amp;YEAR(E494)</f>
        <v>Thanh toán tiền lương tháng 10/2016</v>
      </c>
      <c r="G494" s="595"/>
      <c r="H494" s="596" t="s">
        <v>796</v>
      </c>
      <c r="I494" s="576"/>
      <c r="J494" s="576"/>
      <c r="K494" s="579">
        <f>K492+K493</f>
        <v>18350000</v>
      </c>
      <c r="L494" s="597" t="s">
        <v>255</v>
      </c>
      <c r="M494" s="597" t="s">
        <v>46</v>
      </c>
      <c r="N494" s="22" t="str">
        <f>IF(AND('331-CT'!$E$7=TH!H494,OR(L494="331",M494="331")),"331",IF(AND(OR(L494="131",M494="131"),H494='131-CT'!$E$7),"131",""))</f>
        <v/>
      </c>
      <c r="O494" s="22" t="str">
        <f>IF(AND($B494&gt;='111'!$N$11,$B494&lt;='111'!$O$11,OR($L494=$O$7,$M494=$O$7)),"x","")</f>
        <v>x</v>
      </c>
      <c r="P494" s="22" t="str">
        <f>IF(AND($L494=$O$7,$B494&lt;'111'!$N$11),"x","")</f>
        <v/>
      </c>
      <c r="Q494" s="22" t="str">
        <f>IF(AND($M494=$O$7,$B494&lt;'111'!$N$11),"x","")</f>
        <v/>
      </c>
      <c r="R494" s="22" t="str">
        <f>IF(ISERROR(FIND('112'!$M$9,G494,1)),"",IF((AND(FIND('112'!$M$9,G494,1)&gt;=1,$B494&gt;='112'!$N$8,$B494&lt;='112'!$O$8,OR($L494='112'!$I$6,$M494='112'!$I$6))),"x",""))</f>
        <v/>
      </c>
      <c r="S494" s="22" t="str">
        <f>IF(ISERROR(FIND('112'!$M$9,G494,1)),"",IF((AND(LEFT(G494,2)=LEFT('112'!$M$9,2),B494&lt;'112'!$N$8,$L494='112'!$I$6)),"x",""))</f>
        <v/>
      </c>
      <c r="T494" s="22" t="str">
        <f>IF(ISERROR(FIND('112'!$M$9,G494,1)),"",IF((AND(RIGHT(G494,2)=RIGHT('112'!$M$9,2),B494&lt;'112'!$N$8,$M494='112'!$I$6)),"x",""))</f>
        <v/>
      </c>
      <c r="U494" s="22" t="str">
        <f>IF(AND(B494&gt;='IN-NX'!$P$3,B494&lt;='IN-NX'!$Q$3,'IN-NX'!$D$7=D494,OR(LEFT(L494,2)="15",AND(LEFT(M494,2)&lt;&gt;"15",LEFT(M494,2)&lt;&gt;"33"))),"x","")</f>
        <v/>
      </c>
      <c r="V494" s="22" t="str">
        <f>IF(AND(OR(LEFT(TH!L494,2)="15",LEFT(TH!M494,2)="15"),'152-CT'!$J$8=TH!F494),"x","")</f>
        <v/>
      </c>
      <c r="W494" s="22" t="str">
        <f>IF(AND(OR(LEFT(TH!L494,2)="15",LEFT(TH!M494,2)="15"),TK!$E$7=TH!F494),"x","")</f>
        <v/>
      </c>
      <c r="X494" s="22" t="str">
        <f>IF(OR(TH!L494=TH!$X$7,M494=TH!$X$7),"x","")</f>
        <v/>
      </c>
      <c r="Y494" s="22" t="str">
        <f>IF(AND(B494&lt;=NKC!$N$8,B494&gt;=NKC!$M$8),"x","")</f>
        <v/>
      </c>
      <c r="Z494" s="598"/>
      <c r="AA494" s="598"/>
      <c r="AB494" s="598"/>
      <c r="AC494" s="598"/>
      <c r="AD494" s="598"/>
      <c r="AE494" s="598"/>
    </row>
    <row r="495" spans="1:31" s="130" customFormat="1" ht="15.75" customHeight="1">
      <c r="A495" s="123" t="str">
        <f>IF(B495&lt;&gt;"",IF(AND(B495&gt;=_TM1,B495&lt;=_TM2,OR(TH!L495="1111",TH!M495="1111")),TH!D495,""),"")</f>
        <v/>
      </c>
      <c r="B495" s="12">
        <f t="shared" si="17"/>
        <v>10</v>
      </c>
      <c r="C495" s="108">
        <f t="shared" si="18"/>
        <v>42674</v>
      </c>
      <c r="D495" s="113" t="s">
        <v>955</v>
      </c>
      <c r="E495" s="113">
        <v>42674</v>
      </c>
      <c r="F495" s="112" t="s">
        <v>879</v>
      </c>
      <c r="G495" s="305" t="s">
        <v>957</v>
      </c>
      <c r="H495" s="4" t="s">
        <v>881</v>
      </c>
      <c r="I495" s="139">
        <v>30200</v>
      </c>
      <c r="J495" s="139">
        <v>8400</v>
      </c>
      <c r="K495" s="13">
        <f>ROUND(I495*J495,0)</f>
        <v>253680000</v>
      </c>
      <c r="L495" s="116" t="s">
        <v>154</v>
      </c>
      <c r="M495" s="411" t="s">
        <v>8</v>
      </c>
      <c r="N495" s="22" t="str">
        <f>IF(AND('331-CT'!$E$7=TH!H495,OR(L495="331",M495="331")),"331",IF(AND(OR(L495="131",M495="131"),H495='131-CT'!$E$7),"131",""))</f>
        <v/>
      </c>
      <c r="O495" s="22" t="str">
        <f>IF(AND($B495&gt;='111'!$N$11,$B495&lt;='111'!$O$11,OR($L495=$O$7,$M495=$O$7)),"x","")</f>
        <v/>
      </c>
      <c r="P495" s="22" t="str">
        <f>IF(AND($L495=$O$7,$B495&lt;'111'!$N$11),"x","")</f>
        <v/>
      </c>
      <c r="Q495" s="22" t="str">
        <f>IF(AND($M495=$O$7,$B495&lt;'111'!$N$11),"x","")</f>
        <v/>
      </c>
      <c r="R495" s="22" t="str">
        <f>IF(ISERROR(FIND('112'!$M$9,G495,1)),"",IF((AND(FIND('112'!$M$9,G495,1)&gt;=1,$B495&gt;='112'!$N$8,$B495&lt;='112'!$O$8,OR($L495='112'!$I$6,$M495='112'!$I$6))),"x",""))</f>
        <v/>
      </c>
      <c r="S495" s="22" t="str">
        <f>IF(ISERROR(FIND('112'!$M$9,G495,1)),"",IF((AND(LEFT(G495,2)=LEFT('112'!$M$9,2),B495&lt;'112'!$N$8,$L495='112'!$I$6)),"x",""))</f>
        <v/>
      </c>
      <c r="T495" s="22" t="str">
        <f>IF(ISERROR(FIND('112'!$M$9,G495,1)),"",IF((AND(RIGHT(G495,2)=RIGHT('112'!$M$9,2),B495&lt;'112'!$N$8,$M495='112'!$I$6)),"x",""))</f>
        <v/>
      </c>
      <c r="U495" s="22" t="str">
        <f>IF(AND(B495&gt;='IN-NX'!$P$3,B495&lt;='IN-NX'!$Q$3,'IN-NX'!$D$7=D495,OR(LEFT(L495,2)="15",AND(LEFT(M495,2)&lt;&gt;"15",LEFT(M495,2)&lt;&gt;"33"))),"x","")</f>
        <v/>
      </c>
      <c r="V495" s="22" t="str">
        <f>IF(AND(OR(LEFT(TH!L495,2)="15",LEFT(TH!M495,2)="15"),'152-CT'!$J$8=TH!F495),"x","")</f>
        <v/>
      </c>
      <c r="W495" s="22" t="str">
        <f>IF(AND(OR(LEFT(TH!L495,2)="15",LEFT(TH!M495,2)="15"),TK!$E$7=TH!F495),"x","")</f>
        <v/>
      </c>
      <c r="X495" s="22" t="str">
        <f>IF(OR(TH!L495=TH!$X$7,M495=TH!$X$7),"x","")</f>
        <v/>
      </c>
      <c r="Y495" s="22" t="str">
        <f>IF(AND(B495&lt;=NKC!$N$8,B495&gt;=NKC!$M$8),"x","")</f>
        <v/>
      </c>
      <c r="Z495" s="580">
        <v>4</v>
      </c>
      <c r="AA495" s="406"/>
      <c r="AB495" s="406"/>
    </row>
    <row r="496" spans="1:31" s="130" customFormat="1" ht="15.75" customHeight="1">
      <c r="A496" s="123" t="str">
        <f>IF(B496&lt;&gt;"",IF(AND(B496&gt;=_TM1,B496&lt;=_TM2,OR(TH!L496="1111",TH!M496="1111")),TH!D496,""),"")</f>
        <v/>
      </c>
      <c r="B496" s="12">
        <f t="shared" si="17"/>
        <v>10</v>
      </c>
      <c r="C496" s="108">
        <f t="shared" si="18"/>
        <v>42674</v>
      </c>
      <c r="D496" s="113" t="s">
        <v>955</v>
      </c>
      <c r="E496" s="113">
        <v>42674</v>
      </c>
      <c r="F496" s="112" t="s">
        <v>880</v>
      </c>
      <c r="G496" s="305" t="s">
        <v>957</v>
      </c>
      <c r="H496" s="4" t="s">
        <v>881</v>
      </c>
      <c r="I496" s="139"/>
      <c r="J496" s="139"/>
      <c r="K496" s="13">
        <v>25368000</v>
      </c>
      <c r="L496" s="116" t="s">
        <v>9</v>
      </c>
      <c r="M496" s="116" t="s">
        <v>8</v>
      </c>
      <c r="N496" s="22" t="str">
        <f>IF(AND('331-CT'!$E$7=TH!H496,OR(L496="331",M496="331")),"331",IF(AND(OR(L496="131",M496="131"),H496='131-CT'!$E$7),"131",""))</f>
        <v/>
      </c>
      <c r="O496" s="22" t="str">
        <f>IF(AND($B496&gt;='111'!$N$11,$B496&lt;='111'!$O$11,OR($L496=$O$7,$M496=$O$7)),"x","")</f>
        <v/>
      </c>
      <c r="P496" s="22" t="str">
        <f>IF(AND($L496=$O$7,$B496&lt;'111'!$N$11),"x","")</f>
        <v/>
      </c>
      <c r="Q496" s="22" t="str">
        <f>IF(AND($M496=$O$7,$B496&lt;'111'!$N$11),"x","")</f>
        <v/>
      </c>
      <c r="R496" s="22" t="str">
        <f>IF(ISERROR(FIND('112'!$M$9,G496,1)),"",IF((AND(FIND('112'!$M$9,G496,1)&gt;=1,$B496&gt;='112'!$N$8,$B496&lt;='112'!$O$8,OR($L496='112'!$I$6,$M496='112'!$I$6))),"x",""))</f>
        <v/>
      </c>
      <c r="S496" s="22" t="str">
        <f>IF(ISERROR(FIND('112'!$M$9,G496,1)),"",IF((AND(LEFT(G496,2)=LEFT('112'!$M$9,2),B496&lt;'112'!$N$8,$L496='112'!$I$6)),"x",""))</f>
        <v/>
      </c>
      <c r="T496" s="22" t="str">
        <f>IF(ISERROR(FIND('112'!$M$9,G496,1)),"",IF((AND(RIGHT(G496,2)=RIGHT('112'!$M$9,2),B496&lt;'112'!$N$8,$M496='112'!$I$6)),"x",""))</f>
        <v/>
      </c>
      <c r="U496" s="22" t="str">
        <f>IF(AND(B496&gt;='IN-NX'!$P$3,B496&lt;='IN-NX'!$Q$3,'IN-NX'!$D$7=D496,OR(LEFT(L496,2)="15",AND(LEFT(M496,2)&lt;&gt;"15",LEFT(M496,2)&lt;&gt;"33"))),"x","")</f>
        <v/>
      </c>
      <c r="V496" s="22" t="str">
        <f>IF(AND(OR(LEFT(TH!L496,2)="15",LEFT(TH!M496,2)="15"),'152-CT'!$J$8=TH!F496),"x","")</f>
        <v/>
      </c>
      <c r="W496" s="22" t="str">
        <f>IF(AND(OR(LEFT(TH!L496,2)="15",LEFT(TH!M496,2)="15"),TK!$E$7=TH!F496),"x","")</f>
        <v/>
      </c>
      <c r="X496" s="22" t="str">
        <f>IF(OR(TH!L496=TH!$X$7,M496=TH!$X$7),"x","")</f>
        <v/>
      </c>
      <c r="Y496" s="22" t="str">
        <f>IF(AND(B496&lt;=NKC!$N$8,B496&gt;=NKC!$M$8),"x","")</f>
        <v/>
      </c>
      <c r="Z496" s="580">
        <v>4</v>
      </c>
      <c r="AA496" s="406"/>
      <c r="AB496" s="406"/>
    </row>
    <row r="497" spans="1:31" s="130" customFormat="1" ht="15.75" customHeight="1">
      <c r="A497" s="123" t="str">
        <f>IF(B497&lt;&gt;"",IF(AND(B497&gt;=_TM1,B497&lt;=_TM2,OR(TH!L497="1111",TH!M497="1111")),TH!D497,""),"")</f>
        <v>C11</v>
      </c>
      <c r="B497" s="12">
        <f t="shared" si="17"/>
        <v>11</v>
      </c>
      <c r="C497" s="108">
        <f t="shared" si="18"/>
        <v>42676</v>
      </c>
      <c r="D497" s="113" t="s">
        <v>467</v>
      </c>
      <c r="E497" s="113">
        <v>42676</v>
      </c>
      <c r="F497" s="112" t="s">
        <v>773</v>
      </c>
      <c r="G497" s="305" t="s">
        <v>865</v>
      </c>
      <c r="H497" s="129" t="s">
        <v>697</v>
      </c>
      <c r="I497" s="139"/>
      <c r="J497" s="139"/>
      <c r="K497" s="13">
        <v>4912090</v>
      </c>
      <c r="L497" s="116" t="s">
        <v>254</v>
      </c>
      <c r="M497" s="411" t="s">
        <v>46</v>
      </c>
      <c r="N497" s="22" t="str">
        <f>IF(AND('331-CT'!$E$7=TH!H497,OR(L497="331",M497="331")),"331",IF(AND(OR(L497="131",M497="131"),H497='131-CT'!$E$7),"131",""))</f>
        <v/>
      </c>
      <c r="O497" s="22" t="str">
        <f>IF(AND($B497&gt;='111'!$N$11,$B497&lt;='111'!$O$11,OR($L497=$O$7,$M497=$O$7)),"x","")</f>
        <v>x</v>
      </c>
      <c r="P497" s="22" t="str">
        <f>IF(AND($L497=$O$7,$B497&lt;'111'!$N$11),"x","")</f>
        <v/>
      </c>
      <c r="Q497" s="22" t="str">
        <f>IF(AND($M497=$O$7,$B497&lt;'111'!$N$11),"x","")</f>
        <v/>
      </c>
      <c r="R497" s="22" t="str">
        <f>IF(ISERROR(FIND('112'!$M$9,G497,1)),"",IF((AND(FIND('112'!$M$9,G497,1)&gt;=1,$B497&gt;='112'!$N$8,$B497&lt;='112'!$O$8,OR($L497='112'!$I$6,$M497='112'!$I$6))),"x",""))</f>
        <v/>
      </c>
      <c r="S497" s="22" t="str">
        <f>IF(ISERROR(FIND('112'!$M$9,G497,1)),"",IF((AND(LEFT(G497,2)=LEFT('112'!$M$9,2),B497&lt;'112'!$N$8,$L497='112'!$I$6)),"x",""))</f>
        <v/>
      </c>
      <c r="T497" s="22" t="str">
        <f>IF(ISERROR(FIND('112'!$M$9,G497,1)),"",IF((AND(RIGHT(G497,2)=RIGHT('112'!$M$9,2),B497&lt;'112'!$N$8,$M497='112'!$I$6)),"x",""))</f>
        <v/>
      </c>
      <c r="U497" s="22" t="str">
        <f>IF(AND(B497&gt;='IN-NX'!$P$3,B497&lt;='IN-NX'!$Q$3,'IN-NX'!$D$7=D497,OR(LEFT(L497,2)="15",AND(LEFT(M497,2)&lt;&gt;"15",LEFT(M497,2)&lt;&gt;"33"))),"x","")</f>
        <v/>
      </c>
      <c r="V497" s="22" t="str">
        <f>IF(AND(OR(LEFT(TH!L497,2)="15",LEFT(TH!M497,2)="15"),'152-CT'!$J$8=TH!F497),"x","")</f>
        <v/>
      </c>
      <c r="W497" s="22" t="str">
        <f>IF(AND(OR(LEFT(TH!L497,2)="15",LEFT(TH!M497,2)="15"),TK!$E$7=TH!F497),"x","")</f>
        <v/>
      </c>
      <c r="X497" s="22" t="str">
        <f>IF(OR(TH!L497=TH!$X$7,M497=TH!$X$7),"x","")</f>
        <v/>
      </c>
      <c r="Y497" s="22" t="str">
        <f>IF(AND(B497&lt;=NKC!$N$8,B497&gt;=NKC!$M$8),"x","")</f>
        <v/>
      </c>
      <c r="Z497" s="580">
        <v>4</v>
      </c>
      <c r="AA497" s="406"/>
    </row>
    <row r="498" spans="1:31" s="130" customFormat="1" ht="15.75" customHeight="1">
      <c r="A498" s="123" t="str">
        <f>IF(B498&lt;&gt;"",IF(AND(B498&gt;=_TM1,B498&lt;=_TM2,OR(TH!L498="1111",TH!M498="1111")),TH!D498,""),"")</f>
        <v>C11</v>
      </c>
      <c r="B498" s="12">
        <f t="shared" si="17"/>
        <v>11</v>
      </c>
      <c r="C498" s="108">
        <f t="shared" si="18"/>
        <v>42676</v>
      </c>
      <c r="D498" s="113" t="s">
        <v>467</v>
      </c>
      <c r="E498" s="113">
        <v>42676</v>
      </c>
      <c r="F498" s="112" t="s">
        <v>774</v>
      </c>
      <c r="G498" s="305" t="s">
        <v>865</v>
      </c>
      <c r="H498" s="129" t="s">
        <v>697</v>
      </c>
      <c r="I498" s="139"/>
      <c r="J498" s="139"/>
      <c r="K498" s="13">
        <v>491210</v>
      </c>
      <c r="L498" s="116" t="s">
        <v>9</v>
      </c>
      <c r="M498" s="411" t="s">
        <v>46</v>
      </c>
      <c r="N498" s="22" t="str">
        <f>IF(AND('331-CT'!$E$7=TH!H498,OR(L498="331",M498="331")),"331",IF(AND(OR(L498="131",M498="131"),H498='131-CT'!$E$7),"131",""))</f>
        <v/>
      </c>
      <c r="O498" s="22" t="str">
        <f>IF(AND($B498&gt;='111'!$N$11,$B498&lt;='111'!$O$11,OR($L498=$O$7,$M498=$O$7)),"x","")</f>
        <v>x</v>
      </c>
      <c r="P498" s="22" t="str">
        <f>IF(AND($L498=$O$7,$B498&lt;'111'!$N$11),"x","")</f>
        <v/>
      </c>
      <c r="Q498" s="22" t="str">
        <f>IF(AND($M498=$O$7,$B498&lt;'111'!$N$11),"x","")</f>
        <v/>
      </c>
      <c r="R498" s="22" t="str">
        <f>IF(ISERROR(FIND('112'!$M$9,G498,1)),"",IF((AND(FIND('112'!$M$9,G498,1)&gt;=1,$B498&gt;='112'!$N$8,$B498&lt;='112'!$O$8,OR($L498='112'!$I$6,$M498='112'!$I$6))),"x",""))</f>
        <v/>
      </c>
      <c r="S498" s="22" t="str">
        <f>IF(ISERROR(FIND('112'!$M$9,G498,1)),"",IF((AND(LEFT(G498,2)=LEFT('112'!$M$9,2),B498&lt;'112'!$N$8,$L498='112'!$I$6)),"x",""))</f>
        <v/>
      </c>
      <c r="T498" s="22" t="str">
        <f>IF(ISERROR(FIND('112'!$M$9,G498,1)),"",IF((AND(RIGHT(G498,2)=RIGHT('112'!$M$9,2),B498&lt;'112'!$N$8,$M498='112'!$I$6)),"x",""))</f>
        <v/>
      </c>
      <c r="U498" s="22" t="str">
        <f>IF(AND(B498&gt;='IN-NX'!$P$3,B498&lt;='IN-NX'!$Q$3,'IN-NX'!$D$7=D498,OR(LEFT(L498,2)="15",AND(LEFT(M498,2)&lt;&gt;"15",LEFT(M498,2)&lt;&gt;"33"))),"x","")</f>
        <v/>
      </c>
      <c r="V498" s="22" t="str">
        <f>IF(AND(OR(LEFT(TH!L498,2)="15",LEFT(TH!M498,2)="15"),'152-CT'!$J$8=TH!F498),"x","")</f>
        <v/>
      </c>
      <c r="W498" s="22" t="str">
        <f>IF(AND(OR(LEFT(TH!L498,2)="15",LEFT(TH!M498,2)="15"),TK!$E$7=TH!F498),"x","")</f>
        <v/>
      </c>
      <c r="X498" s="22" t="str">
        <f>IF(OR(TH!L498=TH!$X$7,M498=TH!$X$7),"x","")</f>
        <v/>
      </c>
      <c r="Y498" s="22" t="str">
        <f>IF(AND(B498&lt;=NKC!$N$8,B498&gt;=NKC!$M$8),"x","")</f>
        <v/>
      </c>
      <c r="Z498" s="580">
        <v>4</v>
      </c>
      <c r="AA498" s="406"/>
      <c r="AB498" s="406"/>
    </row>
    <row r="499" spans="1:31" s="130" customFormat="1" ht="15.75" customHeight="1">
      <c r="A499" s="123" t="str">
        <f>IF(B499&lt;&gt;"",IF(AND(B499&gt;=_TM1,B499&lt;=_TM2,OR(TH!L499="1111",TH!M499="1111")),TH!D499,""),"")</f>
        <v/>
      </c>
      <c r="B499" s="12">
        <f t="shared" si="17"/>
        <v>11</v>
      </c>
      <c r="C499" s="108">
        <f t="shared" si="18"/>
        <v>42677</v>
      </c>
      <c r="D499" s="108" t="s">
        <v>469</v>
      </c>
      <c r="E499" s="113">
        <v>42677</v>
      </c>
      <c r="F499" s="112" t="s">
        <v>484</v>
      </c>
      <c r="G499" s="114" t="s">
        <v>474</v>
      </c>
      <c r="H499" s="115" t="s">
        <v>683</v>
      </c>
      <c r="I499" s="139"/>
      <c r="J499" s="141"/>
      <c r="K499" s="13">
        <v>84216000</v>
      </c>
      <c r="L499" s="116" t="s">
        <v>24</v>
      </c>
      <c r="M499" s="411" t="s">
        <v>252</v>
      </c>
      <c r="N499" s="22" t="str">
        <f>IF(AND('331-CT'!$E$7=TH!H499,OR(L499="331",M499="331")),"331",IF(AND(OR(L499="131",M499="131"),H499='131-CT'!$E$7),"131",""))</f>
        <v/>
      </c>
      <c r="O499" s="22" t="str">
        <f>IF(AND($B499&gt;='111'!$N$11,$B499&lt;='111'!$O$11,OR($L499=$O$7,$M499=$O$7)),"x","")</f>
        <v/>
      </c>
      <c r="P499" s="22" t="str">
        <f>IF(AND($L499=$O$7,$B499&lt;'111'!$N$11),"x","")</f>
        <v/>
      </c>
      <c r="Q499" s="22" t="str">
        <f>IF(AND($M499=$O$7,$B499&lt;'111'!$N$11),"x","")</f>
        <v/>
      </c>
      <c r="R499" s="22" t="str">
        <f>IF(ISERROR(FIND('112'!$M$9,G499,1)),"",IF((AND(FIND('112'!$M$9,G499,1)&gt;=1,$B499&gt;='112'!$N$8,$B499&lt;='112'!$O$8,OR($L499='112'!$I$6,$M499='112'!$I$6))),"x",""))</f>
        <v>x</v>
      </c>
      <c r="S499" s="22" t="str">
        <f>IF(ISERROR(FIND('112'!$M$9,G499,1)),"",IF((AND(LEFT(G499,2)=LEFT('112'!$M$9,2),B499&lt;'112'!$N$8,$L499='112'!$I$6)),"x",""))</f>
        <v/>
      </c>
      <c r="T499" s="22" t="str">
        <f>IF(ISERROR(FIND('112'!$M$9,G499,1)),"",IF((AND(RIGHT(G499,2)=RIGHT('112'!$M$9,2),B499&lt;'112'!$N$8,$M499='112'!$I$6)),"x",""))</f>
        <v/>
      </c>
      <c r="U499" s="22" t="str">
        <f>IF(AND(B499&gt;='IN-NX'!$P$3,B499&lt;='IN-NX'!$Q$3,'IN-NX'!$D$7=D499,OR(LEFT(L499,2)="15",AND(LEFT(M499,2)&lt;&gt;"15",LEFT(M499,2)&lt;&gt;"33"))),"x","")</f>
        <v/>
      </c>
      <c r="V499" s="22" t="str">
        <f>IF(AND(OR(LEFT(TH!L499,2)="15",LEFT(TH!M499,2)="15"),'152-CT'!$J$8=TH!F499),"x","")</f>
        <v/>
      </c>
      <c r="W499" s="22" t="str">
        <f>IF(AND(OR(LEFT(TH!L499,2)="15",LEFT(TH!M499,2)="15"),TK!$E$7=TH!F499),"x","")</f>
        <v/>
      </c>
      <c r="X499" s="22" t="str">
        <f>IF(OR(TH!L499=TH!$X$7,M499=TH!$X$7),"x","")</f>
        <v/>
      </c>
      <c r="Y499" s="22" t="str">
        <f>IF(AND(B499&lt;=NKC!$N$8,B499&gt;=NKC!$M$8),"x","")</f>
        <v/>
      </c>
      <c r="Z499" s="580"/>
      <c r="AA499" s="406"/>
      <c r="AB499" s="406"/>
      <c r="AD499" s="406"/>
      <c r="AE499" s="406"/>
    </row>
    <row r="500" spans="1:31" s="130" customFormat="1" ht="15.75" customHeight="1">
      <c r="A500" s="123" t="str">
        <f>IF(B500&lt;&gt;"",IF(AND(B500&gt;=_TM1,B500&lt;=_TM2,OR(TH!L500="1111",TH!M500="1111")),TH!D500,""),"")</f>
        <v/>
      </c>
      <c r="B500" s="12">
        <f t="shared" si="17"/>
        <v>11</v>
      </c>
      <c r="C500" s="108">
        <f t="shared" si="18"/>
        <v>42678</v>
      </c>
      <c r="D500" s="113" t="s">
        <v>945</v>
      </c>
      <c r="E500" s="113">
        <v>42678</v>
      </c>
      <c r="F500" s="112" t="s">
        <v>862</v>
      </c>
      <c r="G500" s="305" t="s">
        <v>746</v>
      </c>
      <c r="H500" s="115" t="s">
        <v>863</v>
      </c>
      <c r="I500" s="139">
        <v>430</v>
      </c>
      <c r="J500" s="139">
        <v>23500</v>
      </c>
      <c r="K500" s="13">
        <f>ROUND(I500*J500,0)</f>
        <v>10105000</v>
      </c>
      <c r="L500" s="116" t="s">
        <v>156</v>
      </c>
      <c r="M500" s="116" t="s">
        <v>8</v>
      </c>
      <c r="N500" s="22" t="str">
        <f>IF(AND('331-CT'!$E$7=TH!H500,OR(L500="331",M500="331")),"331",IF(AND(OR(L500="131",M500="131"),H500='131-CT'!$E$7),"131",""))</f>
        <v/>
      </c>
      <c r="O500" s="22" t="str">
        <f>IF(AND($B500&gt;='111'!$N$11,$B500&lt;='111'!$O$11,OR($L500=$O$7,$M500=$O$7)),"x","")</f>
        <v/>
      </c>
      <c r="P500" s="22" t="str">
        <f>IF(AND($L500=$O$7,$B500&lt;'111'!$N$11),"x","")</f>
        <v/>
      </c>
      <c r="Q500" s="22" t="str">
        <f>IF(AND($M500=$O$7,$B500&lt;'111'!$N$11),"x","")</f>
        <v/>
      </c>
      <c r="R500" s="22" t="str">
        <f>IF(ISERROR(FIND('112'!$M$9,G500,1)),"",IF((AND(FIND('112'!$M$9,G500,1)&gt;=1,$B500&gt;='112'!$N$8,$B500&lt;='112'!$O$8,OR($L500='112'!$I$6,$M500='112'!$I$6))),"x",""))</f>
        <v/>
      </c>
      <c r="S500" s="22" t="str">
        <f>IF(ISERROR(FIND('112'!$M$9,G500,1)),"",IF((AND(LEFT(G500,2)=LEFT('112'!$M$9,2),B500&lt;'112'!$N$8,$L500='112'!$I$6)),"x",""))</f>
        <v/>
      </c>
      <c r="T500" s="22" t="str">
        <f>IF(ISERROR(FIND('112'!$M$9,G500,1)),"",IF((AND(RIGHT(G500,2)=RIGHT('112'!$M$9,2),B500&lt;'112'!$N$8,$M500='112'!$I$6)),"x",""))</f>
        <v/>
      </c>
      <c r="U500" s="22" t="str">
        <f>IF(AND(B500&gt;='IN-NX'!$P$3,B500&lt;='IN-NX'!$Q$3,'IN-NX'!$D$7=D500,OR(LEFT(L500,2)="15",AND(LEFT(M500,2)&lt;&gt;"15",LEFT(M500,2)&lt;&gt;"33"))),"x","")</f>
        <v/>
      </c>
      <c r="V500" s="22" t="str">
        <f>IF(AND(OR(LEFT(TH!L500,2)="15",LEFT(TH!M500,2)="15"),'152-CT'!$J$8=TH!F500),"x","")</f>
        <v/>
      </c>
      <c r="W500" s="22" t="str">
        <f>IF(AND(OR(LEFT(TH!L500,2)="15",LEFT(TH!M500,2)="15"),TK!$E$7=TH!F500),"x","")</f>
        <v/>
      </c>
      <c r="X500" s="22" t="str">
        <f>IF(OR(TH!L500=TH!$X$7,M500=TH!$X$7),"x","")</f>
        <v/>
      </c>
      <c r="Y500" s="22" t="str">
        <f>IF(AND(B500&lt;=NKC!$N$8,B500&gt;=NKC!$M$8),"x","")</f>
        <v/>
      </c>
      <c r="Z500" s="580">
        <v>4</v>
      </c>
      <c r="AA500" s="406"/>
      <c r="AB500" s="406"/>
    </row>
    <row r="501" spans="1:31" s="130" customFormat="1" ht="15.75" customHeight="1">
      <c r="A501" s="123" t="str">
        <f>IF(B501&lt;&gt;"",IF(AND(B501&gt;=_TM1,B501&lt;=_TM2,OR(TH!L501="1111",TH!M501="1111")),TH!D501,""),"")</f>
        <v/>
      </c>
      <c r="B501" s="12">
        <f t="shared" si="17"/>
        <v>11</v>
      </c>
      <c r="C501" s="108">
        <f t="shared" si="18"/>
        <v>42678</v>
      </c>
      <c r="D501" s="113" t="s">
        <v>945</v>
      </c>
      <c r="E501" s="113">
        <v>42678</v>
      </c>
      <c r="F501" s="112" t="s">
        <v>864</v>
      </c>
      <c r="G501" s="305" t="s">
        <v>746</v>
      </c>
      <c r="H501" s="115" t="s">
        <v>863</v>
      </c>
      <c r="I501" s="139">
        <v>250</v>
      </c>
      <c r="J501" s="139">
        <v>9000</v>
      </c>
      <c r="K501" s="13">
        <f>ROUND(I501*J501,0)</f>
        <v>2250000</v>
      </c>
      <c r="L501" s="116" t="s">
        <v>156</v>
      </c>
      <c r="M501" s="116" t="s">
        <v>8</v>
      </c>
      <c r="N501" s="22" t="str">
        <f>IF(AND('331-CT'!$E$7=TH!H501,OR(L501="331",M501="331")),"331",IF(AND(OR(L501="131",M501="131"),H501='131-CT'!$E$7),"131",""))</f>
        <v/>
      </c>
      <c r="O501" s="22" t="str">
        <f>IF(AND($B501&gt;='111'!$N$11,$B501&lt;='111'!$O$11,OR($L501=$O$7,$M501=$O$7)),"x","")</f>
        <v/>
      </c>
      <c r="P501" s="22" t="str">
        <f>IF(AND($L501=$O$7,$B501&lt;'111'!$N$11),"x","")</f>
        <v/>
      </c>
      <c r="Q501" s="22" t="str">
        <f>IF(AND($M501=$O$7,$B501&lt;'111'!$N$11),"x","")</f>
        <v/>
      </c>
      <c r="R501" s="22" t="str">
        <f>IF(ISERROR(FIND('112'!$M$9,G501,1)),"",IF((AND(FIND('112'!$M$9,G501,1)&gt;=1,$B501&gt;='112'!$N$8,$B501&lt;='112'!$O$8,OR($L501='112'!$I$6,$M501='112'!$I$6))),"x",""))</f>
        <v/>
      </c>
      <c r="S501" s="22" t="str">
        <f>IF(ISERROR(FIND('112'!$M$9,G501,1)),"",IF((AND(LEFT(G501,2)=LEFT('112'!$M$9,2),B501&lt;'112'!$N$8,$L501='112'!$I$6)),"x",""))</f>
        <v/>
      </c>
      <c r="T501" s="22" t="str">
        <f>IF(ISERROR(FIND('112'!$M$9,G501,1)),"",IF((AND(RIGHT(G501,2)=RIGHT('112'!$M$9,2),B501&lt;'112'!$N$8,$M501='112'!$I$6)),"x",""))</f>
        <v/>
      </c>
      <c r="U501" s="22" t="str">
        <f>IF(AND(B501&gt;='IN-NX'!$P$3,B501&lt;='IN-NX'!$Q$3,'IN-NX'!$D$7=D501,OR(LEFT(L501,2)="15",AND(LEFT(M501,2)&lt;&gt;"15",LEFT(M501,2)&lt;&gt;"33"))),"x","")</f>
        <v/>
      </c>
      <c r="V501" s="22" t="str">
        <f>IF(AND(OR(LEFT(TH!L501,2)="15",LEFT(TH!M501,2)="15"),'152-CT'!$J$8=TH!F501),"x","")</f>
        <v/>
      </c>
      <c r="W501" s="22" t="str">
        <f>IF(AND(OR(LEFT(TH!L501,2)="15",LEFT(TH!M501,2)="15"),TK!$E$7=TH!F501),"x","")</f>
        <v/>
      </c>
      <c r="X501" s="22" t="str">
        <f>IF(OR(TH!L501=TH!$X$7,M501=TH!$X$7),"x","")</f>
        <v/>
      </c>
      <c r="Y501" s="22" t="str">
        <f>IF(AND(B501&lt;=NKC!$N$8,B501&gt;=NKC!$M$8),"x","")</f>
        <v/>
      </c>
      <c r="Z501" s="580">
        <v>4</v>
      </c>
      <c r="AA501" s="406"/>
      <c r="AB501" s="406"/>
    </row>
    <row r="502" spans="1:31" s="130" customFormat="1" ht="15.75" customHeight="1">
      <c r="A502" s="123" t="str">
        <f>IF(B502&lt;&gt;"",IF(AND(B502&gt;=_TM1,B502&lt;=_TM2,OR(TH!L502="1111",TH!M502="1111")),TH!D502,""),"")</f>
        <v/>
      </c>
      <c r="B502" s="12">
        <f t="shared" si="17"/>
        <v>11</v>
      </c>
      <c r="C502" s="108">
        <f t="shared" si="18"/>
        <v>42678</v>
      </c>
      <c r="D502" s="113" t="s">
        <v>945</v>
      </c>
      <c r="E502" s="113">
        <v>42678</v>
      </c>
      <c r="F502" s="112" t="s">
        <v>861</v>
      </c>
      <c r="G502" s="305" t="s">
        <v>746</v>
      </c>
      <c r="H502" s="115" t="s">
        <v>863</v>
      </c>
      <c r="I502" s="139"/>
      <c r="J502" s="139"/>
      <c r="K502" s="13">
        <v>1235500</v>
      </c>
      <c r="L502" s="116" t="s">
        <v>9</v>
      </c>
      <c r="M502" s="116" t="s">
        <v>8</v>
      </c>
      <c r="N502" s="22" t="str">
        <f>IF(AND('331-CT'!$E$7=TH!H502,OR(L502="331",M502="331")),"331",IF(AND(OR(L502="131",M502="131"),H502='131-CT'!$E$7),"131",""))</f>
        <v/>
      </c>
      <c r="O502" s="22" t="str">
        <f>IF(AND($B502&gt;='111'!$N$11,$B502&lt;='111'!$O$11,OR($L502=$O$7,$M502=$O$7)),"x","")</f>
        <v/>
      </c>
      <c r="P502" s="22" t="str">
        <f>IF(AND($L502=$O$7,$B502&lt;'111'!$N$11),"x","")</f>
        <v/>
      </c>
      <c r="Q502" s="22" t="str">
        <f>IF(AND($M502=$O$7,$B502&lt;'111'!$N$11),"x","")</f>
        <v/>
      </c>
      <c r="R502" s="22" t="str">
        <f>IF(ISERROR(FIND('112'!$M$9,G502,1)),"",IF((AND(FIND('112'!$M$9,G502,1)&gt;=1,$B502&gt;='112'!$N$8,$B502&lt;='112'!$O$8,OR($L502='112'!$I$6,$M502='112'!$I$6))),"x",""))</f>
        <v/>
      </c>
      <c r="S502" s="22" t="str">
        <f>IF(ISERROR(FIND('112'!$M$9,G502,1)),"",IF((AND(LEFT(G502,2)=LEFT('112'!$M$9,2),B502&lt;'112'!$N$8,$L502='112'!$I$6)),"x",""))</f>
        <v/>
      </c>
      <c r="T502" s="22" t="str">
        <f>IF(ISERROR(FIND('112'!$M$9,G502,1)),"",IF((AND(RIGHT(G502,2)=RIGHT('112'!$M$9,2),B502&lt;'112'!$N$8,$M502='112'!$I$6)),"x",""))</f>
        <v/>
      </c>
      <c r="U502" s="22" t="str">
        <f>IF(AND(B502&gt;='IN-NX'!$P$3,B502&lt;='IN-NX'!$Q$3,'IN-NX'!$D$7=D502,OR(LEFT(L502,2)="15",AND(LEFT(M502,2)&lt;&gt;"15",LEFT(M502,2)&lt;&gt;"33"))),"x","")</f>
        <v/>
      </c>
      <c r="V502" s="22" t="str">
        <f>IF(AND(OR(LEFT(TH!L502,2)="15",LEFT(TH!M502,2)="15"),'152-CT'!$J$8=TH!F502),"x","")</f>
        <v/>
      </c>
      <c r="W502" s="22" t="str">
        <f>IF(AND(OR(LEFT(TH!L502,2)="15",LEFT(TH!M502,2)="15"),TK!$E$7=TH!F502),"x","")</f>
        <v/>
      </c>
      <c r="X502" s="22" t="str">
        <f>IF(OR(TH!L502=TH!$X$7,M502=TH!$X$7),"x","")</f>
        <v/>
      </c>
      <c r="Y502" s="22" t="str">
        <f>IF(AND(B502&lt;=NKC!$N$8,B502&gt;=NKC!$M$8),"x","")</f>
        <v/>
      </c>
      <c r="Z502" s="580">
        <v>4</v>
      </c>
      <c r="AA502" s="406"/>
      <c r="AB502" s="406"/>
    </row>
    <row r="503" spans="1:31" s="130" customFormat="1" ht="15.75" customHeight="1">
      <c r="A503" s="123" t="str">
        <f>IF(B503&lt;&gt;"",IF(AND(B503&gt;=_TM1,B503&lt;=_TM2,OR(TH!L503="1111",TH!M503="1111")),TH!D503,""),"")</f>
        <v>C12</v>
      </c>
      <c r="B503" s="12">
        <f t="shared" si="17"/>
        <v>11</v>
      </c>
      <c r="C503" s="108">
        <f t="shared" si="18"/>
        <v>42678</v>
      </c>
      <c r="D503" s="113" t="s">
        <v>468</v>
      </c>
      <c r="E503" s="113">
        <v>42678</v>
      </c>
      <c r="F503" s="114" t="s">
        <v>465</v>
      </c>
      <c r="G503" s="305" t="s">
        <v>746</v>
      </c>
      <c r="H503" s="115" t="s">
        <v>863</v>
      </c>
      <c r="I503" s="139"/>
      <c r="J503" s="139"/>
      <c r="K503" s="13">
        <v>13590500</v>
      </c>
      <c r="L503" s="116" t="s">
        <v>8</v>
      </c>
      <c r="M503" s="411" t="s">
        <v>46</v>
      </c>
      <c r="N503" s="22" t="str">
        <f>IF(AND('331-CT'!$E$7=TH!H503,OR(L503="331",M503="331")),"331",IF(AND(OR(L503="131",M503="131"),H503='131-CT'!$E$7),"131",""))</f>
        <v/>
      </c>
      <c r="O503" s="22" t="str">
        <f>IF(AND($B503&gt;='111'!$N$11,$B503&lt;='111'!$O$11,OR($L503=$O$7,$M503=$O$7)),"x","")</f>
        <v>x</v>
      </c>
      <c r="P503" s="22" t="str">
        <f>IF(AND($L503=$O$7,$B503&lt;'111'!$N$11),"x","")</f>
        <v/>
      </c>
      <c r="Q503" s="22" t="str">
        <f>IF(AND($M503=$O$7,$B503&lt;'111'!$N$11),"x","")</f>
        <v/>
      </c>
      <c r="R503" s="22" t="str">
        <f>IF(ISERROR(FIND('112'!$M$9,G503,1)),"",IF((AND(FIND('112'!$M$9,G503,1)&gt;=1,$B503&gt;='112'!$N$8,$B503&lt;='112'!$O$8,OR($L503='112'!$I$6,$M503='112'!$I$6))),"x",""))</f>
        <v/>
      </c>
      <c r="S503" s="22" t="str">
        <f>IF(ISERROR(FIND('112'!$M$9,G503,1)),"",IF((AND(LEFT(G503,2)=LEFT('112'!$M$9,2),B503&lt;'112'!$N$8,$L503='112'!$I$6)),"x",""))</f>
        <v/>
      </c>
      <c r="T503" s="22" t="str">
        <f>IF(ISERROR(FIND('112'!$M$9,G503,1)),"",IF((AND(RIGHT(G503,2)=RIGHT('112'!$M$9,2),B503&lt;'112'!$N$8,$M503='112'!$I$6)),"x",""))</f>
        <v/>
      </c>
      <c r="U503" s="22" t="str">
        <f>IF(AND(B503&gt;='IN-NX'!$P$3,B503&lt;='IN-NX'!$Q$3,'IN-NX'!$D$7=D503,OR(LEFT(L503,2)="15",AND(LEFT(M503,2)&lt;&gt;"15",LEFT(M503,2)&lt;&gt;"33"))),"x","")</f>
        <v/>
      </c>
      <c r="V503" s="22" t="str">
        <f>IF(AND(OR(LEFT(TH!L503,2)="15",LEFT(TH!M503,2)="15"),'152-CT'!$J$8=TH!F503),"x","")</f>
        <v/>
      </c>
      <c r="W503" s="22" t="str">
        <f>IF(AND(OR(LEFT(TH!L503,2)="15",LEFT(TH!M503,2)="15"),TK!$E$7=TH!F503),"x","")</f>
        <v/>
      </c>
      <c r="X503" s="22" t="str">
        <f>IF(OR(TH!L503=TH!$X$7,M503=TH!$X$7),"x","")</f>
        <v/>
      </c>
      <c r="Y503" s="22" t="str">
        <f>IF(AND(B503&lt;=NKC!$N$8,B503&gt;=NKC!$M$8),"x","")</f>
        <v/>
      </c>
      <c r="Z503" s="580"/>
      <c r="AA503" s="406"/>
    </row>
    <row r="504" spans="1:31" s="130" customFormat="1" ht="15.75" customHeight="1">
      <c r="A504" s="123" t="str">
        <f>IF(B504&lt;&gt;"",IF(AND(B504&gt;=_TM1,B504&lt;=_TM2,OR(TH!L504="1111",TH!M504="1111")),TH!D504,""),"")</f>
        <v/>
      </c>
      <c r="B504" s="12">
        <f t="shared" si="17"/>
        <v>11</v>
      </c>
      <c r="C504" s="108">
        <f t="shared" si="18"/>
        <v>42678</v>
      </c>
      <c r="D504" s="108" t="s">
        <v>470</v>
      </c>
      <c r="E504" s="113">
        <v>42678</v>
      </c>
      <c r="F504" s="114" t="s">
        <v>465</v>
      </c>
      <c r="G504" s="114" t="s">
        <v>474</v>
      </c>
      <c r="H504" s="561" t="s">
        <v>399</v>
      </c>
      <c r="I504" s="139"/>
      <c r="J504" s="139"/>
      <c r="K504" s="13">
        <v>25000000</v>
      </c>
      <c r="L504" s="116" t="s">
        <v>8</v>
      </c>
      <c r="M504" s="411" t="s">
        <v>24</v>
      </c>
      <c r="N504" s="22" t="str">
        <f>IF(AND('331-CT'!$E$7=TH!H504,OR(L504="331",M504="331")),"331",IF(AND(OR(L504="131",M504="131"),H504='131-CT'!$E$7),"131",""))</f>
        <v/>
      </c>
      <c r="O504" s="22" t="str">
        <f>IF(AND($B504&gt;='111'!$N$11,$B504&lt;='111'!$O$11,OR($L504=$O$7,$M504=$O$7)),"x","")</f>
        <v/>
      </c>
      <c r="P504" s="22" t="str">
        <f>IF(AND($L504=$O$7,$B504&lt;'111'!$N$11),"x","")</f>
        <v/>
      </c>
      <c r="Q504" s="22" t="str">
        <f>IF(AND($M504=$O$7,$B504&lt;'111'!$N$11),"x","")</f>
        <v/>
      </c>
      <c r="R504" s="22" t="str">
        <f>IF(ISERROR(FIND('112'!$M$9,G504,1)),"",IF((AND(FIND('112'!$M$9,G504,1)&gt;=1,$B504&gt;='112'!$N$8,$B504&lt;='112'!$O$8,OR($L504='112'!$I$6,$M504='112'!$I$6))),"x",""))</f>
        <v>x</v>
      </c>
      <c r="S504" s="22" t="str">
        <f>IF(ISERROR(FIND('112'!$M$9,G504,1)),"",IF((AND(LEFT(G504,2)=LEFT('112'!$M$9,2),B504&lt;'112'!$N$8,$L504='112'!$I$6)),"x",""))</f>
        <v/>
      </c>
      <c r="T504" s="22" t="str">
        <f>IF(ISERROR(FIND('112'!$M$9,G504,1)),"",IF((AND(RIGHT(G504,2)=RIGHT('112'!$M$9,2),B504&lt;'112'!$N$8,$M504='112'!$I$6)),"x",""))</f>
        <v/>
      </c>
      <c r="U504" s="22" t="str">
        <f>IF(AND(B504&gt;='IN-NX'!$P$3,B504&lt;='IN-NX'!$Q$3,'IN-NX'!$D$7=D504,OR(LEFT(L504,2)="15",AND(LEFT(M504,2)&lt;&gt;"15",LEFT(M504,2)&lt;&gt;"33"))),"x","")</f>
        <v/>
      </c>
      <c r="V504" s="22" t="str">
        <f>IF(AND(OR(LEFT(TH!L504,2)="15",LEFT(TH!M504,2)="15"),'152-CT'!$J$8=TH!F504),"x","")</f>
        <v/>
      </c>
      <c r="W504" s="22" t="str">
        <f>IF(AND(OR(LEFT(TH!L504,2)="15",LEFT(TH!M504,2)="15"),TK!$E$7=TH!F504),"x","")</f>
        <v/>
      </c>
      <c r="X504" s="22" t="str">
        <f>IF(OR(TH!L504=TH!$X$7,M504=TH!$X$7),"x","")</f>
        <v/>
      </c>
      <c r="Y504" s="22" t="str">
        <f>IF(AND(B504&lt;=NKC!$N$8,B504&gt;=NKC!$M$8),"x","")</f>
        <v/>
      </c>
      <c r="Z504" s="580"/>
      <c r="AA504" s="406"/>
      <c r="AB504" s="406"/>
    </row>
    <row r="505" spans="1:31" s="130" customFormat="1" ht="15.75" customHeight="1">
      <c r="A505" s="123" t="str">
        <f>IF(B505&lt;&gt;"",IF(AND(B505&gt;=_TM1,B505&lt;=_TM2,OR(TH!L505="1111",TH!M505="1111")),TH!D505,""),"")</f>
        <v/>
      </c>
      <c r="B505" s="12">
        <f t="shared" si="17"/>
        <v>11</v>
      </c>
      <c r="C505" s="108">
        <f t="shared" si="18"/>
        <v>42678</v>
      </c>
      <c r="D505" s="108" t="s">
        <v>470</v>
      </c>
      <c r="E505" s="113">
        <v>42678</v>
      </c>
      <c r="F505" s="114" t="s">
        <v>480</v>
      </c>
      <c r="G505" s="114" t="s">
        <v>474</v>
      </c>
      <c r="H505" s="129"/>
      <c r="I505" s="139"/>
      <c r="J505" s="139"/>
      <c r="K505" s="13">
        <v>20000</v>
      </c>
      <c r="L505" s="116" t="s">
        <v>82</v>
      </c>
      <c r="M505" s="411" t="s">
        <v>24</v>
      </c>
      <c r="N505" s="22" t="str">
        <f>IF(AND('331-CT'!$E$7=TH!H505,OR(L505="331",M505="331")),"331",IF(AND(OR(L505="131",M505="131"),H505='131-CT'!$E$7),"131",""))</f>
        <v/>
      </c>
      <c r="O505" s="22" t="str">
        <f>IF(AND($B505&gt;='111'!$N$11,$B505&lt;='111'!$O$11,OR($L505=$O$7,$M505=$O$7)),"x","")</f>
        <v/>
      </c>
      <c r="P505" s="22" t="str">
        <f>IF(AND($L505=$O$7,$B505&lt;'111'!$N$11),"x","")</f>
        <v/>
      </c>
      <c r="Q505" s="22" t="str">
        <f>IF(AND($M505=$O$7,$B505&lt;'111'!$N$11),"x","")</f>
        <v/>
      </c>
      <c r="R505" s="22" t="str">
        <f>IF(ISERROR(FIND('112'!$M$9,G505,1)),"",IF((AND(FIND('112'!$M$9,G505,1)&gt;=1,$B505&gt;='112'!$N$8,$B505&lt;='112'!$O$8,OR($L505='112'!$I$6,$M505='112'!$I$6))),"x",""))</f>
        <v>x</v>
      </c>
      <c r="S505" s="22" t="str">
        <f>IF(ISERROR(FIND('112'!$M$9,G505,1)),"",IF((AND(LEFT(G505,2)=LEFT('112'!$M$9,2),B505&lt;'112'!$N$8,$L505='112'!$I$6)),"x",""))</f>
        <v/>
      </c>
      <c r="T505" s="22" t="str">
        <f>IF(ISERROR(FIND('112'!$M$9,G505,1)),"",IF((AND(RIGHT(G505,2)=RIGHT('112'!$M$9,2),B505&lt;'112'!$N$8,$M505='112'!$I$6)),"x",""))</f>
        <v/>
      </c>
      <c r="U505" s="22" t="str">
        <f>IF(AND(B505&gt;='IN-NX'!$P$3,B505&lt;='IN-NX'!$Q$3,'IN-NX'!$D$7=D505,OR(LEFT(L505,2)="15",AND(LEFT(M505,2)&lt;&gt;"15",LEFT(M505,2)&lt;&gt;"33"))),"x","")</f>
        <v/>
      </c>
      <c r="V505" s="22" t="str">
        <f>IF(AND(OR(LEFT(TH!L505,2)="15",LEFT(TH!M505,2)="15"),'152-CT'!$J$8=TH!F505),"x","")</f>
        <v/>
      </c>
      <c r="W505" s="22" t="str">
        <f>IF(AND(OR(LEFT(TH!L505,2)="15",LEFT(TH!M505,2)="15"),TK!$E$7=TH!F505),"x","")</f>
        <v/>
      </c>
      <c r="X505" s="22" t="str">
        <f>IF(OR(TH!L505=TH!$X$7,M505=TH!$X$7),"x","")</f>
        <v>x</v>
      </c>
      <c r="Y505" s="22" t="str">
        <f>IF(AND(B505&lt;=NKC!$N$8,B505&gt;=NKC!$M$8),"x","")</f>
        <v/>
      </c>
      <c r="Z505" s="580">
        <v>4</v>
      </c>
      <c r="AA505" s="406"/>
      <c r="AB505" s="406"/>
    </row>
    <row r="506" spans="1:31" s="130" customFormat="1" ht="15.75" customHeight="1">
      <c r="A506" s="123" t="str">
        <f>IF(B506&lt;&gt;"",IF(AND(B506&gt;=_TM1,B506&lt;=_TM2,OR(TH!L506="1111",TH!M506="1111")),TH!D506,""),"")</f>
        <v/>
      </c>
      <c r="B506" s="12">
        <f t="shared" si="17"/>
        <v>11</v>
      </c>
      <c r="C506" s="108">
        <f t="shared" si="18"/>
        <v>42678</v>
      </c>
      <c r="D506" s="108" t="s">
        <v>470</v>
      </c>
      <c r="E506" s="113">
        <v>42678</v>
      </c>
      <c r="F506" s="114" t="s">
        <v>481</v>
      </c>
      <c r="G506" s="114" t="s">
        <v>474</v>
      </c>
      <c r="H506" s="129"/>
      <c r="I506" s="139"/>
      <c r="J506" s="139"/>
      <c r="K506" s="13">
        <v>2000</v>
      </c>
      <c r="L506" s="116" t="s">
        <v>9</v>
      </c>
      <c r="M506" s="411" t="s">
        <v>24</v>
      </c>
      <c r="N506" s="22" t="str">
        <f>IF(AND('331-CT'!$E$7=TH!H506,OR(L506="331",M506="331")),"331",IF(AND(OR(L506="131",M506="131"),H506='131-CT'!$E$7),"131",""))</f>
        <v/>
      </c>
      <c r="O506" s="22" t="str">
        <f>IF(AND($B506&gt;='111'!$N$11,$B506&lt;='111'!$O$11,OR($L506=$O$7,$M506=$O$7)),"x","")</f>
        <v/>
      </c>
      <c r="P506" s="22" t="str">
        <f>IF(AND($L506=$O$7,$B506&lt;'111'!$N$11),"x","")</f>
        <v/>
      </c>
      <c r="Q506" s="22" t="str">
        <f>IF(AND($M506=$O$7,$B506&lt;'111'!$N$11),"x","")</f>
        <v/>
      </c>
      <c r="R506" s="22" t="str">
        <f>IF(ISERROR(FIND('112'!$M$9,G506,1)),"",IF((AND(FIND('112'!$M$9,G506,1)&gt;=1,$B506&gt;='112'!$N$8,$B506&lt;='112'!$O$8,OR($L506='112'!$I$6,$M506='112'!$I$6))),"x",""))</f>
        <v>x</v>
      </c>
      <c r="S506" s="22" t="str">
        <f>IF(ISERROR(FIND('112'!$M$9,G506,1)),"",IF((AND(LEFT(G506,2)=LEFT('112'!$M$9,2),B506&lt;'112'!$N$8,$L506='112'!$I$6)),"x",""))</f>
        <v/>
      </c>
      <c r="T506" s="22" t="str">
        <f>IF(ISERROR(FIND('112'!$M$9,G506,1)),"",IF((AND(RIGHT(G506,2)=RIGHT('112'!$M$9,2),B506&lt;'112'!$N$8,$M506='112'!$I$6)),"x",""))</f>
        <v/>
      </c>
      <c r="U506" s="22" t="str">
        <f>IF(AND(B506&gt;='IN-NX'!$P$3,B506&lt;='IN-NX'!$Q$3,'IN-NX'!$D$7=D506,OR(LEFT(L506,2)="15",AND(LEFT(M506,2)&lt;&gt;"15",LEFT(M506,2)&lt;&gt;"33"))),"x","")</f>
        <v/>
      </c>
      <c r="V506" s="22" t="str">
        <f>IF(AND(OR(LEFT(TH!L506,2)="15",LEFT(TH!M506,2)="15"),'152-CT'!$J$8=TH!F506),"x","")</f>
        <v/>
      </c>
      <c r="W506" s="22" t="str">
        <f>IF(AND(OR(LEFT(TH!L506,2)="15",LEFT(TH!M506,2)="15"),TK!$E$7=TH!F506),"x","")</f>
        <v/>
      </c>
      <c r="X506" s="22" t="str">
        <f>IF(OR(TH!L506=TH!$X$7,M506=TH!$X$7),"x","")</f>
        <v/>
      </c>
      <c r="Y506" s="22" t="str">
        <f>IF(AND(B506&lt;=NKC!$N$8,B506&gt;=NKC!$M$8),"x","")</f>
        <v/>
      </c>
      <c r="Z506" s="580">
        <v>4</v>
      </c>
      <c r="AA506" s="406"/>
    </row>
    <row r="507" spans="1:31" s="130" customFormat="1" ht="15.75" customHeight="1">
      <c r="A507" s="123" t="str">
        <f>IF(B507&lt;&gt;"",IF(AND(B507&gt;=_TM1,B507&lt;=_TM2,OR(TH!L507="1111",TH!M507="1111")),TH!D507,""),"")</f>
        <v>T08</v>
      </c>
      <c r="B507" s="12">
        <f t="shared" si="17"/>
        <v>11</v>
      </c>
      <c r="C507" s="108">
        <f t="shared" si="18"/>
        <v>42678</v>
      </c>
      <c r="D507" s="108" t="s">
        <v>992</v>
      </c>
      <c r="E507" s="113">
        <v>42678</v>
      </c>
      <c r="F507" s="114" t="s">
        <v>485</v>
      </c>
      <c r="G507" s="114" t="s">
        <v>474</v>
      </c>
      <c r="H507" s="115" t="s">
        <v>488</v>
      </c>
      <c r="I507" s="139"/>
      <c r="J507" s="139"/>
      <c r="K507" s="13">
        <v>59000000</v>
      </c>
      <c r="L507" s="116" t="s">
        <v>46</v>
      </c>
      <c r="M507" s="411" t="s">
        <v>24</v>
      </c>
      <c r="N507" s="22" t="str">
        <f>IF(AND('331-CT'!$E$7=TH!H507,OR(L507="331",M507="331")),"331",IF(AND(OR(L507="131",M507="131"),H507='131-CT'!$E$7),"131",""))</f>
        <v/>
      </c>
      <c r="O507" s="22" t="str">
        <f>IF(AND($B507&gt;='111'!$N$11,$B507&lt;='111'!$O$11,OR($L507=$O$7,$M507=$O$7)),"x","")</f>
        <v>x</v>
      </c>
      <c r="P507" s="22" t="str">
        <f>IF(AND($L507=$O$7,$B507&lt;'111'!$N$11),"x","")</f>
        <v/>
      </c>
      <c r="Q507" s="22" t="str">
        <f>IF(AND($M507=$O$7,$B507&lt;'111'!$N$11),"x","")</f>
        <v/>
      </c>
      <c r="R507" s="22" t="str">
        <f>IF(ISERROR(FIND('112'!$M$9,G507,1)),"",IF((AND(FIND('112'!$M$9,G507,1)&gt;=1,$B507&gt;='112'!$N$8,$B507&lt;='112'!$O$8,OR($L507='112'!$I$6,$M507='112'!$I$6))),"x",""))</f>
        <v>x</v>
      </c>
      <c r="S507" s="22" t="str">
        <f>IF(ISERROR(FIND('112'!$M$9,G507,1)),"",IF((AND(LEFT(G507,2)=LEFT('112'!$M$9,2),B507&lt;'112'!$N$8,$L507='112'!$I$6)),"x",""))</f>
        <v/>
      </c>
      <c r="T507" s="22" t="str">
        <f>IF(ISERROR(FIND('112'!$M$9,G507,1)),"",IF((AND(RIGHT(G507,2)=RIGHT('112'!$M$9,2),B507&lt;'112'!$N$8,$M507='112'!$I$6)),"x",""))</f>
        <v/>
      </c>
      <c r="U507" s="22" t="str">
        <f>IF(AND(B507&gt;='IN-NX'!$P$3,B507&lt;='IN-NX'!$Q$3,'IN-NX'!$D$7=D507,OR(LEFT(L507,2)="15",AND(LEFT(M507,2)&lt;&gt;"15",LEFT(M507,2)&lt;&gt;"33"))),"x","")</f>
        <v/>
      </c>
      <c r="V507" s="22" t="str">
        <f>IF(AND(OR(LEFT(TH!L507,2)="15",LEFT(TH!M507,2)="15"),'152-CT'!$J$8=TH!F507),"x","")</f>
        <v/>
      </c>
      <c r="W507" s="22" t="str">
        <f>IF(AND(OR(LEFT(TH!L507,2)="15",LEFT(TH!M507,2)="15"),TK!$E$7=TH!F507),"x","")</f>
        <v/>
      </c>
      <c r="X507" s="22" t="str">
        <f>IF(OR(TH!L507=TH!$X$7,M507=TH!$X$7),"x","")</f>
        <v/>
      </c>
      <c r="Y507" s="22" t="str">
        <f>IF(AND(B507&lt;=NKC!$N$8,B507&gt;=NKC!$M$8),"x","")</f>
        <v/>
      </c>
      <c r="Z507" s="580"/>
      <c r="AA507" s="406"/>
      <c r="AB507" s="406"/>
    </row>
    <row r="508" spans="1:31" s="130" customFormat="1" ht="15.75" customHeight="1">
      <c r="A508" s="123" t="str">
        <f>IF(B508&lt;&gt;"",IF(AND(B508&gt;=_TM1,B508&lt;=_TM2,OR(TH!L508="1111",TH!M508="1111")),TH!D508,""),"")</f>
        <v>C13</v>
      </c>
      <c r="B508" s="12">
        <f t="shared" si="17"/>
        <v>11</v>
      </c>
      <c r="C508" s="108">
        <f t="shared" si="18"/>
        <v>42679</v>
      </c>
      <c r="D508" s="113" t="s">
        <v>641</v>
      </c>
      <c r="E508" s="113">
        <v>42679</v>
      </c>
      <c r="F508" s="112" t="s">
        <v>786</v>
      </c>
      <c r="G508" s="305" t="s">
        <v>866</v>
      </c>
      <c r="H508" s="4" t="s">
        <v>784</v>
      </c>
      <c r="I508" s="141"/>
      <c r="J508" s="141"/>
      <c r="K508" s="13">
        <v>3910000</v>
      </c>
      <c r="L508" s="116" t="s">
        <v>82</v>
      </c>
      <c r="M508" s="411" t="s">
        <v>46</v>
      </c>
      <c r="N508" s="22" t="str">
        <f>IF(AND('331-CT'!$E$7=TH!H508,OR(L508="331",M508="331")),"331",IF(AND(OR(L508="131",M508="131"),H508='131-CT'!$E$7),"131",""))</f>
        <v/>
      </c>
      <c r="O508" s="22" t="str">
        <f>IF(AND($B508&gt;='111'!$N$11,$B508&lt;='111'!$O$11,OR($L508=$O$7,$M508=$O$7)),"x","")</f>
        <v>x</v>
      </c>
      <c r="P508" s="22" t="str">
        <f>IF(AND($L508=$O$7,$B508&lt;'111'!$N$11),"x","")</f>
        <v/>
      </c>
      <c r="Q508" s="22" t="str">
        <f>IF(AND($M508=$O$7,$B508&lt;'111'!$N$11),"x","")</f>
        <v/>
      </c>
      <c r="R508" s="22" t="str">
        <f>IF(ISERROR(FIND('112'!$M$9,G508,1)),"",IF((AND(FIND('112'!$M$9,G508,1)&gt;=1,$B508&gt;='112'!$N$8,$B508&lt;='112'!$O$8,OR($L508='112'!$I$6,$M508='112'!$I$6))),"x",""))</f>
        <v/>
      </c>
      <c r="S508" s="22" t="str">
        <f>IF(ISERROR(FIND('112'!$M$9,G508,1)),"",IF((AND(LEFT(G508,2)=LEFT('112'!$M$9,2),B508&lt;'112'!$N$8,$L508='112'!$I$6)),"x",""))</f>
        <v/>
      </c>
      <c r="T508" s="22" t="str">
        <f>IF(ISERROR(FIND('112'!$M$9,G508,1)),"",IF((AND(RIGHT(G508,2)=RIGHT('112'!$M$9,2),B508&lt;'112'!$N$8,$M508='112'!$I$6)),"x",""))</f>
        <v/>
      </c>
      <c r="U508" s="22" t="str">
        <f>IF(AND(B508&gt;='IN-NX'!$P$3,B508&lt;='IN-NX'!$Q$3,'IN-NX'!$D$7=D508,OR(LEFT(L508,2)="15",AND(LEFT(M508,2)&lt;&gt;"15",LEFT(M508,2)&lt;&gt;"33"))),"x","")</f>
        <v/>
      </c>
      <c r="V508" s="22" t="str">
        <f>IF(AND(OR(LEFT(TH!L508,2)="15",LEFT(TH!M508,2)="15"),'152-CT'!$J$8=TH!F508),"x","")</f>
        <v/>
      </c>
      <c r="W508" s="22" t="str">
        <f>IF(AND(OR(LEFT(TH!L508,2)="15",LEFT(TH!M508,2)="15"),TK!$E$7=TH!F508),"x","")</f>
        <v/>
      </c>
      <c r="X508" s="22" t="str">
        <f>IF(OR(TH!L508=TH!$X$7,M508=TH!$X$7),"x","")</f>
        <v>x</v>
      </c>
      <c r="Y508" s="22" t="str">
        <f>IF(AND(B508&lt;=NKC!$N$8,B508&gt;=NKC!$M$8),"x","")</f>
        <v/>
      </c>
      <c r="Z508" s="580">
        <v>4</v>
      </c>
      <c r="AA508" s="406"/>
      <c r="AB508" s="406"/>
    </row>
    <row r="509" spans="1:31" s="130" customFormat="1" ht="15.75" customHeight="1">
      <c r="A509" s="123" t="str">
        <f>IF(B509&lt;&gt;"",IF(AND(B509&gt;=_TM1,B509&lt;=_TM2,OR(TH!L509="1111",TH!M509="1111")),TH!D509,""),"")</f>
        <v>C13</v>
      </c>
      <c r="B509" s="12">
        <f t="shared" si="17"/>
        <v>11</v>
      </c>
      <c r="C509" s="108">
        <f t="shared" si="18"/>
        <v>42679</v>
      </c>
      <c r="D509" s="113" t="s">
        <v>641</v>
      </c>
      <c r="E509" s="113">
        <v>42679</v>
      </c>
      <c r="F509" s="112" t="s">
        <v>787</v>
      </c>
      <c r="G509" s="305" t="s">
        <v>866</v>
      </c>
      <c r="H509" s="4" t="s">
        <v>784</v>
      </c>
      <c r="I509" s="141"/>
      <c r="J509" s="141"/>
      <c r="K509" s="13">
        <v>391000</v>
      </c>
      <c r="L509" s="116" t="s">
        <v>9</v>
      </c>
      <c r="M509" s="411" t="s">
        <v>46</v>
      </c>
      <c r="N509" s="22" t="str">
        <f>IF(AND('331-CT'!$E$7=TH!H509,OR(L509="331",M509="331")),"331",IF(AND(OR(L509="131",M509="131"),H509='131-CT'!$E$7),"131",""))</f>
        <v/>
      </c>
      <c r="O509" s="22" t="str">
        <f>IF(AND($B509&gt;='111'!$N$11,$B509&lt;='111'!$O$11,OR($L509=$O$7,$M509=$O$7)),"x","")</f>
        <v>x</v>
      </c>
      <c r="P509" s="22" t="str">
        <f>IF(AND($L509=$O$7,$B509&lt;'111'!$N$11),"x","")</f>
        <v/>
      </c>
      <c r="Q509" s="22" t="str">
        <f>IF(AND($M509=$O$7,$B509&lt;'111'!$N$11),"x","")</f>
        <v/>
      </c>
      <c r="R509" s="22" t="str">
        <f>IF(ISERROR(FIND('112'!$M$9,G509,1)),"",IF((AND(FIND('112'!$M$9,G509,1)&gt;=1,$B509&gt;='112'!$N$8,$B509&lt;='112'!$O$8,OR($L509='112'!$I$6,$M509='112'!$I$6))),"x",""))</f>
        <v/>
      </c>
      <c r="S509" s="22" t="str">
        <f>IF(ISERROR(FIND('112'!$M$9,G509,1)),"",IF((AND(LEFT(G509,2)=LEFT('112'!$M$9,2),B509&lt;'112'!$N$8,$L509='112'!$I$6)),"x",""))</f>
        <v/>
      </c>
      <c r="T509" s="22" t="str">
        <f>IF(ISERROR(FIND('112'!$M$9,G509,1)),"",IF((AND(RIGHT(G509,2)=RIGHT('112'!$M$9,2),B509&lt;'112'!$N$8,$M509='112'!$I$6)),"x",""))</f>
        <v/>
      </c>
      <c r="U509" s="22" t="str">
        <f>IF(AND(B509&gt;='IN-NX'!$P$3,B509&lt;='IN-NX'!$Q$3,'IN-NX'!$D$7=D509,OR(LEFT(L509,2)="15",AND(LEFT(M509,2)&lt;&gt;"15",LEFT(M509,2)&lt;&gt;"33"))),"x","")</f>
        <v/>
      </c>
      <c r="V509" s="22" t="str">
        <f>IF(AND(OR(LEFT(TH!L509,2)="15",LEFT(TH!M509,2)="15"),'152-CT'!$J$8=TH!F509),"x","")</f>
        <v/>
      </c>
      <c r="W509" s="22" t="str">
        <f>IF(AND(OR(LEFT(TH!L509,2)="15",LEFT(TH!M509,2)="15"),TK!$E$7=TH!F509),"x","")</f>
        <v/>
      </c>
      <c r="X509" s="22" t="str">
        <f>IF(OR(TH!L509=TH!$X$7,M509=TH!$X$7),"x","")</f>
        <v/>
      </c>
      <c r="Y509" s="22" t="str">
        <f>IF(AND(B509&lt;=NKC!$N$8,B509&gt;=NKC!$M$8),"x","")</f>
        <v/>
      </c>
      <c r="Z509" s="580">
        <v>4</v>
      </c>
      <c r="AA509" s="406"/>
      <c r="AB509" s="406"/>
    </row>
    <row r="510" spans="1:31" s="130" customFormat="1" ht="15.75" customHeight="1">
      <c r="A510" s="123" t="str">
        <f>IF(B510&lt;&gt;"",IF(AND(B510&gt;=_TM1,B510&lt;=_TM2,OR(TH!L510="1111",TH!M510="1111")),TH!D510,""),"")</f>
        <v/>
      </c>
      <c r="B510" s="12">
        <f t="shared" si="17"/>
        <v>11</v>
      </c>
      <c r="C510" s="108">
        <f t="shared" si="18"/>
        <v>42682</v>
      </c>
      <c r="D510" s="108" t="s">
        <v>562</v>
      </c>
      <c r="E510" s="113">
        <v>42682</v>
      </c>
      <c r="F510" s="112" t="s">
        <v>502</v>
      </c>
      <c r="G510" s="303" t="s">
        <v>766</v>
      </c>
      <c r="H510" s="4" t="s">
        <v>367</v>
      </c>
      <c r="I510" s="139">
        <v>300</v>
      </c>
      <c r="J510" s="139">
        <v>13800</v>
      </c>
      <c r="K510" s="13">
        <f>ROUND(I510*J510,0)</f>
        <v>4140000</v>
      </c>
      <c r="L510" s="116" t="s">
        <v>252</v>
      </c>
      <c r="M510" s="411" t="s">
        <v>169</v>
      </c>
      <c r="N510" s="22" t="str">
        <f>IF(AND('331-CT'!$E$7=TH!H510,OR(L510="331",M510="331")),"331",IF(AND(OR(L510="131",M510="131"),H510='131-CT'!$E$7),"131",""))</f>
        <v/>
      </c>
      <c r="O510" s="22" t="str">
        <f>IF(AND($B510&gt;='111'!$N$11,$B510&lt;='111'!$O$11,OR($L510=$O$7,$M510=$O$7)),"x","")</f>
        <v/>
      </c>
      <c r="P510" s="22" t="str">
        <f>IF(AND($L510=$O$7,$B510&lt;'111'!$N$11),"x","")</f>
        <v/>
      </c>
      <c r="Q510" s="22" t="str">
        <f>IF(AND($M510=$O$7,$B510&lt;'111'!$N$11),"x","")</f>
        <v/>
      </c>
      <c r="R510" s="22" t="str">
        <f>IF(ISERROR(FIND('112'!$M$9,G510,1)),"",IF((AND(FIND('112'!$M$9,G510,1)&gt;=1,$B510&gt;='112'!$N$8,$B510&lt;='112'!$O$8,OR($L510='112'!$I$6,$M510='112'!$I$6))),"x",""))</f>
        <v/>
      </c>
      <c r="S510" s="22" t="str">
        <f>IF(ISERROR(FIND('112'!$M$9,G510,1)),"",IF((AND(LEFT(G510,2)=LEFT('112'!$M$9,2),B510&lt;'112'!$N$8,$L510='112'!$I$6)),"x",""))</f>
        <v/>
      </c>
      <c r="T510" s="22" t="str">
        <f>IF(ISERROR(FIND('112'!$M$9,G510,1)),"",IF((AND(RIGHT(G510,2)=RIGHT('112'!$M$9,2),B510&lt;'112'!$N$8,$M510='112'!$I$6)),"x",""))</f>
        <v/>
      </c>
      <c r="U510" s="22" t="str">
        <f>IF(AND(B510&gt;='IN-NX'!$P$3,B510&lt;='IN-NX'!$Q$3,'IN-NX'!$D$7=D510,OR(LEFT(L510,2)="15",AND(LEFT(M510,2)&lt;&gt;"15",LEFT(M510,2)&lt;&gt;"33"))),"x","")</f>
        <v/>
      </c>
      <c r="V510" s="22" t="str">
        <f>IF(AND(OR(LEFT(TH!L510,2)="15",LEFT(TH!M510,2)="15"),'152-CT'!$J$8=TH!F510),"x","")</f>
        <v/>
      </c>
      <c r="W510" s="22" t="str">
        <f>IF(AND(OR(LEFT(TH!L510,2)="15",LEFT(TH!M510,2)="15"),TK!$E$7=TH!F510),"x","")</f>
        <v/>
      </c>
      <c r="X510" s="22" t="str">
        <f>IF(OR(TH!L510=TH!$X$7,M510=TH!$X$7),"x","")</f>
        <v/>
      </c>
      <c r="Y510" s="22" t="str">
        <f>IF(AND(B510&lt;=NKC!$N$8,B510&gt;=NKC!$M$8),"x","")</f>
        <v/>
      </c>
      <c r="Z510" s="580"/>
      <c r="AA510" s="406"/>
      <c r="AD510" s="406"/>
      <c r="AE510" s="406"/>
    </row>
    <row r="511" spans="1:31" s="130" customFormat="1" ht="15.75" customHeight="1">
      <c r="A511" s="123" t="str">
        <f>IF(B511&lt;&gt;"",IF(AND(B511&gt;=_TM1,B511&lt;=_TM2,OR(TH!L511="1111",TH!M511="1111")),TH!D511,""),"")</f>
        <v/>
      </c>
      <c r="B511" s="12">
        <f t="shared" si="17"/>
        <v>11</v>
      </c>
      <c r="C511" s="108">
        <f t="shared" si="18"/>
        <v>42682</v>
      </c>
      <c r="D511" s="108" t="s">
        <v>562</v>
      </c>
      <c r="E511" s="113">
        <v>42682</v>
      </c>
      <c r="F511" s="112" t="s">
        <v>502</v>
      </c>
      <c r="G511" s="303" t="s">
        <v>766</v>
      </c>
      <c r="H511" s="4" t="s">
        <v>367</v>
      </c>
      <c r="I511" s="139">
        <v>2000</v>
      </c>
      <c r="J511" s="139">
        <v>13800</v>
      </c>
      <c r="K511" s="13">
        <f>ROUND(I511*J511,0)</f>
        <v>27600000</v>
      </c>
      <c r="L511" s="116" t="s">
        <v>252</v>
      </c>
      <c r="M511" s="411" t="s">
        <v>169</v>
      </c>
      <c r="N511" s="22" t="str">
        <f>IF(AND('331-CT'!$E$7=TH!H511,OR(L511="331",M511="331")),"331",IF(AND(OR(L511="131",M511="131"),H511='131-CT'!$E$7),"131",""))</f>
        <v/>
      </c>
      <c r="O511" s="22" t="str">
        <f>IF(AND($B511&gt;='111'!$N$11,$B511&lt;='111'!$O$11,OR($L511=$O$7,$M511=$O$7)),"x","")</f>
        <v/>
      </c>
      <c r="P511" s="22" t="str">
        <f>IF(AND($L511=$O$7,$B511&lt;'111'!$N$11),"x","")</f>
        <v/>
      </c>
      <c r="Q511" s="22" t="str">
        <f>IF(AND($M511=$O$7,$B511&lt;'111'!$N$11),"x","")</f>
        <v/>
      </c>
      <c r="R511" s="22" t="str">
        <f>IF(ISERROR(FIND('112'!$M$9,G511,1)),"",IF((AND(FIND('112'!$M$9,G511,1)&gt;=1,$B511&gt;='112'!$N$8,$B511&lt;='112'!$O$8,OR($L511='112'!$I$6,$M511='112'!$I$6))),"x",""))</f>
        <v/>
      </c>
      <c r="S511" s="22" t="str">
        <f>IF(ISERROR(FIND('112'!$M$9,G511,1)),"",IF((AND(LEFT(G511,2)=LEFT('112'!$M$9,2),B511&lt;'112'!$N$8,$L511='112'!$I$6)),"x",""))</f>
        <v/>
      </c>
      <c r="T511" s="22" t="str">
        <f>IF(ISERROR(FIND('112'!$M$9,G511,1)),"",IF((AND(RIGHT(G511,2)=RIGHT('112'!$M$9,2),B511&lt;'112'!$N$8,$M511='112'!$I$6)),"x",""))</f>
        <v/>
      </c>
      <c r="U511" s="22" t="str">
        <f>IF(AND(B511&gt;='IN-NX'!$P$3,B511&lt;='IN-NX'!$Q$3,'IN-NX'!$D$7=D511,OR(LEFT(L511,2)="15",AND(LEFT(M511,2)&lt;&gt;"15",LEFT(M511,2)&lt;&gt;"33"))),"x","")</f>
        <v/>
      </c>
      <c r="V511" s="22" t="str">
        <f>IF(AND(OR(LEFT(TH!L511,2)="15",LEFT(TH!M511,2)="15"),'152-CT'!$J$8=TH!F511),"x","")</f>
        <v/>
      </c>
      <c r="W511" s="22" t="str">
        <f>IF(AND(OR(LEFT(TH!L511,2)="15",LEFT(TH!M511,2)="15"),TK!$E$7=TH!F511),"x","")</f>
        <v/>
      </c>
      <c r="X511" s="22" t="str">
        <f>IF(OR(TH!L511=TH!$X$7,M511=TH!$X$7),"x","")</f>
        <v/>
      </c>
      <c r="Y511" s="22" t="str">
        <f>IF(AND(B511&lt;=NKC!$N$8,B511&gt;=NKC!$M$8),"x","")</f>
        <v/>
      </c>
      <c r="Z511" s="580"/>
      <c r="AA511" s="406"/>
      <c r="AB511" s="406"/>
      <c r="AD511" s="406"/>
      <c r="AE511" s="406"/>
    </row>
    <row r="512" spans="1:31" s="130" customFormat="1" ht="15.75" customHeight="1">
      <c r="A512" s="123" t="str">
        <f>IF(B512&lt;&gt;"",IF(AND(B512&gt;=_TM1,B512&lt;=_TM2,OR(TH!L512="1111",TH!M512="1111")),TH!D512,""),"")</f>
        <v/>
      </c>
      <c r="B512" s="12">
        <f t="shared" si="17"/>
        <v>11</v>
      </c>
      <c r="C512" s="108">
        <f t="shared" si="18"/>
        <v>42682</v>
      </c>
      <c r="D512" s="108" t="s">
        <v>562</v>
      </c>
      <c r="E512" s="113">
        <v>42682</v>
      </c>
      <c r="F512" s="112" t="s">
        <v>681</v>
      </c>
      <c r="G512" s="303" t="s">
        <v>766</v>
      </c>
      <c r="H512" s="4" t="s">
        <v>367</v>
      </c>
      <c r="I512" s="139">
        <v>4600</v>
      </c>
      <c r="J512" s="139">
        <v>1300</v>
      </c>
      <c r="K512" s="13">
        <f>ROUND(I512*J512,0)</f>
        <v>5980000</v>
      </c>
      <c r="L512" s="116" t="s">
        <v>252</v>
      </c>
      <c r="M512" s="411" t="s">
        <v>169</v>
      </c>
      <c r="N512" s="22" t="str">
        <f>IF(AND('331-CT'!$E$7=TH!H512,OR(L512="331",M512="331")),"331",IF(AND(OR(L512="131",M512="131"),H512='131-CT'!$E$7),"131",""))</f>
        <v/>
      </c>
      <c r="O512" s="22" t="str">
        <f>IF(AND($B512&gt;='111'!$N$11,$B512&lt;='111'!$O$11,OR($L512=$O$7,$M512=$O$7)),"x","")</f>
        <v/>
      </c>
      <c r="P512" s="22" t="str">
        <f>IF(AND($L512=$O$7,$B512&lt;'111'!$N$11),"x","")</f>
        <v/>
      </c>
      <c r="Q512" s="22" t="str">
        <f>IF(AND($M512=$O$7,$B512&lt;'111'!$N$11),"x","")</f>
        <v/>
      </c>
      <c r="R512" s="22" t="str">
        <f>IF(ISERROR(FIND('112'!$M$9,G512,1)),"",IF((AND(FIND('112'!$M$9,G512,1)&gt;=1,$B512&gt;='112'!$N$8,$B512&lt;='112'!$O$8,OR($L512='112'!$I$6,$M512='112'!$I$6))),"x",""))</f>
        <v/>
      </c>
      <c r="S512" s="22" t="str">
        <f>IF(ISERROR(FIND('112'!$M$9,G512,1)),"",IF((AND(LEFT(G512,2)=LEFT('112'!$M$9,2),B512&lt;'112'!$N$8,$L512='112'!$I$6)),"x",""))</f>
        <v/>
      </c>
      <c r="T512" s="22" t="str">
        <f>IF(ISERROR(FIND('112'!$M$9,G512,1)),"",IF((AND(RIGHT(G512,2)=RIGHT('112'!$M$9,2),B512&lt;'112'!$N$8,$M512='112'!$I$6)),"x",""))</f>
        <v/>
      </c>
      <c r="U512" s="22" t="str">
        <f>IF(AND(B512&gt;='IN-NX'!$P$3,B512&lt;='IN-NX'!$Q$3,'IN-NX'!$D$7=D512,OR(LEFT(L512,2)="15",AND(LEFT(M512,2)&lt;&gt;"15",LEFT(M512,2)&lt;&gt;"33"))),"x","")</f>
        <v/>
      </c>
      <c r="V512" s="22" t="str">
        <f>IF(AND(OR(LEFT(TH!L512,2)="15",LEFT(TH!M512,2)="15"),'152-CT'!$J$8=TH!F512),"x","")</f>
        <v/>
      </c>
      <c r="W512" s="22" t="str">
        <f>IF(AND(OR(LEFT(TH!L512,2)="15",LEFT(TH!M512,2)="15"),TK!$E$7=TH!F512),"x","")</f>
        <v/>
      </c>
      <c r="X512" s="22" t="str">
        <f>IF(OR(TH!L512=TH!$X$7,M512=TH!$X$7),"x","")</f>
        <v/>
      </c>
      <c r="Y512" s="22" t="str">
        <f>IF(AND(B512&lt;=NKC!$N$8,B512&gt;=NKC!$M$8),"x","")</f>
        <v/>
      </c>
      <c r="Z512" s="580"/>
      <c r="AA512" s="406"/>
      <c r="AD512" s="406"/>
      <c r="AE512" s="406"/>
    </row>
    <row r="513" spans="1:31" s="130" customFormat="1" ht="15.75" customHeight="1">
      <c r="A513" s="123" t="str">
        <f>IF(B513&lt;&gt;"",IF(AND(B513&gt;=_TM1,B513&lt;=_TM2,OR(TH!L513="1111",TH!M513="1111")),TH!D513,""),"")</f>
        <v/>
      </c>
      <c r="B513" s="12">
        <f t="shared" si="17"/>
        <v>11</v>
      </c>
      <c r="C513" s="108">
        <f t="shared" si="18"/>
        <v>42682</v>
      </c>
      <c r="D513" s="108" t="s">
        <v>562</v>
      </c>
      <c r="E513" s="113">
        <v>42682</v>
      </c>
      <c r="F513" s="112" t="s">
        <v>496</v>
      </c>
      <c r="G513" s="303" t="s">
        <v>766</v>
      </c>
      <c r="H513" s="4" t="s">
        <v>367</v>
      </c>
      <c r="I513" s="141"/>
      <c r="J513" s="139"/>
      <c r="K513" s="13">
        <v>3772000</v>
      </c>
      <c r="L513" s="116" t="s">
        <v>252</v>
      </c>
      <c r="M513" s="411" t="s">
        <v>352</v>
      </c>
      <c r="N513" s="22" t="str">
        <f>IF(AND('331-CT'!$E$7=TH!H513,OR(L513="331",M513="331")),"331",IF(AND(OR(L513="131",M513="131"),H513='131-CT'!$E$7),"131",""))</f>
        <v/>
      </c>
      <c r="O513" s="22" t="str">
        <f>IF(AND($B513&gt;='111'!$N$11,$B513&lt;='111'!$O$11,OR($L513=$O$7,$M513=$O$7)),"x","")</f>
        <v/>
      </c>
      <c r="P513" s="22" t="str">
        <f>IF(AND($L513=$O$7,$B513&lt;'111'!$N$11),"x","")</f>
        <v/>
      </c>
      <c r="Q513" s="22" t="str">
        <f>IF(AND($M513=$O$7,$B513&lt;'111'!$N$11),"x","")</f>
        <v/>
      </c>
      <c r="R513" s="22" t="str">
        <f>IF(ISERROR(FIND('112'!$M$9,G513,1)),"",IF((AND(FIND('112'!$M$9,G513,1)&gt;=1,$B513&gt;='112'!$N$8,$B513&lt;='112'!$O$8,OR($L513='112'!$I$6,$M513='112'!$I$6))),"x",""))</f>
        <v/>
      </c>
      <c r="S513" s="22" t="str">
        <f>IF(ISERROR(FIND('112'!$M$9,G513,1)),"",IF((AND(LEFT(G513,2)=LEFT('112'!$M$9,2),B513&lt;'112'!$N$8,$L513='112'!$I$6)),"x",""))</f>
        <v/>
      </c>
      <c r="T513" s="22" t="str">
        <f>IF(ISERROR(FIND('112'!$M$9,G513,1)),"",IF((AND(RIGHT(G513,2)=RIGHT('112'!$M$9,2),B513&lt;'112'!$N$8,$M513='112'!$I$6)),"x",""))</f>
        <v/>
      </c>
      <c r="U513" s="22" t="str">
        <f>IF(AND(B513&gt;='IN-NX'!$P$3,B513&lt;='IN-NX'!$Q$3,'IN-NX'!$D$7=D513,OR(LEFT(L513,2)="15",AND(LEFT(M513,2)&lt;&gt;"15",LEFT(M513,2)&lt;&gt;"33"))),"x","")</f>
        <v/>
      </c>
      <c r="V513" s="22" t="str">
        <f>IF(AND(OR(LEFT(TH!L513,2)="15",LEFT(TH!M513,2)="15"),'152-CT'!$J$8=TH!F513),"x","")</f>
        <v/>
      </c>
      <c r="W513" s="22" t="str">
        <f>IF(AND(OR(LEFT(TH!L513,2)="15",LEFT(TH!M513,2)="15"),TK!$E$7=TH!F513),"x","")</f>
        <v/>
      </c>
      <c r="X513" s="22" t="str">
        <f>IF(OR(TH!L513=TH!$X$7,M513=TH!$X$7),"x","")</f>
        <v/>
      </c>
      <c r="Y513" s="22" t="str">
        <f>IF(AND(B513&lt;=NKC!$N$8,B513&gt;=NKC!$M$8),"x","")</f>
        <v/>
      </c>
      <c r="Z513" s="580"/>
      <c r="AA513" s="406"/>
      <c r="AB513" s="406"/>
      <c r="AD513" s="406"/>
      <c r="AE513" s="406"/>
    </row>
    <row r="514" spans="1:31" s="130" customFormat="1" ht="15.75" customHeight="1">
      <c r="A514" s="123" t="str">
        <f>IF(B514&lt;&gt;"",IF(AND(B514&gt;=_TM1,B514&lt;=_TM2,OR(TH!L514="1111",TH!M514="1111")),TH!D514,""),"")</f>
        <v/>
      </c>
      <c r="B514" s="12">
        <f t="shared" si="17"/>
        <v>11</v>
      </c>
      <c r="C514" s="108">
        <f t="shared" si="18"/>
        <v>42682</v>
      </c>
      <c r="D514" s="108" t="s">
        <v>563</v>
      </c>
      <c r="E514" s="113">
        <v>42682</v>
      </c>
      <c r="F514" s="112" t="s">
        <v>682</v>
      </c>
      <c r="G514" s="303" t="s">
        <v>767</v>
      </c>
      <c r="H514" s="115" t="s">
        <v>683</v>
      </c>
      <c r="I514" s="139">
        <v>6030</v>
      </c>
      <c r="J514" s="139">
        <v>13800</v>
      </c>
      <c r="K514" s="13">
        <f>ROUND(I514*J514,0)</f>
        <v>83214000</v>
      </c>
      <c r="L514" s="116" t="s">
        <v>252</v>
      </c>
      <c r="M514" s="411" t="s">
        <v>169</v>
      </c>
      <c r="N514" s="22" t="str">
        <f>IF(AND('331-CT'!$E$7=TH!H514,OR(L514="331",M514="331")),"331",IF(AND(OR(L514="131",M514="131"),H514='131-CT'!$E$7),"131",""))</f>
        <v/>
      </c>
      <c r="O514" s="22" t="str">
        <f>IF(AND($B514&gt;='111'!$N$11,$B514&lt;='111'!$O$11,OR($L514=$O$7,$M514=$O$7)),"x","")</f>
        <v/>
      </c>
      <c r="P514" s="22" t="str">
        <f>IF(AND($L514=$O$7,$B514&lt;'111'!$N$11),"x","")</f>
        <v/>
      </c>
      <c r="Q514" s="22" t="str">
        <f>IF(AND($M514=$O$7,$B514&lt;'111'!$N$11),"x","")</f>
        <v/>
      </c>
      <c r="R514" s="22" t="str">
        <f>IF(ISERROR(FIND('112'!$M$9,G514,1)),"",IF((AND(FIND('112'!$M$9,G514,1)&gt;=1,$B514&gt;='112'!$N$8,$B514&lt;='112'!$O$8,OR($L514='112'!$I$6,$M514='112'!$I$6))),"x",""))</f>
        <v/>
      </c>
      <c r="S514" s="22" t="str">
        <f>IF(ISERROR(FIND('112'!$M$9,G514,1)),"",IF((AND(LEFT(G514,2)=LEFT('112'!$M$9,2),B514&lt;'112'!$N$8,$L514='112'!$I$6)),"x",""))</f>
        <v/>
      </c>
      <c r="T514" s="22" t="str">
        <f>IF(ISERROR(FIND('112'!$M$9,G514,1)),"",IF((AND(RIGHT(G514,2)=RIGHT('112'!$M$9,2),B514&lt;'112'!$N$8,$M514='112'!$I$6)),"x",""))</f>
        <v/>
      </c>
      <c r="U514" s="22" t="str">
        <f>IF(AND(B514&gt;='IN-NX'!$P$3,B514&lt;='IN-NX'!$Q$3,'IN-NX'!$D$7=D514,OR(LEFT(L514,2)="15",AND(LEFT(M514,2)&lt;&gt;"15",LEFT(M514,2)&lt;&gt;"33"))),"x","")</f>
        <v/>
      </c>
      <c r="V514" s="22" t="str">
        <f>IF(AND(OR(LEFT(TH!L514,2)="15",LEFT(TH!M514,2)="15"),'152-CT'!$J$8=TH!F514),"x","")</f>
        <v/>
      </c>
      <c r="W514" s="22" t="str">
        <f>IF(AND(OR(LEFT(TH!L514,2)="15",LEFT(TH!M514,2)="15"),TK!$E$7=TH!F514),"x","")</f>
        <v/>
      </c>
      <c r="X514" s="22" t="str">
        <f>IF(OR(TH!L514=TH!$X$7,M514=TH!$X$7),"x","")</f>
        <v/>
      </c>
      <c r="Y514" s="22" t="str">
        <f>IF(AND(B514&lt;=NKC!$N$8,B514&gt;=NKC!$M$8),"x","")</f>
        <v/>
      </c>
      <c r="Z514" s="580"/>
      <c r="AA514" s="406"/>
      <c r="AD514" s="406"/>
      <c r="AE514" s="406"/>
    </row>
    <row r="515" spans="1:31" s="130" customFormat="1" ht="15.75" customHeight="1">
      <c r="A515" s="123" t="str">
        <f>IF(B515&lt;&gt;"",IF(AND(B515&gt;=_TM1,B515&lt;=_TM2,OR(TH!L515="1111",TH!M515="1111")),TH!D515,""),"")</f>
        <v/>
      </c>
      <c r="B515" s="12">
        <f t="shared" si="17"/>
        <v>11</v>
      </c>
      <c r="C515" s="108">
        <f t="shared" si="18"/>
        <v>42682</v>
      </c>
      <c r="D515" s="108" t="s">
        <v>563</v>
      </c>
      <c r="E515" s="113">
        <v>42682</v>
      </c>
      <c r="F515" s="112" t="s">
        <v>496</v>
      </c>
      <c r="G515" s="303" t="s">
        <v>767</v>
      </c>
      <c r="H515" s="115" t="s">
        <v>683</v>
      </c>
      <c r="I515" s="139"/>
      <c r="J515" s="139"/>
      <c r="K515" s="13">
        <v>8321400</v>
      </c>
      <c r="L515" s="116" t="s">
        <v>252</v>
      </c>
      <c r="M515" s="411" t="s">
        <v>352</v>
      </c>
      <c r="N515" s="22" t="str">
        <f>IF(AND('331-CT'!$E$7=TH!H515,OR(L515="331",M515="331")),"331",IF(AND(OR(L515="131",M515="131"),H515='131-CT'!$E$7),"131",""))</f>
        <v/>
      </c>
      <c r="O515" s="22" t="str">
        <f>IF(AND($B515&gt;='111'!$N$11,$B515&lt;='111'!$O$11,OR($L515=$O$7,$M515=$O$7)),"x","")</f>
        <v/>
      </c>
      <c r="P515" s="22" t="str">
        <f>IF(AND($L515=$O$7,$B515&lt;'111'!$N$11),"x","")</f>
        <v/>
      </c>
      <c r="Q515" s="22" t="str">
        <f>IF(AND($M515=$O$7,$B515&lt;'111'!$N$11),"x","")</f>
        <v/>
      </c>
      <c r="R515" s="22" t="str">
        <f>IF(ISERROR(FIND('112'!$M$9,G515,1)),"",IF((AND(FIND('112'!$M$9,G515,1)&gt;=1,$B515&gt;='112'!$N$8,$B515&lt;='112'!$O$8,OR($L515='112'!$I$6,$M515='112'!$I$6))),"x",""))</f>
        <v/>
      </c>
      <c r="S515" s="22" t="str">
        <f>IF(ISERROR(FIND('112'!$M$9,G515,1)),"",IF((AND(LEFT(G515,2)=LEFT('112'!$M$9,2),B515&lt;'112'!$N$8,$L515='112'!$I$6)),"x",""))</f>
        <v/>
      </c>
      <c r="T515" s="22" t="str">
        <f>IF(ISERROR(FIND('112'!$M$9,G515,1)),"",IF((AND(RIGHT(G515,2)=RIGHT('112'!$M$9,2),B515&lt;'112'!$N$8,$M515='112'!$I$6)),"x",""))</f>
        <v/>
      </c>
      <c r="U515" s="22" t="str">
        <f>IF(AND(B515&gt;='IN-NX'!$P$3,B515&lt;='IN-NX'!$Q$3,'IN-NX'!$D$7=D515,OR(LEFT(L515,2)="15",AND(LEFT(M515,2)&lt;&gt;"15",LEFT(M515,2)&lt;&gt;"33"))),"x","")</f>
        <v/>
      </c>
      <c r="V515" s="22" t="str">
        <f>IF(AND(OR(LEFT(TH!L515,2)="15",LEFT(TH!M515,2)="15"),'152-CT'!$J$8=TH!F515),"x","")</f>
        <v/>
      </c>
      <c r="W515" s="22" t="str">
        <f>IF(AND(OR(LEFT(TH!L515,2)="15",LEFT(TH!M515,2)="15"),TK!$E$7=TH!F515),"x","")</f>
        <v/>
      </c>
      <c r="X515" s="22" t="str">
        <f>IF(OR(TH!L515=TH!$X$7,M515=TH!$X$7),"x","")</f>
        <v/>
      </c>
      <c r="Y515" s="22" t="str">
        <f>IF(AND(B515&lt;=NKC!$N$8,B515&gt;=NKC!$M$8),"x","")</f>
        <v/>
      </c>
      <c r="Z515" s="580"/>
      <c r="AA515" s="406"/>
      <c r="AB515" s="406"/>
      <c r="AD515" s="406"/>
      <c r="AE515" s="406"/>
    </row>
    <row r="516" spans="1:31" s="130" customFormat="1" ht="15.75" customHeight="1">
      <c r="A516" s="123" t="str">
        <f>IF(B516&lt;&gt;"",IF(AND(B516&gt;=_TM1,B516&lt;=_TM2,OR(TH!L516="1111",TH!M516="1111")),TH!D516,""),"")</f>
        <v>C14</v>
      </c>
      <c r="B516" s="12">
        <f t="shared" si="17"/>
        <v>11</v>
      </c>
      <c r="C516" s="108">
        <f t="shared" si="18"/>
        <v>42683</v>
      </c>
      <c r="D516" s="113" t="s">
        <v>642</v>
      </c>
      <c r="E516" s="113">
        <v>42683</v>
      </c>
      <c r="F516" s="112" t="s">
        <v>867</v>
      </c>
      <c r="G516" s="305" t="s">
        <v>870</v>
      </c>
      <c r="H516" s="4" t="s">
        <v>869</v>
      </c>
      <c r="I516" s="141"/>
      <c r="J516" s="141"/>
      <c r="K516" s="13">
        <v>3150000</v>
      </c>
      <c r="L516" s="116" t="s">
        <v>82</v>
      </c>
      <c r="M516" s="411" t="s">
        <v>46</v>
      </c>
      <c r="N516" s="22" t="str">
        <f>IF(AND('331-CT'!$E$7=TH!H516,OR(L516="331",M516="331")),"331",IF(AND(OR(L516="131",M516="131"),H516='131-CT'!$E$7),"131",""))</f>
        <v/>
      </c>
      <c r="O516" s="22" t="str">
        <f>IF(AND($B516&gt;='111'!$N$11,$B516&lt;='111'!$O$11,OR($L516=$O$7,$M516=$O$7)),"x","")</f>
        <v>x</v>
      </c>
      <c r="P516" s="22" t="str">
        <f>IF(AND($L516=$O$7,$B516&lt;'111'!$N$11),"x","")</f>
        <v/>
      </c>
      <c r="Q516" s="22" t="str">
        <f>IF(AND($M516=$O$7,$B516&lt;'111'!$N$11),"x","")</f>
        <v/>
      </c>
      <c r="R516" s="22" t="str">
        <f>IF(ISERROR(FIND('112'!$M$9,G516,1)),"",IF((AND(FIND('112'!$M$9,G516,1)&gt;=1,$B516&gt;='112'!$N$8,$B516&lt;='112'!$O$8,OR($L516='112'!$I$6,$M516='112'!$I$6))),"x",""))</f>
        <v/>
      </c>
      <c r="S516" s="22" t="str">
        <f>IF(ISERROR(FIND('112'!$M$9,G516,1)),"",IF((AND(LEFT(G516,2)=LEFT('112'!$M$9,2),B516&lt;'112'!$N$8,$L516='112'!$I$6)),"x",""))</f>
        <v/>
      </c>
      <c r="T516" s="22" t="str">
        <f>IF(ISERROR(FIND('112'!$M$9,G516,1)),"",IF((AND(RIGHT(G516,2)=RIGHT('112'!$M$9,2),B516&lt;'112'!$N$8,$M516='112'!$I$6)),"x",""))</f>
        <v/>
      </c>
      <c r="U516" s="22" t="str">
        <f>IF(AND(B516&gt;='IN-NX'!$P$3,B516&lt;='IN-NX'!$Q$3,'IN-NX'!$D$7=D516,OR(LEFT(L516,2)="15",AND(LEFT(M516,2)&lt;&gt;"15",LEFT(M516,2)&lt;&gt;"33"))),"x","")</f>
        <v/>
      </c>
      <c r="V516" s="22" t="str">
        <f>IF(AND(OR(LEFT(TH!L516,2)="15",LEFT(TH!M516,2)="15"),'152-CT'!$J$8=TH!F516),"x","")</f>
        <v/>
      </c>
      <c r="W516" s="22" t="str">
        <f>IF(AND(OR(LEFT(TH!L516,2)="15",LEFT(TH!M516,2)="15"),TK!$E$7=TH!F516),"x","")</f>
        <v/>
      </c>
      <c r="X516" s="22" t="str">
        <f>IF(OR(TH!L516=TH!$X$7,M516=TH!$X$7),"x","")</f>
        <v>x</v>
      </c>
      <c r="Y516" s="22" t="str">
        <f>IF(AND(B516&lt;=NKC!$N$8,B516&gt;=NKC!$M$8),"x","")</f>
        <v/>
      </c>
      <c r="Z516" s="580">
        <v>4</v>
      </c>
      <c r="AA516" s="406"/>
      <c r="AB516" s="406"/>
    </row>
    <row r="517" spans="1:31" s="130" customFormat="1" ht="15.75" customHeight="1">
      <c r="A517" s="123" t="str">
        <f>IF(B517&lt;&gt;"",IF(AND(B517&gt;=_TM1,B517&lt;=_TM2,OR(TH!L517="1111",TH!M517="1111")),TH!D517,""),"")</f>
        <v>C14</v>
      </c>
      <c r="B517" s="12">
        <f t="shared" si="17"/>
        <v>11</v>
      </c>
      <c r="C517" s="108">
        <f t="shared" si="18"/>
        <v>42683</v>
      </c>
      <c r="D517" s="113" t="s">
        <v>642</v>
      </c>
      <c r="E517" s="113">
        <v>42683</v>
      </c>
      <c r="F517" s="112" t="s">
        <v>868</v>
      </c>
      <c r="G517" s="305" t="s">
        <v>870</v>
      </c>
      <c r="H517" s="4" t="s">
        <v>869</v>
      </c>
      <c r="I517" s="141"/>
      <c r="J517" s="141"/>
      <c r="K517" s="13">
        <v>315000</v>
      </c>
      <c r="L517" s="116" t="s">
        <v>9</v>
      </c>
      <c r="M517" s="411" t="s">
        <v>46</v>
      </c>
      <c r="N517" s="22" t="str">
        <f>IF(AND('331-CT'!$E$7=TH!H517,OR(L517="331",M517="331")),"331",IF(AND(OR(L517="131",M517="131"),H517='131-CT'!$E$7),"131",""))</f>
        <v/>
      </c>
      <c r="O517" s="22" t="str">
        <f>IF(AND($B517&gt;='111'!$N$11,$B517&lt;='111'!$O$11,OR($L517=$O$7,$M517=$O$7)),"x","")</f>
        <v>x</v>
      </c>
      <c r="P517" s="22" t="str">
        <f>IF(AND($L517=$O$7,$B517&lt;'111'!$N$11),"x","")</f>
        <v/>
      </c>
      <c r="Q517" s="22" t="str">
        <f>IF(AND($M517=$O$7,$B517&lt;'111'!$N$11),"x","")</f>
        <v/>
      </c>
      <c r="R517" s="22" t="str">
        <f>IF(ISERROR(FIND('112'!$M$9,G517,1)),"",IF((AND(FIND('112'!$M$9,G517,1)&gt;=1,$B517&gt;='112'!$N$8,$B517&lt;='112'!$O$8,OR($L517='112'!$I$6,$M517='112'!$I$6))),"x",""))</f>
        <v/>
      </c>
      <c r="S517" s="22" t="str">
        <f>IF(ISERROR(FIND('112'!$M$9,G517,1)),"",IF((AND(LEFT(G517,2)=LEFT('112'!$M$9,2),B517&lt;'112'!$N$8,$L517='112'!$I$6)),"x",""))</f>
        <v/>
      </c>
      <c r="T517" s="22" t="str">
        <f>IF(ISERROR(FIND('112'!$M$9,G517,1)),"",IF((AND(RIGHT(G517,2)=RIGHT('112'!$M$9,2),B517&lt;'112'!$N$8,$M517='112'!$I$6)),"x",""))</f>
        <v/>
      </c>
      <c r="U517" s="22" t="str">
        <f>IF(AND(B517&gt;='IN-NX'!$P$3,B517&lt;='IN-NX'!$Q$3,'IN-NX'!$D$7=D517,OR(LEFT(L517,2)="15",AND(LEFT(M517,2)&lt;&gt;"15",LEFT(M517,2)&lt;&gt;"33"))),"x","")</f>
        <v/>
      </c>
      <c r="V517" s="22" t="str">
        <f>IF(AND(OR(LEFT(TH!L517,2)="15",LEFT(TH!M517,2)="15"),'152-CT'!$J$8=TH!F517),"x","")</f>
        <v/>
      </c>
      <c r="W517" s="22" t="str">
        <f>IF(AND(OR(LEFT(TH!L517,2)="15",LEFT(TH!M517,2)="15"),TK!$E$7=TH!F517),"x","")</f>
        <v/>
      </c>
      <c r="X517" s="22" t="str">
        <f>IF(OR(TH!L517=TH!$X$7,M517=TH!$X$7),"x","")</f>
        <v/>
      </c>
      <c r="Y517" s="22" t="str">
        <f>IF(AND(B517&lt;=NKC!$N$8,B517&gt;=NKC!$M$8),"x","")</f>
        <v/>
      </c>
      <c r="Z517" s="580">
        <v>4</v>
      </c>
      <c r="AA517" s="406"/>
      <c r="AB517" s="406"/>
    </row>
    <row r="518" spans="1:31" s="130" customFormat="1" ht="15.75" customHeight="1">
      <c r="A518" s="123" t="str">
        <f>IF(B518&lt;&gt;"",IF(AND(B518&gt;=_TM1,B518&lt;=_TM2,OR(TH!L518="1111",TH!M518="1111")),TH!D518,""),"")</f>
        <v/>
      </c>
      <c r="B518" s="12">
        <f t="shared" si="17"/>
        <v>11</v>
      </c>
      <c r="C518" s="108">
        <f t="shared" si="18"/>
        <v>42683</v>
      </c>
      <c r="D518" s="108" t="s">
        <v>564</v>
      </c>
      <c r="E518" s="113">
        <v>42683</v>
      </c>
      <c r="F518" s="112" t="s">
        <v>692</v>
      </c>
      <c r="G518" s="303" t="s">
        <v>768</v>
      </c>
      <c r="H518" s="4" t="s">
        <v>623</v>
      </c>
      <c r="I518" s="139">
        <v>318</v>
      </c>
      <c r="J518" s="139">
        <v>5800</v>
      </c>
      <c r="K518" s="13">
        <f>ROUND(I518*J518,0)</f>
        <v>1844400</v>
      </c>
      <c r="L518" s="116" t="s">
        <v>252</v>
      </c>
      <c r="M518" s="411" t="s">
        <v>169</v>
      </c>
      <c r="N518" s="22" t="str">
        <f>IF(AND('331-CT'!$E$7=TH!H518,OR(L518="331",M518="331")),"331",IF(AND(OR(L518="131",M518="131"),H518='131-CT'!$E$7),"131",""))</f>
        <v/>
      </c>
      <c r="O518" s="22" t="str">
        <f>IF(AND($B518&gt;='111'!$N$11,$B518&lt;='111'!$O$11,OR($L518=$O$7,$M518=$O$7)),"x","")</f>
        <v/>
      </c>
      <c r="P518" s="22" t="str">
        <f>IF(AND($L518=$O$7,$B518&lt;'111'!$N$11),"x","")</f>
        <v/>
      </c>
      <c r="Q518" s="22" t="str">
        <f>IF(AND($M518=$O$7,$B518&lt;'111'!$N$11),"x","")</f>
        <v/>
      </c>
      <c r="R518" s="22" t="str">
        <f>IF(ISERROR(FIND('112'!$M$9,G518,1)),"",IF((AND(FIND('112'!$M$9,G518,1)&gt;=1,$B518&gt;='112'!$N$8,$B518&lt;='112'!$O$8,OR($L518='112'!$I$6,$M518='112'!$I$6))),"x",""))</f>
        <v/>
      </c>
      <c r="S518" s="22" t="str">
        <f>IF(ISERROR(FIND('112'!$M$9,G518,1)),"",IF((AND(LEFT(G518,2)=LEFT('112'!$M$9,2),B518&lt;'112'!$N$8,$L518='112'!$I$6)),"x",""))</f>
        <v/>
      </c>
      <c r="T518" s="22" t="str">
        <f>IF(ISERROR(FIND('112'!$M$9,G518,1)),"",IF((AND(RIGHT(G518,2)=RIGHT('112'!$M$9,2),B518&lt;'112'!$N$8,$M518='112'!$I$6)),"x",""))</f>
        <v/>
      </c>
      <c r="U518" s="22" t="str">
        <f>IF(AND(B518&gt;='IN-NX'!$P$3,B518&lt;='IN-NX'!$Q$3,'IN-NX'!$D$7=D518,OR(LEFT(L518,2)="15",AND(LEFT(M518,2)&lt;&gt;"15",LEFT(M518,2)&lt;&gt;"33"))),"x","")</f>
        <v/>
      </c>
      <c r="V518" s="22" t="str">
        <f>IF(AND(OR(LEFT(TH!L518,2)="15",LEFT(TH!M518,2)="15"),'152-CT'!$J$8=TH!F518),"x","")</f>
        <v/>
      </c>
      <c r="W518" s="22" t="str">
        <f>IF(AND(OR(LEFT(TH!L518,2)="15",LEFT(TH!M518,2)="15"),TK!$E$7=TH!F518),"x","")</f>
        <v/>
      </c>
      <c r="X518" s="22" t="str">
        <f>IF(OR(TH!L518=TH!$X$7,M518=TH!$X$7),"x","")</f>
        <v/>
      </c>
      <c r="Y518" s="22" t="str">
        <f>IF(AND(B518&lt;=NKC!$N$8,B518&gt;=NKC!$M$8),"x","")</f>
        <v/>
      </c>
      <c r="Z518" s="580"/>
      <c r="AA518" s="406"/>
      <c r="AB518" s="406"/>
    </row>
    <row r="519" spans="1:31" s="130" customFormat="1" ht="15.75" customHeight="1">
      <c r="A519" s="123" t="str">
        <f>IF(B519&lt;&gt;"",IF(AND(B519&gt;=_TM1,B519&lt;=_TM2,OR(TH!L519="1111",TH!M519="1111")),TH!D519,""),"")</f>
        <v/>
      </c>
      <c r="B519" s="12">
        <f t="shared" si="17"/>
        <v>11</v>
      </c>
      <c r="C519" s="108">
        <f t="shared" si="18"/>
        <v>42683</v>
      </c>
      <c r="D519" s="108" t="s">
        <v>564</v>
      </c>
      <c r="E519" s="113">
        <v>42683</v>
      </c>
      <c r="F519" s="112" t="s">
        <v>540</v>
      </c>
      <c r="G519" s="303" t="s">
        <v>768</v>
      </c>
      <c r="H519" s="4" t="s">
        <v>623</v>
      </c>
      <c r="I519" s="139">
        <v>520</v>
      </c>
      <c r="J519" s="139">
        <v>6400</v>
      </c>
      <c r="K519" s="13">
        <f>ROUND(I519*J519,0)</f>
        <v>3328000</v>
      </c>
      <c r="L519" s="116" t="s">
        <v>252</v>
      </c>
      <c r="M519" s="411" t="s">
        <v>169</v>
      </c>
      <c r="N519" s="22" t="str">
        <f>IF(AND('331-CT'!$E$7=TH!H519,OR(L519="331",M519="331")),"331",IF(AND(OR(L519="131",M519="131"),H519='131-CT'!$E$7),"131",""))</f>
        <v/>
      </c>
      <c r="O519" s="22" t="str">
        <f>IF(AND($B519&gt;='111'!$N$11,$B519&lt;='111'!$O$11,OR($L519=$O$7,$M519=$O$7)),"x","")</f>
        <v/>
      </c>
      <c r="P519" s="22" t="str">
        <f>IF(AND($L519=$O$7,$B519&lt;'111'!$N$11),"x","")</f>
        <v/>
      </c>
      <c r="Q519" s="22" t="str">
        <f>IF(AND($M519=$O$7,$B519&lt;'111'!$N$11),"x","")</f>
        <v/>
      </c>
      <c r="R519" s="22" t="str">
        <f>IF(ISERROR(FIND('112'!$M$9,G519,1)),"",IF((AND(FIND('112'!$M$9,G519,1)&gt;=1,$B519&gt;='112'!$N$8,$B519&lt;='112'!$O$8,OR($L519='112'!$I$6,$M519='112'!$I$6))),"x",""))</f>
        <v/>
      </c>
      <c r="S519" s="22" t="str">
        <f>IF(ISERROR(FIND('112'!$M$9,G519,1)),"",IF((AND(LEFT(G519,2)=LEFT('112'!$M$9,2),B519&lt;'112'!$N$8,$L519='112'!$I$6)),"x",""))</f>
        <v/>
      </c>
      <c r="T519" s="22" t="str">
        <f>IF(ISERROR(FIND('112'!$M$9,G519,1)),"",IF((AND(RIGHT(G519,2)=RIGHT('112'!$M$9,2),B519&lt;'112'!$N$8,$M519='112'!$I$6)),"x",""))</f>
        <v/>
      </c>
      <c r="U519" s="22" t="str">
        <f>IF(AND(B519&gt;='IN-NX'!$P$3,B519&lt;='IN-NX'!$Q$3,'IN-NX'!$D$7=D519,OR(LEFT(L519,2)="15",AND(LEFT(M519,2)&lt;&gt;"15",LEFT(M519,2)&lt;&gt;"33"))),"x","")</f>
        <v/>
      </c>
      <c r="V519" s="22" t="str">
        <f>IF(AND(OR(LEFT(TH!L519,2)="15",LEFT(TH!M519,2)="15"),'152-CT'!$J$8=TH!F519),"x","")</f>
        <v/>
      </c>
      <c r="W519" s="22" t="str">
        <f>IF(AND(OR(LEFT(TH!L519,2)="15",LEFT(TH!M519,2)="15"),TK!$E$7=TH!F519),"x","")</f>
        <v/>
      </c>
      <c r="X519" s="22" t="str">
        <f>IF(OR(TH!L519=TH!$X$7,M519=TH!$X$7),"x","")</f>
        <v/>
      </c>
      <c r="Y519" s="22" t="str">
        <f>IF(AND(B519&lt;=NKC!$N$8,B519&gt;=NKC!$M$8),"x","")</f>
        <v/>
      </c>
      <c r="Z519" s="580"/>
      <c r="AA519" s="406"/>
      <c r="AB519" s="406"/>
      <c r="AC519" s="406"/>
    </row>
    <row r="520" spans="1:31" s="130" customFormat="1" ht="15.75" customHeight="1">
      <c r="A520" s="123" t="str">
        <f>IF(B520&lt;&gt;"",IF(AND(B520&gt;=_TM1,B520&lt;=_TM2,OR(TH!L520="1111",TH!M520="1111")),TH!D520,""),"")</f>
        <v/>
      </c>
      <c r="B520" s="12">
        <f t="shared" si="17"/>
        <v>11</v>
      </c>
      <c r="C520" s="108">
        <f t="shared" si="18"/>
        <v>42683</v>
      </c>
      <c r="D520" s="108" t="s">
        <v>564</v>
      </c>
      <c r="E520" s="113">
        <v>42683</v>
      </c>
      <c r="F520" s="112" t="s">
        <v>496</v>
      </c>
      <c r="G520" s="303" t="s">
        <v>768</v>
      </c>
      <c r="H520" s="4" t="s">
        <v>623</v>
      </c>
      <c r="I520" s="140"/>
      <c r="J520" s="140"/>
      <c r="K520" s="13">
        <v>517240</v>
      </c>
      <c r="L520" s="116" t="s">
        <v>252</v>
      </c>
      <c r="M520" s="411" t="s">
        <v>352</v>
      </c>
      <c r="N520" s="22" t="str">
        <f>IF(AND('331-CT'!$E$7=TH!H520,OR(L520="331",M520="331")),"331",IF(AND(OR(L520="131",M520="131"),H520='131-CT'!$E$7),"131",""))</f>
        <v/>
      </c>
      <c r="O520" s="22" t="str">
        <f>IF(AND($B520&gt;='111'!$N$11,$B520&lt;='111'!$O$11,OR($L520=$O$7,$M520=$O$7)),"x","")</f>
        <v/>
      </c>
      <c r="P520" s="22" t="str">
        <f>IF(AND($L520=$O$7,$B520&lt;'111'!$N$11),"x","")</f>
        <v/>
      </c>
      <c r="Q520" s="22" t="str">
        <f>IF(AND($M520=$O$7,$B520&lt;'111'!$N$11),"x","")</f>
        <v/>
      </c>
      <c r="R520" s="22" t="str">
        <f>IF(ISERROR(FIND('112'!$M$9,G520,1)),"",IF((AND(FIND('112'!$M$9,G520,1)&gt;=1,$B520&gt;='112'!$N$8,$B520&lt;='112'!$O$8,OR($L520='112'!$I$6,$M520='112'!$I$6))),"x",""))</f>
        <v/>
      </c>
      <c r="S520" s="22" t="str">
        <f>IF(ISERROR(FIND('112'!$M$9,G520,1)),"",IF((AND(LEFT(G520,2)=LEFT('112'!$M$9,2),B520&lt;'112'!$N$8,$L520='112'!$I$6)),"x",""))</f>
        <v/>
      </c>
      <c r="T520" s="22" t="str">
        <f>IF(ISERROR(FIND('112'!$M$9,G520,1)),"",IF((AND(RIGHT(G520,2)=RIGHT('112'!$M$9,2),B520&lt;'112'!$N$8,$M520='112'!$I$6)),"x",""))</f>
        <v/>
      </c>
      <c r="U520" s="22" t="str">
        <f>IF(AND(B520&gt;='IN-NX'!$P$3,B520&lt;='IN-NX'!$Q$3,'IN-NX'!$D$7=D520,OR(LEFT(L520,2)="15",AND(LEFT(M520,2)&lt;&gt;"15",LEFT(M520,2)&lt;&gt;"33"))),"x","")</f>
        <v/>
      </c>
      <c r="V520" s="22" t="str">
        <f>IF(AND(OR(LEFT(TH!L520,2)="15",LEFT(TH!M520,2)="15"),'152-CT'!$J$8=TH!F520),"x","")</f>
        <v/>
      </c>
      <c r="W520" s="22" t="str">
        <f>IF(AND(OR(LEFT(TH!L520,2)="15",LEFT(TH!M520,2)="15"),TK!$E$7=TH!F520),"x","")</f>
        <v/>
      </c>
      <c r="X520" s="22" t="str">
        <f>IF(OR(TH!L520=TH!$X$7,M520=TH!$X$7),"x","")</f>
        <v/>
      </c>
      <c r="Y520" s="22" t="str">
        <f>IF(AND(B520&lt;=NKC!$N$8,B520&gt;=NKC!$M$8),"x","")</f>
        <v/>
      </c>
      <c r="Z520" s="580"/>
      <c r="AA520" s="406"/>
      <c r="AB520" s="406"/>
      <c r="AC520" s="406"/>
    </row>
    <row r="521" spans="1:31" s="130" customFormat="1" ht="15.75" customHeight="1">
      <c r="A521" s="123" t="str">
        <f>IF(B521&lt;&gt;"",IF(AND(B521&gt;=_TM1,B521&lt;=_TM2,OR(TH!L521="1111",TH!M521="1111")),TH!D521,""),"")</f>
        <v/>
      </c>
      <c r="B521" s="12">
        <f t="shared" si="17"/>
        <v>11</v>
      </c>
      <c r="C521" s="108">
        <f t="shared" si="18"/>
        <v>42683</v>
      </c>
      <c r="D521" s="108" t="s">
        <v>565</v>
      </c>
      <c r="E521" s="113">
        <v>42683</v>
      </c>
      <c r="F521" s="112" t="s">
        <v>813</v>
      </c>
      <c r="G521" s="303" t="s">
        <v>811</v>
      </c>
      <c r="H521" s="4" t="s">
        <v>814</v>
      </c>
      <c r="I521" s="139">
        <v>4000</v>
      </c>
      <c r="J521" s="139">
        <v>4500</v>
      </c>
      <c r="K521" s="13">
        <f>ROUND(I521*J521,0)</f>
        <v>18000000</v>
      </c>
      <c r="L521" s="116" t="s">
        <v>252</v>
      </c>
      <c r="M521" s="411" t="s">
        <v>169</v>
      </c>
      <c r="N521" s="22" t="str">
        <f>IF(AND('331-CT'!$E$7=TH!H521,OR(L521="331",M521="331")),"331",IF(AND(OR(L521="131",M521="131"),H521='131-CT'!$E$7),"131",""))</f>
        <v/>
      </c>
      <c r="O521" s="22" t="str">
        <f>IF(AND($B521&gt;='111'!$N$11,$B521&lt;='111'!$O$11,OR($L521=$O$7,$M521=$O$7)),"x","")</f>
        <v/>
      </c>
      <c r="P521" s="22" t="str">
        <f>IF(AND($L521=$O$7,$B521&lt;'111'!$N$11),"x","")</f>
        <v/>
      </c>
      <c r="Q521" s="22" t="str">
        <f>IF(AND($M521=$O$7,$B521&lt;'111'!$N$11),"x","")</f>
        <v/>
      </c>
      <c r="R521" s="22" t="str">
        <f>IF(ISERROR(FIND('112'!$M$9,G521,1)),"",IF((AND(FIND('112'!$M$9,G521,1)&gt;=1,$B521&gt;='112'!$N$8,$B521&lt;='112'!$O$8,OR($L521='112'!$I$6,$M521='112'!$I$6))),"x",""))</f>
        <v/>
      </c>
      <c r="S521" s="22" t="str">
        <f>IF(ISERROR(FIND('112'!$M$9,G521,1)),"",IF((AND(LEFT(G521,2)=LEFT('112'!$M$9,2),B521&lt;'112'!$N$8,$L521='112'!$I$6)),"x",""))</f>
        <v/>
      </c>
      <c r="T521" s="22" t="str">
        <f>IF(ISERROR(FIND('112'!$M$9,G521,1)),"",IF((AND(RIGHT(G521,2)=RIGHT('112'!$M$9,2),B521&lt;'112'!$N$8,$M521='112'!$I$6)),"x",""))</f>
        <v/>
      </c>
      <c r="U521" s="22" t="str">
        <f>IF(AND(B521&gt;='IN-NX'!$P$3,B521&lt;='IN-NX'!$Q$3,'IN-NX'!$D$7=D521,OR(LEFT(L521,2)="15",AND(LEFT(M521,2)&lt;&gt;"15",LEFT(M521,2)&lt;&gt;"33"))),"x","")</f>
        <v/>
      </c>
      <c r="V521" s="22" t="str">
        <f>IF(AND(OR(LEFT(TH!L521,2)="15",LEFT(TH!M521,2)="15"),'152-CT'!$J$8=TH!F521),"x","")</f>
        <v/>
      </c>
      <c r="W521" s="22" t="str">
        <f>IF(AND(OR(LEFT(TH!L521,2)="15",LEFT(TH!M521,2)="15"),TK!$E$7=TH!F521),"x","")</f>
        <v/>
      </c>
      <c r="X521" s="22" t="str">
        <f>IF(OR(TH!L521=TH!$X$7,M521=TH!$X$7),"x","")</f>
        <v/>
      </c>
      <c r="Y521" s="22" t="str">
        <f>IF(AND(B521&lt;=NKC!$N$8,B521&gt;=NKC!$M$8),"x","")</f>
        <v/>
      </c>
      <c r="Z521" s="580"/>
      <c r="AA521" s="406"/>
      <c r="AB521" s="406"/>
      <c r="AC521" s="406"/>
    </row>
    <row r="522" spans="1:31" s="130" customFormat="1" ht="15.75" customHeight="1">
      <c r="A522" s="123" t="str">
        <f>IF(B522&lt;&gt;"",IF(AND(B522&gt;=_TM1,B522&lt;=_TM2,OR(TH!L522="1111",TH!M522="1111")),TH!D522,""),"")</f>
        <v/>
      </c>
      <c r="B522" s="12">
        <f t="shared" si="17"/>
        <v>11</v>
      </c>
      <c r="C522" s="108">
        <f t="shared" si="18"/>
        <v>42683</v>
      </c>
      <c r="D522" s="108" t="s">
        <v>565</v>
      </c>
      <c r="E522" s="113">
        <v>42683</v>
      </c>
      <c r="F522" s="112" t="s">
        <v>496</v>
      </c>
      <c r="G522" s="303" t="s">
        <v>811</v>
      </c>
      <c r="H522" s="4" t="s">
        <v>814</v>
      </c>
      <c r="I522" s="140"/>
      <c r="J522" s="140"/>
      <c r="K522" s="13">
        <v>1800000</v>
      </c>
      <c r="L522" s="116" t="s">
        <v>252</v>
      </c>
      <c r="M522" s="411" t="s">
        <v>352</v>
      </c>
      <c r="N522" s="22" t="str">
        <f>IF(AND('331-CT'!$E$7=TH!H522,OR(L522="331",M522="331")),"331",IF(AND(OR(L522="131",M522="131"),H522='131-CT'!$E$7),"131",""))</f>
        <v/>
      </c>
      <c r="O522" s="22" t="str">
        <f>IF(AND($B522&gt;='111'!$N$11,$B522&lt;='111'!$O$11,OR($L522=$O$7,$M522=$O$7)),"x","")</f>
        <v/>
      </c>
      <c r="P522" s="22" t="str">
        <f>IF(AND($L522=$O$7,$B522&lt;'111'!$N$11),"x","")</f>
        <v/>
      </c>
      <c r="Q522" s="22" t="str">
        <f>IF(AND($M522=$O$7,$B522&lt;'111'!$N$11),"x","")</f>
        <v/>
      </c>
      <c r="R522" s="22" t="str">
        <f>IF(ISERROR(FIND('112'!$M$9,G522,1)),"",IF((AND(FIND('112'!$M$9,G522,1)&gt;=1,$B522&gt;='112'!$N$8,$B522&lt;='112'!$O$8,OR($L522='112'!$I$6,$M522='112'!$I$6))),"x",""))</f>
        <v/>
      </c>
      <c r="S522" s="22" t="str">
        <f>IF(ISERROR(FIND('112'!$M$9,G522,1)),"",IF((AND(LEFT(G522,2)=LEFT('112'!$M$9,2),B522&lt;'112'!$N$8,$L522='112'!$I$6)),"x",""))</f>
        <v/>
      </c>
      <c r="T522" s="22" t="str">
        <f>IF(ISERROR(FIND('112'!$M$9,G522,1)),"",IF((AND(RIGHT(G522,2)=RIGHT('112'!$M$9,2),B522&lt;'112'!$N$8,$M522='112'!$I$6)),"x",""))</f>
        <v/>
      </c>
      <c r="U522" s="22" t="str">
        <f>IF(AND(B522&gt;='IN-NX'!$P$3,B522&lt;='IN-NX'!$Q$3,'IN-NX'!$D$7=D522,OR(LEFT(L522,2)="15",AND(LEFT(M522,2)&lt;&gt;"15",LEFT(M522,2)&lt;&gt;"33"))),"x","")</f>
        <v/>
      </c>
      <c r="V522" s="22" t="str">
        <f>IF(AND(OR(LEFT(TH!L522,2)="15",LEFT(TH!M522,2)="15"),'152-CT'!$J$8=TH!F522),"x","")</f>
        <v/>
      </c>
      <c r="W522" s="22" t="str">
        <f>IF(AND(OR(LEFT(TH!L522,2)="15",LEFT(TH!M522,2)="15"),TK!$E$7=TH!F522),"x","")</f>
        <v/>
      </c>
      <c r="X522" s="22" t="str">
        <f>IF(OR(TH!L522=TH!$X$7,M522=TH!$X$7),"x","")</f>
        <v/>
      </c>
      <c r="Y522" s="22" t="str">
        <f>IF(AND(B522&lt;=NKC!$N$8,B522&gt;=NKC!$M$8),"x","")</f>
        <v/>
      </c>
      <c r="Z522" s="580"/>
      <c r="AA522" s="406"/>
      <c r="AB522" s="406"/>
      <c r="AC522" s="406"/>
    </row>
    <row r="523" spans="1:31" s="130" customFormat="1" ht="15.75" customHeight="1">
      <c r="A523" s="123" t="str">
        <f>IF(B523&lt;&gt;"",IF(AND(B523&gt;=_TM1,B523&lt;=_TM2,OR(TH!L523="1111",TH!M523="1111")),TH!D523,""),"")</f>
        <v>T09</v>
      </c>
      <c r="B523" s="12">
        <f t="shared" si="17"/>
        <v>11</v>
      </c>
      <c r="C523" s="108">
        <f t="shared" si="18"/>
        <v>42683</v>
      </c>
      <c r="D523" s="108" t="s">
        <v>993</v>
      </c>
      <c r="E523" s="113">
        <v>42683</v>
      </c>
      <c r="F523" s="114" t="s">
        <v>484</v>
      </c>
      <c r="G523" s="303" t="s">
        <v>811</v>
      </c>
      <c r="H523" s="4" t="s">
        <v>814</v>
      </c>
      <c r="I523" s="140"/>
      <c r="J523" s="140"/>
      <c r="K523" s="13">
        <v>19800000</v>
      </c>
      <c r="L523" s="116" t="s">
        <v>46</v>
      </c>
      <c r="M523" s="411" t="s">
        <v>252</v>
      </c>
      <c r="N523" s="22" t="str">
        <f>IF(AND('331-CT'!$E$7=TH!H523,OR(L523="331",M523="331")),"331",IF(AND(OR(L523="131",M523="131"),H523='131-CT'!$E$7),"131",""))</f>
        <v/>
      </c>
      <c r="O523" s="22" t="str">
        <f>IF(AND($B523&gt;='111'!$N$11,$B523&lt;='111'!$O$11,OR($L523=$O$7,$M523=$O$7)),"x","")</f>
        <v>x</v>
      </c>
      <c r="P523" s="22" t="str">
        <f>IF(AND($L523=$O$7,$B523&lt;'111'!$N$11),"x","")</f>
        <v/>
      </c>
      <c r="Q523" s="22" t="str">
        <f>IF(AND($M523=$O$7,$B523&lt;'111'!$N$11),"x","")</f>
        <v/>
      </c>
      <c r="R523" s="22" t="str">
        <f>IF(ISERROR(FIND('112'!$M$9,G523,1)),"",IF((AND(FIND('112'!$M$9,G523,1)&gt;=1,$B523&gt;='112'!$N$8,$B523&lt;='112'!$O$8,OR($L523='112'!$I$6,$M523='112'!$I$6))),"x",""))</f>
        <v/>
      </c>
      <c r="S523" s="22" t="str">
        <f>IF(ISERROR(FIND('112'!$M$9,G523,1)),"",IF((AND(LEFT(G523,2)=LEFT('112'!$M$9,2),B523&lt;'112'!$N$8,$L523='112'!$I$6)),"x",""))</f>
        <v/>
      </c>
      <c r="T523" s="22" t="str">
        <f>IF(ISERROR(FIND('112'!$M$9,G523,1)),"",IF((AND(RIGHT(G523,2)=RIGHT('112'!$M$9,2),B523&lt;'112'!$N$8,$M523='112'!$I$6)),"x",""))</f>
        <v/>
      </c>
      <c r="U523" s="22" t="str">
        <f>IF(AND(B523&gt;='IN-NX'!$P$3,B523&lt;='IN-NX'!$Q$3,'IN-NX'!$D$7=D523,OR(LEFT(L523,2)="15",AND(LEFT(M523,2)&lt;&gt;"15",LEFT(M523,2)&lt;&gt;"33"))),"x","")</f>
        <v/>
      </c>
      <c r="V523" s="22" t="str">
        <f>IF(AND(OR(LEFT(TH!L523,2)="15",LEFT(TH!M523,2)="15"),'152-CT'!$J$8=TH!F523),"x","")</f>
        <v/>
      </c>
      <c r="W523" s="22" t="str">
        <f>IF(AND(OR(LEFT(TH!L523,2)="15",LEFT(TH!M523,2)="15"),TK!$E$7=TH!F523),"x","")</f>
        <v/>
      </c>
      <c r="X523" s="22" t="str">
        <f>IF(OR(TH!L523=TH!$X$7,M523=TH!$X$7),"x","")</f>
        <v/>
      </c>
      <c r="Y523" s="22" t="str">
        <f>IF(AND(B523&lt;=NKC!$N$8,B523&gt;=NKC!$M$8),"x","")</f>
        <v/>
      </c>
      <c r="Z523" s="580"/>
      <c r="AA523" s="406"/>
      <c r="AB523" s="406"/>
      <c r="AC523" s="406"/>
    </row>
    <row r="524" spans="1:31" s="130" customFormat="1" ht="15.75" customHeight="1">
      <c r="A524" s="123" t="str">
        <f>IF(B524&lt;&gt;"",IF(AND(B524&gt;=_TM1,B524&lt;=_TM2,OR(TH!L524="1111",TH!M524="1111")),TH!D524,""),"")</f>
        <v/>
      </c>
      <c r="B524" s="12">
        <f t="shared" si="17"/>
        <v>11</v>
      </c>
      <c r="C524" s="108">
        <f t="shared" si="18"/>
        <v>42683</v>
      </c>
      <c r="D524" s="113" t="s">
        <v>1079</v>
      </c>
      <c r="E524" s="113">
        <v>42683</v>
      </c>
      <c r="F524" s="112" t="s">
        <v>783</v>
      </c>
      <c r="G524" s="305" t="s">
        <v>704</v>
      </c>
      <c r="H524" s="115" t="s">
        <v>1077</v>
      </c>
      <c r="I524" s="139">
        <v>10552</v>
      </c>
      <c r="J524" s="139">
        <v>7800</v>
      </c>
      <c r="K524" s="13">
        <f>ROUND(I524*J524,0)</f>
        <v>82305600</v>
      </c>
      <c r="L524" s="116" t="s">
        <v>154</v>
      </c>
      <c r="M524" s="116" t="s">
        <v>8</v>
      </c>
      <c r="N524" s="22" t="str">
        <f>IF(AND('331-CT'!$E$7=TH!H524,OR(L524="331",M524="331")),"331",IF(AND(OR(L524="131",M524="131"),H524='131-CT'!$E$7),"131",""))</f>
        <v/>
      </c>
      <c r="O524" s="22" t="str">
        <f>IF(AND($B524&gt;='111'!$N$11,$B524&lt;='111'!$O$11,OR($L524=$O$7,$M524=$O$7)),"x","")</f>
        <v/>
      </c>
      <c r="P524" s="22" t="str">
        <f>IF(AND($L524=$O$7,$B524&lt;'111'!$N$11),"x","")</f>
        <v/>
      </c>
      <c r="Q524" s="22" t="str">
        <f>IF(AND($M524=$O$7,$B524&lt;'111'!$N$11),"x","")</f>
        <v/>
      </c>
      <c r="R524" s="22" t="str">
        <f>IF(ISERROR(FIND('112'!$M$9,G524,1)),"",IF((AND(FIND('112'!$M$9,G524,1)&gt;=1,$B524&gt;='112'!$N$8,$B524&lt;='112'!$O$8,OR($L524='112'!$I$6,$M524='112'!$I$6))),"x",""))</f>
        <v/>
      </c>
      <c r="S524" s="22" t="str">
        <f>IF(ISERROR(FIND('112'!$M$9,G524,1)),"",IF((AND(LEFT(G524,2)=LEFT('112'!$M$9,2),B524&lt;'112'!$N$8,$L524='112'!$I$6)),"x",""))</f>
        <v/>
      </c>
      <c r="T524" s="22" t="str">
        <f>IF(ISERROR(FIND('112'!$M$9,G524,1)),"",IF((AND(RIGHT(G524,2)=RIGHT('112'!$M$9,2),B524&lt;'112'!$N$8,$M524='112'!$I$6)),"x",""))</f>
        <v/>
      </c>
      <c r="U524" s="22" t="str">
        <f>IF(AND(B524&gt;='IN-NX'!$P$3,B524&lt;='IN-NX'!$Q$3,'IN-NX'!$D$7=D524,OR(LEFT(L524,2)="15",AND(LEFT(M524,2)&lt;&gt;"15",LEFT(M524,2)&lt;&gt;"33"))),"x","")</f>
        <v/>
      </c>
      <c r="V524" s="22" t="str">
        <f>IF(AND(OR(LEFT(TH!L524,2)="15",LEFT(TH!M524,2)="15"),'152-CT'!$J$8=TH!F524),"x","")</f>
        <v>x</v>
      </c>
      <c r="W524" s="22" t="str">
        <f>IF(AND(OR(LEFT(TH!L524,2)="15",LEFT(TH!M524,2)="15"),TK!$E$7=TH!F524),"x","")</f>
        <v/>
      </c>
      <c r="X524" s="22" t="str">
        <f>IF(OR(TH!L524=TH!$X$7,M524=TH!$X$7),"x","")</f>
        <v/>
      </c>
      <c r="Y524" s="22" t="str">
        <f>IF(AND(B524&lt;=NKC!$N$8,B524&gt;=NKC!$M$8),"x","")</f>
        <v/>
      </c>
      <c r="Z524" s="580">
        <v>4</v>
      </c>
      <c r="AA524" s="406"/>
      <c r="AB524" s="406"/>
    </row>
    <row r="525" spans="1:31" s="130" customFormat="1" ht="15.75" customHeight="1">
      <c r="A525" s="123" t="str">
        <f>IF(B525&lt;&gt;"",IF(AND(B525&gt;=_TM1,B525&lt;=_TM2,OR(TH!L525="1111",TH!M525="1111")),TH!D525,""),"")</f>
        <v/>
      </c>
      <c r="B525" s="12">
        <f t="shared" si="17"/>
        <v>11</v>
      </c>
      <c r="C525" s="108">
        <f t="shared" si="18"/>
        <v>42683</v>
      </c>
      <c r="D525" s="113" t="s">
        <v>1079</v>
      </c>
      <c r="E525" s="113">
        <v>42683</v>
      </c>
      <c r="F525" s="112" t="s">
        <v>376</v>
      </c>
      <c r="G525" s="305" t="s">
        <v>704</v>
      </c>
      <c r="H525" s="115" t="s">
        <v>1077</v>
      </c>
      <c r="I525" s="139"/>
      <c r="J525" s="139"/>
      <c r="K525" s="13">
        <v>8230560</v>
      </c>
      <c r="L525" s="116" t="s">
        <v>9</v>
      </c>
      <c r="M525" s="116" t="s">
        <v>8</v>
      </c>
      <c r="N525" s="22" t="str">
        <f>IF(AND('331-CT'!$E$7=TH!H525,OR(L525="331",M525="331")),"331",IF(AND(OR(L525="131",M525="131"),H525='131-CT'!$E$7),"131",""))</f>
        <v/>
      </c>
      <c r="O525" s="22" t="str">
        <f>IF(AND($B525&gt;='111'!$N$11,$B525&lt;='111'!$O$11,OR($L525=$O$7,$M525=$O$7)),"x","")</f>
        <v/>
      </c>
      <c r="P525" s="22" t="str">
        <f>IF(AND($L525=$O$7,$B525&lt;'111'!$N$11),"x","")</f>
        <v/>
      </c>
      <c r="Q525" s="22" t="str">
        <f>IF(AND($M525=$O$7,$B525&lt;'111'!$N$11),"x","")</f>
        <v/>
      </c>
      <c r="R525" s="22" t="str">
        <f>IF(ISERROR(FIND('112'!$M$9,G525,1)),"",IF((AND(FIND('112'!$M$9,G525,1)&gt;=1,$B525&gt;='112'!$N$8,$B525&lt;='112'!$O$8,OR($L525='112'!$I$6,$M525='112'!$I$6))),"x",""))</f>
        <v/>
      </c>
      <c r="S525" s="22" t="str">
        <f>IF(ISERROR(FIND('112'!$M$9,G525,1)),"",IF((AND(LEFT(G525,2)=LEFT('112'!$M$9,2),B525&lt;'112'!$N$8,$L525='112'!$I$6)),"x",""))</f>
        <v/>
      </c>
      <c r="T525" s="22" t="str">
        <f>IF(ISERROR(FIND('112'!$M$9,G525,1)),"",IF((AND(RIGHT(G525,2)=RIGHT('112'!$M$9,2),B525&lt;'112'!$N$8,$M525='112'!$I$6)),"x",""))</f>
        <v/>
      </c>
      <c r="U525" s="22" t="str">
        <f>IF(AND(B525&gt;='IN-NX'!$P$3,B525&lt;='IN-NX'!$Q$3,'IN-NX'!$D$7=D525,OR(LEFT(L525,2)="15",AND(LEFT(M525,2)&lt;&gt;"15",LEFT(M525,2)&lt;&gt;"33"))),"x","")</f>
        <v/>
      </c>
      <c r="V525" s="22" t="str">
        <f>IF(AND(OR(LEFT(TH!L525,2)="15",LEFT(TH!M525,2)="15"),'152-CT'!$J$8=TH!F525),"x","")</f>
        <v/>
      </c>
      <c r="W525" s="22" t="str">
        <f>IF(AND(OR(LEFT(TH!L525,2)="15",LEFT(TH!M525,2)="15"),TK!$E$7=TH!F525),"x","")</f>
        <v/>
      </c>
      <c r="X525" s="22" t="str">
        <f>IF(OR(TH!L525=TH!$X$7,M525=TH!$X$7),"x","")</f>
        <v/>
      </c>
      <c r="Y525" s="22" t="str">
        <f>IF(AND(B525&lt;=NKC!$N$8,B525&gt;=NKC!$M$8),"x","")</f>
        <v/>
      </c>
      <c r="Z525" s="580">
        <v>4</v>
      </c>
      <c r="AA525" s="406"/>
      <c r="AB525" s="406"/>
    </row>
    <row r="526" spans="1:31" s="130" customFormat="1" ht="15.75" customHeight="1">
      <c r="A526" s="123" t="str">
        <f>IF(B526&lt;&gt;"",IF(AND(B526&gt;=_TM1,B526&lt;=_TM2,OR(TH!L526="1111",TH!M526="1111")),TH!D526,""),"")</f>
        <v/>
      </c>
      <c r="B526" s="12">
        <f t="shared" si="17"/>
        <v>11</v>
      </c>
      <c r="C526" s="108">
        <f t="shared" si="18"/>
        <v>42683</v>
      </c>
      <c r="D526" s="113" t="s">
        <v>1080</v>
      </c>
      <c r="E526" s="113">
        <v>42683</v>
      </c>
      <c r="F526" s="112" t="s">
        <v>783</v>
      </c>
      <c r="G526" s="305" t="s">
        <v>1078</v>
      </c>
      <c r="H526" s="115" t="s">
        <v>1077</v>
      </c>
      <c r="I526" s="139">
        <v>5676</v>
      </c>
      <c r="J526" s="139">
        <v>7800</v>
      </c>
      <c r="K526" s="13">
        <f>ROUND(I526*J526,0)</f>
        <v>44272800</v>
      </c>
      <c r="L526" s="116" t="s">
        <v>154</v>
      </c>
      <c r="M526" s="116" t="s">
        <v>8</v>
      </c>
      <c r="N526" s="22" t="str">
        <f>IF(AND('331-CT'!$E$7=TH!H526,OR(L526="331",M526="331")),"331",IF(AND(OR(L526="131",M526="131"),H526='131-CT'!$E$7),"131",""))</f>
        <v/>
      </c>
      <c r="O526" s="22" t="str">
        <f>IF(AND($B526&gt;='111'!$N$11,$B526&lt;='111'!$O$11,OR($L526=$O$7,$M526=$O$7)),"x","")</f>
        <v/>
      </c>
      <c r="P526" s="22" t="str">
        <f>IF(AND($L526=$O$7,$B526&lt;'111'!$N$11),"x","")</f>
        <v/>
      </c>
      <c r="Q526" s="22" t="str">
        <f>IF(AND($M526=$O$7,$B526&lt;'111'!$N$11),"x","")</f>
        <v/>
      </c>
      <c r="R526" s="22" t="str">
        <f>IF(ISERROR(FIND('112'!$M$9,G526,1)),"",IF((AND(FIND('112'!$M$9,G526,1)&gt;=1,$B526&gt;='112'!$N$8,$B526&lt;='112'!$O$8,OR($L526='112'!$I$6,$M526='112'!$I$6))),"x",""))</f>
        <v/>
      </c>
      <c r="S526" s="22" t="str">
        <f>IF(ISERROR(FIND('112'!$M$9,G526,1)),"",IF((AND(LEFT(G526,2)=LEFT('112'!$M$9,2),B526&lt;'112'!$N$8,$L526='112'!$I$6)),"x",""))</f>
        <v/>
      </c>
      <c r="T526" s="22" t="str">
        <f>IF(ISERROR(FIND('112'!$M$9,G526,1)),"",IF((AND(RIGHT(G526,2)=RIGHT('112'!$M$9,2),B526&lt;'112'!$N$8,$M526='112'!$I$6)),"x",""))</f>
        <v/>
      </c>
      <c r="U526" s="22" t="str">
        <f>IF(AND(B526&gt;='IN-NX'!$P$3,B526&lt;='IN-NX'!$Q$3,'IN-NX'!$D$7=D526,OR(LEFT(L526,2)="15",AND(LEFT(M526,2)&lt;&gt;"15",LEFT(M526,2)&lt;&gt;"33"))),"x","")</f>
        <v/>
      </c>
      <c r="V526" s="22" t="str">
        <f>IF(AND(OR(LEFT(TH!L526,2)="15",LEFT(TH!M526,2)="15"),'152-CT'!$J$8=TH!F526),"x","")</f>
        <v>x</v>
      </c>
      <c r="W526" s="22" t="str">
        <f>IF(AND(OR(LEFT(TH!L526,2)="15",LEFT(TH!M526,2)="15"),TK!$E$7=TH!F526),"x","")</f>
        <v/>
      </c>
      <c r="X526" s="22" t="str">
        <f>IF(OR(TH!L526=TH!$X$7,M526=TH!$X$7),"x","")</f>
        <v/>
      </c>
      <c r="Y526" s="22" t="str">
        <f>IF(AND(B526&lt;=NKC!$N$8,B526&gt;=NKC!$M$8),"x","")</f>
        <v/>
      </c>
      <c r="Z526" s="580">
        <v>4</v>
      </c>
      <c r="AA526" s="406"/>
      <c r="AB526" s="406"/>
    </row>
    <row r="527" spans="1:31" s="130" customFormat="1" ht="15.75" customHeight="1">
      <c r="A527" s="123" t="str">
        <f>IF(B527&lt;&gt;"",IF(AND(B527&gt;=_TM1,B527&lt;=_TM2,OR(TH!L527="1111",TH!M527="1111")),TH!D527,""),"")</f>
        <v/>
      </c>
      <c r="B527" s="12">
        <f t="shared" si="17"/>
        <v>11</v>
      </c>
      <c r="C527" s="108">
        <f t="shared" si="18"/>
        <v>42683</v>
      </c>
      <c r="D527" s="113" t="s">
        <v>1080</v>
      </c>
      <c r="E527" s="113">
        <v>42683</v>
      </c>
      <c r="F527" s="112" t="s">
        <v>376</v>
      </c>
      <c r="G527" s="305" t="s">
        <v>1078</v>
      </c>
      <c r="H527" s="115" t="s">
        <v>1077</v>
      </c>
      <c r="I527" s="139"/>
      <c r="J527" s="139"/>
      <c r="K527" s="13">
        <v>4427280</v>
      </c>
      <c r="L527" s="116" t="s">
        <v>9</v>
      </c>
      <c r="M527" s="116" t="s">
        <v>8</v>
      </c>
      <c r="N527" s="22" t="str">
        <f>IF(AND('331-CT'!$E$7=TH!H527,OR(L527="331",M527="331")),"331",IF(AND(OR(L527="131",M527="131"),H527='131-CT'!$E$7),"131",""))</f>
        <v/>
      </c>
      <c r="O527" s="22" t="str">
        <f>IF(AND($B527&gt;='111'!$N$11,$B527&lt;='111'!$O$11,OR($L527=$O$7,$M527=$O$7)),"x","")</f>
        <v/>
      </c>
      <c r="P527" s="22" t="str">
        <f>IF(AND($L527=$O$7,$B527&lt;'111'!$N$11),"x","")</f>
        <v/>
      </c>
      <c r="Q527" s="22" t="str">
        <f>IF(AND($M527=$O$7,$B527&lt;'111'!$N$11),"x","")</f>
        <v/>
      </c>
      <c r="R527" s="22" t="str">
        <f>IF(ISERROR(FIND('112'!$M$9,G527,1)),"",IF((AND(FIND('112'!$M$9,G527,1)&gt;=1,$B527&gt;='112'!$N$8,$B527&lt;='112'!$O$8,OR($L527='112'!$I$6,$M527='112'!$I$6))),"x",""))</f>
        <v/>
      </c>
      <c r="S527" s="22" t="str">
        <f>IF(ISERROR(FIND('112'!$M$9,G527,1)),"",IF((AND(LEFT(G527,2)=LEFT('112'!$M$9,2),B527&lt;'112'!$N$8,$L527='112'!$I$6)),"x",""))</f>
        <v/>
      </c>
      <c r="T527" s="22" t="str">
        <f>IF(ISERROR(FIND('112'!$M$9,G527,1)),"",IF((AND(RIGHT(G527,2)=RIGHT('112'!$M$9,2),B527&lt;'112'!$N$8,$M527='112'!$I$6)),"x",""))</f>
        <v/>
      </c>
      <c r="U527" s="22" t="str">
        <f>IF(AND(B527&gt;='IN-NX'!$P$3,B527&lt;='IN-NX'!$Q$3,'IN-NX'!$D$7=D527,OR(LEFT(L527,2)="15",AND(LEFT(M527,2)&lt;&gt;"15",LEFT(M527,2)&lt;&gt;"33"))),"x","")</f>
        <v/>
      </c>
      <c r="V527" s="22" t="str">
        <f>IF(AND(OR(LEFT(TH!L527,2)="15",LEFT(TH!M527,2)="15"),'152-CT'!$J$8=TH!F527),"x","")</f>
        <v/>
      </c>
      <c r="W527" s="22" t="str">
        <f>IF(AND(OR(LEFT(TH!L527,2)="15",LEFT(TH!M527,2)="15"),TK!$E$7=TH!F527),"x","")</f>
        <v/>
      </c>
      <c r="X527" s="22" t="str">
        <f>IF(OR(TH!L527=TH!$X$7,M527=TH!$X$7),"x","")</f>
        <v/>
      </c>
      <c r="Y527" s="22" t="str">
        <f>IF(AND(B527&lt;=NKC!$N$8,B527&gt;=NKC!$M$8),"x","")</f>
        <v/>
      </c>
      <c r="Z527" s="580">
        <v>4</v>
      </c>
      <c r="AA527" s="406"/>
      <c r="AB527" s="406"/>
    </row>
    <row r="528" spans="1:31" s="130" customFormat="1" ht="15.75" customHeight="1">
      <c r="A528" s="123" t="str">
        <f>IF(B528&lt;&gt;"",IF(AND(B528&gt;=_TM1,B528&lt;=_TM2,OR(TH!L528="1111",TH!M528="1111")),TH!D528,""),"")</f>
        <v/>
      </c>
      <c r="B528" s="12">
        <f t="shared" si="17"/>
        <v>11</v>
      </c>
      <c r="C528" s="108">
        <f t="shared" si="18"/>
        <v>42684</v>
      </c>
      <c r="D528" s="113" t="s">
        <v>946</v>
      </c>
      <c r="E528" s="113">
        <v>42684</v>
      </c>
      <c r="F528" s="112" t="s">
        <v>864</v>
      </c>
      <c r="G528" s="305" t="s">
        <v>750</v>
      </c>
      <c r="H528" s="115" t="s">
        <v>863</v>
      </c>
      <c r="I528" s="139">
        <v>2000</v>
      </c>
      <c r="J528" s="139">
        <v>9000</v>
      </c>
      <c r="K528" s="13">
        <f>ROUND(I528*J528,0)</f>
        <v>18000000</v>
      </c>
      <c r="L528" s="116" t="s">
        <v>156</v>
      </c>
      <c r="M528" s="116" t="s">
        <v>8</v>
      </c>
      <c r="N528" s="22" t="str">
        <f>IF(AND('331-CT'!$E$7=TH!H528,OR(L528="331",M528="331")),"331",IF(AND(OR(L528="131",M528="131"),H528='131-CT'!$E$7),"131",""))</f>
        <v/>
      </c>
      <c r="O528" s="22" t="str">
        <f>IF(AND($B528&gt;='111'!$N$11,$B528&lt;='111'!$O$11,OR($L528=$O$7,$M528=$O$7)),"x","")</f>
        <v/>
      </c>
      <c r="P528" s="22" t="str">
        <f>IF(AND($L528=$O$7,$B528&lt;'111'!$N$11),"x","")</f>
        <v/>
      </c>
      <c r="Q528" s="22" t="str">
        <f>IF(AND($M528=$O$7,$B528&lt;'111'!$N$11),"x","")</f>
        <v/>
      </c>
      <c r="R528" s="22" t="str">
        <f>IF(ISERROR(FIND('112'!$M$9,G528,1)),"",IF((AND(FIND('112'!$M$9,G528,1)&gt;=1,$B528&gt;='112'!$N$8,$B528&lt;='112'!$O$8,OR($L528='112'!$I$6,$M528='112'!$I$6))),"x",""))</f>
        <v/>
      </c>
      <c r="S528" s="22" t="str">
        <f>IF(ISERROR(FIND('112'!$M$9,G528,1)),"",IF((AND(LEFT(G528,2)=LEFT('112'!$M$9,2),B528&lt;'112'!$N$8,$L528='112'!$I$6)),"x",""))</f>
        <v/>
      </c>
      <c r="T528" s="22" t="str">
        <f>IF(ISERROR(FIND('112'!$M$9,G528,1)),"",IF((AND(RIGHT(G528,2)=RIGHT('112'!$M$9,2),B528&lt;'112'!$N$8,$M528='112'!$I$6)),"x",""))</f>
        <v/>
      </c>
      <c r="U528" s="22" t="str">
        <f>IF(AND(B528&gt;='IN-NX'!$P$3,B528&lt;='IN-NX'!$Q$3,'IN-NX'!$D$7=D528,OR(LEFT(L528,2)="15",AND(LEFT(M528,2)&lt;&gt;"15",LEFT(M528,2)&lt;&gt;"33"))),"x","")</f>
        <v/>
      </c>
      <c r="V528" s="22" t="str">
        <f>IF(AND(OR(LEFT(TH!L528,2)="15",LEFT(TH!M528,2)="15"),'152-CT'!$J$8=TH!F528),"x","")</f>
        <v/>
      </c>
      <c r="W528" s="22" t="str">
        <f>IF(AND(OR(LEFT(TH!L528,2)="15",LEFT(TH!M528,2)="15"),TK!$E$7=TH!F528),"x","")</f>
        <v/>
      </c>
      <c r="X528" s="22" t="str">
        <f>IF(OR(TH!L528=TH!$X$7,M528=TH!$X$7),"x","")</f>
        <v/>
      </c>
      <c r="Y528" s="22" t="str">
        <f>IF(AND(B528&lt;=NKC!$N$8,B528&gt;=NKC!$M$8),"x","")</f>
        <v/>
      </c>
      <c r="Z528" s="580">
        <v>4</v>
      </c>
      <c r="AA528" s="406"/>
      <c r="AB528" s="406"/>
    </row>
    <row r="529" spans="1:31" s="130" customFormat="1" ht="15.75" customHeight="1">
      <c r="A529" s="123" t="str">
        <f>IF(B529&lt;&gt;"",IF(AND(B529&gt;=_TM1,B529&lt;=_TM2,OR(TH!L529="1111",TH!M529="1111")),TH!D529,""),"")</f>
        <v/>
      </c>
      <c r="B529" s="12">
        <f t="shared" ref="B529:B592" si="20">IF(C529&lt;&gt;"",MONTH(C529),"")</f>
        <v>11</v>
      </c>
      <c r="C529" s="108">
        <f t="shared" si="18"/>
        <v>42684</v>
      </c>
      <c r="D529" s="113" t="s">
        <v>946</v>
      </c>
      <c r="E529" s="113">
        <v>42684</v>
      </c>
      <c r="F529" s="112" t="s">
        <v>871</v>
      </c>
      <c r="G529" s="305" t="s">
        <v>750</v>
      </c>
      <c r="H529" s="115" t="s">
        <v>863</v>
      </c>
      <c r="I529" s="139"/>
      <c r="J529" s="139"/>
      <c r="K529" s="13">
        <v>1800000</v>
      </c>
      <c r="L529" s="116" t="s">
        <v>9</v>
      </c>
      <c r="M529" s="116" t="s">
        <v>8</v>
      </c>
      <c r="N529" s="22" t="str">
        <f>IF(AND('331-CT'!$E$7=TH!H529,OR(L529="331",M529="331")),"331",IF(AND(OR(L529="131",M529="131"),H529='131-CT'!$E$7),"131",""))</f>
        <v/>
      </c>
      <c r="O529" s="22" t="str">
        <f>IF(AND($B529&gt;='111'!$N$11,$B529&lt;='111'!$O$11,OR($L529=$O$7,$M529=$O$7)),"x","")</f>
        <v/>
      </c>
      <c r="P529" s="22" t="str">
        <f>IF(AND($L529=$O$7,$B529&lt;'111'!$N$11),"x","")</f>
        <v/>
      </c>
      <c r="Q529" s="22" t="str">
        <f>IF(AND($M529=$O$7,$B529&lt;'111'!$N$11),"x","")</f>
        <v/>
      </c>
      <c r="R529" s="22" t="str">
        <f>IF(ISERROR(FIND('112'!$M$9,G529,1)),"",IF((AND(FIND('112'!$M$9,G529,1)&gt;=1,$B529&gt;='112'!$N$8,$B529&lt;='112'!$O$8,OR($L529='112'!$I$6,$M529='112'!$I$6))),"x",""))</f>
        <v/>
      </c>
      <c r="S529" s="22" t="str">
        <f>IF(ISERROR(FIND('112'!$M$9,G529,1)),"",IF((AND(LEFT(G529,2)=LEFT('112'!$M$9,2),B529&lt;'112'!$N$8,$L529='112'!$I$6)),"x",""))</f>
        <v/>
      </c>
      <c r="T529" s="22" t="str">
        <f>IF(ISERROR(FIND('112'!$M$9,G529,1)),"",IF((AND(RIGHT(G529,2)=RIGHT('112'!$M$9,2),B529&lt;'112'!$N$8,$M529='112'!$I$6)),"x",""))</f>
        <v/>
      </c>
      <c r="U529" s="22" t="str">
        <f>IF(AND(B529&gt;='IN-NX'!$P$3,B529&lt;='IN-NX'!$Q$3,'IN-NX'!$D$7=D529,OR(LEFT(L529,2)="15",AND(LEFT(M529,2)&lt;&gt;"15",LEFT(M529,2)&lt;&gt;"33"))),"x","")</f>
        <v/>
      </c>
      <c r="V529" s="22" t="str">
        <f>IF(AND(OR(LEFT(TH!L529,2)="15",LEFT(TH!M529,2)="15"),'152-CT'!$J$8=TH!F529),"x","")</f>
        <v/>
      </c>
      <c r="W529" s="22" t="str">
        <f>IF(AND(OR(LEFT(TH!L529,2)="15",LEFT(TH!M529,2)="15"),TK!$E$7=TH!F529),"x","")</f>
        <v/>
      </c>
      <c r="X529" s="22" t="str">
        <f>IF(OR(TH!L529=TH!$X$7,M529=TH!$X$7),"x","")</f>
        <v/>
      </c>
      <c r="Y529" s="22" t="str">
        <f>IF(AND(B529&lt;=NKC!$N$8,B529&gt;=NKC!$M$8),"x","")</f>
        <v/>
      </c>
      <c r="Z529" s="580">
        <v>4</v>
      </c>
      <c r="AA529" s="406"/>
      <c r="AB529" s="406"/>
    </row>
    <row r="530" spans="1:31" s="130" customFormat="1" ht="15.75" customHeight="1">
      <c r="A530" s="123" t="str">
        <f>IF(B530&lt;&gt;"",IF(AND(B530&gt;=_TM1,B530&lt;=_TM2,OR(TH!L530="1111",TH!M530="1111")),TH!D530,""),"")</f>
        <v>C15</v>
      </c>
      <c r="B530" s="12">
        <f t="shared" si="20"/>
        <v>11</v>
      </c>
      <c r="C530" s="108">
        <f t="shared" si="18"/>
        <v>42684</v>
      </c>
      <c r="D530" s="113" t="s">
        <v>1001</v>
      </c>
      <c r="E530" s="113">
        <v>42684</v>
      </c>
      <c r="F530" s="114" t="s">
        <v>465</v>
      </c>
      <c r="G530" s="305" t="s">
        <v>750</v>
      </c>
      <c r="H530" s="115" t="s">
        <v>863</v>
      </c>
      <c r="I530" s="139"/>
      <c r="J530" s="139"/>
      <c r="K530" s="13">
        <v>19800000</v>
      </c>
      <c r="L530" s="116" t="s">
        <v>8</v>
      </c>
      <c r="M530" s="411" t="s">
        <v>46</v>
      </c>
      <c r="N530" s="22" t="str">
        <f>IF(AND('331-CT'!$E$7=TH!H530,OR(L530="331",M530="331")),"331",IF(AND(OR(L530="131",M530="131"),H530='131-CT'!$E$7),"131",""))</f>
        <v/>
      </c>
      <c r="O530" s="22" t="str">
        <f>IF(AND($B530&gt;='111'!$N$11,$B530&lt;='111'!$O$11,OR($L530=$O$7,$M530=$O$7)),"x","")</f>
        <v>x</v>
      </c>
      <c r="P530" s="22" t="str">
        <f>IF(AND($L530=$O$7,$B530&lt;'111'!$N$11),"x","")</f>
        <v/>
      </c>
      <c r="Q530" s="22" t="str">
        <f>IF(AND($M530=$O$7,$B530&lt;'111'!$N$11),"x","")</f>
        <v/>
      </c>
      <c r="R530" s="22" t="str">
        <f>IF(ISERROR(FIND('112'!$M$9,G530,1)),"",IF((AND(FIND('112'!$M$9,G530,1)&gt;=1,$B530&gt;='112'!$N$8,$B530&lt;='112'!$O$8,OR($L530='112'!$I$6,$M530='112'!$I$6))),"x",""))</f>
        <v/>
      </c>
      <c r="S530" s="22" t="str">
        <f>IF(ISERROR(FIND('112'!$M$9,G530,1)),"",IF((AND(LEFT(G530,2)=LEFT('112'!$M$9,2),B530&lt;'112'!$N$8,$L530='112'!$I$6)),"x",""))</f>
        <v/>
      </c>
      <c r="T530" s="22" t="str">
        <f>IF(ISERROR(FIND('112'!$M$9,G530,1)),"",IF((AND(RIGHT(G530,2)=RIGHT('112'!$M$9,2),B530&lt;'112'!$N$8,$M530='112'!$I$6)),"x",""))</f>
        <v/>
      </c>
      <c r="U530" s="22" t="str">
        <f>IF(AND(B530&gt;='IN-NX'!$P$3,B530&lt;='IN-NX'!$Q$3,'IN-NX'!$D$7=D530,OR(LEFT(L530,2)="15",AND(LEFT(M530,2)&lt;&gt;"15",LEFT(M530,2)&lt;&gt;"33"))),"x","")</f>
        <v/>
      </c>
      <c r="V530" s="22" t="str">
        <f>IF(AND(OR(LEFT(TH!L530,2)="15",LEFT(TH!M530,2)="15"),'152-CT'!$J$8=TH!F530),"x","")</f>
        <v/>
      </c>
      <c r="W530" s="22" t="str">
        <f>IF(AND(OR(LEFT(TH!L530,2)="15",LEFT(TH!M530,2)="15"),TK!$E$7=TH!F530),"x","")</f>
        <v/>
      </c>
      <c r="X530" s="22" t="str">
        <f>IF(OR(TH!L530=TH!$X$7,M530=TH!$X$7),"x","")</f>
        <v/>
      </c>
      <c r="Y530" s="22" t="str">
        <f>IF(AND(B530&lt;=NKC!$N$8,B530&gt;=NKC!$M$8),"x","")</f>
        <v/>
      </c>
      <c r="Z530" s="580"/>
      <c r="AA530" s="406"/>
    </row>
    <row r="531" spans="1:31" s="130" customFormat="1" ht="15.75" customHeight="1">
      <c r="A531" s="123" t="str">
        <f>IF(B531&lt;&gt;"",IF(AND(B531&gt;=_TM1,B531&lt;=_TM2,OR(TH!L531="1111",TH!M531="1111")),TH!D531,""),"")</f>
        <v/>
      </c>
      <c r="B531" s="12">
        <f t="shared" si="20"/>
        <v>11</v>
      </c>
      <c r="C531" s="108">
        <f t="shared" si="18"/>
        <v>42684</v>
      </c>
      <c r="D531" s="108" t="s">
        <v>469</v>
      </c>
      <c r="E531" s="113">
        <v>42684</v>
      </c>
      <c r="F531" s="112" t="s">
        <v>484</v>
      </c>
      <c r="G531" s="114" t="s">
        <v>474</v>
      </c>
      <c r="H531" s="4" t="s">
        <v>371</v>
      </c>
      <c r="I531" s="139"/>
      <c r="J531" s="141"/>
      <c r="K531" s="13">
        <v>29870500</v>
      </c>
      <c r="L531" s="116" t="s">
        <v>24</v>
      </c>
      <c r="M531" s="411" t="s">
        <v>252</v>
      </c>
      <c r="N531" s="22" t="str">
        <f>IF(AND('331-CT'!$E$7=TH!H531,OR(L531="331",M531="331")),"331",IF(AND(OR(L531="131",M531="131"),H531='131-CT'!$E$7),"131",""))</f>
        <v/>
      </c>
      <c r="O531" s="22" t="str">
        <f>IF(AND($B531&gt;='111'!$N$11,$B531&lt;='111'!$O$11,OR($L531=$O$7,$M531=$O$7)),"x","")</f>
        <v/>
      </c>
      <c r="P531" s="22" t="str">
        <f>IF(AND($L531=$O$7,$B531&lt;'111'!$N$11),"x","")</f>
        <v/>
      </c>
      <c r="Q531" s="22" t="str">
        <f>IF(AND($M531=$O$7,$B531&lt;'111'!$N$11),"x","")</f>
        <v/>
      </c>
      <c r="R531" s="22" t="str">
        <f>IF(ISERROR(FIND('112'!$M$9,G531,1)),"",IF((AND(FIND('112'!$M$9,G531,1)&gt;=1,$B531&gt;='112'!$N$8,$B531&lt;='112'!$O$8,OR($L531='112'!$I$6,$M531='112'!$I$6))),"x",""))</f>
        <v>x</v>
      </c>
      <c r="S531" s="22" t="str">
        <f>IF(ISERROR(FIND('112'!$M$9,G531,1)),"",IF((AND(LEFT(G531,2)=LEFT('112'!$M$9,2),B531&lt;'112'!$N$8,$L531='112'!$I$6)),"x",""))</f>
        <v/>
      </c>
      <c r="T531" s="22" t="str">
        <f>IF(ISERROR(FIND('112'!$M$9,G531,1)),"",IF((AND(RIGHT(G531,2)=RIGHT('112'!$M$9,2),B531&lt;'112'!$N$8,$M531='112'!$I$6)),"x",""))</f>
        <v/>
      </c>
      <c r="U531" s="22" t="str">
        <f>IF(AND(B531&gt;='IN-NX'!$P$3,B531&lt;='IN-NX'!$Q$3,'IN-NX'!$D$7=D531,OR(LEFT(L531,2)="15",AND(LEFT(M531,2)&lt;&gt;"15",LEFT(M531,2)&lt;&gt;"33"))),"x","")</f>
        <v/>
      </c>
      <c r="V531" s="22" t="str">
        <f>IF(AND(OR(LEFT(TH!L531,2)="15",LEFT(TH!M531,2)="15"),'152-CT'!$J$8=TH!F531),"x","")</f>
        <v/>
      </c>
      <c r="W531" s="22" t="str">
        <f>IF(AND(OR(LEFT(TH!L531,2)="15",LEFT(TH!M531,2)="15"),TK!$E$7=TH!F531),"x","")</f>
        <v/>
      </c>
      <c r="X531" s="22" t="str">
        <f>IF(OR(TH!L531=TH!$X$7,M531=TH!$X$7),"x","")</f>
        <v/>
      </c>
      <c r="Y531" s="22" t="str">
        <f>IF(AND(B531&lt;=NKC!$N$8,B531&gt;=NKC!$M$8),"x","")</f>
        <v/>
      </c>
      <c r="Z531" s="580"/>
      <c r="AA531" s="406"/>
      <c r="AB531" s="406"/>
      <c r="AD531" s="406"/>
      <c r="AE531" s="406"/>
    </row>
    <row r="532" spans="1:31" s="130" customFormat="1" ht="15.75" customHeight="1">
      <c r="A532" s="123" t="str">
        <f>IF(B532&lt;&gt;"",IF(AND(B532&gt;=_TM1,B532&lt;=_TM2,OR(TH!L532="1111",TH!M532="1111")),TH!D532,""),"")</f>
        <v/>
      </c>
      <c r="B532" s="12">
        <f t="shared" si="20"/>
        <v>11</v>
      </c>
      <c r="C532" s="108">
        <f t="shared" si="18"/>
        <v>42684</v>
      </c>
      <c r="D532" s="108" t="s">
        <v>566</v>
      </c>
      <c r="E532" s="113">
        <v>42684</v>
      </c>
      <c r="F532" s="112" t="s">
        <v>813</v>
      </c>
      <c r="G532" s="303" t="s">
        <v>812</v>
      </c>
      <c r="H532" s="4" t="s">
        <v>814</v>
      </c>
      <c r="I532" s="139">
        <v>4000</v>
      </c>
      <c r="J532" s="139">
        <v>4500</v>
      </c>
      <c r="K532" s="13">
        <f>ROUND(I532*J532,0)</f>
        <v>18000000</v>
      </c>
      <c r="L532" s="116" t="s">
        <v>252</v>
      </c>
      <c r="M532" s="411" t="s">
        <v>169</v>
      </c>
      <c r="N532" s="22" t="str">
        <f>IF(AND('331-CT'!$E$7=TH!H532,OR(L532="331",M532="331")),"331",IF(AND(OR(L532="131",M532="131"),H532='131-CT'!$E$7),"131",""))</f>
        <v/>
      </c>
      <c r="O532" s="22" t="str">
        <f>IF(AND($B532&gt;='111'!$N$11,$B532&lt;='111'!$O$11,OR($L532=$O$7,$M532=$O$7)),"x","")</f>
        <v/>
      </c>
      <c r="P532" s="22" t="str">
        <f>IF(AND($L532=$O$7,$B532&lt;'111'!$N$11),"x","")</f>
        <v/>
      </c>
      <c r="Q532" s="22" t="str">
        <f>IF(AND($M532=$O$7,$B532&lt;'111'!$N$11),"x","")</f>
        <v/>
      </c>
      <c r="R532" s="22" t="str">
        <f>IF(ISERROR(FIND('112'!$M$9,G532,1)),"",IF((AND(FIND('112'!$M$9,G532,1)&gt;=1,$B532&gt;='112'!$N$8,$B532&lt;='112'!$O$8,OR($L532='112'!$I$6,$M532='112'!$I$6))),"x",""))</f>
        <v/>
      </c>
      <c r="S532" s="22" t="str">
        <f>IF(ISERROR(FIND('112'!$M$9,G532,1)),"",IF((AND(LEFT(G532,2)=LEFT('112'!$M$9,2),B532&lt;'112'!$N$8,$L532='112'!$I$6)),"x",""))</f>
        <v/>
      </c>
      <c r="T532" s="22" t="str">
        <f>IF(ISERROR(FIND('112'!$M$9,G532,1)),"",IF((AND(RIGHT(G532,2)=RIGHT('112'!$M$9,2),B532&lt;'112'!$N$8,$M532='112'!$I$6)),"x",""))</f>
        <v/>
      </c>
      <c r="U532" s="22" t="str">
        <f>IF(AND(B532&gt;='IN-NX'!$P$3,B532&lt;='IN-NX'!$Q$3,'IN-NX'!$D$7=D532,OR(LEFT(L532,2)="15",AND(LEFT(M532,2)&lt;&gt;"15",LEFT(M532,2)&lt;&gt;"33"))),"x","")</f>
        <v/>
      </c>
      <c r="V532" s="22" t="str">
        <f>IF(AND(OR(LEFT(TH!L532,2)="15",LEFT(TH!M532,2)="15"),'152-CT'!$J$8=TH!F532),"x","")</f>
        <v/>
      </c>
      <c r="W532" s="22" t="str">
        <f>IF(AND(OR(LEFT(TH!L532,2)="15",LEFT(TH!M532,2)="15"),TK!$E$7=TH!F532),"x","")</f>
        <v/>
      </c>
      <c r="X532" s="22" t="str">
        <f>IF(OR(TH!L532=TH!$X$7,M532=TH!$X$7),"x","")</f>
        <v/>
      </c>
      <c r="Y532" s="22" t="str">
        <f>IF(AND(B532&lt;=NKC!$N$8,B532&gt;=NKC!$M$8),"x","")</f>
        <v/>
      </c>
      <c r="Z532" s="580"/>
      <c r="AA532" s="406"/>
      <c r="AB532" s="406"/>
      <c r="AC532" s="406"/>
    </row>
    <row r="533" spans="1:31" s="130" customFormat="1" ht="15.75" customHeight="1">
      <c r="A533" s="123" t="str">
        <f>IF(B533&lt;&gt;"",IF(AND(B533&gt;=_TM1,B533&lt;=_TM2,OR(TH!L533="1111",TH!M533="1111")),TH!D533,""),"")</f>
        <v/>
      </c>
      <c r="B533" s="12">
        <f t="shared" si="20"/>
        <v>11</v>
      </c>
      <c r="C533" s="108">
        <f t="shared" ref="C533:C596" si="21">E533</f>
        <v>42684</v>
      </c>
      <c r="D533" s="108" t="s">
        <v>566</v>
      </c>
      <c r="E533" s="113">
        <v>42684</v>
      </c>
      <c r="F533" s="112" t="s">
        <v>496</v>
      </c>
      <c r="G533" s="303" t="s">
        <v>812</v>
      </c>
      <c r="H533" s="4" t="s">
        <v>814</v>
      </c>
      <c r="I533" s="140"/>
      <c r="J533" s="140"/>
      <c r="K533" s="13">
        <v>1800000</v>
      </c>
      <c r="L533" s="116" t="s">
        <v>252</v>
      </c>
      <c r="M533" s="411" t="s">
        <v>352</v>
      </c>
      <c r="N533" s="22" t="str">
        <f>IF(AND('331-CT'!$E$7=TH!H533,OR(L533="331",M533="331")),"331",IF(AND(OR(L533="131",M533="131"),H533='131-CT'!$E$7),"131",""))</f>
        <v/>
      </c>
      <c r="O533" s="22" t="str">
        <f>IF(AND($B533&gt;='111'!$N$11,$B533&lt;='111'!$O$11,OR($L533=$O$7,$M533=$O$7)),"x","")</f>
        <v/>
      </c>
      <c r="P533" s="22" t="str">
        <f>IF(AND($L533=$O$7,$B533&lt;'111'!$N$11),"x","")</f>
        <v/>
      </c>
      <c r="Q533" s="22" t="str">
        <f>IF(AND($M533=$O$7,$B533&lt;'111'!$N$11),"x","")</f>
        <v/>
      </c>
      <c r="R533" s="22" t="str">
        <f>IF(ISERROR(FIND('112'!$M$9,G533,1)),"",IF((AND(FIND('112'!$M$9,G533,1)&gt;=1,$B533&gt;='112'!$N$8,$B533&lt;='112'!$O$8,OR($L533='112'!$I$6,$M533='112'!$I$6))),"x",""))</f>
        <v/>
      </c>
      <c r="S533" s="22" t="str">
        <f>IF(ISERROR(FIND('112'!$M$9,G533,1)),"",IF((AND(LEFT(G533,2)=LEFT('112'!$M$9,2),B533&lt;'112'!$N$8,$L533='112'!$I$6)),"x",""))</f>
        <v/>
      </c>
      <c r="T533" s="22" t="str">
        <f>IF(ISERROR(FIND('112'!$M$9,G533,1)),"",IF((AND(RIGHT(G533,2)=RIGHT('112'!$M$9,2),B533&lt;'112'!$N$8,$M533='112'!$I$6)),"x",""))</f>
        <v/>
      </c>
      <c r="U533" s="22" t="str">
        <f>IF(AND(B533&gt;='IN-NX'!$P$3,B533&lt;='IN-NX'!$Q$3,'IN-NX'!$D$7=D533,OR(LEFT(L533,2)="15",AND(LEFT(M533,2)&lt;&gt;"15",LEFT(M533,2)&lt;&gt;"33"))),"x","")</f>
        <v/>
      </c>
      <c r="V533" s="22" t="str">
        <f>IF(AND(OR(LEFT(TH!L533,2)="15",LEFT(TH!M533,2)="15"),'152-CT'!$J$8=TH!F533),"x","")</f>
        <v/>
      </c>
      <c r="W533" s="22" t="str">
        <f>IF(AND(OR(LEFT(TH!L533,2)="15",LEFT(TH!M533,2)="15"),TK!$E$7=TH!F533),"x","")</f>
        <v/>
      </c>
      <c r="X533" s="22" t="str">
        <f>IF(OR(TH!L533=TH!$X$7,M533=TH!$X$7),"x","")</f>
        <v/>
      </c>
      <c r="Y533" s="22" t="str">
        <f>IF(AND(B533&lt;=NKC!$N$8,B533&gt;=NKC!$M$8),"x","")</f>
        <v/>
      </c>
      <c r="Z533" s="580"/>
      <c r="AA533" s="406"/>
      <c r="AB533" s="406"/>
      <c r="AC533" s="406"/>
    </row>
    <row r="534" spans="1:31" s="130" customFormat="1" ht="15.75" customHeight="1">
      <c r="A534" s="123" t="str">
        <f>IF(B534&lt;&gt;"",IF(AND(B534&gt;=_TM1,B534&lt;=_TM2,OR(TH!L534="1111",TH!M534="1111")),TH!D534,""),"")</f>
        <v>T10</v>
      </c>
      <c r="B534" s="12">
        <f t="shared" si="20"/>
        <v>11</v>
      </c>
      <c r="C534" s="108">
        <f t="shared" si="21"/>
        <v>42684</v>
      </c>
      <c r="D534" s="108" t="s">
        <v>994</v>
      </c>
      <c r="E534" s="113">
        <v>42684</v>
      </c>
      <c r="F534" s="114" t="s">
        <v>484</v>
      </c>
      <c r="G534" s="303" t="s">
        <v>812</v>
      </c>
      <c r="H534" s="4" t="s">
        <v>814</v>
      </c>
      <c r="I534" s="140"/>
      <c r="J534" s="140"/>
      <c r="K534" s="13">
        <v>19800000</v>
      </c>
      <c r="L534" s="116" t="s">
        <v>46</v>
      </c>
      <c r="M534" s="411" t="s">
        <v>252</v>
      </c>
      <c r="N534" s="22" t="str">
        <f>IF(AND('331-CT'!$E$7=TH!H534,OR(L534="331",M534="331")),"331",IF(AND(OR(L534="131",M534="131"),H534='131-CT'!$E$7),"131",""))</f>
        <v/>
      </c>
      <c r="O534" s="22" t="str">
        <f>IF(AND($B534&gt;='111'!$N$11,$B534&lt;='111'!$O$11,OR($L534=$O$7,$M534=$O$7)),"x","")</f>
        <v>x</v>
      </c>
      <c r="P534" s="22" t="str">
        <f>IF(AND($L534=$O$7,$B534&lt;'111'!$N$11),"x","")</f>
        <v/>
      </c>
      <c r="Q534" s="22" t="str">
        <f>IF(AND($M534=$O$7,$B534&lt;'111'!$N$11),"x","")</f>
        <v/>
      </c>
      <c r="R534" s="22" t="str">
        <f>IF(ISERROR(FIND('112'!$M$9,G534,1)),"",IF((AND(FIND('112'!$M$9,G534,1)&gt;=1,$B534&gt;='112'!$N$8,$B534&lt;='112'!$O$8,OR($L534='112'!$I$6,$M534='112'!$I$6))),"x",""))</f>
        <v/>
      </c>
      <c r="S534" s="22" t="str">
        <f>IF(ISERROR(FIND('112'!$M$9,G534,1)),"",IF((AND(LEFT(G534,2)=LEFT('112'!$M$9,2),B534&lt;'112'!$N$8,$L534='112'!$I$6)),"x",""))</f>
        <v/>
      </c>
      <c r="T534" s="22" t="str">
        <f>IF(ISERROR(FIND('112'!$M$9,G534,1)),"",IF((AND(RIGHT(G534,2)=RIGHT('112'!$M$9,2),B534&lt;'112'!$N$8,$M534='112'!$I$6)),"x",""))</f>
        <v/>
      </c>
      <c r="U534" s="22" t="str">
        <f>IF(AND(B534&gt;='IN-NX'!$P$3,B534&lt;='IN-NX'!$Q$3,'IN-NX'!$D$7=D534,OR(LEFT(L534,2)="15",AND(LEFT(M534,2)&lt;&gt;"15",LEFT(M534,2)&lt;&gt;"33"))),"x","")</f>
        <v/>
      </c>
      <c r="V534" s="22" t="str">
        <f>IF(AND(OR(LEFT(TH!L534,2)="15",LEFT(TH!M534,2)="15"),'152-CT'!$J$8=TH!F534),"x","")</f>
        <v/>
      </c>
      <c r="W534" s="22" t="str">
        <f>IF(AND(OR(LEFT(TH!L534,2)="15",LEFT(TH!M534,2)="15"),TK!$E$7=TH!F534),"x","")</f>
        <v/>
      </c>
      <c r="X534" s="22" t="str">
        <f>IF(OR(TH!L534=TH!$X$7,M534=TH!$X$7),"x","")</f>
        <v/>
      </c>
      <c r="Y534" s="22" t="str">
        <f>IF(AND(B534&lt;=NKC!$N$8,B534&gt;=NKC!$M$8),"x","")</f>
        <v/>
      </c>
      <c r="Z534" s="580"/>
      <c r="AA534" s="406"/>
      <c r="AB534" s="406"/>
      <c r="AC534" s="406"/>
    </row>
    <row r="535" spans="1:31" s="130" customFormat="1" ht="15.75" customHeight="1">
      <c r="A535" s="123" t="str">
        <f>IF(B535&lt;&gt;"",IF(AND(B535&gt;=_TM1,B535&lt;=_TM2,OR(TH!L535="1111",TH!M535="1111")),TH!D535,""),"")</f>
        <v/>
      </c>
      <c r="B535" s="12">
        <f t="shared" si="20"/>
        <v>11</v>
      </c>
      <c r="C535" s="108">
        <f t="shared" si="21"/>
        <v>42685</v>
      </c>
      <c r="D535" s="108" t="s">
        <v>470</v>
      </c>
      <c r="E535" s="113">
        <v>42685</v>
      </c>
      <c r="F535" s="114" t="s">
        <v>465</v>
      </c>
      <c r="G535" s="114" t="s">
        <v>474</v>
      </c>
      <c r="H535" s="561" t="s">
        <v>398</v>
      </c>
      <c r="I535" s="139"/>
      <c r="J535" s="139"/>
      <c r="K535" s="13">
        <v>12000000</v>
      </c>
      <c r="L535" s="116" t="s">
        <v>8</v>
      </c>
      <c r="M535" s="411" t="s">
        <v>24</v>
      </c>
      <c r="N535" s="22" t="str">
        <f>IF(AND('331-CT'!$E$7=TH!H535,OR(L535="331",M535="331")),"331",IF(AND(OR(L535="131",M535="131"),H535='131-CT'!$E$7),"131",""))</f>
        <v/>
      </c>
      <c r="O535" s="22" t="str">
        <f>IF(AND($B535&gt;='111'!$N$11,$B535&lt;='111'!$O$11,OR($L535=$O$7,$M535=$O$7)),"x","")</f>
        <v/>
      </c>
      <c r="P535" s="22" t="str">
        <f>IF(AND($L535=$O$7,$B535&lt;'111'!$N$11),"x","")</f>
        <v/>
      </c>
      <c r="Q535" s="22" t="str">
        <f>IF(AND($M535=$O$7,$B535&lt;'111'!$N$11),"x","")</f>
        <v/>
      </c>
      <c r="R535" s="22" t="str">
        <f>IF(ISERROR(FIND('112'!$M$9,G535,1)),"",IF((AND(FIND('112'!$M$9,G535,1)&gt;=1,$B535&gt;='112'!$N$8,$B535&lt;='112'!$O$8,OR($L535='112'!$I$6,$M535='112'!$I$6))),"x",""))</f>
        <v>x</v>
      </c>
      <c r="S535" s="22" t="str">
        <f>IF(ISERROR(FIND('112'!$M$9,G535,1)),"",IF((AND(LEFT(G535,2)=LEFT('112'!$M$9,2),B535&lt;'112'!$N$8,$L535='112'!$I$6)),"x",""))</f>
        <v/>
      </c>
      <c r="T535" s="22" t="str">
        <f>IF(ISERROR(FIND('112'!$M$9,G535,1)),"",IF((AND(RIGHT(G535,2)=RIGHT('112'!$M$9,2),B535&lt;'112'!$N$8,$M535='112'!$I$6)),"x",""))</f>
        <v/>
      </c>
      <c r="U535" s="22" t="str">
        <f>IF(AND(B535&gt;='IN-NX'!$P$3,B535&lt;='IN-NX'!$Q$3,'IN-NX'!$D$7=D535,OR(LEFT(L535,2)="15",AND(LEFT(M535,2)&lt;&gt;"15",LEFT(M535,2)&lt;&gt;"33"))),"x","")</f>
        <v/>
      </c>
      <c r="V535" s="22" t="str">
        <f>IF(AND(OR(LEFT(TH!L535,2)="15",LEFT(TH!M535,2)="15"),'152-CT'!$J$8=TH!F535),"x","")</f>
        <v/>
      </c>
      <c r="W535" s="22" t="str">
        <f>IF(AND(OR(LEFT(TH!L535,2)="15",LEFT(TH!M535,2)="15"),TK!$E$7=TH!F535),"x","")</f>
        <v/>
      </c>
      <c r="X535" s="22" t="str">
        <f>IF(OR(TH!L535=TH!$X$7,M535=TH!$X$7),"x","")</f>
        <v/>
      </c>
      <c r="Y535" s="22" t="str">
        <f>IF(AND(B535&lt;=NKC!$N$8,B535&gt;=NKC!$M$8),"x","")</f>
        <v/>
      </c>
      <c r="Z535" s="580"/>
      <c r="AA535" s="406"/>
      <c r="AB535" s="406"/>
      <c r="AC535" s="406"/>
    </row>
    <row r="536" spans="1:31" s="130" customFormat="1" ht="15.75" customHeight="1">
      <c r="A536" s="123" t="str">
        <f>IF(B536&lt;&gt;"",IF(AND(B536&gt;=_TM1,B536&lt;=_TM2,OR(TH!L536="1111",TH!M536="1111")),TH!D536,""),"")</f>
        <v/>
      </c>
      <c r="B536" s="12">
        <f t="shared" si="20"/>
        <v>11</v>
      </c>
      <c r="C536" s="108">
        <f t="shared" si="21"/>
        <v>42685</v>
      </c>
      <c r="D536" s="108" t="s">
        <v>470</v>
      </c>
      <c r="E536" s="113">
        <v>42685</v>
      </c>
      <c r="F536" s="114" t="s">
        <v>480</v>
      </c>
      <c r="G536" s="114" t="s">
        <v>474</v>
      </c>
      <c r="H536" s="129"/>
      <c r="I536" s="139"/>
      <c r="J536" s="139"/>
      <c r="K536" s="13">
        <v>20000</v>
      </c>
      <c r="L536" s="116" t="s">
        <v>82</v>
      </c>
      <c r="M536" s="411" t="s">
        <v>24</v>
      </c>
      <c r="N536" s="22" t="str">
        <f>IF(AND('331-CT'!$E$7=TH!H536,OR(L536="331",M536="331")),"331",IF(AND(OR(L536="131",M536="131"),H536='131-CT'!$E$7),"131",""))</f>
        <v/>
      </c>
      <c r="O536" s="22" t="str">
        <f>IF(AND($B536&gt;='111'!$N$11,$B536&lt;='111'!$O$11,OR($L536=$O$7,$M536=$O$7)),"x","")</f>
        <v/>
      </c>
      <c r="P536" s="22" t="str">
        <f>IF(AND($L536=$O$7,$B536&lt;'111'!$N$11),"x","")</f>
        <v/>
      </c>
      <c r="Q536" s="22" t="str">
        <f>IF(AND($M536=$O$7,$B536&lt;'111'!$N$11),"x","")</f>
        <v/>
      </c>
      <c r="R536" s="22" t="str">
        <f>IF(ISERROR(FIND('112'!$M$9,G536,1)),"",IF((AND(FIND('112'!$M$9,G536,1)&gt;=1,$B536&gt;='112'!$N$8,$B536&lt;='112'!$O$8,OR($L536='112'!$I$6,$M536='112'!$I$6))),"x",""))</f>
        <v>x</v>
      </c>
      <c r="S536" s="22" t="str">
        <f>IF(ISERROR(FIND('112'!$M$9,G536,1)),"",IF((AND(LEFT(G536,2)=LEFT('112'!$M$9,2),B536&lt;'112'!$N$8,$L536='112'!$I$6)),"x",""))</f>
        <v/>
      </c>
      <c r="T536" s="22" t="str">
        <f>IF(ISERROR(FIND('112'!$M$9,G536,1)),"",IF((AND(RIGHT(G536,2)=RIGHT('112'!$M$9,2),B536&lt;'112'!$N$8,$M536='112'!$I$6)),"x",""))</f>
        <v/>
      </c>
      <c r="U536" s="22" t="str">
        <f>IF(AND(B536&gt;='IN-NX'!$P$3,B536&lt;='IN-NX'!$Q$3,'IN-NX'!$D$7=D536,OR(LEFT(L536,2)="15",AND(LEFT(M536,2)&lt;&gt;"15",LEFT(M536,2)&lt;&gt;"33"))),"x","")</f>
        <v/>
      </c>
      <c r="V536" s="22" t="str">
        <f>IF(AND(OR(LEFT(TH!L536,2)="15",LEFT(TH!M536,2)="15"),'152-CT'!$J$8=TH!F536),"x","")</f>
        <v/>
      </c>
      <c r="W536" s="22" t="str">
        <f>IF(AND(OR(LEFT(TH!L536,2)="15",LEFT(TH!M536,2)="15"),TK!$E$7=TH!F536),"x","")</f>
        <v/>
      </c>
      <c r="X536" s="22" t="str">
        <f>IF(OR(TH!L536=TH!$X$7,M536=TH!$X$7),"x","")</f>
        <v>x</v>
      </c>
      <c r="Y536" s="22" t="str">
        <f>IF(AND(B536&lt;=NKC!$N$8,B536&gt;=NKC!$M$8),"x","")</f>
        <v/>
      </c>
      <c r="Z536" s="580">
        <v>4</v>
      </c>
      <c r="AA536" s="406"/>
      <c r="AB536" s="406"/>
      <c r="AC536" s="406"/>
    </row>
    <row r="537" spans="1:31" s="130" customFormat="1" ht="15.75" customHeight="1">
      <c r="A537" s="123" t="str">
        <f>IF(B537&lt;&gt;"",IF(AND(B537&gt;=_TM1,B537&lt;=_TM2,OR(TH!L537="1111",TH!M537="1111")),TH!D537,""),"")</f>
        <v/>
      </c>
      <c r="B537" s="12">
        <f t="shared" si="20"/>
        <v>11</v>
      </c>
      <c r="C537" s="108">
        <f t="shared" si="21"/>
        <v>42685</v>
      </c>
      <c r="D537" s="108" t="s">
        <v>470</v>
      </c>
      <c r="E537" s="113">
        <v>42685</v>
      </c>
      <c r="F537" s="114" t="s">
        <v>481</v>
      </c>
      <c r="G537" s="114" t="s">
        <v>474</v>
      </c>
      <c r="H537" s="129"/>
      <c r="I537" s="139"/>
      <c r="J537" s="139"/>
      <c r="K537" s="13">
        <v>2000</v>
      </c>
      <c r="L537" s="116" t="s">
        <v>9</v>
      </c>
      <c r="M537" s="411" t="s">
        <v>24</v>
      </c>
      <c r="N537" s="22" t="str">
        <f>IF(AND('331-CT'!$E$7=TH!H537,OR(L537="331",M537="331")),"331",IF(AND(OR(L537="131",M537="131"),H537='131-CT'!$E$7),"131",""))</f>
        <v/>
      </c>
      <c r="O537" s="22" t="str">
        <f>IF(AND($B537&gt;='111'!$N$11,$B537&lt;='111'!$O$11,OR($L537=$O$7,$M537=$O$7)),"x","")</f>
        <v/>
      </c>
      <c r="P537" s="22" t="str">
        <f>IF(AND($L537=$O$7,$B537&lt;'111'!$N$11),"x","")</f>
        <v/>
      </c>
      <c r="Q537" s="22" t="str">
        <f>IF(AND($M537=$O$7,$B537&lt;'111'!$N$11),"x","")</f>
        <v/>
      </c>
      <c r="R537" s="22" t="str">
        <f>IF(ISERROR(FIND('112'!$M$9,G537,1)),"",IF((AND(FIND('112'!$M$9,G537,1)&gt;=1,$B537&gt;='112'!$N$8,$B537&lt;='112'!$O$8,OR($L537='112'!$I$6,$M537='112'!$I$6))),"x",""))</f>
        <v>x</v>
      </c>
      <c r="S537" s="22" t="str">
        <f>IF(ISERROR(FIND('112'!$M$9,G537,1)),"",IF((AND(LEFT(G537,2)=LEFT('112'!$M$9,2),B537&lt;'112'!$N$8,$L537='112'!$I$6)),"x",""))</f>
        <v/>
      </c>
      <c r="T537" s="22" t="str">
        <f>IF(ISERROR(FIND('112'!$M$9,G537,1)),"",IF((AND(RIGHT(G537,2)=RIGHT('112'!$M$9,2),B537&lt;'112'!$N$8,$M537='112'!$I$6)),"x",""))</f>
        <v/>
      </c>
      <c r="U537" s="22" t="str">
        <f>IF(AND(B537&gt;='IN-NX'!$P$3,B537&lt;='IN-NX'!$Q$3,'IN-NX'!$D$7=D537,OR(LEFT(L537,2)="15",AND(LEFT(M537,2)&lt;&gt;"15",LEFT(M537,2)&lt;&gt;"33"))),"x","")</f>
        <v/>
      </c>
      <c r="V537" s="22" t="str">
        <f>IF(AND(OR(LEFT(TH!L537,2)="15",LEFT(TH!M537,2)="15"),'152-CT'!$J$8=TH!F537),"x","")</f>
        <v/>
      </c>
      <c r="W537" s="22" t="str">
        <f>IF(AND(OR(LEFT(TH!L537,2)="15",LEFT(TH!M537,2)="15"),TK!$E$7=TH!F537),"x","")</f>
        <v/>
      </c>
      <c r="X537" s="22" t="str">
        <f>IF(OR(TH!L537=TH!$X$7,M537=TH!$X$7),"x","")</f>
        <v/>
      </c>
      <c r="Y537" s="22" t="str">
        <f>IF(AND(B537&lt;=NKC!$N$8,B537&gt;=NKC!$M$8),"x","")</f>
        <v/>
      </c>
      <c r="Z537" s="580">
        <v>4</v>
      </c>
      <c r="AA537" s="406"/>
      <c r="AB537" s="406"/>
      <c r="AC537" s="406"/>
    </row>
    <row r="538" spans="1:31" s="130" customFormat="1" ht="15.75" customHeight="1">
      <c r="A538" s="123" t="str">
        <f>IF(B538&lt;&gt;"",IF(AND(B538&gt;=_TM1,B538&lt;=_TM2,OR(TH!L538="1111",TH!M538="1111")),TH!D538,""),"")</f>
        <v>T11</v>
      </c>
      <c r="B538" s="12">
        <f t="shared" si="20"/>
        <v>11</v>
      </c>
      <c r="C538" s="108">
        <f t="shared" si="21"/>
        <v>42685</v>
      </c>
      <c r="D538" s="108" t="s">
        <v>995</v>
      </c>
      <c r="E538" s="113">
        <v>42685</v>
      </c>
      <c r="F538" s="114" t="s">
        <v>485</v>
      </c>
      <c r="G538" s="114" t="s">
        <v>474</v>
      </c>
      <c r="H538" s="115" t="s">
        <v>488</v>
      </c>
      <c r="I538" s="139"/>
      <c r="J538" s="139"/>
      <c r="K538" s="13">
        <v>18000000</v>
      </c>
      <c r="L538" s="116" t="s">
        <v>46</v>
      </c>
      <c r="M538" s="411" t="s">
        <v>24</v>
      </c>
      <c r="N538" s="22" t="str">
        <f>IF(AND('331-CT'!$E$7=TH!H538,OR(L538="331",M538="331")),"331",IF(AND(OR(L538="131",M538="131"),H538='131-CT'!$E$7),"131",""))</f>
        <v/>
      </c>
      <c r="O538" s="22" t="str">
        <f>IF(AND($B538&gt;='111'!$N$11,$B538&lt;='111'!$O$11,OR($L538=$O$7,$M538=$O$7)),"x","")</f>
        <v>x</v>
      </c>
      <c r="P538" s="22" t="str">
        <f>IF(AND($L538=$O$7,$B538&lt;'111'!$N$11),"x","")</f>
        <v/>
      </c>
      <c r="Q538" s="22" t="str">
        <f>IF(AND($M538=$O$7,$B538&lt;'111'!$N$11),"x","")</f>
        <v/>
      </c>
      <c r="R538" s="22" t="str">
        <f>IF(ISERROR(FIND('112'!$M$9,G538,1)),"",IF((AND(FIND('112'!$M$9,G538,1)&gt;=1,$B538&gt;='112'!$N$8,$B538&lt;='112'!$O$8,OR($L538='112'!$I$6,$M538='112'!$I$6))),"x",""))</f>
        <v>x</v>
      </c>
      <c r="S538" s="22" t="str">
        <f>IF(ISERROR(FIND('112'!$M$9,G538,1)),"",IF((AND(LEFT(G538,2)=LEFT('112'!$M$9,2),B538&lt;'112'!$N$8,$L538='112'!$I$6)),"x",""))</f>
        <v/>
      </c>
      <c r="T538" s="22" t="str">
        <f>IF(ISERROR(FIND('112'!$M$9,G538,1)),"",IF((AND(RIGHT(G538,2)=RIGHT('112'!$M$9,2),B538&lt;'112'!$N$8,$M538='112'!$I$6)),"x",""))</f>
        <v/>
      </c>
      <c r="U538" s="22" t="str">
        <f>IF(AND(B538&gt;='IN-NX'!$P$3,B538&lt;='IN-NX'!$Q$3,'IN-NX'!$D$7=D538,OR(LEFT(L538,2)="15",AND(LEFT(M538,2)&lt;&gt;"15",LEFT(M538,2)&lt;&gt;"33"))),"x","")</f>
        <v/>
      </c>
      <c r="V538" s="22" t="str">
        <f>IF(AND(OR(LEFT(TH!L538,2)="15",LEFT(TH!M538,2)="15"),'152-CT'!$J$8=TH!F538),"x","")</f>
        <v/>
      </c>
      <c r="W538" s="22" t="str">
        <f>IF(AND(OR(LEFT(TH!L538,2)="15",LEFT(TH!M538,2)="15"),TK!$E$7=TH!F538),"x","")</f>
        <v/>
      </c>
      <c r="X538" s="22" t="str">
        <f>IF(OR(TH!L538=TH!$X$7,M538=TH!$X$7),"x","")</f>
        <v/>
      </c>
      <c r="Y538" s="22" t="str">
        <f>IF(AND(B538&lt;=NKC!$N$8,B538&gt;=NKC!$M$8),"x","")</f>
        <v/>
      </c>
      <c r="Z538" s="580"/>
      <c r="AA538" s="406"/>
      <c r="AB538" s="406"/>
      <c r="AC538" s="406"/>
    </row>
    <row r="539" spans="1:31" s="130" customFormat="1" ht="15.75" customHeight="1">
      <c r="A539" s="123" t="str">
        <f>IF(B539&lt;&gt;"",IF(AND(B539&gt;=_TM1,B539&lt;=_TM2,OR(TH!L539="1111",TH!M539="1111")),TH!D539,""),"")</f>
        <v>C16</v>
      </c>
      <c r="B539" s="12">
        <f t="shared" si="20"/>
        <v>11</v>
      </c>
      <c r="C539" s="108">
        <f t="shared" si="21"/>
        <v>42686</v>
      </c>
      <c r="D539" s="113" t="s">
        <v>1002</v>
      </c>
      <c r="E539" s="113">
        <v>42686</v>
      </c>
      <c r="F539" s="112" t="s">
        <v>355</v>
      </c>
      <c r="G539" s="305" t="s">
        <v>872</v>
      </c>
      <c r="H539" s="115" t="s">
        <v>427</v>
      </c>
      <c r="I539" s="139"/>
      <c r="J539" s="139"/>
      <c r="K539" s="13">
        <v>5800000</v>
      </c>
      <c r="L539" s="116" t="s">
        <v>160</v>
      </c>
      <c r="M539" s="411" t="s">
        <v>46</v>
      </c>
      <c r="N539" s="22" t="str">
        <f>IF(AND('331-CT'!$E$7=TH!H539,OR(L539="331",M539="331")),"331",IF(AND(OR(L539="131",M539="131"),H539='131-CT'!$E$7),"131",""))</f>
        <v/>
      </c>
      <c r="O539" s="22" t="str">
        <f>IF(AND($B539&gt;='111'!$N$11,$B539&lt;='111'!$O$11,OR($L539=$O$7,$M539=$O$7)),"x","")</f>
        <v>x</v>
      </c>
      <c r="P539" s="22" t="str">
        <f>IF(AND($L539=$O$7,$B539&lt;'111'!$N$11),"x","")</f>
        <v/>
      </c>
      <c r="Q539" s="22" t="str">
        <f>IF(AND($M539=$O$7,$B539&lt;'111'!$N$11),"x","")</f>
        <v/>
      </c>
      <c r="R539" s="22" t="str">
        <f>IF(ISERROR(FIND('112'!$M$9,G539,1)),"",IF((AND(FIND('112'!$M$9,G539,1)&gt;=1,$B539&gt;='112'!$N$8,$B539&lt;='112'!$O$8,OR($L539='112'!$I$6,$M539='112'!$I$6))),"x",""))</f>
        <v/>
      </c>
      <c r="S539" s="22" t="str">
        <f>IF(ISERROR(FIND('112'!$M$9,G539,1)),"",IF((AND(LEFT(G539,2)=LEFT('112'!$M$9,2),B539&lt;'112'!$N$8,$L539='112'!$I$6)),"x",""))</f>
        <v/>
      </c>
      <c r="T539" s="22" t="str">
        <f>IF(ISERROR(FIND('112'!$M$9,G539,1)),"",IF((AND(RIGHT(G539,2)=RIGHT('112'!$M$9,2),B539&lt;'112'!$N$8,$M539='112'!$I$6)),"x",""))</f>
        <v/>
      </c>
      <c r="U539" s="22" t="str">
        <f>IF(AND(B539&gt;='IN-NX'!$P$3,B539&lt;='IN-NX'!$Q$3,'IN-NX'!$D$7=D539,OR(LEFT(L539,2)="15",AND(LEFT(M539,2)&lt;&gt;"15",LEFT(M539,2)&lt;&gt;"33"))),"x","")</f>
        <v/>
      </c>
      <c r="V539" s="22" t="str">
        <f>IF(AND(OR(LEFT(TH!L539,2)="15",LEFT(TH!M539,2)="15"),'152-CT'!$J$8=TH!F539),"x","")</f>
        <v/>
      </c>
      <c r="W539" s="22" t="str">
        <f>IF(AND(OR(LEFT(TH!L539,2)="15",LEFT(TH!M539,2)="15"),TK!$E$7=TH!F539),"x","")</f>
        <v/>
      </c>
      <c r="X539" s="22" t="str">
        <f>IF(OR(TH!L539=TH!$X$7,M539=TH!$X$7),"x","")</f>
        <v/>
      </c>
      <c r="Y539" s="22" t="str">
        <f>IF(AND(B539&lt;=NKC!$N$8,B539&gt;=NKC!$M$8),"x","")</f>
        <v/>
      </c>
      <c r="Z539" s="580">
        <v>4</v>
      </c>
      <c r="AA539" s="406"/>
      <c r="AB539" s="406"/>
    </row>
    <row r="540" spans="1:31" s="130" customFormat="1" ht="15.75" customHeight="1">
      <c r="A540" s="123" t="str">
        <f>IF(B540&lt;&gt;"",IF(AND(B540&gt;=_TM1,B540&lt;=_TM2,OR(TH!L540="1111",TH!M540="1111")),TH!D540,""),"")</f>
        <v>C16</v>
      </c>
      <c r="B540" s="12">
        <f t="shared" si="20"/>
        <v>11</v>
      </c>
      <c r="C540" s="108">
        <f t="shared" si="21"/>
        <v>42686</v>
      </c>
      <c r="D540" s="113" t="s">
        <v>1002</v>
      </c>
      <c r="E540" s="113">
        <v>42686</v>
      </c>
      <c r="F540" s="112" t="s">
        <v>425</v>
      </c>
      <c r="G540" s="305" t="s">
        <v>872</v>
      </c>
      <c r="H540" s="115" t="s">
        <v>427</v>
      </c>
      <c r="I540" s="139"/>
      <c r="J540" s="139"/>
      <c r="K540" s="13">
        <v>580000</v>
      </c>
      <c r="L540" s="116" t="s">
        <v>9</v>
      </c>
      <c r="M540" s="411" t="s">
        <v>46</v>
      </c>
      <c r="N540" s="22" t="str">
        <f>IF(AND('331-CT'!$E$7=TH!H540,OR(L540="331",M540="331")),"331",IF(AND(OR(L540="131",M540="131"),H540='131-CT'!$E$7),"131",""))</f>
        <v/>
      </c>
      <c r="O540" s="22" t="str">
        <f>IF(AND($B540&gt;='111'!$N$11,$B540&lt;='111'!$O$11,OR($L540=$O$7,$M540=$O$7)),"x","")</f>
        <v>x</v>
      </c>
      <c r="P540" s="22" t="str">
        <f>IF(AND($L540=$O$7,$B540&lt;'111'!$N$11),"x","")</f>
        <v/>
      </c>
      <c r="Q540" s="22" t="str">
        <f>IF(AND($M540=$O$7,$B540&lt;'111'!$N$11),"x","")</f>
        <v/>
      </c>
      <c r="R540" s="22" t="str">
        <f>IF(ISERROR(FIND('112'!$M$9,G540,1)),"",IF((AND(FIND('112'!$M$9,G540,1)&gt;=1,$B540&gt;='112'!$N$8,$B540&lt;='112'!$O$8,OR($L540='112'!$I$6,$M540='112'!$I$6))),"x",""))</f>
        <v/>
      </c>
      <c r="S540" s="22" t="str">
        <f>IF(ISERROR(FIND('112'!$M$9,G540,1)),"",IF((AND(LEFT(G540,2)=LEFT('112'!$M$9,2),B540&lt;'112'!$N$8,$L540='112'!$I$6)),"x",""))</f>
        <v/>
      </c>
      <c r="T540" s="22" t="str">
        <f>IF(ISERROR(FIND('112'!$M$9,G540,1)),"",IF((AND(RIGHT(G540,2)=RIGHT('112'!$M$9,2),B540&lt;'112'!$N$8,$M540='112'!$I$6)),"x",""))</f>
        <v/>
      </c>
      <c r="U540" s="22" t="str">
        <f>IF(AND(B540&gt;='IN-NX'!$P$3,B540&lt;='IN-NX'!$Q$3,'IN-NX'!$D$7=D540,OR(LEFT(L540,2)="15",AND(LEFT(M540,2)&lt;&gt;"15",LEFT(M540,2)&lt;&gt;"33"))),"x","")</f>
        <v/>
      </c>
      <c r="V540" s="22" t="str">
        <f>IF(AND(OR(LEFT(TH!L540,2)="15",LEFT(TH!M540,2)="15"),'152-CT'!$J$8=TH!F540),"x","")</f>
        <v/>
      </c>
      <c r="W540" s="22" t="str">
        <f>IF(AND(OR(LEFT(TH!L540,2)="15",LEFT(TH!M540,2)="15"),TK!$E$7=TH!F540),"x","")</f>
        <v/>
      </c>
      <c r="X540" s="22" t="str">
        <f>IF(OR(TH!L540=TH!$X$7,M540=TH!$X$7),"x","")</f>
        <v/>
      </c>
      <c r="Y540" s="22" t="str">
        <f>IF(AND(B540&lt;=NKC!$N$8,B540&gt;=NKC!$M$8),"x","")</f>
        <v/>
      </c>
      <c r="Z540" s="580">
        <v>4</v>
      </c>
      <c r="AA540" s="406"/>
      <c r="AB540" s="406"/>
    </row>
    <row r="541" spans="1:31" s="130" customFormat="1" ht="15.75" customHeight="1">
      <c r="A541" s="123" t="str">
        <f>IF(B541&lt;&gt;"",IF(AND(B541&gt;=_TM1,B541&lt;=_TM2,OR(TH!L541="1111",TH!M541="1111")),TH!D541,""),"")</f>
        <v/>
      </c>
      <c r="B541" s="12">
        <f t="shared" si="20"/>
        <v>11</v>
      </c>
      <c r="C541" s="108">
        <f t="shared" si="21"/>
        <v>42688</v>
      </c>
      <c r="D541" s="113" t="s">
        <v>947</v>
      </c>
      <c r="E541" s="113">
        <v>42688</v>
      </c>
      <c r="F541" s="112" t="s">
        <v>777</v>
      </c>
      <c r="G541" s="305" t="s">
        <v>707</v>
      </c>
      <c r="H541" s="115" t="s">
        <v>780</v>
      </c>
      <c r="I541" s="139">
        <v>18190</v>
      </c>
      <c r="J541" s="139">
        <v>800</v>
      </c>
      <c r="K541" s="13">
        <f>ROUND(I541*J541,0)</f>
        <v>14552000</v>
      </c>
      <c r="L541" s="116" t="s">
        <v>156</v>
      </c>
      <c r="M541" s="116" t="s">
        <v>8</v>
      </c>
      <c r="N541" s="22" t="str">
        <f>IF(AND('331-CT'!$E$7=TH!H541,OR(L541="331",M541="331")),"331",IF(AND(OR(L541="131",M541="131"),H541='131-CT'!$E$7),"131",""))</f>
        <v/>
      </c>
      <c r="O541" s="22" t="str">
        <f>IF(AND($B541&gt;='111'!$N$11,$B541&lt;='111'!$O$11,OR($L541=$O$7,$M541=$O$7)),"x","")</f>
        <v/>
      </c>
      <c r="P541" s="22" t="str">
        <f>IF(AND($L541=$O$7,$B541&lt;'111'!$N$11),"x","")</f>
        <v/>
      </c>
      <c r="Q541" s="22" t="str">
        <f>IF(AND($M541=$O$7,$B541&lt;'111'!$N$11),"x","")</f>
        <v/>
      </c>
      <c r="R541" s="22" t="str">
        <f>IF(ISERROR(FIND('112'!$M$9,G541,1)),"",IF((AND(FIND('112'!$M$9,G541,1)&gt;=1,$B541&gt;='112'!$N$8,$B541&lt;='112'!$O$8,OR($L541='112'!$I$6,$M541='112'!$I$6))),"x",""))</f>
        <v/>
      </c>
      <c r="S541" s="22" t="str">
        <f>IF(ISERROR(FIND('112'!$M$9,G541,1)),"",IF((AND(LEFT(G541,2)=LEFT('112'!$M$9,2),B541&lt;'112'!$N$8,$L541='112'!$I$6)),"x",""))</f>
        <v/>
      </c>
      <c r="T541" s="22" t="str">
        <f>IF(ISERROR(FIND('112'!$M$9,G541,1)),"",IF((AND(RIGHT(G541,2)=RIGHT('112'!$M$9,2),B541&lt;'112'!$N$8,$M541='112'!$I$6)),"x",""))</f>
        <v/>
      </c>
      <c r="U541" s="22" t="str">
        <f>IF(AND(B541&gt;='IN-NX'!$P$3,B541&lt;='IN-NX'!$Q$3,'IN-NX'!$D$7=D541,OR(LEFT(L541,2)="15",AND(LEFT(M541,2)&lt;&gt;"15",LEFT(M541,2)&lt;&gt;"33"))),"x","")</f>
        <v/>
      </c>
      <c r="V541" s="22" t="str">
        <f>IF(AND(OR(LEFT(TH!L541,2)="15",LEFT(TH!M541,2)="15"),'152-CT'!$J$8=TH!F541),"x","")</f>
        <v/>
      </c>
      <c r="W541" s="22" t="str">
        <f>IF(AND(OR(LEFT(TH!L541,2)="15",LEFT(TH!M541,2)="15"),TK!$E$7=TH!F541),"x","")</f>
        <v/>
      </c>
      <c r="X541" s="22" t="str">
        <f>IF(OR(TH!L541=TH!$X$7,M541=TH!$X$7),"x","")</f>
        <v/>
      </c>
      <c r="Y541" s="22" t="str">
        <f>IF(AND(B541&lt;=NKC!$N$8,B541&gt;=NKC!$M$8),"x","")</f>
        <v/>
      </c>
      <c r="Z541" s="580">
        <v>4</v>
      </c>
      <c r="AA541" s="406"/>
      <c r="AB541" s="406"/>
    </row>
    <row r="542" spans="1:31" s="130" customFormat="1" ht="15.75" customHeight="1">
      <c r="A542" s="123" t="str">
        <f>IF(B542&lt;&gt;"",IF(AND(B542&gt;=_TM1,B542&lt;=_TM2,OR(TH!L542="1111",TH!M542="1111")),TH!D542,""),"")</f>
        <v/>
      </c>
      <c r="B542" s="12">
        <f t="shared" si="20"/>
        <v>11</v>
      </c>
      <c r="C542" s="108">
        <f t="shared" si="21"/>
        <v>42688</v>
      </c>
      <c r="D542" s="113" t="s">
        <v>947</v>
      </c>
      <c r="E542" s="113">
        <v>42688</v>
      </c>
      <c r="F542" s="112" t="s">
        <v>778</v>
      </c>
      <c r="G542" s="305" t="s">
        <v>707</v>
      </c>
      <c r="H542" s="115" t="s">
        <v>780</v>
      </c>
      <c r="I542" s="139"/>
      <c r="J542" s="139"/>
      <c r="K542" s="13">
        <v>1455200</v>
      </c>
      <c r="L542" s="116" t="s">
        <v>9</v>
      </c>
      <c r="M542" s="116" t="s">
        <v>8</v>
      </c>
      <c r="N542" s="22" t="str">
        <f>IF(AND('331-CT'!$E$7=TH!H542,OR(L542="331",M542="331")),"331",IF(AND(OR(L542="131",M542="131"),H542='131-CT'!$E$7),"131",""))</f>
        <v/>
      </c>
      <c r="O542" s="22" t="str">
        <f>IF(AND($B542&gt;='111'!$N$11,$B542&lt;='111'!$O$11,OR($L542=$O$7,$M542=$O$7)),"x","")</f>
        <v/>
      </c>
      <c r="P542" s="22" t="str">
        <f>IF(AND($L542=$O$7,$B542&lt;'111'!$N$11),"x","")</f>
        <v/>
      </c>
      <c r="Q542" s="22" t="str">
        <f>IF(AND($M542=$O$7,$B542&lt;'111'!$N$11),"x","")</f>
        <v/>
      </c>
      <c r="R542" s="22" t="str">
        <f>IF(ISERROR(FIND('112'!$M$9,G542,1)),"",IF((AND(FIND('112'!$M$9,G542,1)&gt;=1,$B542&gt;='112'!$N$8,$B542&lt;='112'!$O$8,OR($L542='112'!$I$6,$M542='112'!$I$6))),"x",""))</f>
        <v/>
      </c>
      <c r="S542" s="22" t="str">
        <f>IF(ISERROR(FIND('112'!$M$9,G542,1)),"",IF((AND(LEFT(G542,2)=LEFT('112'!$M$9,2),B542&lt;'112'!$N$8,$L542='112'!$I$6)),"x",""))</f>
        <v/>
      </c>
      <c r="T542" s="22" t="str">
        <f>IF(ISERROR(FIND('112'!$M$9,G542,1)),"",IF((AND(RIGHT(G542,2)=RIGHT('112'!$M$9,2),B542&lt;'112'!$N$8,$M542='112'!$I$6)),"x",""))</f>
        <v/>
      </c>
      <c r="U542" s="22" t="str">
        <f>IF(AND(B542&gt;='IN-NX'!$P$3,B542&lt;='IN-NX'!$Q$3,'IN-NX'!$D$7=D542,OR(LEFT(L542,2)="15",AND(LEFT(M542,2)&lt;&gt;"15",LEFT(M542,2)&lt;&gt;"33"))),"x","")</f>
        <v/>
      </c>
      <c r="V542" s="22" t="str">
        <f>IF(AND(OR(LEFT(TH!L542,2)="15",LEFT(TH!M542,2)="15"),'152-CT'!$J$8=TH!F542),"x","")</f>
        <v/>
      </c>
      <c r="W542" s="22" t="str">
        <f>IF(AND(OR(LEFT(TH!L542,2)="15",LEFT(TH!M542,2)="15"),TK!$E$7=TH!F542),"x","")</f>
        <v/>
      </c>
      <c r="X542" s="22" t="str">
        <f>IF(OR(TH!L542=TH!$X$7,M542=TH!$X$7),"x","")</f>
        <v/>
      </c>
      <c r="Y542" s="22" t="str">
        <f>IF(AND(B542&lt;=NKC!$N$8,B542&gt;=NKC!$M$8),"x","")</f>
        <v/>
      </c>
      <c r="Z542" s="580">
        <v>4</v>
      </c>
      <c r="AA542" s="406"/>
      <c r="AB542" s="406"/>
    </row>
    <row r="543" spans="1:31" s="130" customFormat="1" ht="15.75" customHeight="1">
      <c r="A543" s="123" t="str">
        <f>IF(B543&lt;&gt;"",IF(AND(B543&gt;=_TM1,B543&lt;=_TM2,OR(TH!L543="1111",TH!M543="1111")),TH!D543,""),"")</f>
        <v>C17</v>
      </c>
      <c r="B543" s="12">
        <f t="shared" si="20"/>
        <v>11</v>
      </c>
      <c r="C543" s="108">
        <f t="shared" si="21"/>
        <v>42688</v>
      </c>
      <c r="D543" s="113" t="s">
        <v>1003</v>
      </c>
      <c r="E543" s="113">
        <v>42688</v>
      </c>
      <c r="F543" s="112" t="s">
        <v>465</v>
      </c>
      <c r="G543" s="305" t="s">
        <v>707</v>
      </c>
      <c r="H543" s="115" t="s">
        <v>780</v>
      </c>
      <c r="I543" s="139"/>
      <c r="J543" s="139"/>
      <c r="K543" s="13">
        <v>16007200</v>
      </c>
      <c r="L543" s="116" t="s">
        <v>8</v>
      </c>
      <c r="M543" s="411" t="s">
        <v>46</v>
      </c>
      <c r="N543" s="22" t="str">
        <f>IF(AND('331-CT'!$E$7=TH!H543,OR(L543="331",M543="331")),"331",IF(AND(OR(L543="131",M543="131"),H543='131-CT'!$E$7),"131",""))</f>
        <v/>
      </c>
      <c r="O543" s="22" t="str">
        <f>IF(AND($B543&gt;='111'!$N$11,$B543&lt;='111'!$O$11,OR($L543=$O$7,$M543=$O$7)),"x","")</f>
        <v>x</v>
      </c>
      <c r="P543" s="22" t="str">
        <f>IF(AND($L543=$O$7,$B543&lt;'111'!$N$11),"x","")</f>
        <v/>
      </c>
      <c r="Q543" s="22" t="str">
        <f>IF(AND($M543=$O$7,$B543&lt;'111'!$N$11),"x","")</f>
        <v/>
      </c>
      <c r="R543" s="22" t="str">
        <f>IF(ISERROR(FIND('112'!$M$9,G543,1)),"",IF((AND(FIND('112'!$M$9,G543,1)&gt;=1,$B543&gt;='112'!$N$8,$B543&lt;='112'!$O$8,OR($L543='112'!$I$6,$M543='112'!$I$6))),"x",""))</f>
        <v/>
      </c>
      <c r="S543" s="22" t="str">
        <f>IF(ISERROR(FIND('112'!$M$9,G543,1)),"",IF((AND(LEFT(G543,2)=LEFT('112'!$M$9,2),B543&lt;'112'!$N$8,$L543='112'!$I$6)),"x",""))</f>
        <v/>
      </c>
      <c r="T543" s="22" t="str">
        <f>IF(ISERROR(FIND('112'!$M$9,G543,1)),"",IF((AND(RIGHT(G543,2)=RIGHT('112'!$M$9,2),B543&lt;'112'!$N$8,$M543='112'!$I$6)),"x",""))</f>
        <v/>
      </c>
      <c r="U543" s="22" t="str">
        <f>IF(AND(B543&gt;='IN-NX'!$P$3,B543&lt;='IN-NX'!$Q$3,'IN-NX'!$D$7=D543,OR(LEFT(L543,2)="15",AND(LEFT(M543,2)&lt;&gt;"15",LEFT(M543,2)&lt;&gt;"33"))),"x","")</f>
        <v/>
      </c>
      <c r="V543" s="22" t="str">
        <f>IF(AND(OR(LEFT(TH!L543,2)="15",LEFT(TH!M543,2)="15"),'152-CT'!$J$8=TH!F543),"x","")</f>
        <v/>
      </c>
      <c r="W543" s="22" t="str">
        <f>IF(AND(OR(LEFT(TH!L543,2)="15",LEFT(TH!M543,2)="15"),TK!$E$7=TH!F543),"x","")</f>
        <v/>
      </c>
      <c r="X543" s="22" t="str">
        <f>IF(OR(TH!L543=TH!$X$7,M543=TH!$X$7),"x","")</f>
        <v/>
      </c>
      <c r="Y543" s="22" t="str">
        <f>IF(AND(B543&lt;=NKC!$N$8,B543&gt;=NKC!$M$8),"x","")</f>
        <v/>
      </c>
      <c r="Z543" s="580"/>
      <c r="AA543" s="406"/>
    </row>
    <row r="544" spans="1:31" s="130" customFormat="1" ht="15.75" customHeight="1">
      <c r="A544" s="123" t="str">
        <f>IF(B544&lt;&gt;"",IF(AND(B544&gt;=_TM1,B544&lt;=_TM2,OR(TH!L544="1111",TH!M544="1111")),TH!D544,""),"")</f>
        <v>C18</v>
      </c>
      <c r="B544" s="12">
        <f t="shared" si="20"/>
        <v>11</v>
      </c>
      <c r="C544" s="108">
        <f t="shared" si="21"/>
        <v>42688</v>
      </c>
      <c r="D544" s="113" t="s">
        <v>1004</v>
      </c>
      <c r="E544" s="113">
        <v>42688</v>
      </c>
      <c r="F544" s="112" t="s">
        <v>471</v>
      </c>
      <c r="G544" s="114" t="s">
        <v>474</v>
      </c>
      <c r="H544" s="115" t="s">
        <v>488</v>
      </c>
      <c r="I544" s="139"/>
      <c r="J544" s="141"/>
      <c r="K544" s="13">
        <v>20000000</v>
      </c>
      <c r="L544" s="116" t="s">
        <v>24</v>
      </c>
      <c r="M544" s="411" t="s">
        <v>46</v>
      </c>
      <c r="N544" s="22" t="str">
        <f>IF(AND('331-CT'!$E$7=TH!H544,OR(L544="331",M544="331")),"331",IF(AND(OR(L544="131",M544="131"),H544='131-CT'!$E$7),"131",""))</f>
        <v/>
      </c>
      <c r="O544" s="22" t="str">
        <f>IF(AND($B544&gt;='111'!$N$11,$B544&lt;='111'!$O$11,OR($L544=$O$7,$M544=$O$7)),"x","")</f>
        <v>x</v>
      </c>
      <c r="P544" s="22" t="str">
        <f>IF(AND($L544=$O$7,$B544&lt;'111'!$N$11),"x","")</f>
        <v/>
      </c>
      <c r="Q544" s="22" t="str">
        <f>IF(AND($M544=$O$7,$B544&lt;'111'!$N$11),"x","")</f>
        <v/>
      </c>
      <c r="R544" s="22" t="str">
        <f>IF(ISERROR(FIND('112'!$M$9,G544,1)),"",IF((AND(FIND('112'!$M$9,G544,1)&gt;=1,$B544&gt;='112'!$N$8,$B544&lt;='112'!$O$8,OR($L544='112'!$I$6,$M544='112'!$I$6))),"x",""))</f>
        <v>x</v>
      </c>
      <c r="S544" s="22" t="str">
        <f>IF(ISERROR(FIND('112'!$M$9,G544,1)),"",IF((AND(LEFT(G544,2)=LEFT('112'!$M$9,2),B544&lt;'112'!$N$8,$L544='112'!$I$6)),"x",""))</f>
        <v/>
      </c>
      <c r="T544" s="22" t="str">
        <f>IF(ISERROR(FIND('112'!$M$9,G544,1)),"",IF((AND(RIGHT(G544,2)=RIGHT('112'!$M$9,2),B544&lt;'112'!$N$8,$M544='112'!$I$6)),"x",""))</f>
        <v/>
      </c>
      <c r="U544" s="22" t="str">
        <f>IF(AND(B544&gt;='IN-NX'!$P$3,B544&lt;='IN-NX'!$Q$3,'IN-NX'!$D$7=D544,OR(LEFT(L544,2)="15",AND(LEFT(M544,2)&lt;&gt;"15",LEFT(M544,2)&lt;&gt;"33"))),"x","")</f>
        <v/>
      </c>
      <c r="V544" s="22" t="str">
        <f>IF(AND(OR(LEFT(TH!L544,2)="15",LEFT(TH!M544,2)="15"),'152-CT'!$J$8=TH!F544),"x","")</f>
        <v/>
      </c>
      <c r="W544" s="22" t="str">
        <f>IF(AND(OR(LEFT(TH!L544,2)="15",LEFT(TH!M544,2)="15"),TK!$E$7=TH!F544),"x","")</f>
        <v/>
      </c>
      <c r="X544" s="22" t="str">
        <f>IF(OR(TH!L544=TH!$X$7,M544=TH!$X$7),"x","")</f>
        <v/>
      </c>
      <c r="Y544" s="22" t="str">
        <f>IF(AND(B544&lt;=NKC!$N$8,B544&gt;=NKC!$M$8),"x","")</f>
        <v/>
      </c>
      <c r="Z544" s="580"/>
      <c r="AA544" s="406"/>
      <c r="AB544" s="406"/>
      <c r="AD544" s="406"/>
      <c r="AE544" s="406"/>
    </row>
    <row r="545" spans="1:31" s="130" customFormat="1" ht="15.75" customHeight="1">
      <c r="A545" s="123" t="str">
        <f>IF(B545&lt;&gt;"",IF(AND(B545&gt;=_TM1,B545&lt;=_TM2,OR(TH!L545="1111",TH!M545="1111")),TH!D545,""),"")</f>
        <v/>
      </c>
      <c r="B545" s="12">
        <f t="shared" si="20"/>
        <v>11</v>
      </c>
      <c r="C545" s="108">
        <f t="shared" si="21"/>
        <v>42688</v>
      </c>
      <c r="D545" s="108" t="s">
        <v>470</v>
      </c>
      <c r="E545" s="113">
        <v>42688</v>
      </c>
      <c r="F545" s="114" t="s">
        <v>797</v>
      </c>
      <c r="G545" s="114" t="s">
        <v>474</v>
      </c>
      <c r="H545" s="129"/>
      <c r="I545" s="139"/>
      <c r="J545" s="139"/>
      <c r="K545" s="13">
        <v>20000</v>
      </c>
      <c r="L545" s="116" t="s">
        <v>82</v>
      </c>
      <c r="M545" s="411" t="s">
        <v>24</v>
      </c>
      <c r="N545" s="22" t="str">
        <f>IF(AND('331-CT'!$E$7=TH!H545,OR(L545="331",M545="331")),"331",IF(AND(OR(L545="131",M545="131"),H545='131-CT'!$E$7),"131",""))</f>
        <v/>
      </c>
      <c r="O545" s="22" t="str">
        <f>IF(AND($B545&gt;='111'!$N$11,$B545&lt;='111'!$O$11,OR($L545=$O$7,$M545=$O$7)),"x","")</f>
        <v/>
      </c>
      <c r="P545" s="22" t="str">
        <f>IF(AND($L545=$O$7,$B545&lt;'111'!$N$11),"x","")</f>
        <v/>
      </c>
      <c r="Q545" s="22" t="str">
        <f>IF(AND($M545=$O$7,$B545&lt;'111'!$N$11),"x","")</f>
        <v/>
      </c>
      <c r="R545" s="22" t="str">
        <f>IF(ISERROR(FIND('112'!$M$9,G545,1)),"",IF((AND(FIND('112'!$M$9,G545,1)&gt;=1,$B545&gt;='112'!$N$8,$B545&lt;='112'!$O$8,OR($L545='112'!$I$6,$M545='112'!$I$6))),"x",""))</f>
        <v>x</v>
      </c>
      <c r="S545" s="22" t="str">
        <f>IF(ISERROR(FIND('112'!$M$9,G545,1)),"",IF((AND(LEFT(G545,2)=LEFT('112'!$M$9,2),B545&lt;'112'!$N$8,$L545='112'!$I$6)),"x",""))</f>
        <v/>
      </c>
      <c r="T545" s="22" t="str">
        <f>IF(ISERROR(FIND('112'!$M$9,G545,1)),"",IF((AND(RIGHT(G545,2)=RIGHT('112'!$M$9,2),B545&lt;'112'!$N$8,$M545='112'!$I$6)),"x",""))</f>
        <v/>
      </c>
      <c r="U545" s="22" t="str">
        <f>IF(AND(B545&gt;='IN-NX'!$P$3,B545&lt;='IN-NX'!$Q$3,'IN-NX'!$D$7=D545,OR(LEFT(L545,2)="15",AND(LEFT(M545,2)&lt;&gt;"15",LEFT(M545,2)&lt;&gt;"33"))),"x","")</f>
        <v/>
      </c>
      <c r="V545" s="22" t="str">
        <f>IF(AND(OR(LEFT(TH!L545,2)="15",LEFT(TH!M545,2)="15"),'152-CT'!$J$8=TH!F545),"x","")</f>
        <v/>
      </c>
      <c r="W545" s="22" t="str">
        <f>IF(AND(OR(LEFT(TH!L545,2)="15",LEFT(TH!M545,2)="15"),TK!$E$7=TH!F545),"x","")</f>
        <v/>
      </c>
      <c r="X545" s="22" t="str">
        <f>IF(OR(TH!L545=TH!$X$7,M545=TH!$X$7),"x","")</f>
        <v>x</v>
      </c>
      <c r="Y545" s="22" t="str">
        <f>IF(AND(B545&lt;=NKC!$N$8,B545&gt;=NKC!$M$8),"x","")</f>
        <v/>
      </c>
      <c r="Z545" s="580">
        <v>4</v>
      </c>
      <c r="AA545" s="406"/>
      <c r="AB545" s="406"/>
      <c r="AC545" s="406"/>
    </row>
    <row r="546" spans="1:31" s="130" customFormat="1" ht="15.75" customHeight="1">
      <c r="A546" s="123" t="str">
        <f>IF(B546&lt;&gt;"",IF(AND(B546&gt;=_TM1,B546&lt;=_TM2,OR(TH!L546="1111",TH!M546="1111")),TH!D546,""),"")</f>
        <v/>
      </c>
      <c r="B546" s="12">
        <f t="shared" si="20"/>
        <v>11</v>
      </c>
      <c r="C546" s="108">
        <f t="shared" si="21"/>
        <v>42688</v>
      </c>
      <c r="D546" s="108" t="s">
        <v>470</v>
      </c>
      <c r="E546" s="113">
        <v>42688</v>
      </c>
      <c r="F546" s="114" t="s">
        <v>798</v>
      </c>
      <c r="G546" s="114" t="s">
        <v>474</v>
      </c>
      <c r="H546" s="129"/>
      <c r="I546" s="139"/>
      <c r="J546" s="139"/>
      <c r="K546" s="13">
        <v>2000</v>
      </c>
      <c r="L546" s="116" t="s">
        <v>9</v>
      </c>
      <c r="M546" s="411" t="s">
        <v>24</v>
      </c>
      <c r="N546" s="22" t="str">
        <f>IF(AND('331-CT'!$E$7=TH!H546,OR(L546="331",M546="331")),"331",IF(AND(OR(L546="131",M546="131"),H546='131-CT'!$E$7),"131",""))</f>
        <v/>
      </c>
      <c r="O546" s="22" t="str">
        <f>IF(AND($B546&gt;='111'!$N$11,$B546&lt;='111'!$O$11,OR($L546=$O$7,$M546=$O$7)),"x","")</f>
        <v/>
      </c>
      <c r="P546" s="22" t="str">
        <f>IF(AND($L546=$O$7,$B546&lt;'111'!$N$11),"x","")</f>
        <v/>
      </c>
      <c r="Q546" s="22" t="str">
        <f>IF(AND($M546=$O$7,$B546&lt;'111'!$N$11),"x","")</f>
        <v/>
      </c>
      <c r="R546" s="22" t="str">
        <f>IF(ISERROR(FIND('112'!$M$9,G546,1)),"",IF((AND(FIND('112'!$M$9,G546,1)&gt;=1,$B546&gt;='112'!$N$8,$B546&lt;='112'!$O$8,OR($L546='112'!$I$6,$M546='112'!$I$6))),"x",""))</f>
        <v>x</v>
      </c>
      <c r="S546" s="22" t="str">
        <f>IF(ISERROR(FIND('112'!$M$9,G546,1)),"",IF((AND(LEFT(G546,2)=LEFT('112'!$M$9,2),B546&lt;'112'!$N$8,$L546='112'!$I$6)),"x",""))</f>
        <v/>
      </c>
      <c r="T546" s="22" t="str">
        <f>IF(ISERROR(FIND('112'!$M$9,G546,1)),"",IF((AND(RIGHT(G546,2)=RIGHT('112'!$M$9,2),B546&lt;'112'!$N$8,$M546='112'!$I$6)),"x",""))</f>
        <v/>
      </c>
      <c r="U546" s="22" t="str">
        <f>IF(AND(B546&gt;='IN-NX'!$P$3,B546&lt;='IN-NX'!$Q$3,'IN-NX'!$D$7=D546,OR(LEFT(L546,2)="15",AND(LEFT(M546,2)&lt;&gt;"15",LEFT(M546,2)&lt;&gt;"33"))),"x","")</f>
        <v/>
      </c>
      <c r="V546" s="22" t="str">
        <f>IF(AND(OR(LEFT(TH!L546,2)="15",LEFT(TH!M546,2)="15"),'152-CT'!$J$8=TH!F546),"x","")</f>
        <v/>
      </c>
      <c r="W546" s="22" t="str">
        <f>IF(AND(OR(LEFT(TH!L546,2)="15",LEFT(TH!M546,2)="15"),TK!$E$7=TH!F546),"x","")</f>
        <v/>
      </c>
      <c r="X546" s="22" t="str">
        <f>IF(OR(TH!L546=TH!$X$7,M546=TH!$X$7),"x","")</f>
        <v/>
      </c>
      <c r="Y546" s="22" t="str">
        <f>IF(AND(B546&lt;=NKC!$N$8,B546&gt;=NKC!$M$8),"x","")</f>
        <v/>
      </c>
      <c r="Z546" s="580">
        <v>4</v>
      </c>
      <c r="AA546" s="406"/>
      <c r="AB546" s="406"/>
      <c r="AC546" s="406"/>
    </row>
    <row r="547" spans="1:31" s="130" customFormat="1" ht="15.75" customHeight="1">
      <c r="A547" s="123" t="str">
        <f>IF(B547&lt;&gt;"",IF(AND(B547&gt;=_TM1,B547&lt;=_TM2,OR(TH!L547="1111",TH!M547="1111")),TH!D547,""),"")</f>
        <v/>
      </c>
      <c r="B547" s="12">
        <f t="shared" si="20"/>
        <v>11</v>
      </c>
      <c r="C547" s="108">
        <f t="shared" si="21"/>
        <v>42688</v>
      </c>
      <c r="D547" s="108" t="s">
        <v>470</v>
      </c>
      <c r="E547" s="113">
        <v>42688</v>
      </c>
      <c r="F547" s="114" t="s">
        <v>465</v>
      </c>
      <c r="G547" s="114" t="s">
        <v>474</v>
      </c>
      <c r="H547" s="561" t="s">
        <v>399</v>
      </c>
      <c r="I547" s="139"/>
      <c r="J547" s="139"/>
      <c r="K547" s="13">
        <v>20000000</v>
      </c>
      <c r="L547" s="116" t="s">
        <v>8</v>
      </c>
      <c r="M547" s="411" t="s">
        <v>24</v>
      </c>
      <c r="N547" s="22" t="str">
        <f>IF(AND('331-CT'!$E$7=TH!H547,OR(L547="331",M547="331")),"331",IF(AND(OR(L547="131",M547="131"),H547='131-CT'!$E$7),"131",""))</f>
        <v/>
      </c>
      <c r="O547" s="22" t="str">
        <f>IF(AND($B547&gt;='111'!$N$11,$B547&lt;='111'!$O$11,OR($L547=$O$7,$M547=$O$7)),"x","")</f>
        <v/>
      </c>
      <c r="P547" s="22" t="str">
        <f>IF(AND($L547=$O$7,$B547&lt;'111'!$N$11),"x","")</f>
        <v/>
      </c>
      <c r="Q547" s="22" t="str">
        <f>IF(AND($M547=$O$7,$B547&lt;'111'!$N$11),"x","")</f>
        <v/>
      </c>
      <c r="R547" s="22" t="str">
        <f>IF(ISERROR(FIND('112'!$M$9,G547,1)),"",IF((AND(FIND('112'!$M$9,G547,1)&gt;=1,$B547&gt;='112'!$N$8,$B547&lt;='112'!$O$8,OR($L547='112'!$I$6,$M547='112'!$I$6))),"x",""))</f>
        <v>x</v>
      </c>
      <c r="S547" s="22" t="str">
        <f>IF(ISERROR(FIND('112'!$M$9,G547,1)),"",IF((AND(LEFT(G547,2)=LEFT('112'!$M$9,2),B547&lt;'112'!$N$8,$L547='112'!$I$6)),"x",""))</f>
        <v/>
      </c>
      <c r="T547" s="22" t="str">
        <f>IF(ISERROR(FIND('112'!$M$9,G547,1)),"",IF((AND(RIGHT(G547,2)=RIGHT('112'!$M$9,2),B547&lt;'112'!$N$8,$M547='112'!$I$6)),"x",""))</f>
        <v/>
      </c>
      <c r="U547" s="22" t="str">
        <f>IF(AND(B547&gt;='IN-NX'!$P$3,B547&lt;='IN-NX'!$Q$3,'IN-NX'!$D$7=D547,OR(LEFT(L547,2)="15",AND(LEFT(M547,2)&lt;&gt;"15",LEFT(M547,2)&lt;&gt;"33"))),"x","")</f>
        <v/>
      </c>
      <c r="V547" s="22" t="str">
        <f>IF(AND(OR(LEFT(TH!L547,2)="15",LEFT(TH!M547,2)="15"),'152-CT'!$J$8=TH!F547),"x","")</f>
        <v/>
      </c>
      <c r="W547" s="22" t="str">
        <f>IF(AND(OR(LEFT(TH!L547,2)="15",LEFT(TH!M547,2)="15"),TK!$E$7=TH!F547),"x","")</f>
        <v/>
      </c>
      <c r="X547" s="22" t="str">
        <f>IF(OR(TH!L547=TH!$X$7,M547=TH!$X$7),"x","")</f>
        <v/>
      </c>
      <c r="Y547" s="22" t="str">
        <f>IF(AND(B547&lt;=NKC!$N$8,B547&gt;=NKC!$M$8),"x","")</f>
        <v/>
      </c>
      <c r="Z547" s="580"/>
      <c r="AA547" s="406"/>
      <c r="AB547" s="406"/>
      <c r="AC547" s="406"/>
    </row>
    <row r="548" spans="1:31" s="130" customFormat="1" ht="15.75" customHeight="1">
      <c r="A548" s="123" t="str">
        <f>IF(B548&lt;&gt;"",IF(AND(B548&gt;=_TM1,B548&lt;=_TM2,OR(TH!L548="1111",TH!M548="1111")),TH!D548,""),"")</f>
        <v/>
      </c>
      <c r="B548" s="12">
        <f t="shared" si="20"/>
        <v>11</v>
      </c>
      <c r="C548" s="108">
        <f t="shared" si="21"/>
        <v>42688</v>
      </c>
      <c r="D548" s="108" t="s">
        <v>470</v>
      </c>
      <c r="E548" s="113">
        <v>42688</v>
      </c>
      <c r="F548" s="114" t="s">
        <v>480</v>
      </c>
      <c r="G548" s="114" t="s">
        <v>474</v>
      </c>
      <c r="H548" s="129"/>
      <c r="I548" s="139"/>
      <c r="J548" s="139"/>
      <c r="K548" s="13">
        <v>10000</v>
      </c>
      <c r="L548" s="116" t="s">
        <v>82</v>
      </c>
      <c r="M548" s="411" t="s">
        <v>24</v>
      </c>
      <c r="N548" s="22" t="str">
        <f>IF(AND('331-CT'!$E$7=TH!H548,OR(L548="331",M548="331")),"331",IF(AND(OR(L548="131",M548="131"),H548='131-CT'!$E$7),"131",""))</f>
        <v/>
      </c>
      <c r="O548" s="22" t="str">
        <f>IF(AND($B548&gt;='111'!$N$11,$B548&lt;='111'!$O$11,OR($L548=$O$7,$M548=$O$7)),"x","")</f>
        <v/>
      </c>
      <c r="P548" s="22" t="str">
        <f>IF(AND($L548=$O$7,$B548&lt;'111'!$N$11),"x","")</f>
        <v/>
      </c>
      <c r="Q548" s="22" t="str">
        <f>IF(AND($M548=$O$7,$B548&lt;'111'!$N$11),"x","")</f>
        <v/>
      </c>
      <c r="R548" s="22" t="str">
        <f>IF(ISERROR(FIND('112'!$M$9,G548,1)),"",IF((AND(FIND('112'!$M$9,G548,1)&gt;=1,$B548&gt;='112'!$N$8,$B548&lt;='112'!$O$8,OR($L548='112'!$I$6,$M548='112'!$I$6))),"x",""))</f>
        <v>x</v>
      </c>
      <c r="S548" s="22" t="str">
        <f>IF(ISERROR(FIND('112'!$M$9,G548,1)),"",IF((AND(LEFT(G548,2)=LEFT('112'!$M$9,2),B548&lt;'112'!$N$8,$L548='112'!$I$6)),"x",""))</f>
        <v/>
      </c>
      <c r="T548" s="22" t="str">
        <f>IF(ISERROR(FIND('112'!$M$9,G548,1)),"",IF((AND(RIGHT(G548,2)=RIGHT('112'!$M$9,2),B548&lt;'112'!$N$8,$M548='112'!$I$6)),"x",""))</f>
        <v/>
      </c>
      <c r="U548" s="22" t="str">
        <f>IF(AND(B548&gt;='IN-NX'!$P$3,B548&lt;='IN-NX'!$Q$3,'IN-NX'!$D$7=D548,OR(LEFT(L548,2)="15",AND(LEFT(M548,2)&lt;&gt;"15",LEFT(M548,2)&lt;&gt;"33"))),"x","")</f>
        <v/>
      </c>
      <c r="V548" s="22" t="str">
        <f>IF(AND(OR(LEFT(TH!L548,2)="15",LEFT(TH!M548,2)="15"),'152-CT'!$J$8=TH!F548),"x","")</f>
        <v/>
      </c>
      <c r="W548" s="22" t="str">
        <f>IF(AND(OR(LEFT(TH!L548,2)="15",LEFT(TH!M548,2)="15"),TK!$E$7=TH!F548),"x","")</f>
        <v/>
      </c>
      <c r="X548" s="22" t="str">
        <f>IF(OR(TH!L548=TH!$X$7,M548=TH!$X$7),"x","")</f>
        <v>x</v>
      </c>
      <c r="Y548" s="22" t="str">
        <f>IF(AND(B548&lt;=NKC!$N$8,B548&gt;=NKC!$M$8),"x","")</f>
        <v/>
      </c>
      <c r="Z548" s="580">
        <v>4</v>
      </c>
      <c r="AA548" s="406"/>
      <c r="AB548" s="406"/>
      <c r="AC548" s="406"/>
    </row>
    <row r="549" spans="1:31" s="130" customFormat="1" ht="15.75" customHeight="1">
      <c r="A549" s="123" t="str">
        <f>IF(B549&lt;&gt;"",IF(AND(B549&gt;=_TM1,B549&lt;=_TM2,OR(TH!L549="1111",TH!M549="1111")),TH!D549,""),"")</f>
        <v/>
      </c>
      <c r="B549" s="12">
        <f t="shared" si="20"/>
        <v>11</v>
      </c>
      <c r="C549" s="108">
        <f t="shared" si="21"/>
        <v>42688</v>
      </c>
      <c r="D549" s="108" t="s">
        <v>470</v>
      </c>
      <c r="E549" s="113">
        <v>42688</v>
      </c>
      <c r="F549" s="114" t="s">
        <v>481</v>
      </c>
      <c r="G549" s="114" t="s">
        <v>474</v>
      </c>
      <c r="H549" s="129"/>
      <c r="I549" s="139"/>
      <c r="J549" s="139"/>
      <c r="K549" s="13">
        <v>1000</v>
      </c>
      <c r="L549" s="116" t="s">
        <v>9</v>
      </c>
      <c r="M549" s="411" t="s">
        <v>24</v>
      </c>
      <c r="N549" s="22" t="str">
        <f>IF(AND('331-CT'!$E$7=TH!H549,OR(L549="331",M549="331")),"331",IF(AND(OR(L549="131",M549="131"),H549='131-CT'!$E$7),"131",""))</f>
        <v/>
      </c>
      <c r="O549" s="22" t="str">
        <f>IF(AND($B549&gt;='111'!$N$11,$B549&lt;='111'!$O$11,OR($L549=$O$7,$M549=$O$7)),"x","")</f>
        <v/>
      </c>
      <c r="P549" s="22" t="str">
        <f>IF(AND($L549=$O$7,$B549&lt;'111'!$N$11),"x","")</f>
        <v/>
      </c>
      <c r="Q549" s="22" t="str">
        <f>IF(AND($M549=$O$7,$B549&lt;'111'!$N$11),"x","")</f>
        <v/>
      </c>
      <c r="R549" s="22" t="str">
        <f>IF(ISERROR(FIND('112'!$M$9,G549,1)),"",IF((AND(FIND('112'!$M$9,G549,1)&gt;=1,$B549&gt;='112'!$N$8,$B549&lt;='112'!$O$8,OR($L549='112'!$I$6,$M549='112'!$I$6))),"x",""))</f>
        <v>x</v>
      </c>
      <c r="S549" s="22" t="str">
        <f>IF(ISERROR(FIND('112'!$M$9,G549,1)),"",IF((AND(LEFT(G549,2)=LEFT('112'!$M$9,2),B549&lt;'112'!$N$8,$L549='112'!$I$6)),"x",""))</f>
        <v/>
      </c>
      <c r="T549" s="22" t="str">
        <f>IF(ISERROR(FIND('112'!$M$9,G549,1)),"",IF((AND(RIGHT(G549,2)=RIGHT('112'!$M$9,2),B549&lt;'112'!$N$8,$M549='112'!$I$6)),"x",""))</f>
        <v/>
      </c>
      <c r="U549" s="22" t="str">
        <f>IF(AND(B549&gt;='IN-NX'!$P$3,B549&lt;='IN-NX'!$Q$3,'IN-NX'!$D$7=D549,OR(LEFT(L549,2)="15",AND(LEFT(M549,2)&lt;&gt;"15",LEFT(M549,2)&lt;&gt;"33"))),"x","")</f>
        <v/>
      </c>
      <c r="V549" s="22" t="str">
        <f>IF(AND(OR(LEFT(TH!L549,2)="15",LEFT(TH!M549,2)="15"),'152-CT'!$J$8=TH!F549),"x","")</f>
        <v/>
      </c>
      <c r="W549" s="22" t="str">
        <f>IF(AND(OR(LEFT(TH!L549,2)="15",LEFT(TH!M549,2)="15"),TK!$E$7=TH!F549),"x","")</f>
        <v/>
      </c>
      <c r="X549" s="22" t="str">
        <f>IF(OR(TH!L549=TH!$X$7,M549=TH!$X$7),"x","")</f>
        <v/>
      </c>
      <c r="Y549" s="22" t="str">
        <f>IF(AND(B549&lt;=NKC!$N$8,B549&gt;=NKC!$M$8),"x","")</f>
        <v/>
      </c>
      <c r="Z549" s="580">
        <v>4</v>
      </c>
      <c r="AA549" s="406"/>
      <c r="AB549" s="406"/>
      <c r="AC549" s="406"/>
    </row>
    <row r="550" spans="1:31" s="130" customFormat="1" ht="15.75" customHeight="1">
      <c r="A550" s="123" t="str">
        <f>IF(B550&lt;&gt;"",IF(AND(B550&gt;=_TM1,B550&lt;=_TM2,OR(TH!L550="1111",TH!M550="1111")),TH!D550,""),"")</f>
        <v/>
      </c>
      <c r="B550" s="12">
        <f t="shared" si="20"/>
        <v>11</v>
      </c>
      <c r="C550" s="108">
        <f t="shared" si="21"/>
        <v>42689</v>
      </c>
      <c r="D550" s="113" t="s">
        <v>324</v>
      </c>
      <c r="E550" s="113">
        <v>42689</v>
      </c>
      <c r="F550" s="112" t="s">
        <v>873</v>
      </c>
      <c r="G550" s="305" t="s">
        <v>836</v>
      </c>
      <c r="H550" s="115" t="s">
        <v>624</v>
      </c>
      <c r="I550" s="139"/>
      <c r="J550" s="139"/>
      <c r="K550" s="13">
        <v>37000000</v>
      </c>
      <c r="L550" s="116" t="s">
        <v>82</v>
      </c>
      <c r="M550" s="116" t="s">
        <v>8</v>
      </c>
      <c r="N550" s="22" t="str">
        <f>IF(AND('331-CT'!$E$7=TH!H550,OR(L550="331",M550="331")),"331",IF(AND(OR(L550="131",M550="131"),H550='131-CT'!$E$7),"131",""))</f>
        <v/>
      </c>
      <c r="O550" s="22" t="str">
        <f>IF(AND($B550&gt;='111'!$N$11,$B550&lt;='111'!$O$11,OR($L550=$O$7,$M550=$O$7)),"x","")</f>
        <v/>
      </c>
      <c r="P550" s="22" t="str">
        <f>IF(AND($L550=$O$7,$B550&lt;'111'!$N$11),"x","")</f>
        <v/>
      </c>
      <c r="Q550" s="22" t="str">
        <f>IF(AND($M550=$O$7,$B550&lt;'111'!$N$11),"x","")</f>
        <v/>
      </c>
      <c r="R550" s="22" t="str">
        <f>IF(ISERROR(FIND('112'!$M$9,G550,1)),"",IF((AND(FIND('112'!$M$9,G550,1)&gt;=1,$B550&gt;='112'!$N$8,$B550&lt;='112'!$O$8,OR($L550='112'!$I$6,$M550='112'!$I$6))),"x",""))</f>
        <v/>
      </c>
      <c r="S550" s="22" t="str">
        <f>IF(ISERROR(FIND('112'!$M$9,G550,1)),"",IF((AND(LEFT(G550,2)=LEFT('112'!$M$9,2),B550&lt;'112'!$N$8,$L550='112'!$I$6)),"x",""))</f>
        <v/>
      </c>
      <c r="T550" s="22" t="str">
        <f>IF(ISERROR(FIND('112'!$M$9,G550,1)),"",IF((AND(RIGHT(G550,2)=RIGHT('112'!$M$9,2),B550&lt;'112'!$N$8,$M550='112'!$I$6)),"x",""))</f>
        <v/>
      </c>
      <c r="U550" s="22" t="str">
        <f>IF(AND(B550&gt;='IN-NX'!$P$3,B550&lt;='IN-NX'!$Q$3,'IN-NX'!$D$7=D550,OR(LEFT(L550,2)="15",AND(LEFT(M550,2)&lt;&gt;"15",LEFT(M550,2)&lt;&gt;"33"))),"x","")</f>
        <v/>
      </c>
      <c r="V550" s="22" t="str">
        <f>IF(AND(OR(LEFT(TH!L550,2)="15",LEFT(TH!M550,2)="15"),'152-CT'!$J$8=TH!F550),"x","")</f>
        <v/>
      </c>
      <c r="W550" s="22" t="str">
        <f>IF(AND(OR(LEFT(TH!L550,2)="15",LEFT(TH!M550,2)="15"),TK!$E$7=TH!F550),"x","")</f>
        <v/>
      </c>
      <c r="X550" s="22" t="str">
        <f>IF(OR(TH!L550=TH!$X$7,M550=TH!$X$7),"x","")</f>
        <v>x</v>
      </c>
      <c r="Y550" s="22" t="str">
        <f>IF(AND(B550&lt;=NKC!$N$8,B550&gt;=NKC!$M$8),"x","")</f>
        <v/>
      </c>
      <c r="Z550" s="580">
        <v>4</v>
      </c>
      <c r="AA550" s="406"/>
      <c r="AB550" s="406"/>
    </row>
    <row r="551" spans="1:31" s="130" customFormat="1" ht="15.75" customHeight="1">
      <c r="A551" s="123" t="str">
        <f>IF(B551&lt;&gt;"",IF(AND(B551&gt;=_TM1,B551&lt;=_TM2,OR(TH!L551="1111",TH!M551="1111")),TH!D551,""),"")</f>
        <v/>
      </c>
      <c r="B551" s="12">
        <f t="shared" si="20"/>
        <v>11</v>
      </c>
      <c r="C551" s="108">
        <f t="shared" si="21"/>
        <v>42689</v>
      </c>
      <c r="D551" s="113" t="s">
        <v>324</v>
      </c>
      <c r="E551" s="113">
        <v>42689</v>
      </c>
      <c r="F551" s="112" t="s">
        <v>435</v>
      </c>
      <c r="G551" s="305" t="s">
        <v>836</v>
      </c>
      <c r="H551" s="115" t="s">
        <v>624</v>
      </c>
      <c r="I551" s="139"/>
      <c r="J551" s="139"/>
      <c r="K551" s="13">
        <v>3700000</v>
      </c>
      <c r="L551" s="116" t="s">
        <v>9</v>
      </c>
      <c r="M551" s="116" t="s">
        <v>8</v>
      </c>
      <c r="N551" s="22" t="str">
        <f>IF(AND('331-CT'!$E$7=TH!H551,OR(L551="331",M551="331")),"331",IF(AND(OR(L551="131",M551="131"),H551='131-CT'!$E$7),"131",""))</f>
        <v/>
      </c>
      <c r="O551" s="22" t="str">
        <f>IF(AND($B551&gt;='111'!$N$11,$B551&lt;='111'!$O$11,OR($L551=$O$7,$M551=$O$7)),"x","")</f>
        <v/>
      </c>
      <c r="P551" s="22" t="str">
        <f>IF(AND($L551=$O$7,$B551&lt;'111'!$N$11),"x","")</f>
        <v/>
      </c>
      <c r="Q551" s="22" t="str">
        <f>IF(AND($M551=$O$7,$B551&lt;'111'!$N$11),"x","")</f>
        <v/>
      </c>
      <c r="R551" s="22" t="str">
        <f>IF(ISERROR(FIND('112'!$M$9,G551,1)),"",IF((AND(FIND('112'!$M$9,G551,1)&gt;=1,$B551&gt;='112'!$N$8,$B551&lt;='112'!$O$8,OR($L551='112'!$I$6,$M551='112'!$I$6))),"x",""))</f>
        <v/>
      </c>
      <c r="S551" s="22" t="str">
        <f>IF(ISERROR(FIND('112'!$M$9,G551,1)),"",IF((AND(LEFT(G551,2)=LEFT('112'!$M$9,2),B551&lt;'112'!$N$8,$L551='112'!$I$6)),"x",""))</f>
        <v/>
      </c>
      <c r="T551" s="22" t="str">
        <f>IF(ISERROR(FIND('112'!$M$9,G551,1)),"",IF((AND(RIGHT(G551,2)=RIGHT('112'!$M$9,2),B551&lt;'112'!$N$8,$M551='112'!$I$6)),"x",""))</f>
        <v/>
      </c>
      <c r="U551" s="22" t="str">
        <f>IF(AND(B551&gt;='IN-NX'!$P$3,B551&lt;='IN-NX'!$Q$3,'IN-NX'!$D$7=D551,OR(LEFT(L551,2)="15",AND(LEFT(M551,2)&lt;&gt;"15",LEFT(M551,2)&lt;&gt;"33"))),"x","")</f>
        <v/>
      </c>
      <c r="V551" s="22" t="str">
        <f>IF(AND(OR(LEFT(TH!L551,2)="15",LEFT(TH!M551,2)="15"),'152-CT'!$J$8=TH!F551),"x","")</f>
        <v/>
      </c>
      <c r="W551" s="22" t="str">
        <f>IF(AND(OR(LEFT(TH!L551,2)="15",LEFT(TH!M551,2)="15"),TK!$E$7=TH!F551),"x","")</f>
        <v/>
      </c>
      <c r="X551" s="22" t="str">
        <f>IF(OR(TH!L551=TH!$X$7,M551=TH!$X$7),"x","")</f>
        <v/>
      </c>
      <c r="Y551" s="22" t="str">
        <f>IF(AND(B551&lt;=NKC!$N$8,B551&gt;=NKC!$M$8),"x","")</f>
        <v/>
      </c>
      <c r="Z551" s="580">
        <v>4</v>
      </c>
      <c r="AA551" s="406"/>
      <c r="AB551" s="406"/>
    </row>
    <row r="552" spans="1:31" s="130" customFormat="1" ht="15.75" customHeight="1">
      <c r="A552" s="123" t="str">
        <f>IF(B552&lt;&gt;"",IF(AND(B552&gt;=_TM1,B552&lt;=_TM2,OR(TH!L552="1111",TH!M552="1111")),TH!D552,""),"")</f>
        <v/>
      </c>
      <c r="B552" s="12">
        <f t="shared" si="20"/>
        <v>11</v>
      </c>
      <c r="C552" s="108">
        <f t="shared" si="21"/>
        <v>42689</v>
      </c>
      <c r="D552" s="108" t="s">
        <v>469</v>
      </c>
      <c r="E552" s="113">
        <v>42689</v>
      </c>
      <c r="F552" s="112" t="s">
        <v>484</v>
      </c>
      <c r="G552" s="114" t="s">
        <v>474</v>
      </c>
      <c r="H552" s="4" t="s">
        <v>367</v>
      </c>
      <c r="I552" s="139"/>
      <c r="J552" s="141"/>
      <c r="K552" s="13">
        <v>41492000</v>
      </c>
      <c r="L552" s="116" t="s">
        <v>24</v>
      </c>
      <c r="M552" s="411" t="s">
        <v>252</v>
      </c>
      <c r="N552" s="22" t="str">
        <f>IF(AND('331-CT'!$E$7=TH!H552,OR(L552="331",M552="331")),"331",IF(AND(OR(L552="131",M552="131"),H552='131-CT'!$E$7),"131",""))</f>
        <v/>
      </c>
      <c r="O552" s="22" t="str">
        <f>IF(AND($B552&gt;='111'!$N$11,$B552&lt;='111'!$O$11,OR($L552=$O$7,$M552=$O$7)),"x","")</f>
        <v/>
      </c>
      <c r="P552" s="22" t="str">
        <f>IF(AND($L552=$O$7,$B552&lt;'111'!$N$11),"x","")</f>
        <v/>
      </c>
      <c r="Q552" s="22" t="str">
        <f>IF(AND($M552=$O$7,$B552&lt;'111'!$N$11),"x","")</f>
        <v/>
      </c>
      <c r="R552" s="22" t="str">
        <f>IF(ISERROR(FIND('112'!$M$9,G552,1)),"",IF((AND(FIND('112'!$M$9,G552,1)&gt;=1,$B552&gt;='112'!$N$8,$B552&lt;='112'!$O$8,OR($L552='112'!$I$6,$M552='112'!$I$6))),"x",""))</f>
        <v>x</v>
      </c>
      <c r="S552" s="22" t="str">
        <f>IF(ISERROR(FIND('112'!$M$9,G552,1)),"",IF((AND(LEFT(G552,2)=LEFT('112'!$M$9,2),B552&lt;'112'!$N$8,$L552='112'!$I$6)),"x",""))</f>
        <v/>
      </c>
      <c r="T552" s="22" t="str">
        <f>IF(ISERROR(FIND('112'!$M$9,G552,1)),"",IF((AND(RIGHT(G552,2)=RIGHT('112'!$M$9,2),B552&lt;'112'!$N$8,$M552='112'!$I$6)),"x",""))</f>
        <v/>
      </c>
      <c r="U552" s="22" t="str">
        <f>IF(AND(B552&gt;='IN-NX'!$P$3,B552&lt;='IN-NX'!$Q$3,'IN-NX'!$D$7=D552,OR(LEFT(L552,2)="15",AND(LEFT(M552,2)&lt;&gt;"15",LEFT(M552,2)&lt;&gt;"33"))),"x","")</f>
        <v/>
      </c>
      <c r="V552" s="22" t="str">
        <f>IF(AND(OR(LEFT(TH!L552,2)="15",LEFT(TH!M552,2)="15"),'152-CT'!$J$8=TH!F552),"x","")</f>
        <v/>
      </c>
      <c r="W552" s="22" t="str">
        <f>IF(AND(OR(LEFT(TH!L552,2)="15",LEFT(TH!M552,2)="15"),TK!$E$7=TH!F552),"x","")</f>
        <v/>
      </c>
      <c r="X552" s="22" t="str">
        <f>IF(OR(TH!L552=TH!$X$7,M552=TH!$X$7),"x","")</f>
        <v/>
      </c>
      <c r="Y552" s="22" t="str">
        <f>IF(AND(B552&lt;=NKC!$N$8,B552&gt;=NKC!$M$8),"x","")</f>
        <v/>
      </c>
      <c r="Z552" s="580"/>
      <c r="AA552" s="406"/>
      <c r="AB552" s="406"/>
      <c r="AD552" s="406"/>
      <c r="AE552" s="406"/>
    </row>
    <row r="553" spans="1:31" s="130" customFormat="1" ht="15.75" customHeight="1">
      <c r="A553" s="123" t="str">
        <f>IF(B553&lt;&gt;"",IF(AND(B553&gt;=_TM1,B553&lt;=_TM2,OR(TH!L553="1111",TH!M553="1111")),TH!D553,""),"")</f>
        <v>T12</v>
      </c>
      <c r="B553" s="12">
        <f t="shared" si="20"/>
        <v>11</v>
      </c>
      <c r="C553" s="108">
        <f t="shared" si="21"/>
        <v>42689</v>
      </c>
      <c r="D553" s="108" t="s">
        <v>996</v>
      </c>
      <c r="E553" s="113">
        <v>42689</v>
      </c>
      <c r="F553" s="114" t="s">
        <v>485</v>
      </c>
      <c r="G553" s="114" t="s">
        <v>474</v>
      </c>
      <c r="H553" s="129" t="s">
        <v>475</v>
      </c>
      <c r="I553" s="139"/>
      <c r="J553" s="139"/>
      <c r="K553" s="13">
        <v>10000000</v>
      </c>
      <c r="L553" s="116" t="s">
        <v>46</v>
      </c>
      <c r="M553" s="411" t="s">
        <v>24</v>
      </c>
      <c r="N553" s="22" t="str">
        <f>IF(AND('331-CT'!$E$7=TH!H553,OR(L553="331",M553="331")),"331",IF(AND(OR(L553="131",M553="131"),H553='131-CT'!$E$7),"131",""))</f>
        <v/>
      </c>
      <c r="O553" s="22" t="str">
        <f>IF(AND($B553&gt;='111'!$N$11,$B553&lt;='111'!$O$11,OR($L553=$O$7,$M553=$O$7)),"x","")</f>
        <v>x</v>
      </c>
      <c r="P553" s="22" t="str">
        <f>IF(AND($L553=$O$7,$B553&lt;'111'!$N$11),"x","")</f>
        <v/>
      </c>
      <c r="Q553" s="22" t="str">
        <f>IF(AND($M553=$O$7,$B553&lt;'111'!$N$11),"x","")</f>
        <v/>
      </c>
      <c r="R553" s="22" t="str">
        <f>IF(ISERROR(FIND('112'!$M$9,G553,1)),"",IF((AND(FIND('112'!$M$9,G553,1)&gt;=1,$B553&gt;='112'!$N$8,$B553&lt;='112'!$O$8,OR($L553='112'!$I$6,$M553='112'!$I$6))),"x",""))</f>
        <v>x</v>
      </c>
      <c r="S553" s="22" t="str">
        <f>IF(ISERROR(FIND('112'!$M$9,G553,1)),"",IF((AND(LEFT(G553,2)=LEFT('112'!$M$9,2),B553&lt;'112'!$N$8,$L553='112'!$I$6)),"x",""))</f>
        <v/>
      </c>
      <c r="T553" s="22" t="str">
        <f>IF(ISERROR(FIND('112'!$M$9,G553,1)),"",IF((AND(RIGHT(G553,2)=RIGHT('112'!$M$9,2),B553&lt;'112'!$N$8,$M553='112'!$I$6)),"x",""))</f>
        <v/>
      </c>
      <c r="U553" s="22" t="str">
        <f>IF(AND(B553&gt;='IN-NX'!$P$3,B553&lt;='IN-NX'!$Q$3,'IN-NX'!$D$7=D553,OR(LEFT(L553,2)="15",AND(LEFT(M553,2)&lt;&gt;"15",LEFT(M553,2)&lt;&gt;"33"))),"x","")</f>
        <v/>
      </c>
      <c r="V553" s="22" t="str">
        <f>IF(AND(OR(LEFT(TH!L553,2)="15",LEFT(TH!M553,2)="15"),'152-CT'!$J$8=TH!F553),"x","")</f>
        <v/>
      </c>
      <c r="W553" s="22" t="str">
        <f>IF(AND(OR(LEFT(TH!L553,2)="15",LEFT(TH!M553,2)="15"),TK!$E$7=TH!F553),"x","")</f>
        <v/>
      </c>
      <c r="X553" s="22" t="str">
        <f>IF(OR(TH!L553=TH!$X$7,M553=TH!$X$7),"x","")</f>
        <v/>
      </c>
      <c r="Y553" s="22" t="str">
        <f>IF(AND(B553&lt;=NKC!$N$8,B553&gt;=NKC!$M$8),"x","")</f>
        <v/>
      </c>
      <c r="Z553" s="580"/>
      <c r="AA553" s="406"/>
      <c r="AB553" s="406"/>
      <c r="AC553" s="406"/>
    </row>
    <row r="554" spans="1:31" s="130" customFormat="1" ht="15.75" customHeight="1">
      <c r="A554" s="123" t="str">
        <f>IF(B554&lt;&gt;"",IF(AND(B554&gt;=_TM1,B554&lt;=_TM2,OR(TH!L554="1111",TH!M554="1111")),TH!D554,""),"")</f>
        <v/>
      </c>
      <c r="B554" s="12">
        <f t="shared" si="20"/>
        <v>11</v>
      </c>
      <c r="C554" s="108">
        <f t="shared" si="21"/>
        <v>42691</v>
      </c>
      <c r="D554" s="108" t="s">
        <v>469</v>
      </c>
      <c r="E554" s="113">
        <v>42691</v>
      </c>
      <c r="F554" s="112" t="s">
        <v>484</v>
      </c>
      <c r="G554" s="114" t="s">
        <v>474</v>
      </c>
      <c r="H554" s="115" t="s">
        <v>683</v>
      </c>
      <c r="I554" s="139"/>
      <c r="J554" s="141"/>
      <c r="K554" s="13">
        <v>63756000</v>
      </c>
      <c r="L554" s="116" t="s">
        <v>24</v>
      </c>
      <c r="M554" s="411" t="s">
        <v>252</v>
      </c>
      <c r="N554" s="22" t="str">
        <f>IF(AND('331-CT'!$E$7=TH!H554,OR(L554="331",M554="331")),"331",IF(AND(OR(L554="131",M554="131"),H554='131-CT'!$E$7),"131",""))</f>
        <v/>
      </c>
      <c r="O554" s="22" t="str">
        <f>IF(AND($B554&gt;='111'!$N$11,$B554&lt;='111'!$O$11,OR($L554=$O$7,$M554=$O$7)),"x","")</f>
        <v/>
      </c>
      <c r="P554" s="22" t="str">
        <f>IF(AND($L554=$O$7,$B554&lt;'111'!$N$11),"x","")</f>
        <v/>
      </c>
      <c r="Q554" s="22" t="str">
        <f>IF(AND($M554=$O$7,$B554&lt;'111'!$N$11),"x","")</f>
        <v/>
      </c>
      <c r="R554" s="22" t="str">
        <f>IF(ISERROR(FIND('112'!$M$9,G554,1)),"",IF((AND(FIND('112'!$M$9,G554,1)&gt;=1,$B554&gt;='112'!$N$8,$B554&lt;='112'!$O$8,OR($L554='112'!$I$6,$M554='112'!$I$6))),"x",""))</f>
        <v>x</v>
      </c>
      <c r="S554" s="22" t="str">
        <f>IF(ISERROR(FIND('112'!$M$9,G554,1)),"",IF((AND(LEFT(G554,2)=LEFT('112'!$M$9,2),B554&lt;'112'!$N$8,$L554='112'!$I$6)),"x",""))</f>
        <v/>
      </c>
      <c r="T554" s="22" t="str">
        <f>IF(ISERROR(FIND('112'!$M$9,G554,1)),"",IF((AND(RIGHT(G554,2)=RIGHT('112'!$M$9,2),B554&lt;'112'!$N$8,$M554='112'!$I$6)),"x",""))</f>
        <v/>
      </c>
      <c r="U554" s="22" t="str">
        <f>IF(AND(B554&gt;='IN-NX'!$P$3,B554&lt;='IN-NX'!$Q$3,'IN-NX'!$D$7=D554,OR(LEFT(L554,2)="15",AND(LEFT(M554,2)&lt;&gt;"15",LEFT(M554,2)&lt;&gt;"33"))),"x","")</f>
        <v/>
      </c>
      <c r="V554" s="22" t="str">
        <f>IF(AND(OR(LEFT(TH!L554,2)="15",LEFT(TH!M554,2)="15"),'152-CT'!$J$8=TH!F554),"x","")</f>
        <v/>
      </c>
      <c r="W554" s="22" t="str">
        <f>IF(AND(OR(LEFT(TH!L554,2)="15",LEFT(TH!M554,2)="15"),TK!$E$7=TH!F554),"x","")</f>
        <v/>
      </c>
      <c r="X554" s="22" t="str">
        <f>IF(OR(TH!L554=TH!$X$7,M554=TH!$X$7),"x","")</f>
        <v/>
      </c>
      <c r="Y554" s="22" t="str">
        <f>IF(AND(B554&lt;=NKC!$N$8,B554&gt;=NKC!$M$8),"x","")</f>
        <v/>
      </c>
      <c r="Z554" s="580"/>
      <c r="AA554" s="406"/>
      <c r="AB554" s="406"/>
      <c r="AD554" s="406"/>
      <c r="AE554" s="406"/>
    </row>
    <row r="555" spans="1:31" s="130" customFormat="1" ht="15.75" customHeight="1">
      <c r="A555" s="123" t="str">
        <f>IF(B555&lt;&gt;"",IF(AND(B555&gt;=_TM1,B555&lt;=_TM2,OR(TH!L555="1111",TH!M555="1111")),TH!D555,""),"")</f>
        <v/>
      </c>
      <c r="B555" s="12">
        <f t="shared" si="20"/>
        <v>11</v>
      </c>
      <c r="C555" s="108">
        <f t="shared" si="21"/>
        <v>42692</v>
      </c>
      <c r="D555" s="108" t="s">
        <v>470</v>
      </c>
      <c r="E555" s="113">
        <v>42692</v>
      </c>
      <c r="F555" s="114" t="s">
        <v>479</v>
      </c>
      <c r="G555" s="114" t="s">
        <v>474</v>
      </c>
      <c r="H555" s="115" t="s">
        <v>624</v>
      </c>
      <c r="I555" s="139"/>
      <c r="J555" s="141"/>
      <c r="K555" s="13">
        <v>40700000</v>
      </c>
      <c r="L555" s="116" t="s">
        <v>8</v>
      </c>
      <c r="M555" s="411" t="s">
        <v>24</v>
      </c>
      <c r="N555" s="22" t="str">
        <f>IF(AND('331-CT'!$E$7=TH!H555,OR(L555="331",M555="331")),"331",IF(AND(OR(L555="131",M555="131"),H555='131-CT'!$E$7),"131",""))</f>
        <v/>
      </c>
      <c r="O555" s="22" t="str">
        <f>IF(AND($B555&gt;='111'!$N$11,$B555&lt;='111'!$O$11,OR($L555=$O$7,$M555=$O$7)),"x","")</f>
        <v/>
      </c>
      <c r="P555" s="22" t="str">
        <f>IF(AND($L555=$O$7,$B555&lt;'111'!$N$11),"x","")</f>
        <v/>
      </c>
      <c r="Q555" s="22" t="str">
        <f>IF(AND($M555=$O$7,$B555&lt;'111'!$N$11),"x","")</f>
        <v/>
      </c>
      <c r="R555" s="22" t="str">
        <f>IF(ISERROR(FIND('112'!$M$9,G555,1)),"",IF((AND(FIND('112'!$M$9,G555,1)&gt;=1,$B555&gt;='112'!$N$8,$B555&lt;='112'!$O$8,OR($L555='112'!$I$6,$M555='112'!$I$6))),"x",""))</f>
        <v>x</v>
      </c>
      <c r="S555" s="22" t="str">
        <f>IF(ISERROR(FIND('112'!$M$9,G555,1)),"",IF((AND(LEFT(G555,2)=LEFT('112'!$M$9,2),B555&lt;'112'!$N$8,$L555='112'!$I$6)),"x",""))</f>
        <v/>
      </c>
      <c r="T555" s="22" t="str">
        <f>IF(ISERROR(FIND('112'!$M$9,G555,1)),"",IF((AND(RIGHT(G555,2)=RIGHT('112'!$M$9,2),B555&lt;'112'!$N$8,$M555='112'!$I$6)),"x",""))</f>
        <v/>
      </c>
      <c r="U555" s="22" t="str">
        <f>IF(AND(B555&gt;='IN-NX'!$P$3,B555&lt;='IN-NX'!$Q$3,'IN-NX'!$D$7=D555,OR(LEFT(L555,2)="15",AND(LEFT(M555,2)&lt;&gt;"15",LEFT(M555,2)&lt;&gt;"33"))),"x","")</f>
        <v/>
      </c>
      <c r="V555" s="22" t="str">
        <f>IF(AND(OR(LEFT(TH!L555,2)="15",LEFT(TH!M555,2)="15"),'152-CT'!$J$8=TH!F555),"x","")</f>
        <v/>
      </c>
      <c r="W555" s="22" t="str">
        <f>IF(AND(OR(LEFT(TH!L555,2)="15",LEFT(TH!M555,2)="15"),TK!$E$7=TH!F555),"x","")</f>
        <v/>
      </c>
      <c r="X555" s="22" t="str">
        <f>IF(OR(TH!L555=TH!$X$7,M555=TH!$X$7),"x","")</f>
        <v/>
      </c>
      <c r="Y555" s="22" t="str">
        <f>IF(AND(B555&lt;=NKC!$N$8,B555&gt;=NKC!$M$8),"x","")</f>
        <v/>
      </c>
      <c r="Z555" s="580"/>
      <c r="AA555" s="406"/>
      <c r="AB555" s="406"/>
      <c r="AC555" s="406"/>
    </row>
    <row r="556" spans="1:31" s="130" customFormat="1" ht="15.75" customHeight="1">
      <c r="A556" s="123" t="str">
        <f>IF(B556&lt;&gt;"",IF(AND(B556&gt;=_TM1,B556&lt;=_TM2,OR(TH!L556="1111",TH!M556="1111")),TH!D556,""),"")</f>
        <v/>
      </c>
      <c r="B556" s="12">
        <f t="shared" si="20"/>
        <v>11</v>
      </c>
      <c r="C556" s="108">
        <f t="shared" si="21"/>
        <v>42692</v>
      </c>
      <c r="D556" s="108" t="s">
        <v>470</v>
      </c>
      <c r="E556" s="113">
        <v>42692</v>
      </c>
      <c r="F556" s="114" t="s">
        <v>480</v>
      </c>
      <c r="G556" s="114" t="s">
        <v>474</v>
      </c>
      <c r="H556" s="129"/>
      <c r="I556" s="140"/>
      <c r="J556" s="140"/>
      <c r="K556" s="13">
        <v>20000</v>
      </c>
      <c r="L556" s="116" t="s">
        <v>82</v>
      </c>
      <c r="M556" s="411" t="s">
        <v>24</v>
      </c>
      <c r="N556" s="22" t="str">
        <f>IF(AND('331-CT'!$E$7=TH!H556,OR(L556="331",M556="331")),"331",IF(AND(OR(L556="131",M556="131"),H556='131-CT'!$E$7),"131",""))</f>
        <v/>
      </c>
      <c r="O556" s="22" t="str">
        <f>IF(AND($B556&gt;='111'!$N$11,$B556&lt;='111'!$O$11,OR($L556=$O$7,$M556=$O$7)),"x","")</f>
        <v/>
      </c>
      <c r="P556" s="22" t="str">
        <f>IF(AND($L556=$O$7,$B556&lt;'111'!$N$11),"x","")</f>
        <v/>
      </c>
      <c r="Q556" s="22" t="str">
        <f>IF(AND($M556=$O$7,$B556&lt;'111'!$N$11),"x","")</f>
        <v/>
      </c>
      <c r="R556" s="22" t="str">
        <f>IF(ISERROR(FIND('112'!$M$9,G556,1)),"",IF((AND(FIND('112'!$M$9,G556,1)&gt;=1,$B556&gt;='112'!$N$8,$B556&lt;='112'!$O$8,OR($L556='112'!$I$6,$M556='112'!$I$6))),"x",""))</f>
        <v>x</v>
      </c>
      <c r="S556" s="22" t="str">
        <f>IF(ISERROR(FIND('112'!$M$9,G556,1)),"",IF((AND(LEFT(G556,2)=LEFT('112'!$M$9,2),B556&lt;'112'!$N$8,$L556='112'!$I$6)),"x",""))</f>
        <v/>
      </c>
      <c r="T556" s="22" t="str">
        <f>IF(ISERROR(FIND('112'!$M$9,G556,1)),"",IF((AND(RIGHT(G556,2)=RIGHT('112'!$M$9,2),B556&lt;'112'!$N$8,$M556='112'!$I$6)),"x",""))</f>
        <v/>
      </c>
      <c r="U556" s="22" t="str">
        <f>IF(AND(B556&gt;='IN-NX'!$P$3,B556&lt;='IN-NX'!$Q$3,'IN-NX'!$D$7=D556,OR(LEFT(L556,2)="15",AND(LEFT(M556,2)&lt;&gt;"15",LEFT(M556,2)&lt;&gt;"33"))),"x","")</f>
        <v/>
      </c>
      <c r="V556" s="22" t="str">
        <f>IF(AND(OR(LEFT(TH!L556,2)="15",LEFT(TH!M556,2)="15"),'152-CT'!$J$8=TH!F556),"x","")</f>
        <v/>
      </c>
      <c r="W556" s="22" t="str">
        <f>IF(AND(OR(LEFT(TH!L556,2)="15",LEFT(TH!M556,2)="15"),TK!$E$7=TH!F556),"x","")</f>
        <v/>
      </c>
      <c r="X556" s="22" t="str">
        <f>IF(OR(TH!L556=TH!$X$7,M556=TH!$X$7),"x","")</f>
        <v>x</v>
      </c>
      <c r="Y556" s="22" t="str">
        <f>IF(AND(B556&lt;=NKC!$N$8,B556&gt;=NKC!$M$8),"x","")</f>
        <v/>
      </c>
      <c r="Z556" s="580">
        <v>4</v>
      </c>
      <c r="AA556" s="406"/>
      <c r="AB556" s="406"/>
      <c r="AC556" s="406"/>
    </row>
    <row r="557" spans="1:31" s="130" customFormat="1" ht="15.75" customHeight="1">
      <c r="A557" s="123" t="str">
        <f>IF(B557&lt;&gt;"",IF(AND(B557&gt;=_TM1,B557&lt;=_TM2,OR(TH!L557="1111",TH!M557="1111")),TH!D557,""),"")</f>
        <v/>
      </c>
      <c r="B557" s="12">
        <f t="shared" si="20"/>
        <v>11</v>
      </c>
      <c r="C557" s="108">
        <f t="shared" si="21"/>
        <v>42692</v>
      </c>
      <c r="D557" s="108" t="s">
        <v>470</v>
      </c>
      <c r="E557" s="113">
        <v>42692</v>
      </c>
      <c r="F557" s="114" t="s">
        <v>481</v>
      </c>
      <c r="G557" s="114" t="s">
        <v>474</v>
      </c>
      <c r="H557" s="129"/>
      <c r="I557" s="139"/>
      <c r="J557" s="139"/>
      <c r="K557" s="13">
        <v>2000</v>
      </c>
      <c r="L557" s="116" t="s">
        <v>9</v>
      </c>
      <c r="M557" s="411" t="s">
        <v>24</v>
      </c>
      <c r="N557" s="22" t="str">
        <f>IF(AND('331-CT'!$E$7=TH!H557,OR(L557="331",M557="331")),"331",IF(AND(OR(L557="131",M557="131"),H557='131-CT'!$E$7),"131",""))</f>
        <v/>
      </c>
      <c r="O557" s="22" t="str">
        <f>IF(AND($B557&gt;='111'!$N$11,$B557&lt;='111'!$O$11,OR($L557=$O$7,$M557=$O$7)),"x","")</f>
        <v/>
      </c>
      <c r="P557" s="22" t="str">
        <f>IF(AND($L557=$O$7,$B557&lt;'111'!$N$11),"x","")</f>
        <v/>
      </c>
      <c r="Q557" s="22" t="str">
        <f>IF(AND($M557=$O$7,$B557&lt;'111'!$N$11),"x","")</f>
        <v/>
      </c>
      <c r="R557" s="22" t="str">
        <f>IF(ISERROR(FIND('112'!$M$9,G557,1)),"",IF((AND(FIND('112'!$M$9,G557,1)&gt;=1,$B557&gt;='112'!$N$8,$B557&lt;='112'!$O$8,OR($L557='112'!$I$6,$M557='112'!$I$6))),"x",""))</f>
        <v>x</v>
      </c>
      <c r="S557" s="22" t="str">
        <f>IF(ISERROR(FIND('112'!$M$9,G557,1)),"",IF((AND(LEFT(G557,2)=LEFT('112'!$M$9,2),B557&lt;'112'!$N$8,$L557='112'!$I$6)),"x",""))</f>
        <v/>
      </c>
      <c r="T557" s="22" t="str">
        <f>IF(ISERROR(FIND('112'!$M$9,G557,1)),"",IF((AND(RIGHT(G557,2)=RIGHT('112'!$M$9,2),B557&lt;'112'!$N$8,$M557='112'!$I$6)),"x",""))</f>
        <v/>
      </c>
      <c r="U557" s="22" t="str">
        <f>IF(AND(B557&gt;='IN-NX'!$P$3,B557&lt;='IN-NX'!$Q$3,'IN-NX'!$D$7=D557,OR(LEFT(L557,2)="15",AND(LEFT(M557,2)&lt;&gt;"15",LEFT(M557,2)&lt;&gt;"33"))),"x","")</f>
        <v/>
      </c>
      <c r="V557" s="22" t="str">
        <f>IF(AND(OR(LEFT(TH!L557,2)="15",LEFT(TH!M557,2)="15"),'152-CT'!$J$8=TH!F557),"x","")</f>
        <v/>
      </c>
      <c r="W557" s="22" t="str">
        <f>IF(AND(OR(LEFT(TH!L557,2)="15",LEFT(TH!M557,2)="15"),TK!$E$7=TH!F557),"x","")</f>
        <v/>
      </c>
      <c r="X557" s="22" t="str">
        <f>IF(OR(TH!L557=TH!$X$7,M557=TH!$X$7),"x","")</f>
        <v/>
      </c>
      <c r="Y557" s="22" t="str">
        <f>IF(AND(B557&lt;=NKC!$N$8,B557&gt;=NKC!$M$8),"x","")</f>
        <v/>
      </c>
      <c r="Z557" s="580">
        <v>4</v>
      </c>
      <c r="AA557" s="406"/>
      <c r="AB557" s="406"/>
      <c r="AC557" s="406"/>
    </row>
    <row r="558" spans="1:31" s="130" customFormat="1" ht="15.75" customHeight="1">
      <c r="A558" s="123" t="str">
        <f>IF(B558&lt;&gt;"",IF(AND(B558&gt;=_TM1,B558&lt;=_TM2,OR(TH!L558="1111",TH!M558="1111")),TH!D558,""),"")</f>
        <v>T13</v>
      </c>
      <c r="B558" s="12">
        <f t="shared" si="20"/>
        <v>11</v>
      </c>
      <c r="C558" s="108">
        <f t="shared" si="21"/>
        <v>42692</v>
      </c>
      <c r="D558" s="108" t="s">
        <v>997</v>
      </c>
      <c r="E558" s="113">
        <v>42692</v>
      </c>
      <c r="F558" s="114" t="s">
        <v>485</v>
      </c>
      <c r="G558" s="114" t="s">
        <v>474</v>
      </c>
      <c r="H558" s="129" t="s">
        <v>796</v>
      </c>
      <c r="I558" s="139"/>
      <c r="J558" s="139"/>
      <c r="K558" s="13">
        <v>54300000</v>
      </c>
      <c r="L558" s="116" t="s">
        <v>46</v>
      </c>
      <c r="M558" s="411" t="s">
        <v>24</v>
      </c>
      <c r="N558" s="22" t="str">
        <f>IF(AND('331-CT'!$E$7=TH!H558,OR(L558="331",M558="331")),"331",IF(AND(OR(L558="131",M558="131"),H558='131-CT'!$E$7),"131",""))</f>
        <v/>
      </c>
      <c r="O558" s="22" t="str">
        <f>IF(AND($B558&gt;='111'!$N$11,$B558&lt;='111'!$O$11,OR($L558=$O$7,$M558=$O$7)),"x","")</f>
        <v>x</v>
      </c>
      <c r="P558" s="22" t="str">
        <f>IF(AND($L558=$O$7,$B558&lt;'111'!$N$11),"x","")</f>
        <v/>
      </c>
      <c r="Q558" s="22" t="str">
        <f>IF(AND($M558=$O$7,$B558&lt;'111'!$N$11),"x","")</f>
        <v/>
      </c>
      <c r="R558" s="22" t="str">
        <f>IF(ISERROR(FIND('112'!$M$9,G558,1)),"",IF((AND(FIND('112'!$M$9,G558,1)&gt;=1,$B558&gt;='112'!$N$8,$B558&lt;='112'!$O$8,OR($L558='112'!$I$6,$M558='112'!$I$6))),"x",""))</f>
        <v>x</v>
      </c>
      <c r="S558" s="22" t="str">
        <f>IF(ISERROR(FIND('112'!$M$9,G558,1)),"",IF((AND(LEFT(G558,2)=LEFT('112'!$M$9,2),B558&lt;'112'!$N$8,$L558='112'!$I$6)),"x",""))</f>
        <v/>
      </c>
      <c r="T558" s="22" t="str">
        <f>IF(ISERROR(FIND('112'!$M$9,G558,1)),"",IF((AND(RIGHT(G558,2)=RIGHT('112'!$M$9,2),B558&lt;'112'!$N$8,$M558='112'!$I$6)),"x",""))</f>
        <v/>
      </c>
      <c r="U558" s="22" t="str">
        <f>IF(AND(B558&gt;='IN-NX'!$P$3,B558&lt;='IN-NX'!$Q$3,'IN-NX'!$D$7=D558,OR(LEFT(L558,2)="15",AND(LEFT(M558,2)&lt;&gt;"15",LEFT(M558,2)&lt;&gt;"33"))),"x","")</f>
        <v/>
      </c>
      <c r="V558" s="22" t="str">
        <f>IF(AND(OR(LEFT(TH!L558,2)="15",LEFT(TH!M558,2)="15"),'152-CT'!$J$8=TH!F558),"x","")</f>
        <v/>
      </c>
      <c r="W558" s="22" t="str">
        <f>IF(AND(OR(LEFT(TH!L558,2)="15",LEFT(TH!M558,2)="15"),TK!$E$7=TH!F558),"x","")</f>
        <v/>
      </c>
      <c r="X558" s="22" t="str">
        <f>IF(OR(TH!L558=TH!$X$7,M558=TH!$X$7),"x","")</f>
        <v/>
      </c>
      <c r="Y558" s="22" t="str">
        <f>IF(AND(B558&lt;=NKC!$N$8,B558&gt;=NKC!$M$8),"x","")</f>
        <v/>
      </c>
      <c r="Z558" s="580"/>
      <c r="AA558" s="406"/>
      <c r="AB558" s="406"/>
      <c r="AC558" s="406"/>
    </row>
    <row r="559" spans="1:31" s="130" customFormat="1" ht="15.75" customHeight="1">
      <c r="A559" s="123" t="str">
        <f>IF(B559&lt;&gt;"",IF(AND(B559&gt;=_TM1,B559&lt;=_TM2,OR(TH!L559="1111",TH!M559="1111")),TH!D559,""),"")</f>
        <v>C19</v>
      </c>
      <c r="B559" s="12">
        <f t="shared" si="20"/>
        <v>11</v>
      </c>
      <c r="C559" s="108">
        <f t="shared" si="21"/>
        <v>42693</v>
      </c>
      <c r="D559" s="113" t="s">
        <v>1007</v>
      </c>
      <c r="E559" s="113">
        <v>42693</v>
      </c>
      <c r="F559" s="112" t="s">
        <v>874</v>
      </c>
      <c r="G559" s="305" t="s">
        <v>876</v>
      </c>
      <c r="H559" s="115" t="s">
        <v>877</v>
      </c>
      <c r="I559" s="139"/>
      <c r="J559" s="139"/>
      <c r="K559" s="13">
        <v>843000</v>
      </c>
      <c r="L559" s="116" t="s">
        <v>82</v>
      </c>
      <c r="M559" s="411" t="s">
        <v>46</v>
      </c>
      <c r="N559" s="22" t="str">
        <f>IF(AND('331-CT'!$E$7=TH!H559,OR(L559="331",M559="331")),"331",IF(AND(OR(L559="131",M559="131"),H559='131-CT'!$E$7),"131",""))</f>
        <v/>
      </c>
      <c r="O559" s="22" t="str">
        <f>IF(AND($B559&gt;='111'!$N$11,$B559&lt;='111'!$O$11,OR($L559=$O$7,$M559=$O$7)),"x","")</f>
        <v>x</v>
      </c>
      <c r="P559" s="22" t="str">
        <f>IF(AND($L559=$O$7,$B559&lt;'111'!$N$11),"x","")</f>
        <v/>
      </c>
      <c r="Q559" s="22" t="str">
        <f>IF(AND($M559=$O$7,$B559&lt;'111'!$N$11),"x","")</f>
        <v/>
      </c>
      <c r="R559" s="22" t="str">
        <f>IF(ISERROR(FIND('112'!$M$9,G559,1)),"",IF((AND(FIND('112'!$M$9,G559,1)&gt;=1,$B559&gt;='112'!$N$8,$B559&lt;='112'!$O$8,OR($L559='112'!$I$6,$M559='112'!$I$6))),"x",""))</f>
        <v/>
      </c>
      <c r="S559" s="22" t="str">
        <f>IF(ISERROR(FIND('112'!$M$9,G559,1)),"",IF((AND(LEFT(G559,2)=LEFT('112'!$M$9,2),B559&lt;'112'!$N$8,$L559='112'!$I$6)),"x",""))</f>
        <v/>
      </c>
      <c r="T559" s="22" t="str">
        <f>IF(ISERROR(FIND('112'!$M$9,G559,1)),"",IF((AND(RIGHT(G559,2)=RIGHT('112'!$M$9,2),B559&lt;'112'!$N$8,$M559='112'!$I$6)),"x",""))</f>
        <v/>
      </c>
      <c r="U559" s="22" t="str">
        <f>IF(AND(B559&gt;='IN-NX'!$P$3,B559&lt;='IN-NX'!$Q$3,'IN-NX'!$D$7=D559,OR(LEFT(L559,2)="15",AND(LEFT(M559,2)&lt;&gt;"15",LEFT(M559,2)&lt;&gt;"33"))),"x","")</f>
        <v/>
      </c>
      <c r="V559" s="22" t="str">
        <f>IF(AND(OR(LEFT(TH!L559,2)="15",LEFT(TH!M559,2)="15"),'152-CT'!$J$8=TH!F559),"x","")</f>
        <v/>
      </c>
      <c r="W559" s="22" t="str">
        <f>IF(AND(OR(LEFT(TH!L559,2)="15",LEFT(TH!M559,2)="15"),TK!$E$7=TH!F559),"x","")</f>
        <v/>
      </c>
      <c r="X559" s="22" t="str">
        <f>IF(OR(TH!L559=TH!$X$7,M559=TH!$X$7),"x","")</f>
        <v>x</v>
      </c>
      <c r="Y559" s="22" t="str">
        <f>IF(AND(B559&lt;=NKC!$N$8,B559&gt;=NKC!$M$8),"x","")</f>
        <v/>
      </c>
      <c r="Z559" s="580">
        <v>4</v>
      </c>
      <c r="AA559" s="406"/>
      <c r="AB559" s="406"/>
    </row>
    <row r="560" spans="1:31" s="130" customFormat="1" ht="15.75" customHeight="1">
      <c r="A560" s="123" t="str">
        <f>IF(B560&lt;&gt;"",IF(AND(B560&gt;=_TM1,B560&lt;=_TM2,OR(TH!L560="1111",TH!M560="1111")),TH!D560,""),"")</f>
        <v>C19</v>
      </c>
      <c r="B560" s="12">
        <f t="shared" si="20"/>
        <v>11</v>
      </c>
      <c r="C560" s="108">
        <f t="shared" si="21"/>
        <v>42693</v>
      </c>
      <c r="D560" s="113" t="s">
        <v>1007</v>
      </c>
      <c r="E560" s="113">
        <v>42693</v>
      </c>
      <c r="F560" s="112" t="s">
        <v>875</v>
      </c>
      <c r="G560" s="305" t="s">
        <v>876</v>
      </c>
      <c r="H560" s="115" t="s">
        <v>877</v>
      </c>
      <c r="I560" s="139"/>
      <c r="J560" s="139"/>
      <c r="K560" s="13">
        <v>84300</v>
      </c>
      <c r="L560" s="116" t="s">
        <v>9</v>
      </c>
      <c r="M560" s="411" t="s">
        <v>46</v>
      </c>
      <c r="N560" s="22" t="str">
        <f>IF(AND('331-CT'!$E$7=TH!H560,OR(L560="331",M560="331")),"331",IF(AND(OR(L560="131",M560="131"),H560='131-CT'!$E$7),"131",""))</f>
        <v/>
      </c>
      <c r="O560" s="22" t="str">
        <f>IF(AND($B560&gt;='111'!$N$11,$B560&lt;='111'!$O$11,OR($L560=$O$7,$M560=$O$7)),"x","")</f>
        <v>x</v>
      </c>
      <c r="P560" s="22" t="str">
        <f>IF(AND($L560=$O$7,$B560&lt;'111'!$N$11),"x","")</f>
        <v/>
      </c>
      <c r="Q560" s="22" t="str">
        <f>IF(AND($M560=$O$7,$B560&lt;'111'!$N$11),"x","")</f>
        <v/>
      </c>
      <c r="R560" s="22" t="str">
        <f>IF(ISERROR(FIND('112'!$M$9,G560,1)),"",IF((AND(FIND('112'!$M$9,G560,1)&gt;=1,$B560&gt;='112'!$N$8,$B560&lt;='112'!$O$8,OR($L560='112'!$I$6,$M560='112'!$I$6))),"x",""))</f>
        <v/>
      </c>
      <c r="S560" s="22" t="str">
        <f>IF(ISERROR(FIND('112'!$M$9,G560,1)),"",IF((AND(LEFT(G560,2)=LEFT('112'!$M$9,2),B560&lt;'112'!$N$8,$L560='112'!$I$6)),"x",""))</f>
        <v/>
      </c>
      <c r="T560" s="22" t="str">
        <f>IF(ISERROR(FIND('112'!$M$9,G560,1)),"",IF((AND(RIGHT(G560,2)=RIGHT('112'!$M$9,2),B560&lt;'112'!$N$8,$M560='112'!$I$6)),"x",""))</f>
        <v/>
      </c>
      <c r="U560" s="22" t="str">
        <f>IF(AND(B560&gt;='IN-NX'!$P$3,B560&lt;='IN-NX'!$Q$3,'IN-NX'!$D$7=D560,OR(LEFT(L560,2)="15",AND(LEFT(M560,2)&lt;&gt;"15",LEFT(M560,2)&lt;&gt;"33"))),"x","")</f>
        <v/>
      </c>
      <c r="V560" s="22" t="str">
        <f>IF(AND(OR(LEFT(TH!L560,2)="15",LEFT(TH!M560,2)="15"),'152-CT'!$J$8=TH!F560),"x","")</f>
        <v/>
      </c>
      <c r="W560" s="22" t="str">
        <f>IF(AND(OR(LEFT(TH!L560,2)="15",LEFT(TH!M560,2)="15"),TK!$E$7=TH!F560),"x","")</f>
        <v/>
      </c>
      <c r="X560" s="22" t="str">
        <f>IF(OR(TH!L560=TH!$X$7,M560=TH!$X$7),"x","")</f>
        <v/>
      </c>
      <c r="Y560" s="22" t="str">
        <f>IF(AND(B560&lt;=NKC!$N$8,B560&gt;=NKC!$M$8),"x","")</f>
        <v/>
      </c>
      <c r="Z560" s="580">
        <v>4</v>
      </c>
      <c r="AA560" s="406"/>
      <c r="AB560" s="406"/>
    </row>
    <row r="561" spans="1:31" s="130" customFormat="1" ht="15.75" customHeight="1">
      <c r="A561" s="123" t="str">
        <f>IF(B561&lt;&gt;"",IF(AND(B561&gt;=_TM1,B561&lt;=_TM2,OR(TH!L561="1111",TH!M561="1111")),TH!D561,""),"")</f>
        <v/>
      </c>
      <c r="B561" s="12">
        <f t="shared" si="20"/>
        <v>11</v>
      </c>
      <c r="C561" s="108">
        <f t="shared" si="21"/>
        <v>42693</v>
      </c>
      <c r="D561" s="108" t="s">
        <v>567</v>
      </c>
      <c r="E561" s="113">
        <v>42693</v>
      </c>
      <c r="F561" s="112" t="s">
        <v>685</v>
      </c>
      <c r="G561" s="303" t="s">
        <v>769</v>
      </c>
      <c r="H561" s="4" t="s">
        <v>369</v>
      </c>
      <c r="I561" s="140">
        <v>23</v>
      </c>
      <c r="J561" s="140">
        <v>16070</v>
      </c>
      <c r="K561" s="13">
        <f t="shared" ref="K561:K566" si="22">ROUND(I561*J561,0)</f>
        <v>369610</v>
      </c>
      <c r="L561" s="116" t="s">
        <v>252</v>
      </c>
      <c r="M561" s="411" t="s">
        <v>169</v>
      </c>
      <c r="N561" s="22" t="str">
        <f>IF(AND('331-CT'!$E$7=TH!H561,OR(L561="331",M561="331")),"331",IF(AND(OR(L561="131",M561="131"),H561='131-CT'!$E$7),"131",""))</f>
        <v>131</v>
      </c>
      <c r="O561" s="22" t="str">
        <f>IF(AND($B561&gt;='111'!$N$11,$B561&lt;='111'!$O$11,OR($L561=$O$7,$M561=$O$7)),"x","")</f>
        <v/>
      </c>
      <c r="P561" s="22" t="str">
        <f>IF(AND($L561=$O$7,$B561&lt;'111'!$N$11),"x","")</f>
        <v/>
      </c>
      <c r="Q561" s="22" t="str">
        <f>IF(AND($M561=$O$7,$B561&lt;'111'!$N$11),"x","")</f>
        <v/>
      </c>
      <c r="R561" s="22" t="str">
        <f>IF(ISERROR(FIND('112'!$M$9,G561,1)),"",IF((AND(FIND('112'!$M$9,G561,1)&gt;=1,$B561&gt;='112'!$N$8,$B561&lt;='112'!$O$8,OR($L561='112'!$I$6,$M561='112'!$I$6))),"x",""))</f>
        <v/>
      </c>
      <c r="S561" s="22" t="str">
        <f>IF(ISERROR(FIND('112'!$M$9,G561,1)),"",IF((AND(LEFT(G561,2)=LEFT('112'!$M$9,2),B561&lt;'112'!$N$8,$L561='112'!$I$6)),"x",""))</f>
        <v/>
      </c>
      <c r="T561" s="22" t="str">
        <f>IF(ISERROR(FIND('112'!$M$9,G561,1)),"",IF((AND(RIGHT(G561,2)=RIGHT('112'!$M$9,2),B561&lt;'112'!$N$8,$M561='112'!$I$6)),"x",""))</f>
        <v/>
      </c>
      <c r="U561" s="22" t="str">
        <f>IF(AND(B561&gt;='IN-NX'!$P$3,B561&lt;='IN-NX'!$Q$3,'IN-NX'!$D$7=D561,OR(LEFT(L561,2)="15",AND(LEFT(M561,2)&lt;&gt;"15",LEFT(M561,2)&lt;&gt;"33"))),"x","")</f>
        <v/>
      </c>
      <c r="V561" s="22" t="str">
        <f>IF(AND(OR(LEFT(TH!L561,2)="15",LEFT(TH!M561,2)="15"),'152-CT'!$J$8=TH!F561),"x","")</f>
        <v/>
      </c>
      <c r="W561" s="22" t="str">
        <f>IF(AND(OR(LEFT(TH!L561,2)="15",LEFT(TH!M561,2)="15"),TK!$E$7=TH!F561),"x","")</f>
        <v/>
      </c>
      <c r="X561" s="22" t="str">
        <f>IF(OR(TH!L561=TH!$X$7,M561=TH!$X$7),"x","")</f>
        <v/>
      </c>
      <c r="Y561" s="22" t="str">
        <f>IF(AND(B561&lt;=NKC!$N$8,B561&gt;=NKC!$M$8),"x","")</f>
        <v/>
      </c>
      <c r="Z561" s="580"/>
      <c r="AA561" s="406"/>
      <c r="AB561" s="406"/>
      <c r="AD561" s="406"/>
      <c r="AE561" s="406"/>
    </row>
    <row r="562" spans="1:31" s="130" customFormat="1" ht="15.75" customHeight="1">
      <c r="A562" s="123" t="str">
        <f>IF(B562&lt;&gt;"",IF(AND(B562&gt;=_TM1,B562&lt;=_TM2,OR(TH!L562="1111",TH!M562="1111")),TH!D562,""),"")</f>
        <v/>
      </c>
      <c r="B562" s="12">
        <f t="shared" si="20"/>
        <v>11</v>
      </c>
      <c r="C562" s="108">
        <f t="shared" si="21"/>
        <v>42693</v>
      </c>
      <c r="D562" s="108" t="s">
        <v>567</v>
      </c>
      <c r="E562" s="113">
        <v>42693</v>
      </c>
      <c r="F562" s="112" t="s">
        <v>498</v>
      </c>
      <c r="G562" s="303" t="s">
        <v>769</v>
      </c>
      <c r="H562" s="4" t="s">
        <v>369</v>
      </c>
      <c r="I562" s="140">
        <v>63</v>
      </c>
      <c r="J562" s="140">
        <v>75276</v>
      </c>
      <c r="K562" s="13">
        <f t="shared" si="22"/>
        <v>4742388</v>
      </c>
      <c r="L562" s="116" t="s">
        <v>252</v>
      </c>
      <c r="M562" s="411" t="s">
        <v>169</v>
      </c>
      <c r="N562" s="22" t="str">
        <f>IF(AND('331-CT'!$E$7=TH!H562,OR(L562="331",M562="331")),"331",IF(AND(OR(L562="131",M562="131"),H562='131-CT'!$E$7),"131",""))</f>
        <v>131</v>
      </c>
      <c r="O562" s="22" t="str">
        <f>IF(AND($B562&gt;='111'!$N$11,$B562&lt;='111'!$O$11,OR($L562=$O$7,$M562=$O$7)),"x","")</f>
        <v/>
      </c>
      <c r="P562" s="22" t="str">
        <f>IF(AND($L562=$O$7,$B562&lt;'111'!$N$11),"x","")</f>
        <v/>
      </c>
      <c r="Q562" s="22" t="str">
        <f>IF(AND($M562=$O$7,$B562&lt;'111'!$N$11),"x","")</f>
        <v/>
      </c>
      <c r="R562" s="22" t="str">
        <f>IF(ISERROR(FIND('112'!$M$9,G562,1)),"",IF((AND(FIND('112'!$M$9,G562,1)&gt;=1,$B562&gt;='112'!$N$8,$B562&lt;='112'!$O$8,OR($L562='112'!$I$6,$M562='112'!$I$6))),"x",""))</f>
        <v/>
      </c>
      <c r="S562" s="22" t="str">
        <f>IF(ISERROR(FIND('112'!$M$9,G562,1)),"",IF((AND(LEFT(G562,2)=LEFT('112'!$M$9,2),B562&lt;'112'!$N$8,$L562='112'!$I$6)),"x",""))</f>
        <v/>
      </c>
      <c r="T562" s="22" t="str">
        <f>IF(ISERROR(FIND('112'!$M$9,G562,1)),"",IF((AND(RIGHT(G562,2)=RIGHT('112'!$M$9,2),B562&lt;'112'!$N$8,$M562='112'!$I$6)),"x",""))</f>
        <v/>
      </c>
      <c r="U562" s="22" t="str">
        <f>IF(AND(B562&gt;='IN-NX'!$P$3,B562&lt;='IN-NX'!$Q$3,'IN-NX'!$D$7=D562,OR(LEFT(L562,2)="15",AND(LEFT(M562,2)&lt;&gt;"15",LEFT(M562,2)&lt;&gt;"33"))),"x","")</f>
        <v/>
      </c>
      <c r="V562" s="22" t="str">
        <f>IF(AND(OR(LEFT(TH!L562,2)="15",LEFT(TH!M562,2)="15"),'152-CT'!$J$8=TH!F562),"x","")</f>
        <v/>
      </c>
      <c r="W562" s="22" t="str">
        <f>IF(AND(OR(LEFT(TH!L562,2)="15",LEFT(TH!M562,2)="15"),TK!$E$7=TH!F562),"x","")</f>
        <v/>
      </c>
      <c r="X562" s="22" t="str">
        <f>IF(OR(TH!L562=TH!$X$7,M562=TH!$X$7),"x","")</f>
        <v/>
      </c>
      <c r="Y562" s="22" t="str">
        <f>IF(AND(B562&lt;=NKC!$N$8,B562&gt;=NKC!$M$8),"x","")</f>
        <v/>
      </c>
      <c r="Z562" s="580"/>
      <c r="AA562" s="406"/>
      <c r="AB562" s="406"/>
      <c r="AD562" s="406"/>
      <c r="AE562" s="406"/>
    </row>
    <row r="563" spans="1:31" s="130" customFormat="1" ht="15.75" customHeight="1">
      <c r="A563" s="123" t="str">
        <f>IF(B563&lt;&gt;"",IF(AND(B563&gt;=_TM1,B563&lt;=_TM2,OR(TH!L563="1111",TH!M563="1111")),TH!D563,""),"")</f>
        <v/>
      </c>
      <c r="B563" s="12">
        <f t="shared" si="20"/>
        <v>11</v>
      </c>
      <c r="C563" s="108">
        <f t="shared" si="21"/>
        <v>42693</v>
      </c>
      <c r="D563" s="108" t="s">
        <v>567</v>
      </c>
      <c r="E563" s="113">
        <v>42693</v>
      </c>
      <c r="F563" s="112" t="s">
        <v>686</v>
      </c>
      <c r="G563" s="303" t="s">
        <v>769</v>
      </c>
      <c r="H563" s="4" t="s">
        <v>369</v>
      </c>
      <c r="I563" s="139">
        <v>27</v>
      </c>
      <c r="J563" s="139">
        <v>29954</v>
      </c>
      <c r="K563" s="13">
        <f t="shared" si="22"/>
        <v>808758</v>
      </c>
      <c r="L563" s="116" t="s">
        <v>252</v>
      </c>
      <c r="M563" s="411" t="s">
        <v>169</v>
      </c>
      <c r="N563" s="22" t="str">
        <f>IF(AND('331-CT'!$E$7=TH!H563,OR(L563="331",M563="331")),"331",IF(AND(OR(L563="131",M563="131"),H563='131-CT'!$E$7),"131",""))</f>
        <v>131</v>
      </c>
      <c r="O563" s="22" t="str">
        <f>IF(AND($B563&gt;='111'!$N$11,$B563&lt;='111'!$O$11,OR($L563=$O$7,$M563=$O$7)),"x","")</f>
        <v/>
      </c>
      <c r="P563" s="22" t="str">
        <f>IF(AND($L563=$O$7,$B563&lt;'111'!$N$11),"x","")</f>
        <v/>
      </c>
      <c r="Q563" s="22" t="str">
        <f>IF(AND($M563=$O$7,$B563&lt;'111'!$N$11),"x","")</f>
        <v/>
      </c>
      <c r="R563" s="22" t="str">
        <f>IF(ISERROR(FIND('112'!$M$9,G563,1)),"",IF((AND(FIND('112'!$M$9,G563,1)&gt;=1,$B563&gt;='112'!$N$8,$B563&lt;='112'!$O$8,OR($L563='112'!$I$6,$M563='112'!$I$6))),"x",""))</f>
        <v/>
      </c>
      <c r="S563" s="22" t="str">
        <f>IF(ISERROR(FIND('112'!$M$9,G563,1)),"",IF((AND(LEFT(G563,2)=LEFT('112'!$M$9,2),B563&lt;'112'!$N$8,$L563='112'!$I$6)),"x",""))</f>
        <v/>
      </c>
      <c r="T563" s="22" t="str">
        <f>IF(ISERROR(FIND('112'!$M$9,G563,1)),"",IF((AND(RIGHT(G563,2)=RIGHT('112'!$M$9,2),B563&lt;'112'!$N$8,$M563='112'!$I$6)),"x",""))</f>
        <v/>
      </c>
      <c r="U563" s="22" t="str">
        <f>IF(AND(B563&gt;='IN-NX'!$P$3,B563&lt;='IN-NX'!$Q$3,'IN-NX'!$D$7=D563,OR(LEFT(L563,2)="15",AND(LEFT(M563,2)&lt;&gt;"15",LEFT(M563,2)&lt;&gt;"33"))),"x","")</f>
        <v/>
      </c>
      <c r="V563" s="22" t="str">
        <f>IF(AND(OR(LEFT(TH!L563,2)="15",LEFT(TH!M563,2)="15"),'152-CT'!$J$8=TH!F563),"x","")</f>
        <v/>
      </c>
      <c r="W563" s="22" t="str">
        <f>IF(AND(OR(LEFT(TH!L563,2)="15",LEFT(TH!M563,2)="15"),TK!$E$7=TH!F563),"x","")</f>
        <v/>
      </c>
      <c r="X563" s="22" t="str">
        <f>IF(OR(TH!L563=TH!$X$7,M563=TH!$X$7),"x","")</f>
        <v/>
      </c>
      <c r="Y563" s="22" t="str">
        <f>IF(AND(B563&lt;=NKC!$N$8,B563&gt;=NKC!$M$8),"x","")</f>
        <v/>
      </c>
      <c r="Z563" s="580"/>
      <c r="AA563" s="406"/>
      <c r="AD563" s="406"/>
      <c r="AE563" s="406"/>
    </row>
    <row r="564" spans="1:31" s="130" customFormat="1" ht="15.75" customHeight="1">
      <c r="A564" s="123" t="str">
        <f>IF(B564&lt;&gt;"",IF(AND(B564&gt;=_TM1,B564&lt;=_TM2,OR(TH!L564="1111",TH!M564="1111")),TH!D564,""),"")</f>
        <v/>
      </c>
      <c r="B564" s="12">
        <f t="shared" si="20"/>
        <v>11</v>
      </c>
      <c r="C564" s="108">
        <f t="shared" si="21"/>
        <v>42693</v>
      </c>
      <c r="D564" s="108" t="s">
        <v>567</v>
      </c>
      <c r="E564" s="113">
        <v>42693</v>
      </c>
      <c r="F564" s="112" t="s">
        <v>687</v>
      </c>
      <c r="G564" s="303" t="s">
        <v>769</v>
      </c>
      <c r="H564" s="4" t="s">
        <v>369</v>
      </c>
      <c r="I564" s="139">
        <v>27</v>
      </c>
      <c r="J564" s="139">
        <v>27926</v>
      </c>
      <c r="K564" s="13">
        <f t="shared" si="22"/>
        <v>754002</v>
      </c>
      <c r="L564" s="116" t="s">
        <v>252</v>
      </c>
      <c r="M564" s="411" t="s">
        <v>169</v>
      </c>
      <c r="N564" s="22" t="str">
        <f>IF(AND('331-CT'!$E$7=TH!H564,OR(L564="331",M564="331")),"331",IF(AND(OR(L564="131",M564="131"),H564='131-CT'!$E$7),"131",""))</f>
        <v>131</v>
      </c>
      <c r="O564" s="22" t="str">
        <f>IF(AND($B564&gt;='111'!$N$11,$B564&lt;='111'!$O$11,OR($L564=$O$7,$M564=$O$7)),"x","")</f>
        <v/>
      </c>
      <c r="P564" s="22" t="str">
        <f>IF(AND($L564=$O$7,$B564&lt;'111'!$N$11),"x","")</f>
        <v/>
      </c>
      <c r="Q564" s="22" t="str">
        <f>IF(AND($M564=$O$7,$B564&lt;'111'!$N$11),"x","")</f>
        <v/>
      </c>
      <c r="R564" s="22" t="str">
        <f>IF(ISERROR(FIND('112'!$M$9,G564,1)),"",IF((AND(FIND('112'!$M$9,G564,1)&gt;=1,$B564&gt;='112'!$N$8,$B564&lt;='112'!$O$8,OR($L564='112'!$I$6,$M564='112'!$I$6))),"x",""))</f>
        <v/>
      </c>
      <c r="S564" s="22" t="str">
        <f>IF(ISERROR(FIND('112'!$M$9,G564,1)),"",IF((AND(LEFT(G564,2)=LEFT('112'!$M$9,2),B564&lt;'112'!$N$8,$L564='112'!$I$6)),"x",""))</f>
        <v/>
      </c>
      <c r="T564" s="22" t="str">
        <f>IF(ISERROR(FIND('112'!$M$9,G564,1)),"",IF((AND(RIGHT(G564,2)=RIGHT('112'!$M$9,2),B564&lt;'112'!$N$8,$M564='112'!$I$6)),"x",""))</f>
        <v/>
      </c>
      <c r="U564" s="22" t="str">
        <f>IF(AND(B564&gt;='IN-NX'!$P$3,B564&lt;='IN-NX'!$Q$3,'IN-NX'!$D$7=D564,OR(LEFT(L564,2)="15",AND(LEFT(M564,2)&lt;&gt;"15",LEFT(M564,2)&lt;&gt;"33"))),"x","")</f>
        <v/>
      </c>
      <c r="V564" s="22" t="str">
        <f>IF(AND(OR(LEFT(TH!L564,2)="15",LEFT(TH!M564,2)="15"),'152-CT'!$J$8=TH!F564),"x","")</f>
        <v/>
      </c>
      <c r="W564" s="22" t="str">
        <f>IF(AND(OR(LEFT(TH!L564,2)="15",LEFT(TH!M564,2)="15"),TK!$E$7=TH!F564),"x","")</f>
        <v/>
      </c>
      <c r="X564" s="22" t="str">
        <f>IF(OR(TH!L564=TH!$X$7,M564=TH!$X$7),"x","")</f>
        <v/>
      </c>
      <c r="Y564" s="22" t="str">
        <f>IF(AND(B564&lt;=NKC!$N$8,B564&gt;=NKC!$M$8),"x","")</f>
        <v/>
      </c>
      <c r="Z564" s="580"/>
      <c r="AA564" s="406"/>
      <c r="AB564" s="406"/>
      <c r="AD564" s="406"/>
      <c r="AE564" s="406"/>
    </row>
    <row r="565" spans="1:31" s="130" customFormat="1" ht="15.75" customHeight="1">
      <c r="A565" s="123" t="str">
        <f>IF(B565&lt;&gt;"",IF(AND(B565&gt;=_TM1,B565&lt;=_TM2,OR(TH!L565="1111",TH!M565="1111")),TH!D565,""),"")</f>
        <v/>
      </c>
      <c r="B565" s="12">
        <f t="shared" si="20"/>
        <v>11</v>
      </c>
      <c r="C565" s="108">
        <f t="shared" si="21"/>
        <v>42693</v>
      </c>
      <c r="D565" s="108" t="s">
        <v>567</v>
      </c>
      <c r="E565" s="113">
        <v>42693</v>
      </c>
      <c r="F565" s="112" t="s">
        <v>688</v>
      </c>
      <c r="G565" s="303" t="s">
        <v>769</v>
      </c>
      <c r="H565" s="4" t="s">
        <v>369</v>
      </c>
      <c r="I565" s="139">
        <v>26</v>
      </c>
      <c r="J565" s="139">
        <v>42230</v>
      </c>
      <c r="K565" s="13">
        <f t="shared" si="22"/>
        <v>1097980</v>
      </c>
      <c r="L565" s="116" t="s">
        <v>252</v>
      </c>
      <c r="M565" s="411" t="s">
        <v>169</v>
      </c>
      <c r="N565" s="22" t="str">
        <f>IF(AND('331-CT'!$E$7=TH!H565,OR(L565="331",M565="331")),"331",IF(AND(OR(L565="131",M565="131"),H565='131-CT'!$E$7),"131",""))</f>
        <v>131</v>
      </c>
      <c r="O565" s="22" t="str">
        <f>IF(AND($B565&gt;='111'!$N$11,$B565&lt;='111'!$O$11,OR($L565=$O$7,$M565=$O$7)),"x","")</f>
        <v/>
      </c>
      <c r="P565" s="22" t="str">
        <f>IF(AND($L565=$O$7,$B565&lt;'111'!$N$11),"x","")</f>
        <v/>
      </c>
      <c r="Q565" s="22" t="str">
        <f>IF(AND($M565=$O$7,$B565&lt;'111'!$N$11),"x","")</f>
        <v/>
      </c>
      <c r="R565" s="22" t="str">
        <f>IF(ISERROR(FIND('112'!$M$9,G565,1)),"",IF((AND(FIND('112'!$M$9,G565,1)&gt;=1,$B565&gt;='112'!$N$8,$B565&lt;='112'!$O$8,OR($L565='112'!$I$6,$M565='112'!$I$6))),"x",""))</f>
        <v/>
      </c>
      <c r="S565" s="22" t="str">
        <f>IF(ISERROR(FIND('112'!$M$9,G565,1)),"",IF((AND(LEFT(G565,2)=LEFT('112'!$M$9,2),B565&lt;'112'!$N$8,$L565='112'!$I$6)),"x",""))</f>
        <v/>
      </c>
      <c r="T565" s="22" t="str">
        <f>IF(ISERROR(FIND('112'!$M$9,G565,1)),"",IF((AND(RIGHT(G565,2)=RIGHT('112'!$M$9,2),B565&lt;'112'!$N$8,$M565='112'!$I$6)),"x",""))</f>
        <v/>
      </c>
      <c r="U565" s="22" t="str">
        <f>IF(AND(B565&gt;='IN-NX'!$P$3,B565&lt;='IN-NX'!$Q$3,'IN-NX'!$D$7=D565,OR(LEFT(L565,2)="15",AND(LEFT(M565,2)&lt;&gt;"15",LEFT(M565,2)&lt;&gt;"33"))),"x","")</f>
        <v/>
      </c>
      <c r="V565" s="22" t="str">
        <f>IF(AND(OR(LEFT(TH!L565,2)="15",LEFT(TH!M565,2)="15"),'152-CT'!$J$8=TH!F565),"x","")</f>
        <v/>
      </c>
      <c r="W565" s="22" t="str">
        <f>IF(AND(OR(LEFT(TH!L565,2)="15",LEFT(TH!M565,2)="15"),TK!$E$7=TH!F565),"x","")</f>
        <v/>
      </c>
      <c r="X565" s="22" t="str">
        <f>IF(OR(TH!L565=TH!$X$7,M565=TH!$X$7),"x","")</f>
        <v/>
      </c>
      <c r="Y565" s="22" t="str">
        <f>IF(AND(B565&lt;=NKC!$N$8,B565&gt;=NKC!$M$8),"x","")</f>
        <v/>
      </c>
      <c r="Z565" s="580"/>
      <c r="AA565" s="406"/>
    </row>
    <row r="566" spans="1:31" s="130" customFormat="1" ht="15.75" customHeight="1">
      <c r="A566" s="123" t="str">
        <f>IF(B566&lt;&gt;"",IF(AND(B566&gt;=_TM1,B566&lt;=_TM2,OR(TH!L566="1111",TH!M566="1111")),TH!D566,""),"")</f>
        <v/>
      </c>
      <c r="B566" s="12">
        <f t="shared" si="20"/>
        <v>11</v>
      </c>
      <c r="C566" s="108">
        <f t="shared" si="21"/>
        <v>42693</v>
      </c>
      <c r="D566" s="108" t="s">
        <v>567</v>
      </c>
      <c r="E566" s="113">
        <v>42693</v>
      </c>
      <c r="F566" s="112" t="s">
        <v>689</v>
      </c>
      <c r="G566" s="303" t="s">
        <v>769</v>
      </c>
      <c r="H566" s="4" t="s">
        <v>369</v>
      </c>
      <c r="I566" s="139">
        <v>21</v>
      </c>
      <c r="J566" s="139">
        <v>21839</v>
      </c>
      <c r="K566" s="13">
        <f t="shared" si="22"/>
        <v>458619</v>
      </c>
      <c r="L566" s="116" t="s">
        <v>252</v>
      </c>
      <c r="M566" s="411" t="s">
        <v>169</v>
      </c>
      <c r="N566" s="22" t="str">
        <f>IF(AND('331-CT'!$E$7=TH!H566,OR(L566="331",M566="331")),"331",IF(AND(OR(L566="131",M566="131"),H566='131-CT'!$E$7),"131",""))</f>
        <v>131</v>
      </c>
      <c r="O566" s="22" t="str">
        <f>IF(AND($B566&gt;='111'!$N$11,$B566&lt;='111'!$O$11,OR($L566=$O$7,$M566=$O$7)),"x","")</f>
        <v/>
      </c>
      <c r="P566" s="22" t="str">
        <f>IF(AND($L566=$O$7,$B566&lt;'111'!$N$11),"x","")</f>
        <v/>
      </c>
      <c r="Q566" s="22" t="str">
        <f>IF(AND($M566=$O$7,$B566&lt;'111'!$N$11),"x","")</f>
        <v/>
      </c>
      <c r="R566" s="22" t="str">
        <f>IF(ISERROR(FIND('112'!$M$9,G566,1)),"",IF((AND(FIND('112'!$M$9,G566,1)&gt;=1,$B566&gt;='112'!$N$8,$B566&lt;='112'!$O$8,OR($L566='112'!$I$6,$M566='112'!$I$6))),"x",""))</f>
        <v/>
      </c>
      <c r="S566" s="22" t="str">
        <f>IF(ISERROR(FIND('112'!$M$9,G566,1)),"",IF((AND(LEFT(G566,2)=LEFT('112'!$M$9,2),B566&lt;'112'!$N$8,$L566='112'!$I$6)),"x",""))</f>
        <v/>
      </c>
      <c r="T566" s="22" t="str">
        <f>IF(ISERROR(FIND('112'!$M$9,G566,1)),"",IF((AND(RIGHT(G566,2)=RIGHT('112'!$M$9,2),B566&lt;'112'!$N$8,$M566='112'!$I$6)),"x",""))</f>
        <v/>
      </c>
      <c r="U566" s="22" t="str">
        <f>IF(AND(B566&gt;='IN-NX'!$P$3,B566&lt;='IN-NX'!$Q$3,'IN-NX'!$D$7=D566,OR(LEFT(L566,2)="15",AND(LEFT(M566,2)&lt;&gt;"15",LEFT(M566,2)&lt;&gt;"33"))),"x","")</f>
        <v/>
      </c>
      <c r="V566" s="22" t="str">
        <f>IF(AND(OR(LEFT(TH!L566,2)="15",LEFT(TH!M566,2)="15"),'152-CT'!$J$8=TH!F566),"x","")</f>
        <v/>
      </c>
      <c r="W566" s="22" t="str">
        <f>IF(AND(OR(LEFT(TH!L566,2)="15",LEFT(TH!M566,2)="15"),TK!$E$7=TH!F566),"x","")</f>
        <v/>
      </c>
      <c r="X566" s="22" t="str">
        <f>IF(OR(TH!L566=TH!$X$7,M566=TH!$X$7),"x","")</f>
        <v/>
      </c>
      <c r="Y566" s="22" t="str">
        <f>IF(AND(B566&lt;=NKC!$N$8,B566&gt;=NKC!$M$8),"x","")</f>
        <v/>
      </c>
      <c r="Z566" s="580"/>
      <c r="AA566" s="406"/>
      <c r="AB566" s="406"/>
    </row>
    <row r="567" spans="1:31" s="406" customFormat="1" ht="15.75" customHeight="1">
      <c r="A567" s="123" t="str">
        <f>IF(B567&lt;&gt;"",IF(AND(B567&gt;=_TM1,B567&lt;=_TM2,OR(TH!L567="1111",TH!M567="1111")),TH!D567,""),"")</f>
        <v/>
      </c>
      <c r="B567" s="12">
        <f t="shared" si="20"/>
        <v>11</v>
      </c>
      <c r="C567" s="108">
        <f t="shared" si="21"/>
        <v>42693</v>
      </c>
      <c r="D567" s="108" t="s">
        <v>567</v>
      </c>
      <c r="E567" s="113">
        <v>42693</v>
      </c>
      <c r="F567" s="112" t="s">
        <v>496</v>
      </c>
      <c r="G567" s="303" t="s">
        <v>769</v>
      </c>
      <c r="H567" s="4" t="s">
        <v>369</v>
      </c>
      <c r="I567" s="139"/>
      <c r="J567" s="139"/>
      <c r="K567" s="13">
        <v>823136</v>
      </c>
      <c r="L567" s="116" t="s">
        <v>252</v>
      </c>
      <c r="M567" s="411" t="s">
        <v>352</v>
      </c>
      <c r="N567" s="22" t="str">
        <f>IF(AND('331-CT'!$E$7=TH!H567,OR(L567="331",M567="331")),"331",IF(AND(OR(L567="131",M567="131"),H567='131-CT'!$E$7),"131",""))</f>
        <v>131</v>
      </c>
      <c r="O567" s="22" t="str">
        <f>IF(AND($B567&gt;='111'!$N$11,$B567&lt;='111'!$O$11,OR($L567=$O$7,$M567=$O$7)),"x","")</f>
        <v/>
      </c>
      <c r="P567" s="22" t="str">
        <f>IF(AND($L567=$O$7,$B567&lt;'111'!$N$11),"x","")</f>
        <v/>
      </c>
      <c r="Q567" s="22" t="str">
        <f>IF(AND($M567=$O$7,$B567&lt;'111'!$N$11),"x","")</f>
        <v/>
      </c>
      <c r="R567" s="22" t="str">
        <f>IF(ISERROR(FIND('112'!$M$9,G567,1)),"",IF((AND(FIND('112'!$M$9,G567,1)&gt;=1,$B567&gt;='112'!$N$8,$B567&lt;='112'!$O$8,OR($L567='112'!$I$6,$M567='112'!$I$6))),"x",""))</f>
        <v/>
      </c>
      <c r="S567" s="22" t="str">
        <f>IF(ISERROR(FIND('112'!$M$9,G567,1)),"",IF((AND(LEFT(G567,2)=LEFT('112'!$M$9,2),B567&lt;'112'!$N$8,$L567='112'!$I$6)),"x",""))</f>
        <v/>
      </c>
      <c r="T567" s="22" t="str">
        <f>IF(ISERROR(FIND('112'!$M$9,G567,1)),"",IF((AND(RIGHT(G567,2)=RIGHT('112'!$M$9,2),B567&lt;'112'!$N$8,$M567='112'!$I$6)),"x",""))</f>
        <v/>
      </c>
      <c r="U567" s="22" t="str">
        <f>IF(AND(B567&gt;='IN-NX'!$P$3,B567&lt;='IN-NX'!$Q$3,'IN-NX'!$D$7=D567,OR(LEFT(L567,2)="15",AND(LEFT(M567,2)&lt;&gt;"15",LEFT(M567,2)&lt;&gt;"33"))),"x","")</f>
        <v/>
      </c>
      <c r="V567" s="22" t="str">
        <f>IF(AND(OR(LEFT(TH!L567,2)="15",LEFT(TH!M567,2)="15"),'152-CT'!$J$8=TH!F567),"x","")</f>
        <v/>
      </c>
      <c r="W567" s="22" t="str">
        <f>IF(AND(OR(LEFT(TH!L567,2)="15",LEFT(TH!M567,2)="15"),TK!$E$7=TH!F567),"x","")</f>
        <v/>
      </c>
      <c r="X567" s="22" t="str">
        <f>IF(OR(TH!L567=TH!$X$7,M567=TH!$X$7),"x","")</f>
        <v/>
      </c>
      <c r="Y567" s="22" t="str">
        <f>IF(AND(B567&lt;=NKC!$N$8,B567&gt;=NKC!$M$8),"x","")</f>
        <v/>
      </c>
      <c r="Z567" s="580"/>
      <c r="AC567" s="130"/>
      <c r="AD567" s="130"/>
      <c r="AE567" s="130"/>
    </row>
    <row r="568" spans="1:31" s="406" customFormat="1" ht="15.75" customHeight="1">
      <c r="A568" s="123" t="str">
        <f>IF(B568&lt;&gt;"",IF(AND(B568&gt;=_TM1,B568&lt;=_TM2,OR(TH!L568="1111",TH!M568="1111")),TH!D568,""),"")</f>
        <v>T14</v>
      </c>
      <c r="B568" s="12">
        <f t="shared" si="20"/>
        <v>11</v>
      </c>
      <c r="C568" s="108">
        <f t="shared" si="21"/>
        <v>42693</v>
      </c>
      <c r="D568" s="108" t="s">
        <v>998</v>
      </c>
      <c r="E568" s="113">
        <v>42693</v>
      </c>
      <c r="F568" s="114" t="s">
        <v>484</v>
      </c>
      <c r="G568" s="303" t="s">
        <v>769</v>
      </c>
      <c r="H568" s="4" t="s">
        <v>369</v>
      </c>
      <c r="I568" s="139"/>
      <c r="J568" s="139"/>
      <c r="K568" s="13">
        <v>9054493</v>
      </c>
      <c r="L568" s="116" t="s">
        <v>46</v>
      </c>
      <c r="M568" s="411" t="s">
        <v>252</v>
      </c>
      <c r="N568" s="22" t="str">
        <f>IF(AND('331-CT'!$E$7=TH!H568,OR(L568="331",M568="331")),"331",IF(AND(OR(L568="131",M568="131"),H568='131-CT'!$E$7),"131",""))</f>
        <v>131</v>
      </c>
      <c r="O568" s="22" t="str">
        <f>IF(AND($B568&gt;='111'!$N$11,$B568&lt;='111'!$O$11,OR($L568=$O$7,$M568=$O$7)),"x","")</f>
        <v>x</v>
      </c>
      <c r="P568" s="22" t="str">
        <f>IF(AND($L568=$O$7,$B568&lt;'111'!$N$11),"x","")</f>
        <v/>
      </c>
      <c r="Q568" s="22" t="str">
        <f>IF(AND($M568=$O$7,$B568&lt;'111'!$N$11),"x","")</f>
        <v/>
      </c>
      <c r="R568" s="22" t="str">
        <f>IF(ISERROR(FIND('112'!$M$9,G568,1)),"",IF((AND(FIND('112'!$M$9,G568,1)&gt;=1,$B568&gt;='112'!$N$8,$B568&lt;='112'!$O$8,OR($L568='112'!$I$6,$M568='112'!$I$6))),"x",""))</f>
        <v/>
      </c>
      <c r="S568" s="22" t="str">
        <f>IF(ISERROR(FIND('112'!$M$9,G568,1)),"",IF((AND(LEFT(G568,2)=LEFT('112'!$M$9,2),B568&lt;'112'!$N$8,$L568='112'!$I$6)),"x",""))</f>
        <v/>
      </c>
      <c r="T568" s="22" t="str">
        <f>IF(ISERROR(FIND('112'!$M$9,G568,1)),"",IF((AND(RIGHT(G568,2)=RIGHT('112'!$M$9,2),B568&lt;'112'!$N$8,$M568='112'!$I$6)),"x",""))</f>
        <v/>
      </c>
      <c r="U568" s="22" t="str">
        <f>IF(AND(B568&gt;='IN-NX'!$P$3,B568&lt;='IN-NX'!$Q$3,'IN-NX'!$D$7=D568,OR(LEFT(L568,2)="15",AND(LEFT(M568,2)&lt;&gt;"15",LEFT(M568,2)&lt;&gt;"33"))),"x","")</f>
        <v/>
      </c>
      <c r="V568" s="22" t="str">
        <f>IF(AND(OR(LEFT(TH!L568,2)="15",LEFT(TH!M568,2)="15"),'152-CT'!$J$8=TH!F568),"x","")</f>
        <v/>
      </c>
      <c r="W568" s="22" t="str">
        <f>IF(AND(OR(LEFT(TH!L568,2)="15",LEFT(TH!M568,2)="15"),TK!$E$7=TH!F568),"x","")</f>
        <v/>
      </c>
      <c r="X568" s="22" t="str">
        <f>IF(OR(TH!L568=TH!$X$7,M568=TH!$X$7),"x","")</f>
        <v/>
      </c>
      <c r="Y568" s="22" t="str">
        <f>IF(AND(B568&lt;=NKC!$N$8,B568&gt;=NKC!$M$8),"x","")</f>
        <v/>
      </c>
      <c r="Z568" s="580"/>
      <c r="AC568" s="130"/>
      <c r="AD568" s="130"/>
      <c r="AE568" s="130"/>
    </row>
    <row r="569" spans="1:31" s="406" customFormat="1" ht="15.75" customHeight="1">
      <c r="A569" s="123" t="str">
        <f>IF(B569&lt;&gt;"",IF(AND(B569&gt;=_TM1,B569&lt;=_TM2,OR(TH!L569="1111",TH!M569="1111")),TH!D569,""),"")</f>
        <v/>
      </c>
      <c r="B569" s="12">
        <f t="shared" si="20"/>
        <v>11</v>
      </c>
      <c r="C569" s="108">
        <f t="shared" si="21"/>
        <v>42693</v>
      </c>
      <c r="D569" s="108" t="s">
        <v>569</v>
      </c>
      <c r="E569" s="113">
        <v>42693</v>
      </c>
      <c r="F569" s="112" t="s">
        <v>813</v>
      </c>
      <c r="G569" s="303" t="s">
        <v>815</v>
      </c>
      <c r="H569" s="4" t="s">
        <v>814</v>
      </c>
      <c r="I569" s="139">
        <v>4000</v>
      </c>
      <c r="J569" s="139">
        <v>4500</v>
      </c>
      <c r="K569" s="13">
        <f>ROUND(I569*J569,0)</f>
        <v>18000000</v>
      </c>
      <c r="L569" s="116" t="s">
        <v>252</v>
      </c>
      <c r="M569" s="411" t="s">
        <v>169</v>
      </c>
      <c r="N569" s="22" t="str">
        <f>IF(AND('331-CT'!$E$7=TH!H569,OR(L569="331",M569="331")),"331",IF(AND(OR(L569="131",M569="131"),H569='131-CT'!$E$7),"131",""))</f>
        <v/>
      </c>
      <c r="O569" s="22" t="str">
        <f>IF(AND($B569&gt;='111'!$N$11,$B569&lt;='111'!$O$11,OR($L569=$O$7,$M569=$O$7)),"x","")</f>
        <v/>
      </c>
      <c r="P569" s="22" t="str">
        <f>IF(AND($L569=$O$7,$B569&lt;'111'!$N$11),"x","")</f>
        <v/>
      </c>
      <c r="Q569" s="22" t="str">
        <f>IF(AND($M569=$O$7,$B569&lt;'111'!$N$11),"x","")</f>
        <v/>
      </c>
      <c r="R569" s="22" t="str">
        <f>IF(ISERROR(FIND('112'!$M$9,G569,1)),"",IF((AND(FIND('112'!$M$9,G569,1)&gt;=1,$B569&gt;='112'!$N$8,$B569&lt;='112'!$O$8,OR($L569='112'!$I$6,$M569='112'!$I$6))),"x",""))</f>
        <v/>
      </c>
      <c r="S569" s="22" t="str">
        <f>IF(ISERROR(FIND('112'!$M$9,G569,1)),"",IF((AND(LEFT(G569,2)=LEFT('112'!$M$9,2),B569&lt;'112'!$N$8,$L569='112'!$I$6)),"x",""))</f>
        <v/>
      </c>
      <c r="T569" s="22" t="str">
        <f>IF(ISERROR(FIND('112'!$M$9,G569,1)),"",IF((AND(RIGHT(G569,2)=RIGHT('112'!$M$9,2),B569&lt;'112'!$N$8,$M569='112'!$I$6)),"x",""))</f>
        <v/>
      </c>
      <c r="U569" s="22" t="str">
        <f>IF(AND(B569&gt;='IN-NX'!$P$3,B569&lt;='IN-NX'!$Q$3,'IN-NX'!$D$7=D569,OR(LEFT(L569,2)="15",AND(LEFT(M569,2)&lt;&gt;"15",LEFT(M569,2)&lt;&gt;"33"))),"x","")</f>
        <v/>
      </c>
      <c r="V569" s="22" t="str">
        <f>IF(AND(OR(LEFT(TH!L569,2)="15",LEFT(TH!M569,2)="15"),'152-CT'!$J$8=TH!F569),"x","")</f>
        <v/>
      </c>
      <c r="W569" s="22" t="str">
        <f>IF(AND(OR(LEFT(TH!L569,2)="15",LEFT(TH!M569,2)="15"),TK!$E$7=TH!F569),"x","")</f>
        <v/>
      </c>
      <c r="X569" s="22" t="str">
        <f>IF(OR(TH!L569=TH!$X$7,M569=TH!$X$7),"x","")</f>
        <v/>
      </c>
      <c r="Y569" s="22" t="str">
        <f>IF(AND(B569&lt;=NKC!$N$8,B569&gt;=NKC!$M$8),"x","")</f>
        <v/>
      </c>
      <c r="Z569" s="580"/>
      <c r="AD569" s="130"/>
      <c r="AE569" s="130"/>
    </row>
    <row r="570" spans="1:31" s="406" customFormat="1" ht="15.75" customHeight="1">
      <c r="A570" s="123" t="str">
        <f>IF(B570&lt;&gt;"",IF(AND(B570&gt;=_TM1,B570&lt;=_TM2,OR(TH!L570="1111",TH!M570="1111")),TH!D570,""),"")</f>
        <v/>
      </c>
      <c r="B570" s="12">
        <f t="shared" si="20"/>
        <v>11</v>
      </c>
      <c r="C570" s="108">
        <f t="shared" si="21"/>
        <v>42693</v>
      </c>
      <c r="D570" s="108" t="s">
        <v>569</v>
      </c>
      <c r="E570" s="113">
        <v>42693</v>
      </c>
      <c r="F570" s="112" t="s">
        <v>496</v>
      </c>
      <c r="G570" s="303" t="s">
        <v>815</v>
      </c>
      <c r="H570" s="4" t="s">
        <v>814</v>
      </c>
      <c r="I570" s="140"/>
      <c r="J570" s="140"/>
      <c r="K570" s="13">
        <v>1800000</v>
      </c>
      <c r="L570" s="116" t="s">
        <v>252</v>
      </c>
      <c r="M570" s="411" t="s">
        <v>352</v>
      </c>
      <c r="N570" s="22" t="str">
        <f>IF(AND('331-CT'!$E$7=TH!H570,OR(L570="331",M570="331")),"331",IF(AND(OR(L570="131",M570="131"),H570='131-CT'!$E$7),"131",""))</f>
        <v/>
      </c>
      <c r="O570" s="22" t="str">
        <f>IF(AND($B570&gt;='111'!$N$11,$B570&lt;='111'!$O$11,OR($L570=$O$7,$M570=$O$7)),"x","")</f>
        <v/>
      </c>
      <c r="P570" s="22" t="str">
        <f>IF(AND($L570=$O$7,$B570&lt;'111'!$N$11),"x","")</f>
        <v/>
      </c>
      <c r="Q570" s="22" t="str">
        <f>IF(AND($M570=$O$7,$B570&lt;'111'!$N$11),"x","")</f>
        <v/>
      </c>
      <c r="R570" s="22" t="str">
        <f>IF(ISERROR(FIND('112'!$M$9,G570,1)),"",IF((AND(FIND('112'!$M$9,G570,1)&gt;=1,$B570&gt;='112'!$N$8,$B570&lt;='112'!$O$8,OR($L570='112'!$I$6,$M570='112'!$I$6))),"x",""))</f>
        <v/>
      </c>
      <c r="S570" s="22" t="str">
        <f>IF(ISERROR(FIND('112'!$M$9,G570,1)),"",IF((AND(LEFT(G570,2)=LEFT('112'!$M$9,2),B570&lt;'112'!$N$8,$L570='112'!$I$6)),"x",""))</f>
        <v/>
      </c>
      <c r="T570" s="22" t="str">
        <f>IF(ISERROR(FIND('112'!$M$9,G570,1)),"",IF((AND(RIGHT(G570,2)=RIGHT('112'!$M$9,2),B570&lt;'112'!$N$8,$M570='112'!$I$6)),"x",""))</f>
        <v/>
      </c>
      <c r="U570" s="22" t="str">
        <f>IF(AND(B570&gt;='IN-NX'!$P$3,B570&lt;='IN-NX'!$Q$3,'IN-NX'!$D$7=D570,OR(LEFT(L570,2)="15",AND(LEFT(M570,2)&lt;&gt;"15",LEFT(M570,2)&lt;&gt;"33"))),"x","")</f>
        <v/>
      </c>
      <c r="V570" s="22" t="str">
        <f>IF(AND(OR(LEFT(TH!L570,2)="15",LEFT(TH!M570,2)="15"),'152-CT'!$J$8=TH!F570),"x","")</f>
        <v/>
      </c>
      <c r="W570" s="22" t="str">
        <f>IF(AND(OR(LEFT(TH!L570,2)="15",LEFT(TH!M570,2)="15"),TK!$E$7=TH!F570),"x","")</f>
        <v/>
      </c>
      <c r="X570" s="22" t="str">
        <f>IF(OR(TH!L570=TH!$X$7,M570=TH!$X$7),"x","")</f>
        <v/>
      </c>
      <c r="Y570" s="22" t="str">
        <f>IF(AND(B570&lt;=NKC!$N$8,B570&gt;=NKC!$M$8),"x","")</f>
        <v/>
      </c>
      <c r="Z570" s="580"/>
      <c r="AD570" s="130"/>
      <c r="AE570" s="130"/>
    </row>
    <row r="571" spans="1:31" s="406" customFormat="1" ht="15.75" customHeight="1">
      <c r="A571" s="123" t="str">
        <f>IF(B571&lt;&gt;"",IF(AND(B571&gt;=_TM1,B571&lt;=_TM2,OR(TH!L571="1111",TH!M571="1111")),TH!D571,""),"")</f>
        <v>T15</v>
      </c>
      <c r="B571" s="12">
        <f t="shared" si="20"/>
        <v>11</v>
      </c>
      <c r="C571" s="108">
        <f t="shared" si="21"/>
        <v>42693</v>
      </c>
      <c r="D571" s="108" t="s">
        <v>999</v>
      </c>
      <c r="E571" s="113">
        <v>42693</v>
      </c>
      <c r="F571" s="114" t="s">
        <v>484</v>
      </c>
      <c r="G571" s="303" t="s">
        <v>815</v>
      </c>
      <c r="H571" s="4" t="s">
        <v>814</v>
      </c>
      <c r="I571" s="140"/>
      <c r="J571" s="140"/>
      <c r="K571" s="13">
        <v>19800000</v>
      </c>
      <c r="L571" s="116" t="s">
        <v>46</v>
      </c>
      <c r="M571" s="411" t="s">
        <v>252</v>
      </c>
      <c r="N571" s="22" t="str">
        <f>IF(AND('331-CT'!$E$7=TH!H571,OR(L571="331",M571="331")),"331",IF(AND(OR(L571="131",M571="131"),H571='131-CT'!$E$7),"131",""))</f>
        <v/>
      </c>
      <c r="O571" s="22" t="str">
        <f>IF(AND($B571&gt;='111'!$N$11,$B571&lt;='111'!$O$11,OR($L571=$O$7,$M571=$O$7)),"x","")</f>
        <v>x</v>
      </c>
      <c r="P571" s="22" t="str">
        <f>IF(AND($L571=$O$7,$B571&lt;'111'!$N$11),"x","")</f>
        <v/>
      </c>
      <c r="Q571" s="22" t="str">
        <f>IF(AND($M571=$O$7,$B571&lt;'111'!$N$11),"x","")</f>
        <v/>
      </c>
      <c r="R571" s="22" t="str">
        <f>IF(ISERROR(FIND('112'!$M$9,G571,1)),"",IF((AND(FIND('112'!$M$9,G571,1)&gt;=1,$B571&gt;='112'!$N$8,$B571&lt;='112'!$O$8,OR($L571='112'!$I$6,$M571='112'!$I$6))),"x",""))</f>
        <v/>
      </c>
      <c r="S571" s="22" t="str">
        <f>IF(ISERROR(FIND('112'!$M$9,G571,1)),"",IF((AND(LEFT(G571,2)=LEFT('112'!$M$9,2),B571&lt;'112'!$N$8,$L571='112'!$I$6)),"x",""))</f>
        <v/>
      </c>
      <c r="T571" s="22" t="str">
        <f>IF(ISERROR(FIND('112'!$M$9,G571,1)),"",IF((AND(RIGHT(G571,2)=RIGHT('112'!$M$9,2),B571&lt;'112'!$N$8,$M571='112'!$I$6)),"x",""))</f>
        <v/>
      </c>
      <c r="U571" s="22" t="str">
        <f>IF(AND(B571&gt;='IN-NX'!$P$3,B571&lt;='IN-NX'!$Q$3,'IN-NX'!$D$7=D571,OR(LEFT(L571,2)="15",AND(LEFT(M571,2)&lt;&gt;"15",LEFT(M571,2)&lt;&gt;"33"))),"x","")</f>
        <v/>
      </c>
      <c r="V571" s="22" t="str">
        <f>IF(AND(OR(LEFT(TH!L571,2)="15",LEFT(TH!M571,2)="15"),'152-CT'!$J$8=TH!F571),"x","")</f>
        <v/>
      </c>
      <c r="W571" s="22" t="str">
        <f>IF(AND(OR(LEFT(TH!L571,2)="15",LEFT(TH!M571,2)="15"),TK!$E$7=TH!F571),"x","")</f>
        <v/>
      </c>
      <c r="X571" s="22" t="str">
        <f>IF(OR(TH!L571=TH!$X$7,M571=TH!$X$7),"x","")</f>
        <v/>
      </c>
      <c r="Y571" s="22" t="str">
        <f>IF(AND(B571&lt;=NKC!$N$8,B571&gt;=NKC!$M$8),"x","")</f>
        <v/>
      </c>
      <c r="Z571" s="580"/>
      <c r="AD571" s="130"/>
      <c r="AE571" s="130"/>
    </row>
    <row r="572" spans="1:31" s="406" customFormat="1" ht="15.75" customHeight="1">
      <c r="A572" s="123" t="str">
        <f>IF(B572&lt;&gt;"",IF(AND(B572&gt;=_TM1,B572&lt;=_TM2,OR(TH!L572="1111",TH!M572="1111")),TH!D572,""),"")</f>
        <v/>
      </c>
      <c r="B572" s="12">
        <f t="shared" si="20"/>
        <v>11</v>
      </c>
      <c r="C572" s="108">
        <f t="shared" si="21"/>
        <v>42694</v>
      </c>
      <c r="D572" s="108" t="s">
        <v>568</v>
      </c>
      <c r="E572" s="113">
        <v>42694</v>
      </c>
      <c r="F572" s="112" t="s">
        <v>959</v>
      </c>
      <c r="G572" s="303" t="s">
        <v>438</v>
      </c>
      <c r="H572" s="4" t="s">
        <v>958</v>
      </c>
      <c r="I572" s="139">
        <v>1560</v>
      </c>
      <c r="J572" s="139">
        <v>8813</v>
      </c>
      <c r="K572" s="13">
        <f>ROUND(I572*J572,0)</f>
        <v>13748280</v>
      </c>
      <c r="L572" s="116" t="s">
        <v>252</v>
      </c>
      <c r="M572" s="411" t="s">
        <v>169</v>
      </c>
      <c r="N572" s="22" t="str">
        <f>IF(AND('331-CT'!$E$7=TH!H572,OR(L572="331",M572="331")),"331",IF(AND(OR(L572="131",M572="131"),H572='131-CT'!$E$7),"131",""))</f>
        <v/>
      </c>
      <c r="O572" s="22" t="str">
        <f>IF(AND($B572&gt;='111'!$N$11,$B572&lt;='111'!$O$11,OR($L572=$O$7,$M572=$O$7)),"x","")</f>
        <v/>
      </c>
      <c r="P572" s="22" t="str">
        <f>IF(AND($L572=$O$7,$B572&lt;'111'!$N$11),"x","")</f>
        <v/>
      </c>
      <c r="Q572" s="22" t="str">
        <f>IF(AND($M572=$O$7,$B572&lt;'111'!$N$11),"x","")</f>
        <v/>
      </c>
      <c r="R572" s="22" t="str">
        <f>IF(ISERROR(FIND('112'!$M$9,G572,1)),"",IF((AND(FIND('112'!$M$9,G572,1)&gt;=1,$B572&gt;='112'!$N$8,$B572&lt;='112'!$O$8,OR($L572='112'!$I$6,$M572='112'!$I$6))),"x",""))</f>
        <v/>
      </c>
      <c r="S572" s="22" t="str">
        <f>IF(ISERROR(FIND('112'!$M$9,G572,1)),"",IF((AND(LEFT(G572,2)=LEFT('112'!$M$9,2),B572&lt;'112'!$N$8,$L572='112'!$I$6)),"x",""))</f>
        <v/>
      </c>
      <c r="T572" s="22" t="str">
        <f>IF(ISERROR(FIND('112'!$M$9,G572,1)),"",IF((AND(RIGHT(G572,2)=RIGHT('112'!$M$9,2),B572&lt;'112'!$N$8,$M572='112'!$I$6)),"x",""))</f>
        <v/>
      </c>
      <c r="U572" s="22" t="str">
        <f>IF(AND(B572&gt;='IN-NX'!$P$3,B572&lt;='IN-NX'!$Q$3,'IN-NX'!$D$7=D572,OR(LEFT(L572,2)="15",AND(LEFT(M572,2)&lt;&gt;"15",LEFT(M572,2)&lt;&gt;"33"))),"x","")</f>
        <v/>
      </c>
      <c r="V572" s="22" t="str">
        <f>IF(AND(OR(LEFT(TH!L572,2)="15",LEFT(TH!M572,2)="15"),'152-CT'!$J$8=TH!F572),"x","")</f>
        <v/>
      </c>
      <c r="W572" s="22" t="str">
        <f>IF(AND(OR(LEFT(TH!L572,2)="15",LEFT(TH!M572,2)="15"),TK!$E$7=TH!F572),"x","")</f>
        <v/>
      </c>
      <c r="X572" s="22" t="str">
        <f>IF(OR(TH!L572=TH!$X$7,M572=TH!$X$7),"x","")</f>
        <v/>
      </c>
      <c r="Y572" s="22" t="str">
        <f>IF(AND(B572&lt;=NKC!$N$8,B572&gt;=NKC!$M$8),"x","")</f>
        <v/>
      </c>
      <c r="Z572" s="580"/>
      <c r="AD572" s="130"/>
      <c r="AE572" s="130"/>
    </row>
    <row r="573" spans="1:31" s="406" customFormat="1" ht="15.75" customHeight="1">
      <c r="A573" s="123" t="str">
        <f>IF(B573&lt;&gt;"",IF(AND(B573&gt;=_TM1,B573&lt;=_TM2,OR(TH!L573="1111",TH!M573="1111")),TH!D573,""),"")</f>
        <v/>
      </c>
      <c r="B573" s="12">
        <f t="shared" si="20"/>
        <v>11</v>
      </c>
      <c r="C573" s="108">
        <f t="shared" si="21"/>
        <v>42694</v>
      </c>
      <c r="D573" s="108" t="s">
        <v>568</v>
      </c>
      <c r="E573" s="113">
        <v>42694</v>
      </c>
      <c r="F573" s="112" t="s">
        <v>496</v>
      </c>
      <c r="G573" s="303" t="s">
        <v>438</v>
      </c>
      <c r="H573" s="4" t="s">
        <v>958</v>
      </c>
      <c r="I573" s="140"/>
      <c r="J573" s="140"/>
      <c r="K573" s="13">
        <v>1374828</v>
      </c>
      <c r="L573" s="116" t="s">
        <v>252</v>
      </c>
      <c r="M573" s="411" t="s">
        <v>352</v>
      </c>
      <c r="N573" s="22" t="str">
        <f>IF(AND('331-CT'!$E$7=TH!H573,OR(L573="331",M573="331")),"331",IF(AND(OR(L573="131",M573="131"),H573='131-CT'!$E$7),"131",""))</f>
        <v/>
      </c>
      <c r="O573" s="22" t="str">
        <f>IF(AND($B573&gt;='111'!$N$11,$B573&lt;='111'!$O$11,OR($L573=$O$7,$M573=$O$7)),"x","")</f>
        <v/>
      </c>
      <c r="P573" s="22" t="str">
        <f>IF(AND($L573=$O$7,$B573&lt;'111'!$N$11),"x","")</f>
        <v/>
      </c>
      <c r="Q573" s="22" t="str">
        <f>IF(AND($M573=$O$7,$B573&lt;'111'!$N$11),"x","")</f>
        <v/>
      </c>
      <c r="R573" s="22" t="str">
        <f>IF(ISERROR(FIND('112'!$M$9,G573,1)),"",IF((AND(FIND('112'!$M$9,G573,1)&gt;=1,$B573&gt;='112'!$N$8,$B573&lt;='112'!$O$8,OR($L573='112'!$I$6,$M573='112'!$I$6))),"x",""))</f>
        <v/>
      </c>
      <c r="S573" s="22" t="str">
        <f>IF(ISERROR(FIND('112'!$M$9,G573,1)),"",IF((AND(LEFT(G573,2)=LEFT('112'!$M$9,2),B573&lt;'112'!$N$8,$L573='112'!$I$6)),"x",""))</f>
        <v/>
      </c>
      <c r="T573" s="22" t="str">
        <f>IF(ISERROR(FIND('112'!$M$9,G573,1)),"",IF((AND(RIGHT(G573,2)=RIGHT('112'!$M$9,2),B573&lt;'112'!$N$8,$M573='112'!$I$6)),"x",""))</f>
        <v/>
      </c>
      <c r="U573" s="22" t="str">
        <f>IF(AND(B573&gt;='IN-NX'!$P$3,B573&lt;='IN-NX'!$Q$3,'IN-NX'!$D$7=D573,OR(LEFT(L573,2)="15",AND(LEFT(M573,2)&lt;&gt;"15",LEFT(M573,2)&lt;&gt;"33"))),"x","")</f>
        <v/>
      </c>
      <c r="V573" s="22" t="str">
        <f>IF(AND(OR(LEFT(TH!L573,2)="15",LEFT(TH!M573,2)="15"),'152-CT'!$J$8=TH!F573),"x","")</f>
        <v/>
      </c>
      <c r="W573" s="22" t="str">
        <f>IF(AND(OR(LEFT(TH!L573,2)="15",LEFT(TH!M573,2)="15"),TK!$E$7=TH!F573),"x","")</f>
        <v/>
      </c>
      <c r="X573" s="22" t="str">
        <f>IF(OR(TH!L573=TH!$X$7,M573=TH!$X$7),"x","")</f>
        <v/>
      </c>
      <c r="Y573" s="22" t="str">
        <f>IF(AND(B573&lt;=NKC!$N$8,B573&gt;=NKC!$M$8),"x","")</f>
        <v/>
      </c>
      <c r="Z573" s="580"/>
      <c r="AD573" s="130"/>
      <c r="AE573" s="130"/>
    </row>
    <row r="574" spans="1:31" s="406" customFormat="1" ht="15.75" customHeight="1">
      <c r="A574" s="123" t="str">
        <f>IF(B574&lt;&gt;"",IF(AND(B574&gt;=_TM1,B574&lt;=_TM2,OR(TH!L574="1111",TH!M574="1111")),TH!D574,""),"")</f>
        <v>T16</v>
      </c>
      <c r="B574" s="12">
        <f t="shared" si="20"/>
        <v>11</v>
      </c>
      <c r="C574" s="108">
        <f t="shared" si="21"/>
        <v>42694</v>
      </c>
      <c r="D574" s="108" t="s">
        <v>1000</v>
      </c>
      <c r="E574" s="113">
        <v>42694</v>
      </c>
      <c r="F574" s="114" t="s">
        <v>484</v>
      </c>
      <c r="G574" s="303" t="s">
        <v>438</v>
      </c>
      <c r="H574" s="4" t="s">
        <v>958</v>
      </c>
      <c r="I574" s="140"/>
      <c r="J574" s="140"/>
      <c r="K574" s="13">
        <v>15123108</v>
      </c>
      <c r="L574" s="116" t="s">
        <v>46</v>
      </c>
      <c r="M574" s="411" t="s">
        <v>252</v>
      </c>
      <c r="N574" s="22" t="str">
        <f>IF(AND('331-CT'!$E$7=TH!H574,OR(L574="331",M574="331")),"331",IF(AND(OR(L574="131",M574="131"),H574='131-CT'!$E$7),"131",""))</f>
        <v/>
      </c>
      <c r="O574" s="22" t="str">
        <f>IF(AND($B574&gt;='111'!$N$11,$B574&lt;='111'!$O$11,OR($L574=$O$7,$M574=$O$7)),"x","")</f>
        <v>x</v>
      </c>
      <c r="P574" s="22" t="str">
        <f>IF(AND($L574=$O$7,$B574&lt;'111'!$N$11),"x","")</f>
        <v/>
      </c>
      <c r="Q574" s="22" t="str">
        <f>IF(AND($M574=$O$7,$B574&lt;'111'!$N$11),"x","")</f>
        <v/>
      </c>
      <c r="R574" s="22" t="str">
        <f>IF(ISERROR(FIND('112'!$M$9,G574,1)),"",IF((AND(FIND('112'!$M$9,G574,1)&gt;=1,$B574&gt;='112'!$N$8,$B574&lt;='112'!$O$8,OR($L574='112'!$I$6,$M574='112'!$I$6))),"x",""))</f>
        <v/>
      </c>
      <c r="S574" s="22" t="str">
        <f>IF(ISERROR(FIND('112'!$M$9,G574,1)),"",IF((AND(LEFT(G574,2)=LEFT('112'!$M$9,2),B574&lt;'112'!$N$8,$L574='112'!$I$6)),"x",""))</f>
        <v/>
      </c>
      <c r="T574" s="22" t="str">
        <f>IF(ISERROR(FIND('112'!$M$9,G574,1)),"",IF((AND(RIGHT(G574,2)=RIGHT('112'!$M$9,2),B574&lt;'112'!$N$8,$M574='112'!$I$6)),"x",""))</f>
        <v/>
      </c>
      <c r="U574" s="22" t="str">
        <f>IF(AND(B574&gt;='IN-NX'!$P$3,B574&lt;='IN-NX'!$Q$3,'IN-NX'!$D$7=D574,OR(LEFT(L574,2)="15",AND(LEFT(M574,2)&lt;&gt;"15",LEFT(M574,2)&lt;&gt;"33"))),"x","")</f>
        <v/>
      </c>
      <c r="V574" s="22" t="str">
        <f>IF(AND(OR(LEFT(TH!L574,2)="15",LEFT(TH!M574,2)="15"),'152-CT'!$J$8=TH!F574),"x","")</f>
        <v/>
      </c>
      <c r="W574" s="22" t="str">
        <f>IF(AND(OR(LEFT(TH!L574,2)="15",LEFT(TH!M574,2)="15"),TK!$E$7=TH!F574),"x","")</f>
        <v/>
      </c>
      <c r="X574" s="22" t="str">
        <f>IF(OR(TH!L574=TH!$X$7,M574=TH!$X$7),"x","")</f>
        <v/>
      </c>
      <c r="Y574" s="22" t="str">
        <f>IF(AND(B574&lt;=NKC!$N$8,B574&gt;=NKC!$M$8),"x","")</f>
        <v/>
      </c>
      <c r="Z574" s="580"/>
      <c r="AD574" s="130"/>
      <c r="AE574" s="130"/>
    </row>
    <row r="575" spans="1:31" s="406" customFormat="1" ht="15.75" customHeight="1">
      <c r="A575" s="123" t="str">
        <f>IF(B575&lt;&gt;"",IF(AND(B575&gt;=_TM1,B575&lt;=_TM2,OR(TH!L575="1111",TH!M575="1111")),TH!D575,""),"")</f>
        <v/>
      </c>
      <c r="B575" s="12">
        <f t="shared" si="20"/>
        <v>11</v>
      </c>
      <c r="C575" s="108">
        <f t="shared" si="21"/>
        <v>42696</v>
      </c>
      <c r="D575" s="108" t="s">
        <v>570</v>
      </c>
      <c r="E575" s="113">
        <v>42696</v>
      </c>
      <c r="F575" s="112" t="s">
        <v>684</v>
      </c>
      <c r="G575" s="303" t="s">
        <v>770</v>
      </c>
      <c r="H575" s="129" t="s">
        <v>823</v>
      </c>
      <c r="I575" s="140">
        <v>608</v>
      </c>
      <c r="J575" s="140">
        <v>20750</v>
      </c>
      <c r="K575" s="13">
        <f>ROUND(I575*J575,0)</f>
        <v>12616000</v>
      </c>
      <c r="L575" s="116" t="s">
        <v>252</v>
      </c>
      <c r="M575" s="411" t="s">
        <v>169</v>
      </c>
      <c r="N575" s="22" t="str">
        <f>IF(AND('331-CT'!$E$7=TH!H575,OR(L575="331",M575="331")),"331",IF(AND(OR(L575="131",M575="131"),H575='131-CT'!$E$7),"131",""))</f>
        <v/>
      </c>
      <c r="O575" s="22" t="str">
        <f>IF(AND($B575&gt;='111'!$N$11,$B575&lt;='111'!$O$11,OR($L575=$O$7,$M575=$O$7)),"x","")</f>
        <v/>
      </c>
      <c r="P575" s="22" t="str">
        <f>IF(AND($L575=$O$7,$B575&lt;'111'!$N$11),"x","")</f>
        <v/>
      </c>
      <c r="Q575" s="22" t="str">
        <f>IF(AND($M575=$O$7,$B575&lt;'111'!$N$11),"x","")</f>
        <v/>
      </c>
      <c r="R575" s="22" t="str">
        <f>IF(ISERROR(FIND('112'!$M$9,G575,1)),"",IF((AND(FIND('112'!$M$9,G575,1)&gt;=1,$B575&gt;='112'!$N$8,$B575&lt;='112'!$O$8,OR($L575='112'!$I$6,$M575='112'!$I$6))),"x",""))</f>
        <v/>
      </c>
      <c r="S575" s="22" t="str">
        <f>IF(ISERROR(FIND('112'!$M$9,G575,1)),"",IF((AND(LEFT(G575,2)=LEFT('112'!$M$9,2),B575&lt;'112'!$N$8,$L575='112'!$I$6)),"x",""))</f>
        <v/>
      </c>
      <c r="T575" s="22" t="str">
        <f>IF(ISERROR(FIND('112'!$M$9,G575,1)),"",IF((AND(RIGHT(G575,2)=RIGHT('112'!$M$9,2),B575&lt;'112'!$N$8,$M575='112'!$I$6)),"x",""))</f>
        <v/>
      </c>
      <c r="U575" s="22" t="str">
        <f>IF(AND(B575&gt;='IN-NX'!$P$3,B575&lt;='IN-NX'!$Q$3,'IN-NX'!$D$7=D575,OR(LEFT(L575,2)="15",AND(LEFT(M575,2)&lt;&gt;"15",LEFT(M575,2)&lt;&gt;"33"))),"x","")</f>
        <v/>
      </c>
      <c r="V575" s="22" t="str">
        <f>IF(AND(OR(LEFT(TH!L575,2)="15",LEFT(TH!M575,2)="15"),'152-CT'!$J$8=TH!F575),"x","")</f>
        <v/>
      </c>
      <c r="W575" s="22" t="str">
        <f>IF(AND(OR(LEFT(TH!L575,2)="15",LEFT(TH!M575,2)="15"),TK!$E$7=TH!F575),"x","")</f>
        <v/>
      </c>
      <c r="X575" s="22" t="str">
        <f>IF(OR(TH!L575=TH!$X$7,M575=TH!$X$7),"x","")</f>
        <v/>
      </c>
      <c r="Y575" s="22" t="str">
        <f>IF(AND(B575&lt;=NKC!$N$8,B575&gt;=NKC!$M$8),"x","")</f>
        <v/>
      </c>
      <c r="Z575" s="580"/>
      <c r="AC575" s="130"/>
    </row>
    <row r="576" spans="1:31" s="406" customFormat="1" ht="15.75" customHeight="1">
      <c r="A576" s="123" t="str">
        <f>IF(B576&lt;&gt;"",IF(AND(B576&gt;=_TM1,B576&lt;=_TM2,OR(TH!L576="1111",TH!M576="1111")),TH!D576,""),"")</f>
        <v/>
      </c>
      <c r="B576" s="12">
        <f t="shared" si="20"/>
        <v>11</v>
      </c>
      <c r="C576" s="108">
        <f t="shared" si="21"/>
        <v>42696</v>
      </c>
      <c r="D576" s="108" t="s">
        <v>570</v>
      </c>
      <c r="E576" s="113">
        <v>42696</v>
      </c>
      <c r="F576" s="112" t="s">
        <v>496</v>
      </c>
      <c r="G576" s="303" t="s">
        <v>770</v>
      </c>
      <c r="H576" s="129" t="s">
        <v>823</v>
      </c>
      <c r="I576" s="139"/>
      <c r="J576" s="139"/>
      <c r="K576" s="13">
        <v>1261600</v>
      </c>
      <c r="L576" s="116" t="s">
        <v>252</v>
      </c>
      <c r="M576" s="411" t="s">
        <v>352</v>
      </c>
      <c r="N576" s="22" t="str">
        <f>IF(AND('331-CT'!$E$7=TH!H576,OR(L576="331",M576="331")),"331",IF(AND(OR(L576="131",M576="131"),H576='131-CT'!$E$7),"131",""))</f>
        <v/>
      </c>
      <c r="O576" s="22" t="str">
        <f>IF(AND($B576&gt;='111'!$N$11,$B576&lt;='111'!$O$11,OR($L576=$O$7,$M576=$O$7)),"x","")</f>
        <v/>
      </c>
      <c r="P576" s="22" t="str">
        <f>IF(AND($L576=$O$7,$B576&lt;'111'!$N$11),"x","")</f>
        <v/>
      </c>
      <c r="Q576" s="22" t="str">
        <f>IF(AND($M576=$O$7,$B576&lt;'111'!$N$11),"x","")</f>
        <v/>
      </c>
      <c r="R576" s="22" t="str">
        <f>IF(ISERROR(FIND('112'!$M$9,G576,1)),"",IF((AND(FIND('112'!$M$9,G576,1)&gt;=1,$B576&gt;='112'!$N$8,$B576&lt;='112'!$O$8,OR($L576='112'!$I$6,$M576='112'!$I$6))),"x",""))</f>
        <v/>
      </c>
      <c r="S576" s="22" t="str">
        <f>IF(ISERROR(FIND('112'!$M$9,G576,1)),"",IF((AND(LEFT(G576,2)=LEFT('112'!$M$9,2),B576&lt;'112'!$N$8,$L576='112'!$I$6)),"x",""))</f>
        <v/>
      </c>
      <c r="T576" s="22" t="str">
        <f>IF(ISERROR(FIND('112'!$M$9,G576,1)),"",IF((AND(RIGHT(G576,2)=RIGHT('112'!$M$9,2),B576&lt;'112'!$N$8,$M576='112'!$I$6)),"x",""))</f>
        <v/>
      </c>
      <c r="U576" s="22" t="str">
        <f>IF(AND(B576&gt;='IN-NX'!$P$3,B576&lt;='IN-NX'!$Q$3,'IN-NX'!$D$7=D576,OR(LEFT(L576,2)="15",AND(LEFT(M576,2)&lt;&gt;"15",LEFT(M576,2)&lt;&gt;"33"))),"x","")</f>
        <v/>
      </c>
      <c r="V576" s="22" t="str">
        <f>IF(AND(OR(LEFT(TH!L576,2)="15",LEFT(TH!M576,2)="15"),'152-CT'!$J$8=TH!F576),"x","")</f>
        <v/>
      </c>
      <c r="W576" s="22" t="str">
        <f>IF(AND(OR(LEFT(TH!L576,2)="15",LEFT(TH!M576,2)="15"),TK!$E$7=TH!F576),"x","")</f>
        <v/>
      </c>
      <c r="X576" s="22" t="str">
        <f>IF(OR(TH!L576=TH!$X$7,M576=TH!$X$7),"x","")</f>
        <v/>
      </c>
      <c r="Y576" s="22" t="str">
        <f>IF(AND(B576&lt;=NKC!$N$8,B576&gt;=NKC!$M$8),"x","")</f>
        <v/>
      </c>
      <c r="Z576" s="580"/>
      <c r="AC576" s="130"/>
    </row>
    <row r="577" spans="1:31" s="406" customFormat="1" ht="15.75" customHeight="1">
      <c r="A577" s="123" t="str">
        <f>IF(B577&lt;&gt;"",IF(AND(B577&gt;=_TM1,B577&lt;=_TM2,OR(TH!L577="1111",TH!M577="1111")),TH!D577,""),"")</f>
        <v/>
      </c>
      <c r="B577" s="12">
        <f t="shared" si="20"/>
        <v>11</v>
      </c>
      <c r="C577" s="108">
        <f t="shared" si="21"/>
        <v>42697</v>
      </c>
      <c r="D577" s="108" t="s">
        <v>469</v>
      </c>
      <c r="E577" s="113">
        <v>42697</v>
      </c>
      <c r="F577" s="112" t="s">
        <v>484</v>
      </c>
      <c r="G577" s="114" t="s">
        <v>474</v>
      </c>
      <c r="H577" s="129" t="s">
        <v>823</v>
      </c>
      <c r="I577" s="140"/>
      <c r="J577" s="140"/>
      <c r="K577" s="13">
        <v>13877600</v>
      </c>
      <c r="L577" s="116" t="s">
        <v>24</v>
      </c>
      <c r="M577" s="411" t="s">
        <v>252</v>
      </c>
      <c r="N577" s="22" t="str">
        <f>IF(AND('331-CT'!$E$7=TH!H577,OR(L577="331",M577="331")),"331",IF(AND(OR(L577="131",M577="131"),H577='131-CT'!$E$7),"131",""))</f>
        <v/>
      </c>
      <c r="O577" s="22" t="str">
        <f>IF(AND($B577&gt;='111'!$N$11,$B577&lt;='111'!$O$11,OR($L577=$O$7,$M577=$O$7)),"x","")</f>
        <v/>
      </c>
      <c r="P577" s="22" t="str">
        <f>IF(AND($L577=$O$7,$B577&lt;'111'!$N$11),"x","")</f>
        <v/>
      </c>
      <c r="Q577" s="22" t="str">
        <f>IF(AND($M577=$O$7,$B577&lt;'111'!$N$11),"x","")</f>
        <v/>
      </c>
      <c r="R577" s="22" t="str">
        <f>IF(ISERROR(FIND('112'!$M$9,G577,1)),"",IF((AND(FIND('112'!$M$9,G577,1)&gt;=1,$B577&gt;='112'!$N$8,$B577&lt;='112'!$O$8,OR($L577='112'!$I$6,$M577='112'!$I$6))),"x",""))</f>
        <v>x</v>
      </c>
      <c r="S577" s="22" t="str">
        <f>IF(ISERROR(FIND('112'!$M$9,G577,1)),"",IF((AND(LEFT(G577,2)=LEFT('112'!$M$9,2),B577&lt;'112'!$N$8,$L577='112'!$I$6)),"x",""))</f>
        <v/>
      </c>
      <c r="T577" s="22" t="str">
        <f>IF(ISERROR(FIND('112'!$M$9,G577,1)),"",IF((AND(RIGHT(G577,2)=RIGHT('112'!$M$9,2),B577&lt;'112'!$N$8,$M577='112'!$I$6)),"x",""))</f>
        <v/>
      </c>
      <c r="U577" s="22" t="str">
        <f>IF(AND(B577&gt;='IN-NX'!$P$3,B577&lt;='IN-NX'!$Q$3,'IN-NX'!$D$7=D577,OR(LEFT(L577,2)="15",AND(LEFT(M577,2)&lt;&gt;"15",LEFT(M577,2)&lt;&gt;"33"))),"x","")</f>
        <v/>
      </c>
      <c r="V577" s="22" t="str">
        <f>IF(AND(OR(LEFT(TH!L577,2)="15",LEFT(TH!M577,2)="15"),'152-CT'!$J$8=TH!F577),"x","")</f>
        <v/>
      </c>
      <c r="W577" s="22" t="str">
        <f>IF(AND(OR(LEFT(TH!L577,2)="15",LEFT(TH!M577,2)="15"),TK!$E$7=TH!F577),"x","")</f>
        <v/>
      </c>
      <c r="X577" s="22" t="str">
        <f>IF(OR(TH!L577=TH!$X$7,M577=TH!$X$7),"x","")</f>
        <v/>
      </c>
      <c r="Y577" s="22" t="str">
        <f>IF(AND(B577&lt;=NKC!$N$8,B577&gt;=NKC!$M$8),"x","")</f>
        <v/>
      </c>
      <c r="Z577" s="580"/>
      <c r="AD577" s="130"/>
      <c r="AE577" s="130"/>
    </row>
    <row r="578" spans="1:31" s="406" customFormat="1" ht="15.75" customHeight="1">
      <c r="A578" s="123" t="str">
        <f>IF(B578&lt;&gt;"",IF(AND(B578&gt;=_TM1,B578&lt;=_TM2,OR(TH!L578="1111",TH!M578="1111")),TH!D578,""),"")</f>
        <v/>
      </c>
      <c r="B578" s="12">
        <f t="shared" si="20"/>
        <v>11</v>
      </c>
      <c r="C578" s="108">
        <f t="shared" si="21"/>
        <v>42697</v>
      </c>
      <c r="D578" s="108" t="s">
        <v>571</v>
      </c>
      <c r="E578" s="113">
        <v>42697</v>
      </c>
      <c r="F578" s="112" t="s">
        <v>813</v>
      </c>
      <c r="G578" s="303" t="s">
        <v>816</v>
      </c>
      <c r="H578" s="4" t="s">
        <v>814</v>
      </c>
      <c r="I578" s="139">
        <v>3353</v>
      </c>
      <c r="J578" s="139">
        <v>4500</v>
      </c>
      <c r="K578" s="13">
        <f>ROUND(I578*J578,0)</f>
        <v>15088500</v>
      </c>
      <c r="L578" s="116" t="s">
        <v>252</v>
      </c>
      <c r="M578" s="411" t="s">
        <v>169</v>
      </c>
      <c r="N578" s="22" t="str">
        <f>IF(AND('331-CT'!$E$7=TH!H578,OR(L578="331",M578="331")),"331",IF(AND(OR(L578="131",M578="131"),H578='131-CT'!$E$7),"131",""))</f>
        <v/>
      </c>
      <c r="O578" s="22" t="str">
        <f>IF(AND($B578&gt;='111'!$N$11,$B578&lt;='111'!$O$11,OR($L578=$O$7,$M578=$O$7)),"x","")</f>
        <v/>
      </c>
      <c r="P578" s="22" t="str">
        <f>IF(AND($L578=$O$7,$B578&lt;'111'!$N$11),"x","")</f>
        <v/>
      </c>
      <c r="Q578" s="22" t="str">
        <f>IF(AND($M578=$O$7,$B578&lt;'111'!$N$11),"x","")</f>
        <v/>
      </c>
      <c r="R578" s="22" t="str">
        <f>IF(ISERROR(FIND('112'!$M$9,G578,1)),"",IF((AND(FIND('112'!$M$9,G578,1)&gt;=1,$B578&gt;='112'!$N$8,$B578&lt;='112'!$O$8,OR($L578='112'!$I$6,$M578='112'!$I$6))),"x",""))</f>
        <v/>
      </c>
      <c r="S578" s="22" t="str">
        <f>IF(ISERROR(FIND('112'!$M$9,G578,1)),"",IF((AND(LEFT(G578,2)=LEFT('112'!$M$9,2),B578&lt;'112'!$N$8,$L578='112'!$I$6)),"x",""))</f>
        <v/>
      </c>
      <c r="T578" s="22" t="str">
        <f>IF(ISERROR(FIND('112'!$M$9,G578,1)),"",IF((AND(RIGHT(G578,2)=RIGHT('112'!$M$9,2),B578&lt;'112'!$N$8,$M578='112'!$I$6)),"x",""))</f>
        <v/>
      </c>
      <c r="U578" s="22" t="str">
        <f>IF(AND(B578&gt;='IN-NX'!$P$3,B578&lt;='IN-NX'!$Q$3,'IN-NX'!$D$7=D578,OR(LEFT(L578,2)="15",AND(LEFT(M578,2)&lt;&gt;"15",LEFT(M578,2)&lt;&gt;"33"))),"x","")</f>
        <v/>
      </c>
      <c r="V578" s="22" t="str">
        <f>IF(AND(OR(LEFT(TH!L578,2)="15",LEFT(TH!M578,2)="15"),'152-CT'!$J$8=TH!F578),"x","")</f>
        <v/>
      </c>
      <c r="W578" s="22" t="str">
        <f>IF(AND(OR(LEFT(TH!L578,2)="15",LEFT(TH!M578,2)="15"),TK!$E$7=TH!F578),"x","")</f>
        <v/>
      </c>
      <c r="X578" s="22" t="str">
        <f>IF(OR(TH!L578=TH!$X$7,M578=TH!$X$7),"x","")</f>
        <v/>
      </c>
      <c r="Y578" s="22" t="str">
        <f>IF(AND(B578&lt;=NKC!$N$8,B578&gt;=NKC!$M$8),"x","")</f>
        <v/>
      </c>
      <c r="Z578" s="580"/>
      <c r="AD578" s="130"/>
      <c r="AE578" s="130"/>
    </row>
    <row r="579" spans="1:31" s="406" customFormat="1" ht="15.75" customHeight="1">
      <c r="A579" s="123" t="str">
        <f>IF(B579&lt;&gt;"",IF(AND(B579&gt;=_TM1,B579&lt;=_TM2,OR(TH!L579="1111",TH!M579="1111")),TH!D579,""),"")</f>
        <v/>
      </c>
      <c r="B579" s="12">
        <f t="shared" si="20"/>
        <v>11</v>
      </c>
      <c r="C579" s="108">
        <f t="shared" si="21"/>
        <v>42697</v>
      </c>
      <c r="D579" s="108" t="s">
        <v>571</v>
      </c>
      <c r="E579" s="113">
        <v>42697</v>
      </c>
      <c r="F579" s="112" t="s">
        <v>496</v>
      </c>
      <c r="G579" s="303" t="s">
        <v>816</v>
      </c>
      <c r="H579" s="4" t="s">
        <v>814</v>
      </c>
      <c r="I579" s="140"/>
      <c r="J579" s="140"/>
      <c r="K579" s="13">
        <v>1508850</v>
      </c>
      <c r="L579" s="116" t="s">
        <v>252</v>
      </c>
      <c r="M579" s="411" t="s">
        <v>352</v>
      </c>
      <c r="N579" s="22" t="str">
        <f>IF(AND('331-CT'!$E$7=TH!H579,OR(L579="331",M579="331")),"331",IF(AND(OR(L579="131",M579="131"),H579='131-CT'!$E$7),"131",""))</f>
        <v/>
      </c>
      <c r="O579" s="22" t="str">
        <f>IF(AND($B579&gt;='111'!$N$11,$B579&lt;='111'!$O$11,OR($L579=$O$7,$M579=$O$7)),"x","")</f>
        <v/>
      </c>
      <c r="P579" s="22" t="str">
        <f>IF(AND($L579=$O$7,$B579&lt;'111'!$N$11),"x","")</f>
        <v/>
      </c>
      <c r="Q579" s="22" t="str">
        <f>IF(AND($M579=$O$7,$B579&lt;'111'!$N$11),"x","")</f>
        <v/>
      </c>
      <c r="R579" s="22" t="str">
        <f>IF(ISERROR(FIND('112'!$M$9,G579,1)),"",IF((AND(FIND('112'!$M$9,G579,1)&gt;=1,$B579&gt;='112'!$N$8,$B579&lt;='112'!$O$8,OR($L579='112'!$I$6,$M579='112'!$I$6))),"x",""))</f>
        <v/>
      </c>
      <c r="S579" s="22" t="str">
        <f>IF(ISERROR(FIND('112'!$M$9,G579,1)),"",IF((AND(LEFT(G579,2)=LEFT('112'!$M$9,2),B579&lt;'112'!$N$8,$L579='112'!$I$6)),"x",""))</f>
        <v/>
      </c>
      <c r="T579" s="22" t="str">
        <f>IF(ISERROR(FIND('112'!$M$9,G579,1)),"",IF((AND(RIGHT(G579,2)=RIGHT('112'!$M$9,2),B579&lt;'112'!$N$8,$M579='112'!$I$6)),"x",""))</f>
        <v/>
      </c>
      <c r="U579" s="22" t="str">
        <f>IF(AND(B579&gt;='IN-NX'!$P$3,B579&lt;='IN-NX'!$Q$3,'IN-NX'!$D$7=D579,OR(LEFT(L579,2)="15",AND(LEFT(M579,2)&lt;&gt;"15",LEFT(M579,2)&lt;&gt;"33"))),"x","")</f>
        <v/>
      </c>
      <c r="V579" s="22" t="str">
        <f>IF(AND(OR(LEFT(TH!L579,2)="15",LEFT(TH!M579,2)="15"),'152-CT'!$J$8=TH!F579),"x","")</f>
        <v/>
      </c>
      <c r="W579" s="22" t="str">
        <f>IF(AND(OR(LEFT(TH!L579,2)="15",LEFT(TH!M579,2)="15"),TK!$E$7=TH!F579),"x","")</f>
        <v/>
      </c>
      <c r="X579" s="22" t="str">
        <f>IF(OR(TH!L579=TH!$X$7,M579=TH!$X$7),"x","")</f>
        <v/>
      </c>
      <c r="Y579" s="22" t="str">
        <f>IF(AND(B579&lt;=NKC!$N$8,B579&gt;=NKC!$M$8),"x","")</f>
        <v/>
      </c>
      <c r="Z579" s="580"/>
      <c r="AD579" s="130"/>
      <c r="AE579" s="130"/>
    </row>
    <row r="580" spans="1:31" s="406" customFormat="1" ht="15.75" customHeight="1">
      <c r="A580" s="123" t="str">
        <f>IF(B580&lt;&gt;"",IF(AND(B580&gt;=_TM1,B580&lt;=_TM2,OR(TH!L580="1111",TH!M580="1111")),TH!D580,""),"")</f>
        <v>T17</v>
      </c>
      <c r="B580" s="12">
        <f t="shared" si="20"/>
        <v>11</v>
      </c>
      <c r="C580" s="108">
        <f t="shared" si="21"/>
        <v>42697</v>
      </c>
      <c r="D580" s="108" t="s">
        <v>1005</v>
      </c>
      <c r="E580" s="113">
        <v>42697</v>
      </c>
      <c r="F580" s="114" t="s">
        <v>484</v>
      </c>
      <c r="G580" s="303" t="s">
        <v>816</v>
      </c>
      <c r="H580" s="4" t="s">
        <v>814</v>
      </c>
      <c r="I580" s="140"/>
      <c r="J580" s="140"/>
      <c r="K580" s="13">
        <v>16597350</v>
      </c>
      <c r="L580" s="116" t="s">
        <v>46</v>
      </c>
      <c r="M580" s="411" t="s">
        <v>252</v>
      </c>
      <c r="N580" s="22" t="str">
        <f>IF(AND('331-CT'!$E$7=TH!H580,OR(L580="331",M580="331")),"331",IF(AND(OR(L580="131",M580="131"),H580='131-CT'!$E$7),"131",""))</f>
        <v/>
      </c>
      <c r="O580" s="22" t="str">
        <f>IF(AND($B580&gt;='111'!$N$11,$B580&lt;='111'!$O$11,OR($L580=$O$7,$M580=$O$7)),"x","")</f>
        <v>x</v>
      </c>
      <c r="P580" s="22" t="str">
        <f>IF(AND($L580=$O$7,$B580&lt;'111'!$N$11),"x","")</f>
        <v/>
      </c>
      <c r="Q580" s="22" t="str">
        <f>IF(AND($M580=$O$7,$B580&lt;'111'!$N$11),"x","")</f>
        <v/>
      </c>
      <c r="R580" s="22" t="str">
        <f>IF(ISERROR(FIND('112'!$M$9,G580,1)),"",IF((AND(FIND('112'!$M$9,G580,1)&gt;=1,$B580&gt;='112'!$N$8,$B580&lt;='112'!$O$8,OR($L580='112'!$I$6,$M580='112'!$I$6))),"x",""))</f>
        <v/>
      </c>
      <c r="S580" s="22" t="str">
        <f>IF(ISERROR(FIND('112'!$M$9,G580,1)),"",IF((AND(LEFT(G580,2)=LEFT('112'!$M$9,2),B580&lt;'112'!$N$8,$L580='112'!$I$6)),"x",""))</f>
        <v/>
      </c>
      <c r="T580" s="22" t="str">
        <f>IF(ISERROR(FIND('112'!$M$9,G580,1)),"",IF((AND(RIGHT(G580,2)=RIGHT('112'!$M$9,2),B580&lt;'112'!$N$8,$M580='112'!$I$6)),"x",""))</f>
        <v/>
      </c>
      <c r="U580" s="22" t="str">
        <f>IF(AND(B580&gt;='IN-NX'!$P$3,B580&lt;='IN-NX'!$Q$3,'IN-NX'!$D$7=D580,OR(LEFT(L580,2)="15",AND(LEFT(M580,2)&lt;&gt;"15",LEFT(M580,2)&lt;&gt;"33"))),"x","")</f>
        <v/>
      </c>
      <c r="V580" s="22" t="str">
        <f>IF(AND(OR(LEFT(TH!L580,2)="15",LEFT(TH!M580,2)="15"),'152-CT'!$J$8=TH!F580),"x","")</f>
        <v/>
      </c>
      <c r="W580" s="22" t="str">
        <f>IF(AND(OR(LEFT(TH!L580,2)="15",LEFT(TH!M580,2)="15"),TK!$E$7=TH!F580),"x","")</f>
        <v/>
      </c>
      <c r="X580" s="22" t="str">
        <f>IF(OR(TH!L580=TH!$X$7,M580=TH!$X$7),"x","")</f>
        <v/>
      </c>
      <c r="Y580" s="22" t="str">
        <f>IF(AND(B580&lt;=NKC!$N$8,B580&gt;=NKC!$M$8),"x","")</f>
        <v/>
      </c>
      <c r="Z580" s="580"/>
      <c r="AD580" s="130"/>
      <c r="AE580" s="130"/>
    </row>
    <row r="581" spans="1:31" s="406" customFormat="1" ht="15.75" customHeight="1">
      <c r="A581" s="123" t="str">
        <f>IF(B581&lt;&gt;"",IF(AND(B581&gt;=_TM1,B581&lt;=_TM2,OR(TH!L581="1111",TH!M581="1111")),TH!D581,""),"")</f>
        <v>C20</v>
      </c>
      <c r="B581" s="12">
        <f t="shared" si="20"/>
        <v>11</v>
      </c>
      <c r="C581" s="108">
        <f t="shared" si="21"/>
        <v>42698</v>
      </c>
      <c r="D581" s="113" t="s">
        <v>1008</v>
      </c>
      <c r="E581" s="113">
        <v>42698</v>
      </c>
      <c r="F581" s="112" t="s">
        <v>791</v>
      </c>
      <c r="G581" s="305" t="s">
        <v>878</v>
      </c>
      <c r="H581" s="115" t="s">
        <v>794</v>
      </c>
      <c r="I581" s="139"/>
      <c r="J581" s="139"/>
      <c r="K581" s="13">
        <v>1548100</v>
      </c>
      <c r="L581" s="116" t="s">
        <v>82</v>
      </c>
      <c r="M581" s="411" t="s">
        <v>46</v>
      </c>
      <c r="N581" s="22" t="str">
        <f>IF(AND('331-CT'!$E$7=TH!H581,OR(L581="331",M581="331")),"331",IF(AND(OR(L581="131",M581="131"),H581='131-CT'!$E$7),"131",""))</f>
        <v/>
      </c>
      <c r="O581" s="22" t="str">
        <f>IF(AND($B581&gt;='111'!$N$11,$B581&lt;='111'!$O$11,OR($L581=$O$7,$M581=$O$7)),"x","")</f>
        <v>x</v>
      </c>
      <c r="P581" s="22" t="str">
        <f>IF(AND($L581=$O$7,$B581&lt;'111'!$N$11),"x","")</f>
        <v/>
      </c>
      <c r="Q581" s="22" t="str">
        <f>IF(AND($M581=$O$7,$B581&lt;'111'!$N$11),"x","")</f>
        <v/>
      </c>
      <c r="R581" s="22" t="str">
        <f>IF(ISERROR(FIND('112'!$M$9,G581,1)),"",IF((AND(FIND('112'!$M$9,G581,1)&gt;=1,$B581&gt;='112'!$N$8,$B581&lt;='112'!$O$8,OR($L581='112'!$I$6,$M581='112'!$I$6))),"x",""))</f>
        <v/>
      </c>
      <c r="S581" s="22" t="str">
        <f>IF(ISERROR(FIND('112'!$M$9,G581,1)),"",IF((AND(LEFT(G581,2)=LEFT('112'!$M$9,2),B581&lt;'112'!$N$8,$L581='112'!$I$6)),"x",""))</f>
        <v/>
      </c>
      <c r="T581" s="22" t="str">
        <f>IF(ISERROR(FIND('112'!$M$9,G581,1)),"",IF((AND(RIGHT(G581,2)=RIGHT('112'!$M$9,2),B581&lt;'112'!$N$8,$M581='112'!$I$6)),"x",""))</f>
        <v/>
      </c>
      <c r="U581" s="22" t="str">
        <f>IF(AND(B581&gt;='IN-NX'!$P$3,B581&lt;='IN-NX'!$Q$3,'IN-NX'!$D$7=D581,OR(LEFT(L581,2)="15",AND(LEFT(M581,2)&lt;&gt;"15",LEFT(M581,2)&lt;&gt;"33"))),"x","")</f>
        <v/>
      </c>
      <c r="V581" s="22" t="str">
        <f>IF(AND(OR(LEFT(TH!L581,2)="15",LEFT(TH!M581,2)="15"),'152-CT'!$J$8=TH!F581),"x","")</f>
        <v/>
      </c>
      <c r="W581" s="22" t="str">
        <f>IF(AND(OR(LEFT(TH!L581,2)="15",LEFT(TH!M581,2)="15"),TK!$E$7=TH!F581),"x","")</f>
        <v/>
      </c>
      <c r="X581" s="22" t="str">
        <f>IF(OR(TH!L581=TH!$X$7,M581=TH!$X$7),"x","")</f>
        <v>x</v>
      </c>
      <c r="Y581" s="22" t="str">
        <f>IF(AND(B581&lt;=NKC!$N$8,B581&gt;=NKC!$M$8),"x","")</f>
        <v/>
      </c>
      <c r="Z581" s="580">
        <v>4</v>
      </c>
      <c r="AC581" s="130"/>
      <c r="AD581" s="130"/>
      <c r="AE581" s="130"/>
    </row>
    <row r="582" spans="1:31" s="130" customFormat="1" ht="15.75" customHeight="1">
      <c r="A582" s="123" t="str">
        <f>IF(B582&lt;&gt;"",IF(AND(B582&gt;=_TM1,B582&lt;=_TM2,OR(TH!L582="1111",TH!M582="1111")),TH!D582,""),"")</f>
        <v>C20</v>
      </c>
      <c r="B582" s="12">
        <f t="shared" si="20"/>
        <v>11</v>
      </c>
      <c r="C582" s="108">
        <f t="shared" si="21"/>
        <v>42698</v>
      </c>
      <c r="D582" s="113" t="s">
        <v>1008</v>
      </c>
      <c r="E582" s="113">
        <v>42698</v>
      </c>
      <c r="F582" s="112" t="s">
        <v>792</v>
      </c>
      <c r="G582" s="305" t="s">
        <v>878</v>
      </c>
      <c r="H582" s="115" t="s">
        <v>794</v>
      </c>
      <c r="I582" s="139"/>
      <c r="J582" s="139"/>
      <c r="K582" s="13">
        <v>154810</v>
      </c>
      <c r="L582" s="116" t="s">
        <v>9</v>
      </c>
      <c r="M582" s="411" t="s">
        <v>46</v>
      </c>
      <c r="N582" s="22" t="str">
        <f>IF(AND('331-CT'!$E$7=TH!H582,OR(L582="331",M582="331")),"331",IF(AND(OR(L582="131",M582="131"),H582='131-CT'!$E$7),"131",""))</f>
        <v/>
      </c>
      <c r="O582" s="22" t="str">
        <f>IF(AND($B582&gt;='111'!$N$11,$B582&lt;='111'!$O$11,OR($L582=$O$7,$M582=$O$7)),"x","")</f>
        <v>x</v>
      </c>
      <c r="P582" s="22" t="str">
        <f>IF(AND($L582=$O$7,$B582&lt;'111'!$N$11),"x","")</f>
        <v/>
      </c>
      <c r="Q582" s="22" t="str">
        <f>IF(AND($M582=$O$7,$B582&lt;'111'!$N$11),"x","")</f>
        <v/>
      </c>
      <c r="R582" s="22" t="str">
        <f>IF(ISERROR(FIND('112'!$M$9,G582,1)),"",IF((AND(FIND('112'!$M$9,G582,1)&gt;=1,$B582&gt;='112'!$N$8,$B582&lt;='112'!$O$8,OR($L582='112'!$I$6,$M582='112'!$I$6))),"x",""))</f>
        <v/>
      </c>
      <c r="S582" s="22" t="str">
        <f>IF(ISERROR(FIND('112'!$M$9,G582,1)),"",IF((AND(LEFT(G582,2)=LEFT('112'!$M$9,2),B582&lt;'112'!$N$8,$L582='112'!$I$6)),"x",""))</f>
        <v/>
      </c>
      <c r="T582" s="22" t="str">
        <f>IF(ISERROR(FIND('112'!$M$9,G582,1)),"",IF((AND(RIGHT(G582,2)=RIGHT('112'!$M$9,2),B582&lt;'112'!$N$8,$M582='112'!$I$6)),"x",""))</f>
        <v/>
      </c>
      <c r="U582" s="22" t="str">
        <f>IF(AND(B582&gt;='IN-NX'!$P$3,B582&lt;='IN-NX'!$Q$3,'IN-NX'!$D$7=D582,OR(LEFT(L582,2)="15",AND(LEFT(M582,2)&lt;&gt;"15",LEFT(M582,2)&lt;&gt;"33"))),"x","")</f>
        <v/>
      </c>
      <c r="V582" s="22" t="str">
        <f>IF(AND(OR(LEFT(TH!L582,2)="15",LEFT(TH!M582,2)="15"),'152-CT'!$J$8=TH!F582),"x","")</f>
        <v/>
      </c>
      <c r="W582" s="22" t="str">
        <f>IF(AND(OR(LEFT(TH!L582,2)="15",LEFT(TH!M582,2)="15"),TK!$E$7=TH!F582),"x","")</f>
        <v/>
      </c>
      <c r="X582" s="22" t="str">
        <f>IF(OR(TH!L582=TH!$X$7,M582=TH!$X$7),"x","")</f>
        <v/>
      </c>
      <c r="Y582" s="22" t="str">
        <f>IF(AND(B582&lt;=NKC!$N$8,B582&gt;=NKC!$M$8),"x","")</f>
        <v/>
      </c>
      <c r="Z582" s="580">
        <v>4</v>
      </c>
      <c r="AA582" s="406"/>
      <c r="AB582" s="406"/>
    </row>
    <row r="583" spans="1:31" s="130" customFormat="1" ht="15.75" customHeight="1">
      <c r="A583" s="123" t="str">
        <f>IF(B583&lt;&gt;"",IF(AND(B583&gt;=_TM1,B583&lt;=_TM2,OR(TH!L583="1111",TH!M583="1111")),TH!D583,""),"")</f>
        <v/>
      </c>
      <c r="B583" s="12">
        <f t="shared" si="20"/>
        <v>11</v>
      </c>
      <c r="C583" s="108">
        <f t="shared" si="21"/>
        <v>42698</v>
      </c>
      <c r="D583" s="113" t="s">
        <v>948</v>
      </c>
      <c r="E583" s="113">
        <v>42698</v>
      </c>
      <c r="F583" s="112" t="s">
        <v>777</v>
      </c>
      <c r="G583" s="305" t="s">
        <v>718</v>
      </c>
      <c r="H583" s="115" t="s">
        <v>780</v>
      </c>
      <c r="I583" s="139">
        <v>17050</v>
      </c>
      <c r="J583" s="139">
        <v>800</v>
      </c>
      <c r="K583" s="13">
        <f>ROUND(I583*J583,0)</f>
        <v>13640000</v>
      </c>
      <c r="L583" s="116" t="s">
        <v>156</v>
      </c>
      <c r="M583" s="116" t="s">
        <v>8</v>
      </c>
      <c r="N583" s="22" t="str">
        <f>IF(AND('331-CT'!$E$7=TH!H583,OR(L583="331",M583="331")),"331",IF(AND(OR(L583="131",M583="131"),H583='131-CT'!$E$7),"131",""))</f>
        <v/>
      </c>
      <c r="O583" s="22" t="str">
        <f>IF(AND($B583&gt;='111'!$N$11,$B583&lt;='111'!$O$11,OR($L583=$O$7,$M583=$O$7)),"x","")</f>
        <v/>
      </c>
      <c r="P583" s="22" t="str">
        <f>IF(AND($L583=$O$7,$B583&lt;'111'!$N$11),"x","")</f>
        <v/>
      </c>
      <c r="Q583" s="22" t="str">
        <f>IF(AND($M583=$O$7,$B583&lt;'111'!$N$11),"x","")</f>
        <v/>
      </c>
      <c r="R583" s="22" t="str">
        <f>IF(ISERROR(FIND('112'!$M$9,G583,1)),"",IF((AND(FIND('112'!$M$9,G583,1)&gt;=1,$B583&gt;='112'!$N$8,$B583&lt;='112'!$O$8,OR($L583='112'!$I$6,$M583='112'!$I$6))),"x",""))</f>
        <v/>
      </c>
      <c r="S583" s="22" t="str">
        <f>IF(ISERROR(FIND('112'!$M$9,G583,1)),"",IF((AND(LEFT(G583,2)=LEFT('112'!$M$9,2),B583&lt;'112'!$N$8,$L583='112'!$I$6)),"x",""))</f>
        <v/>
      </c>
      <c r="T583" s="22" t="str">
        <f>IF(ISERROR(FIND('112'!$M$9,G583,1)),"",IF((AND(RIGHT(G583,2)=RIGHT('112'!$M$9,2),B583&lt;'112'!$N$8,$M583='112'!$I$6)),"x",""))</f>
        <v/>
      </c>
      <c r="U583" s="22" t="str">
        <f>IF(AND(B583&gt;='IN-NX'!$P$3,B583&lt;='IN-NX'!$Q$3,'IN-NX'!$D$7=D583,OR(LEFT(L583,2)="15",AND(LEFT(M583,2)&lt;&gt;"15",LEFT(M583,2)&lt;&gt;"33"))),"x","")</f>
        <v/>
      </c>
      <c r="V583" s="22" t="str">
        <f>IF(AND(OR(LEFT(TH!L583,2)="15",LEFT(TH!M583,2)="15"),'152-CT'!$J$8=TH!F583),"x","")</f>
        <v/>
      </c>
      <c r="W583" s="22" t="str">
        <f>IF(AND(OR(LEFT(TH!L583,2)="15",LEFT(TH!M583,2)="15"),TK!$E$7=TH!F583),"x","")</f>
        <v/>
      </c>
      <c r="X583" s="22" t="str">
        <f>IF(OR(TH!L583=TH!$X$7,M583=TH!$X$7),"x","")</f>
        <v/>
      </c>
      <c r="Y583" s="22" t="str">
        <f>IF(AND(B583&lt;=NKC!$N$8,B583&gt;=NKC!$M$8),"x","")</f>
        <v/>
      </c>
      <c r="Z583" s="580">
        <v>4</v>
      </c>
      <c r="AA583" s="406"/>
      <c r="AB583" s="406"/>
    </row>
    <row r="584" spans="1:31" s="406" customFormat="1" ht="15.75" customHeight="1">
      <c r="A584" s="123" t="str">
        <f>IF(B584&lt;&gt;"",IF(AND(B584&gt;=_TM1,B584&lt;=_TM2,OR(TH!L584="1111",TH!M584="1111")),TH!D584,""),"")</f>
        <v/>
      </c>
      <c r="B584" s="12">
        <f t="shared" si="20"/>
        <v>11</v>
      </c>
      <c r="C584" s="108">
        <f t="shared" si="21"/>
        <v>42698</v>
      </c>
      <c r="D584" s="113" t="s">
        <v>948</v>
      </c>
      <c r="E584" s="113">
        <v>42698</v>
      </c>
      <c r="F584" s="112" t="s">
        <v>778</v>
      </c>
      <c r="G584" s="305" t="s">
        <v>718</v>
      </c>
      <c r="H584" s="115" t="s">
        <v>780</v>
      </c>
      <c r="I584" s="139"/>
      <c r="J584" s="139"/>
      <c r="K584" s="13">
        <v>1364000</v>
      </c>
      <c r="L584" s="116" t="s">
        <v>9</v>
      </c>
      <c r="M584" s="116" t="s">
        <v>8</v>
      </c>
      <c r="N584" s="22" t="str">
        <f>IF(AND('331-CT'!$E$7=TH!H584,OR(L584="331",M584="331")),"331",IF(AND(OR(L584="131",M584="131"),H584='131-CT'!$E$7),"131",""))</f>
        <v/>
      </c>
      <c r="O584" s="22" t="str">
        <f>IF(AND($B584&gt;='111'!$N$11,$B584&lt;='111'!$O$11,OR($L584=$O$7,$M584=$O$7)),"x","")</f>
        <v/>
      </c>
      <c r="P584" s="22" t="str">
        <f>IF(AND($L584=$O$7,$B584&lt;'111'!$N$11),"x","")</f>
        <v/>
      </c>
      <c r="Q584" s="22" t="str">
        <f>IF(AND($M584=$O$7,$B584&lt;'111'!$N$11),"x","")</f>
        <v/>
      </c>
      <c r="R584" s="22" t="str">
        <f>IF(ISERROR(FIND('112'!$M$9,G584,1)),"",IF((AND(FIND('112'!$M$9,G584,1)&gt;=1,$B584&gt;='112'!$N$8,$B584&lt;='112'!$O$8,OR($L584='112'!$I$6,$M584='112'!$I$6))),"x",""))</f>
        <v/>
      </c>
      <c r="S584" s="22" t="str">
        <f>IF(ISERROR(FIND('112'!$M$9,G584,1)),"",IF((AND(LEFT(G584,2)=LEFT('112'!$M$9,2),B584&lt;'112'!$N$8,$L584='112'!$I$6)),"x",""))</f>
        <v/>
      </c>
      <c r="T584" s="22" t="str">
        <f>IF(ISERROR(FIND('112'!$M$9,G584,1)),"",IF((AND(RIGHT(G584,2)=RIGHT('112'!$M$9,2),B584&lt;'112'!$N$8,$M584='112'!$I$6)),"x",""))</f>
        <v/>
      </c>
      <c r="U584" s="22" t="str">
        <f>IF(AND(B584&gt;='IN-NX'!$P$3,B584&lt;='IN-NX'!$Q$3,'IN-NX'!$D$7=D584,OR(LEFT(L584,2)="15",AND(LEFT(M584,2)&lt;&gt;"15",LEFT(M584,2)&lt;&gt;"33"))),"x","")</f>
        <v/>
      </c>
      <c r="V584" s="22" t="str">
        <f>IF(AND(OR(LEFT(TH!L584,2)="15",LEFT(TH!M584,2)="15"),'152-CT'!$J$8=TH!F584),"x","")</f>
        <v/>
      </c>
      <c r="W584" s="22" t="str">
        <f>IF(AND(OR(LEFT(TH!L584,2)="15",LEFT(TH!M584,2)="15"),TK!$E$7=TH!F584),"x","")</f>
        <v/>
      </c>
      <c r="X584" s="22" t="str">
        <f>IF(OR(TH!L584=TH!$X$7,M584=TH!$X$7),"x","")</f>
        <v/>
      </c>
      <c r="Y584" s="22" t="str">
        <f>IF(AND(B584&lt;=NKC!$N$8,B584&gt;=NKC!$M$8),"x","")</f>
        <v/>
      </c>
      <c r="Z584" s="580">
        <v>4</v>
      </c>
      <c r="AC584" s="130"/>
      <c r="AD584" s="130"/>
      <c r="AE584" s="130"/>
    </row>
    <row r="585" spans="1:31" s="406" customFormat="1" ht="15.75" customHeight="1">
      <c r="A585" s="123" t="str">
        <f>IF(B585&lt;&gt;"",IF(AND(B585&gt;=_TM1,B585&lt;=_TM2,OR(TH!L585="1111",TH!M585="1111")),TH!D585,""),"")</f>
        <v>C21</v>
      </c>
      <c r="B585" s="12">
        <f t="shared" si="20"/>
        <v>11</v>
      </c>
      <c r="C585" s="108">
        <f t="shared" si="21"/>
        <v>42698</v>
      </c>
      <c r="D585" s="113" t="s">
        <v>1009</v>
      </c>
      <c r="E585" s="113">
        <v>42698</v>
      </c>
      <c r="F585" s="112" t="s">
        <v>465</v>
      </c>
      <c r="G585" s="305" t="s">
        <v>718</v>
      </c>
      <c r="H585" s="115" t="s">
        <v>780</v>
      </c>
      <c r="I585" s="139"/>
      <c r="J585" s="139"/>
      <c r="K585" s="13">
        <v>15004000</v>
      </c>
      <c r="L585" s="116" t="s">
        <v>8</v>
      </c>
      <c r="M585" s="411" t="s">
        <v>46</v>
      </c>
      <c r="N585" s="22" t="str">
        <f>IF(AND('331-CT'!$E$7=TH!H585,OR(L585="331",M585="331")),"331",IF(AND(OR(L585="131",M585="131"),H585='131-CT'!$E$7),"131",""))</f>
        <v/>
      </c>
      <c r="O585" s="22" t="str">
        <f>IF(AND($B585&gt;='111'!$N$11,$B585&lt;='111'!$O$11,OR($L585=$O$7,$M585=$O$7)),"x","")</f>
        <v>x</v>
      </c>
      <c r="P585" s="22" t="str">
        <f>IF(AND($L585=$O$7,$B585&lt;'111'!$N$11),"x","")</f>
        <v/>
      </c>
      <c r="Q585" s="22" t="str">
        <f>IF(AND($M585=$O$7,$B585&lt;'111'!$N$11),"x","")</f>
        <v/>
      </c>
      <c r="R585" s="22" t="str">
        <f>IF(ISERROR(FIND('112'!$M$9,G585,1)),"",IF((AND(FIND('112'!$M$9,G585,1)&gt;=1,$B585&gt;='112'!$N$8,$B585&lt;='112'!$O$8,OR($L585='112'!$I$6,$M585='112'!$I$6))),"x",""))</f>
        <v/>
      </c>
      <c r="S585" s="22" t="str">
        <f>IF(ISERROR(FIND('112'!$M$9,G585,1)),"",IF((AND(LEFT(G585,2)=LEFT('112'!$M$9,2),B585&lt;'112'!$N$8,$L585='112'!$I$6)),"x",""))</f>
        <v/>
      </c>
      <c r="T585" s="22" t="str">
        <f>IF(ISERROR(FIND('112'!$M$9,G585,1)),"",IF((AND(RIGHT(G585,2)=RIGHT('112'!$M$9,2),B585&lt;'112'!$N$8,$M585='112'!$I$6)),"x",""))</f>
        <v/>
      </c>
      <c r="U585" s="22" t="str">
        <f>IF(AND(B585&gt;='IN-NX'!$P$3,B585&lt;='IN-NX'!$Q$3,'IN-NX'!$D$7=D585,OR(LEFT(L585,2)="15",AND(LEFT(M585,2)&lt;&gt;"15",LEFT(M585,2)&lt;&gt;"33"))),"x","")</f>
        <v/>
      </c>
      <c r="V585" s="22" t="str">
        <f>IF(AND(OR(LEFT(TH!L585,2)="15",LEFT(TH!M585,2)="15"),'152-CT'!$J$8=TH!F585),"x","")</f>
        <v/>
      </c>
      <c r="W585" s="22" t="str">
        <f>IF(AND(OR(LEFT(TH!L585,2)="15",LEFT(TH!M585,2)="15"),TK!$E$7=TH!F585),"x","")</f>
        <v/>
      </c>
      <c r="X585" s="22" t="str">
        <f>IF(OR(TH!L585=TH!$X$7,M585=TH!$X$7),"x","")</f>
        <v/>
      </c>
      <c r="Y585" s="22" t="str">
        <f>IF(AND(B585&lt;=NKC!$N$8,B585&gt;=NKC!$M$8),"x","")</f>
        <v/>
      </c>
      <c r="Z585" s="580"/>
      <c r="AB585" s="130"/>
      <c r="AC585" s="130"/>
      <c r="AD585" s="130"/>
      <c r="AE585" s="130"/>
    </row>
    <row r="586" spans="1:31" s="406" customFormat="1" ht="15.75" customHeight="1">
      <c r="A586" s="123" t="str">
        <f>IF(B586&lt;&gt;"",IF(AND(B586&gt;=_TM1,B586&lt;=_TM2,OR(TH!L586="1111",TH!M586="1111")),TH!D586,""),"")</f>
        <v/>
      </c>
      <c r="B586" s="12">
        <f t="shared" si="20"/>
        <v>11</v>
      </c>
      <c r="C586" s="108">
        <f t="shared" si="21"/>
        <v>42698</v>
      </c>
      <c r="D586" s="108" t="s">
        <v>469</v>
      </c>
      <c r="E586" s="113">
        <v>42698</v>
      </c>
      <c r="F586" s="112" t="s">
        <v>484</v>
      </c>
      <c r="G586" s="114" t="s">
        <v>474</v>
      </c>
      <c r="H586" s="4" t="s">
        <v>371</v>
      </c>
      <c r="I586" s="139"/>
      <c r="J586" s="139"/>
      <c r="K586" s="13">
        <v>18385400</v>
      </c>
      <c r="L586" s="116" t="s">
        <v>24</v>
      </c>
      <c r="M586" s="411" t="s">
        <v>252</v>
      </c>
      <c r="N586" s="22" t="str">
        <f>IF(AND('331-CT'!$E$7=TH!H586,OR(L586="331",M586="331")),"331",IF(AND(OR(L586="131",M586="131"),H586='131-CT'!$E$7),"131",""))</f>
        <v/>
      </c>
      <c r="O586" s="22" t="str">
        <f>IF(AND($B586&gt;='111'!$N$11,$B586&lt;='111'!$O$11,OR($L586=$O$7,$M586=$O$7)),"x","")</f>
        <v/>
      </c>
      <c r="P586" s="22" t="str">
        <f>IF(AND($L586=$O$7,$B586&lt;'111'!$N$11),"x","")</f>
        <v/>
      </c>
      <c r="Q586" s="22" t="str">
        <f>IF(AND($M586=$O$7,$B586&lt;'111'!$N$11),"x","")</f>
        <v/>
      </c>
      <c r="R586" s="22" t="str">
        <f>IF(ISERROR(FIND('112'!$M$9,G586,1)),"",IF((AND(FIND('112'!$M$9,G586,1)&gt;=1,$B586&gt;='112'!$N$8,$B586&lt;='112'!$O$8,OR($L586='112'!$I$6,$M586='112'!$I$6))),"x",""))</f>
        <v>x</v>
      </c>
      <c r="S586" s="22" t="str">
        <f>IF(ISERROR(FIND('112'!$M$9,G586,1)),"",IF((AND(LEFT(G586,2)=LEFT('112'!$M$9,2),B586&lt;'112'!$N$8,$L586='112'!$I$6)),"x",""))</f>
        <v/>
      </c>
      <c r="T586" s="22" t="str">
        <f>IF(ISERROR(FIND('112'!$M$9,G586,1)),"",IF((AND(RIGHT(G586,2)=RIGHT('112'!$M$9,2),B586&lt;'112'!$N$8,$M586='112'!$I$6)),"x",""))</f>
        <v/>
      </c>
      <c r="U586" s="22" t="str">
        <f>IF(AND(B586&gt;='IN-NX'!$P$3,B586&lt;='IN-NX'!$Q$3,'IN-NX'!$D$7=D586,OR(LEFT(L586,2)="15",AND(LEFT(M586,2)&lt;&gt;"15",LEFT(M586,2)&lt;&gt;"33"))),"x","")</f>
        <v/>
      </c>
      <c r="V586" s="22" t="str">
        <f>IF(AND(OR(LEFT(TH!L586,2)="15",LEFT(TH!M586,2)="15"),'152-CT'!$J$8=TH!F586),"x","")</f>
        <v/>
      </c>
      <c r="W586" s="22" t="str">
        <f>IF(AND(OR(LEFT(TH!L586,2)="15",LEFT(TH!M586,2)="15"),TK!$E$7=TH!F586),"x","")</f>
        <v/>
      </c>
      <c r="X586" s="22" t="str">
        <f>IF(OR(TH!L586=TH!$X$7,M586=TH!$X$7),"x","")</f>
        <v/>
      </c>
      <c r="Y586" s="22" t="str">
        <f>IF(AND(B586&lt;=NKC!$N$8,B586&gt;=NKC!$M$8),"x","")</f>
        <v/>
      </c>
      <c r="Z586" s="580"/>
      <c r="AD586" s="130"/>
      <c r="AE586" s="130"/>
    </row>
    <row r="587" spans="1:31" s="406" customFormat="1" ht="15.75" customHeight="1">
      <c r="A587" s="123" t="str">
        <f>IF(B587&lt;&gt;"",IF(AND(B587&gt;=_TM1,B587&lt;=_TM2,OR(TH!L587="1111",TH!M587="1111")),TH!D587,""),"")</f>
        <v/>
      </c>
      <c r="B587" s="12">
        <f t="shared" si="20"/>
        <v>11</v>
      </c>
      <c r="C587" s="108">
        <f t="shared" si="21"/>
        <v>42698</v>
      </c>
      <c r="D587" s="108" t="s">
        <v>469</v>
      </c>
      <c r="E587" s="113">
        <v>42698</v>
      </c>
      <c r="F587" s="112" t="s">
        <v>799</v>
      </c>
      <c r="G587" s="114" t="s">
        <v>474</v>
      </c>
      <c r="H587" s="4" t="s">
        <v>371</v>
      </c>
      <c r="I587" s="139"/>
      <c r="J587" s="139"/>
      <c r="K587" s="13">
        <v>22000</v>
      </c>
      <c r="L587" s="116" t="s">
        <v>82</v>
      </c>
      <c r="M587" s="411" t="s">
        <v>252</v>
      </c>
      <c r="N587" s="22" t="str">
        <f>IF(AND('331-CT'!$E$7=TH!H587,OR(L587="331",M587="331")),"331",IF(AND(OR(L587="131",M587="131"),H587='131-CT'!$E$7),"131",""))</f>
        <v/>
      </c>
      <c r="O587" s="22" t="str">
        <f>IF(AND($B587&gt;='111'!$N$11,$B587&lt;='111'!$O$11,OR($L587=$O$7,$M587=$O$7)),"x","")</f>
        <v/>
      </c>
      <c r="P587" s="22" t="str">
        <f>IF(AND($L587=$O$7,$B587&lt;'111'!$N$11),"x","")</f>
        <v/>
      </c>
      <c r="Q587" s="22" t="str">
        <f>IF(AND($M587=$O$7,$B587&lt;'111'!$N$11),"x","")</f>
        <v/>
      </c>
      <c r="R587" s="22" t="str">
        <f>IF(ISERROR(FIND('112'!$M$9,G587,1)),"",IF((AND(FIND('112'!$M$9,G587,1)&gt;=1,$B587&gt;='112'!$N$8,$B587&lt;='112'!$O$8,OR($L587='112'!$I$6,$M587='112'!$I$6))),"x",""))</f>
        <v/>
      </c>
      <c r="S587" s="22" t="str">
        <f>IF(ISERROR(FIND('112'!$M$9,G587,1)),"",IF((AND(LEFT(G587,2)=LEFT('112'!$M$9,2),B587&lt;'112'!$N$8,$L587='112'!$I$6)),"x",""))</f>
        <v/>
      </c>
      <c r="T587" s="22" t="str">
        <f>IF(ISERROR(FIND('112'!$M$9,G587,1)),"",IF((AND(RIGHT(G587,2)=RIGHT('112'!$M$9,2),B587&lt;'112'!$N$8,$M587='112'!$I$6)),"x",""))</f>
        <v/>
      </c>
      <c r="U587" s="22" t="str">
        <f>IF(AND(B587&gt;='IN-NX'!$P$3,B587&lt;='IN-NX'!$Q$3,'IN-NX'!$D$7=D587,OR(LEFT(L587,2)="15",AND(LEFT(M587,2)&lt;&gt;"15",LEFT(M587,2)&lt;&gt;"33"))),"x","")</f>
        <v/>
      </c>
      <c r="V587" s="22" t="str">
        <f>IF(AND(OR(LEFT(TH!L587,2)="15",LEFT(TH!M587,2)="15"),'152-CT'!$J$8=TH!F587),"x","")</f>
        <v/>
      </c>
      <c r="W587" s="22" t="str">
        <f>IF(AND(OR(LEFT(TH!L587,2)="15",LEFT(TH!M587,2)="15"),TK!$E$7=TH!F587),"x","")</f>
        <v/>
      </c>
      <c r="X587" s="22" t="str">
        <f>IF(OR(TH!L587=TH!$X$7,M587=TH!$X$7),"x","")</f>
        <v>x</v>
      </c>
      <c r="Y587" s="22" t="str">
        <f>IF(AND(B587&lt;=NKC!$N$8,B587&gt;=NKC!$M$8),"x","")</f>
        <v/>
      </c>
      <c r="Z587" s="580"/>
      <c r="AD587" s="130"/>
      <c r="AE587" s="130"/>
    </row>
    <row r="588" spans="1:31" s="406" customFormat="1" ht="15.75" customHeight="1">
      <c r="A588" s="123" t="str">
        <f>IF(B588&lt;&gt;"",IF(AND(B588&gt;=_TM1,B588&lt;=_TM2,OR(TH!L588="1111",TH!M588="1111")),TH!D588,""),"")</f>
        <v/>
      </c>
      <c r="B588" s="12">
        <f t="shared" si="20"/>
        <v>11</v>
      </c>
      <c r="C588" s="108">
        <f t="shared" si="21"/>
        <v>42699</v>
      </c>
      <c r="D588" s="108" t="s">
        <v>469</v>
      </c>
      <c r="E588" s="113">
        <v>42699</v>
      </c>
      <c r="F588" s="112" t="s">
        <v>476</v>
      </c>
      <c r="G588" s="114" t="s">
        <v>474</v>
      </c>
      <c r="H588" s="17"/>
      <c r="I588" s="140"/>
      <c r="J588" s="140"/>
      <c r="K588" s="13">
        <v>5005</v>
      </c>
      <c r="L588" s="116" t="s">
        <v>24</v>
      </c>
      <c r="M588" s="411" t="s">
        <v>39</v>
      </c>
      <c r="N588" s="22" t="str">
        <f>IF(AND('331-CT'!$E$7=TH!H588,OR(L588="331",M588="331")),"331",IF(AND(OR(L588="131",M588="131"),H588='131-CT'!$E$7),"131",""))</f>
        <v/>
      </c>
      <c r="O588" s="22" t="str">
        <f>IF(AND($B588&gt;='111'!$N$11,$B588&lt;='111'!$O$11,OR($L588=$O$7,$M588=$O$7)),"x","")</f>
        <v/>
      </c>
      <c r="P588" s="22" t="str">
        <f>IF(AND($L588=$O$7,$B588&lt;'111'!$N$11),"x","")</f>
        <v/>
      </c>
      <c r="Q588" s="22" t="str">
        <f>IF(AND($M588=$O$7,$B588&lt;'111'!$N$11),"x","")</f>
        <v/>
      </c>
      <c r="R588" s="22" t="str">
        <f>IF(ISERROR(FIND('112'!$M$9,G588,1)),"",IF((AND(FIND('112'!$M$9,G588,1)&gt;=1,$B588&gt;='112'!$N$8,$B588&lt;='112'!$O$8,OR($L588='112'!$I$6,$M588='112'!$I$6))),"x",""))</f>
        <v>x</v>
      </c>
      <c r="S588" s="22" t="str">
        <f>IF(ISERROR(FIND('112'!$M$9,G588,1)),"",IF((AND(LEFT(G588,2)=LEFT('112'!$M$9,2),B588&lt;'112'!$N$8,$L588='112'!$I$6)),"x",""))</f>
        <v/>
      </c>
      <c r="T588" s="22" t="str">
        <f>IF(ISERROR(FIND('112'!$M$9,G588,1)),"",IF((AND(RIGHT(G588,2)=RIGHT('112'!$M$9,2),B588&lt;'112'!$N$8,$M588='112'!$I$6)),"x",""))</f>
        <v/>
      </c>
      <c r="U588" s="22" t="str">
        <f>IF(AND(B588&gt;='IN-NX'!$P$3,B588&lt;='IN-NX'!$Q$3,'IN-NX'!$D$7=D588,OR(LEFT(L588,2)="15",AND(LEFT(M588,2)&lt;&gt;"15",LEFT(M588,2)&lt;&gt;"33"))),"x","")</f>
        <v/>
      </c>
      <c r="V588" s="22" t="str">
        <f>IF(AND(OR(LEFT(TH!L588,2)="15",LEFT(TH!M588,2)="15"),'152-CT'!$J$8=TH!F588),"x","")</f>
        <v/>
      </c>
      <c r="W588" s="22" t="str">
        <f>IF(AND(OR(LEFT(TH!L588,2)="15",LEFT(TH!M588,2)="15"),TK!$E$7=TH!F588),"x","")</f>
        <v/>
      </c>
      <c r="X588" s="22" t="str">
        <f>IF(OR(TH!L588=TH!$X$7,M588=TH!$X$7),"x","")</f>
        <v/>
      </c>
      <c r="Y588" s="22" t="str">
        <f>IF(AND(B588&lt;=NKC!$N$8,B588&gt;=NKC!$M$8),"x","")</f>
        <v/>
      </c>
      <c r="Z588" s="580"/>
      <c r="AD588" s="130"/>
      <c r="AE588" s="130"/>
    </row>
    <row r="589" spans="1:31" s="406" customFormat="1" ht="15.75" customHeight="1">
      <c r="A589" s="123" t="str">
        <f>IF(B589&lt;&gt;"",IF(AND(B589&gt;=_TM1,B589&lt;=_TM2,OR(TH!L589="1111",TH!M589="1111")),TH!D589,""),"")</f>
        <v>T18</v>
      </c>
      <c r="B589" s="12">
        <f t="shared" si="20"/>
        <v>11</v>
      </c>
      <c r="C589" s="108">
        <f t="shared" si="21"/>
        <v>42699</v>
      </c>
      <c r="D589" s="108" t="s">
        <v>1006</v>
      </c>
      <c r="E589" s="113">
        <v>42699</v>
      </c>
      <c r="F589" s="114" t="s">
        <v>485</v>
      </c>
      <c r="G589" s="114" t="s">
        <v>474</v>
      </c>
      <c r="H589" s="115" t="s">
        <v>488</v>
      </c>
      <c r="I589" s="139"/>
      <c r="J589" s="141"/>
      <c r="K589" s="13">
        <v>20000000</v>
      </c>
      <c r="L589" s="116" t="s">
        <v>46</v>
      </c>
      <c r="M589" s="411" t="s">
        <v>24</v>
      </c>
      <c r="N589" s="22" t="str">
        <f>IF(AND('331-CT'!$E$7=TH!H589,OR(L589="331",M589="331")),"331",IF(AND(OR(L589="131",M589="131"),H589='131-CT'!$E$7),"131",""))</f>
        <v/>
      </c>
      <c r="O589" s="22" t="str">
        <f>IF(AND($B589&gt;='111'!$N$11,$B589&lt;='111'!$O$11,OR($L589=$O$7,$M589=$O$7)),"x","")</f>
        <v>x</v>
      </c>
      <c r="P589" s="22" t="str">
        <f>IF(AND($L589=$O$7,$B589&lt;'111'!$N$11),"x","")</f>
        <v/>
      </c>
      <c r="Q589" s="22" t="str">
        <f>IF(AND($M589=$O$7,$B589&lt;'111'!$N$11),"x","")</f>
        <v/>
      </c>
      <c r="R589" s="22" t="str">
        <f>IF(ISERROR(FIND('112'!$M$9,G589,1)),"",IF((AND(FIND('112'!$M$9,G589,1)&gt;=1,$B589&gt;='112'!$N$8,$B589&lt;='112'!$O$8,OR($L589='112'!$I$6,$M589='112'!$I$6))),"x",""))</f>
        <v>x</v>
      </c>
      <c r="S589" s="22" t="str">
        <f>IF(ISERROR(FIND('112'!$M$9,G589,1)),"",IF((AND(LEFT(G589,2)=LEFT('112'!$M$9,2),B589&lt;'112'!$N$8,$L589='112'!$I$6)),"x",""))</f>
        <v/>
      </c>
      <c r="T589" s="22" t="str">
        <f>IF(ISERROR(FIND('112'!$M$9,G589,1)),"",IF((AND(RIGHT(G589,2)=RIGHT('112'!$M$9,2),B589&lt;'112'!$N$8,$M589='112'!$I$6)),"x",""))</f>
        <v/>
      </c>
      <c r="U589" s="22" t="str">
        <f>IF(AND(B589&gt;='IN-NX'!$P$3,B589&lt;='IN-NX'!$Q$3,'IN-NX'!$D$7=D589,OR(LEFT(L589,2)="15",AND(LEFT(M589,2)&lt;&gt;"15",LEFT(M589,2)&lt;&gt;"33"))),"x","")</f>
        <v/>
      </c>
      <c r="V589" s="22" t="str">
        <f>IF(AND(OR(LEFT(TH!L589,2)="15",LEFT(TH!M589,2)="15"),'152-CT'!$J$8=TH!F589),"x","")</f>
        <v/>
      </c>
      <c r="W589" s="22" t="str">
        <f>IF(AND(OR(LEFT(TH!L589,2)="15",LEFT(TH!M589,2)="15"),TK!$E$7=TH!F589),"x","")</f>
        <v/>
      </c>
      <c r="X589" s="22" t="str">
        <f>IF(OR(TH!L589=TH!$X$7,M589=TH!$X$7),"x","")</f>
        <v/>
      </c>
      <c r="Y589" s="22" t="str">
        <f>IF(AND(B589&lt;=NKC!$N$8,B589&gt;=NKC!$M$8),"x","")</f>
        <v/>
      </c>
      <c r="Z589" s="580"/>
      <c r="AD589" s="130"/>
      <c r="AE589" s="130"/>
    </row>
    <row r="590" spans="1:31" s="130" customFormat="1" ht="15.75" customHeight="1">
      <c r="A590" s="123" t="str">
        <f>IF(B590&lt;&gt;"",IF(AND(B590&gt;=_TM1,B590&lt;=_TM2,OR(TH!L590="1111",TH!M590="1111")),TH!D590,""),"")</f>
        <v/>
      </c>
      <c r="B590" s="12">
        <f t="shared" si="20"/>
        <v>11</v>
      </c>
      <c r="C590" s="108">
        <f t="shared" si="21"/>
        <v>42699</v>
      </c>
      <c r="D590" s="108" t="s">
        <v>470</v>
      </c>
      <c r="E590" s="113">
        <v>42699</v>
      </c>
      <c r="F590" s="114" t="s">
        <v>465</v>
      </c>
      <c r="G590" s="114" t="s">
        <v>474</v>
      </c>
      <c r="H590" s="561" t="s">
        <v>398</v>
      </c>
      <c r="I590" s="139"/>
      <c r="J590" s="141"/>
      <c r="K590" s="13">
        <v>12500000</v>
      </c>
      <c r="L590" s="116" t="s">
        <v>8</v>
      </c>
      <c r="M590" s="411" t="s">
        <v>24</v>
      </c>
      <c r="N590" s="22" t="str">
        <f>IF(AND('331-CT'!$E$7=TH!H590,OR(L590="331",M590="331")),"331",IF(AND(OR(L590="131",M590="131"),H590='131-CT'!$E$7),"131",""))</f>
        <v/>
      </c>
      <c r="O590" s="22" t="str">
        <f>IF(AND($B590&gt;='111'!$N$11,$B590&lt;='111'!$O$11,OR($L590=$O$7,$M590=$O$7)),"x","")</f>
        <v/>
      </c>
      <c r="P590" s="22" t="str">
        <f>IF(AND($L590=$O$7,$B590&lt;'111'!$N$11),"x","")</f>
        <v/>
      </c>
      <c r="Q590" s="22" t="str">
        <f>IF(AND($M590=$O$7,$B590&lt;'111'!$N$11),"x","")</f>
        <v/>
      </c>
      <c r="R590" s="22" t="str">
        <f>IF(ISERROR(FIND('112'!$M$9,G590,1)),"",IF((AND(FIND('112'!$M$9,G590,1)&gt;=1,$B590&gt;='112'!$N$8,$B590&lt;='112'!$O$8,OR($L590='112'!$I$6,$M590='112'!$I$6))),"x",""))</f>
        <v>x</v>
      </c>
      <c r="S590" s="22" t="str">
        <f>IF(ISERROR(FIND('112'!$M$9,G590,1)),"",IF((AND(LEFT(G590,2)=LEFT('112'!$M$9,2),B590&lt;'112'!$N$8,$L590='112'!$I$6)),"x",""))</f>
        <v/>
      </c>
      <c r="T590" s="22" t="str">
        <f>IF(ISERROR(FIND('112'!$M$9,G590,1)),"",IF((AND(RIGHT(G590,2)=RIGHT('112'!$M$9,2),B590&lt;'112'!$N$8,$M590='112'!$I$6)),"x",""))</f>
        <v/>
      </c>
      <c r="U590" s="22" t="str">
        <f>IF(AND(B590&gt;='IN-NX'!$P$3,B590&lt;='IN-NX'!$Q$3,'IN-NX'!$D$7=D590,OR(LEFT(L590,2)="15",AND(LEFT(M590,2)&lt;&gt;"15",LEFT(M590,2)&lt;&gt;"33"))),"x","")</f>
        <v/>
      </c>
      <c r="V590" s="22" t="str">
        <f>IF(AND(OR(LEFT(TH!L590,2)="15",LEFT(TH!M590,2)="15"),'152-CT'!$J$8=TH!F590),"x","")</f>
        <v/>
      </c>
      <c r="W590" s="22" t="str">
        <f>IF(AND(OR(LEFT(TH!L590,2)="15",LEFT(TH!M590,2)="15"),TK!$E$7=TH!F590),"x","")</f>
        <v/>
      </c>
      <c r="X590" s="22" t="str">
        <f>IF(OR(TH!L590=TH!$X$7,M590=TH!$X$7),"x","")</f>
        <v/>
      </c>
      <c r="Y590" s="22" t="str">
        <f>IF(AND(B590&lt;=NKC!$N$8,B590&gt;=NKC!$M$8),"x","")</f>
        <v/>
      </c>
      <c r="Z590" s="580"/>
      <c r="AA590" s="406"/>
      <c r="AB590" s="406"/>
      <c r="AC590" s="406"/>
    </row>
    <row r="591" spans="1:31" s="406" customFormat="1" ht="15.75" customHeight="1">
      <c r="A591" s="123" t="str">
        <f>IF(B591&lt;&gt;"",IF(AND(B591&gt;=_TM1,B591&lt;=_TM2,OR(TH!L591="1111",TH!M591="1111")),TH!D591,""),"")</f>
        <v/>
      </c>
      <c r="B591" s="12">
        <f t="shared" si="20"/>
        <v>11</v>
      </c>
      <c r="C591" s="108">
        <f t="shared" si="21"/>
        <v>42699</v>
      </c>
      <c r="D591" s="108" t="s">
        <v>470</v>
      </c>
      <c r="E591" s="113">
        <v>42699</v>
      </c>
      <c r="F591" s="114" t="s">
        <v>472</v>
      </c>
      <c r="G591" s="114" t="s">
        <v>474</v>
      </c>
      <c r="H591" s="115"/>
      <c r="I591" s="139"/>
      <c r="J591" s="141"/>
      <c r="K591" s="13">
        <v>20000</v>
      </c>
      <c r="L591" s="116" t="s">
        <v>82</v>
      </c>
      <c r="M591" s="411" t="s">
        <v>24</v>
      </c>
      <c r="N591" s="22" t="str">
        <f>IF(AND('331-CT'!$E$7=TH!H591,OR(L591="331",M591="331")),"331",IF(AND(OR(L591="131",M591="131"),H591='131-CT'!$E$7),"131",""))</f>
        <v/>
      </c>
      <c r="O591" s="22" t="str">
        <f>IF(AND($B591&gt;='111'!$N$11,$B591&lt;='111'!$O$11,OR($L591=$O$7,$M591=$O$7)),"x","")</f>
        <v/>
      </c>
      <c r="P591" s="22" t="str">
        <f>IF(AND($L591=$O$7,$B591&lt;'111'!$N$11),"x","")</f>
        <v/>
      </c>
      <c r="Q591" s="22" t="str">
        <f>IF(AND($M591=$O$7,$B591&lt;'111'!$N$11),"x","")</f>
        <v/>
      </c>
      <c r="R591" s="22" t="str">
        <f>IF(ISERROR(FIND('112'!$M$9,G591,1)),"",IF((AND(FIND('112'!$M$9,G591,1)&gt;=1,$B591&gt;='112'!$N$8,$B591&lt;='112'!$O$8,OR($L591='112'!$I$6,$M591='112'!$I$6))),"x",""))</f>
        <v>x</v>
      </c>
      <c r="S591" s="22" t="str">
        <f>IF(ISERROR(FIND('112'!$M$9,G591,1)),"",IF((AND(LEFT(G591,2)=LEFT('112'!$M$9,2),B591&lt;'112'!$N$8,$L591='112'!$I$6)),"x",""))</f>
        <v/>
      </c>
      <c r="T591" s="22" t="str">
        <f>IF(ISERROR(FIND('112'!$M$9,G591,1)),"",IF((AND(RIGHT(G591,2)=RIGHT('112'!$M$9,2),B591&lt;'112'!$N$8,$M591='112'!$I$6)),"x",""))</f>
        <v/>
      </c>
      <c r="U591" s="22" t="str">
        <f>IF(AND(B591&gt;='IN-NX'!$P$3,B591&lt;='IN-NX'!$Q$3,'IN-NX'!$D$7=D591,OR(LEFT(L591,2)="15",AND(LEFT(M591,2)&lt;&gt;"15",LEFT(M591,2)&lt;&gt;"33"))),"x","")</f>
        <v/>
      </c>
      <c r="V591" s="22" t="str">
        <f>IF(AND(OR(LEFT(TH!L591,2)="15",LEFT(TH!M591,2)="15"),'152-CT'!$J$8=TH!F591),"x","")</f>
        <v/>
      </c>
      <c r="W591" s="22" t="str">
        <f>IF(AND(OR(LEFT(TH!L591,2)="15",LEFT(TH!M591,2)="15"),TK!$E$7=TH!F591),"x","")</f>
        <v/>
      </c>
      <c r="X591" s="22" t="str">
        <f>IF(OR(TH!L591=TH!$X$7,M591=TH!$X$7),"x","")</f>
        <v>x</v>
      </c>
      <c r="Y591" s="22" t="str">
        <f>IF(AND(B591&lt;=NKC!$N$8,B591&gt;=NKC!$M$8),"x","")</f>
        <v/>
      </c>
      <c r="Z591" s="580">
        <v>4</v>
      </c>
      <c r="AD591" s="130"/>
      <c r="AE591" s="130"/>
    </row>
    <row r="592" spans="1:31" s="130" customFormat="1" ht="15.75" customHeight="1">
      <c r="A592" s="123" t="str">
        <f>IF(B592&lt;&gt;"",IF(AND(B592&gt;=_TM1,B592&lt;=_TM2,OR(TH!L592="1111",TH!M592="1111")),TH!D592,""),"")</f>
        <v/>
      </c>
      <c r="B592" s="12">
        <f t="shared" si="20"/>
        <v>11</v>
      </c>
      <c r="C592" s="108">
        <f t="shared" si="21"/>
        <v>42699</v>
      </c>
      <c r="D592" s="108" t="s">
        <v>470</v>
      </c>
      <c r="E592" s="113">
        <v>42699</v>
      </c>
      <c r="F592" s="114" t="s">
        <v>473</v>
      </c>
      <c r="G592" s="114" t="s">
        <v>474</v>
      </c>
      <c r="H592" s="115"/>
      <c r="I592" s="139"/>
      <c r="J592" s="141"/>
      <c r="K592" s="13">
        <v>2000</v>
      </c>
      <c r="L592" s="116" t="s">
        <v>9</v>
      </c>
      <c r="M592" s="411" t="s">
        <v>24</v>
      </c>
      <c r="N592" s="22" t="str">
        <f>IF(AND('331-CT'!$E$7=TH!H592,OR(L592="331",M592="331")),"331",IF(AND(OR(L592="131",M592="131"),H592='131-CT'!$E$7),"131",""))</f>
        <v/>
      </c>
      <c r="O592" s="22" t="str">
        <f>IF(AND($B592&gt;='111'!$N$11,$B592&lt;='111'!$O$11,OR($L592=$O$7,$M592=$O$7)),"x","")</f>
        <v/>
      </c>
      <c r="P592" s="22" t="str">
        <f>IF(AND($L592=$O$7,$B592&lt;'111'!$N$11),"x","")</f>
        <v/>
      </c>
      <c r="Q592" s="22" t="str">
        <f>IF(AND($M592=$O$7,$B592&lt;'111'!$N$11),"x","")</f>
        <v/>
      </c>
      <c r="R592" s="22" t="str">
        <f>IF(ISERROR(FIND('112'!$M$9,G592,1)),"",IF((AND(FIND('112'!$M$9,G592,1)&gt;=1,$B592&gt;='112'!$N$8,$B592&lt;='112'!$O$8,OR($L592='112'!$I$6,$M592='112'!$I$6))),"x",""))</f>
        <v>x</v>
      </c>
      <c r="S592" s="22" t="str">
        <f>IF(ISERROR(FIND('112'!$M$9,G592,1)),"",IF((AND(LEFT(G592,2)=LEFT('112'!$M$9,2),B592&lt;'112'!$N$8,$L592='112'!$I$6)),"x",""))</f>
        <v/>
      </c>
      <c r="T592" s="22" t="str">
        <f>IF(ISERROR(FIND('112'!$M$9,G592,1)),"",IF((AND(RIGHT(G592,2)=RIGHT('112'!$M$9,2),B592&lt;'112'!$N$8,$M592='112'!$I$6)),"x",""))</f>
        <v/>
      </c>
      <c r="U592" s="22" t="str">
        <f>IF(AND(B592&gt;='IN-NX'!$P$3,B592&lt;='IN-NX'!$Q$3,'IN-NX'!$D$7=D592,OR(LEFT(L592,2)="15",AND(LEFT(M592,2)&lt;&gt;"15",LEFT(M592,2)&lt;&gt;"33"))),"x","")</f>
        <v/>
      </c>
      <c r="V592" s="22" t="str">
        <f>IF(AND(OR(LEFT(TH!L592,2)="15",LEFT(TH!M592,2)="15"),'152-CT'!$J$8=TH!F592),"x","")</f>
        <v/>
      </c>
      <c r="W592" s="22" t="str">
        <f>IF(AND(OR(LEFT(TH!L592,2)="15",LEFT(TH!M592,2)="15"),TK!$E$7=TH!F592),"x","")</f>
        <v/>
      </c>
      <c r="X592" s="22" t="str">
        <f>IF(OR(TH!L592=TH!$X$7,M592=TH!$X$7),"x","")</f>
        <v/>
      </c>
      <c r="Y592" s="22" t="str">
        <f>IF(AND(B592&lt;=NKC!$N$8,B592&gt;=NKC!$M$8),"x","")</f>
        <v/>
      </c>
      <c r="Z592" s="580">
        <v>4</v>
      </c>
      <c r="AA592" s="406"/>
      <c r="AB592" s="406"/>
      <c r="AC592" s="406"/>
    </row>
    <row r="593" spans="1:31" s="406" customFormat="1" ht="15.75" customHeight="1">
      <c r="A593" s="123" t="str">
        <f>IF(B593&lt;&gt;"",IF(AND(B593&gt;=_TM1,B593&lt;=_TM2,OR(TH!L593="1111",TH!M593="1111")),TH!D593,""),"")</f>
        <v/>
      </c>
      <c r="B593" s="12">
        <f t="shared" ref="B593:B656" si="23">IF(C593&lt;&gt;"",MONTH(C593),"")</f>
        <v>11</v>
      </c>
      <c r="C593" s="108">
        <f t="shared" si="21"/>
        <v>42699</v>
      </c>
      <c r="D593" s="108" t="s">
        <v>470</v>
      </c>
      <c r="E593" s="113">
        <v>42699</v>
      </c>
      <c r="F593" s="114" t="s">
        <v>477</v>
      </c>
      <c r="G593" s="114" t="s">
        <v>474</v>
      </c>
      <c r="H593" s="115"/>
      <c r="I593" s="139"/>
      <c r="J593" s="141"/>
      <c r="K593" s="13">
        <v>10000</v>
      </c>
      <c r="L593" s="116" t="s">
        <v>82</v>
      </c>
      <c r="M593" s="411" t="s">
        <v>24</v>
      </c>
      <c r="N593" s="22" t="str">
        <f>IF(AND('331-CT'!$E$7=TH!H593,OR(L593="331",M593="331")),"331",IF(AND(OR(L593="131",M593="131"),H593='131-CT'!$E$7),"131",""))</f>
        <v/>
      </c>
      <c r="O593" s="22" t="str">
        <f>IF(AND($B593&gt;='111'!$N$11,$B593&lt;='111'!$O$11,OR($L593=$O$7,$M593=$O$7)),"x","")</f>
        <v/>
      </c>
      <c r="P593" s="22" t="str">
        <f>IF(AND($L593=$O$7,$B593&lt;'111'!$N$11),"x","")</f>
        <v/>
      </c>
      <c r="Q593" s="22" t="str">
        <f>IF(AND($M593=$O$7,$B593&lt;'111'!$N$11),"x","")</f>
        <v/>
      </c>
      <c r="R593" s="22" t="str">
        <f>IF(ISERROR(FIND('112'!$M$9,G593,1)),"",IF((AND(FIND('112'!$M$9,G593,1)&gt;=1,$B593&gt;='112'!$N$8,$B593&lt;='112'!$O$8,OR($L593='112'!$I$6,$M593='112'!$I$6))),"x",""))</f>
        <v>x</v>
      </c>
      <c r="S593" s="22" t="str">
        <f>IF(ISERROR(FIND('112'!$M$9,G593,1)),"",IF((AND(LEFT(G593,2)=LEFT('112'!$M$9,2),B593&lt;'112'!$N$8,$L593='112'!$I$6)),"x",""))</f>
        <v/>
      </c>
      <c r="T593" s="22" t="str">
        <f>IF(ISERROR(FIND('112'!$M$9,G593,1)),"",IF((AND(RIGHT(G593,2)=RIGHT('112'!$M$9,2),B593&lt;'112'!$N$8,$M593='112'!$I$6)),"x",""))</f>
        <v/>
      </c>
      <c r="U593" s="22" t="str">
        <f>IF(AND(B593&gt;='IN-NX'!$P$3,B593&lt;='IN-NX'!$Q$3,'IN-NX'!$D$7=D593,OR(LEFT(L593,2)="15",AND(LEFT(M593,2)&lt;&gt;"15",LEFT(M593,2)&lt;&gt;"33"))),"x","")</f>
        <v/>
      </c>
      <c r="V593" s="22" t="str">
        <f>IF(AND(OR(LEFT(TH!L593,2)="15",LEFT(TH!M593,2)="15"),'152-CT'!$J$8=TH!F593),"x","")</f>
        <v/>
      </c>
      <c r="W593" s="22" t="str">
        <f>IF(AND(OR(LEFT(TH!L593,2)="15",LEFT(TH!M593,2)="15"),TK!$E$7=TH!F593),"x","")</f>
        <v/>
      </c>
      <c r="X593" s="22" t="str">
        <f>IF(OR(TH!L593=TH!$X$7,M593=TH!$X$7),"x","")</f>
        <v>x</v>
      </c>
      <c r="Y593" s="22" t="str">
        <f>IF(AND(B593&lt;=NKC!$N$8,B593&gt;=NKC!$M$8),"x","")</f>
        <v/>
      </c>
      <c r="Z593" s="580">
        <v>4</v>
      </c>
      <c r="AD593" s="130"/>
      <c r="AE593" s="130"/>
    </row>
    <row r="594" spans="1:31" s="406" customFormat="1" ht="15.75" customHeight="1">
      <c r="A594" s="123" t="str">
        <f>IF(B594&lt;&gt;"",IF(AND(B594&gt;=_TM1,B594&lt;=_TM2,OR(TH!L594="1111",TH!M594="1111")),TH!D594,""),"")</f>
        <v/>
      </c>
      <c r="B594" s="12">
        <f t="shared" si="23"/>
        <v>11</v>
      </c>
      <c r="C594" s="108">
        <f t="shared" si="21"/>
        <v>42699</v>
      </c>
      <c r="D594" s="108" t="s">
        <v>470</v>
      </c>
      <c r="E594" s="113">
        <v>42699</v>
      </c>
      <c r="F594" s="114" t="s">
        <v>478</v>
      </c>
      <c r="G594" s="114" t="s">
        <v>474</v>
      </c>
      <c r="H594" s="115"/>
      <c r="I594" s="139"/>
      <c r="J594" s="141"/>
      <c r="K594" s="13">
        <v>1000</v>
      </c>
      <c r="L594" s="116" t="s">
        <v>9</v>
      </c>
      <c r="M594" s="411" t="s">
        <v>24</v>
      </c>
      <c r="N594" s="22" t="str">
        <f>IF(AND('331-CT'!$E$7=TH!H594,OR(L594="331",M594="331")),"331",IF(AND(OR(L594="131",M594="131"),H594='131-CT'!$E$7),"131",""))</f>
        <v/>
      </c>
      <c r="O594" s="22" t="str">
        <f>IF(AND($B594&gt;='111'!$N$11,$B594&lt;='111'!$O$11,OR($L594=$O$7,$M594=$O$7)),"x","")</f>
        <v/>
      </c>
      <c r="P594" s="22" t="str">
        <f>IF(AND($L594=$O$7,$B594&lt;'111'!$N$11),"x","")</f>
        <v/>
      </c>
      <c r="Q594" s="22" t="str">
        <f>IF(AND($M594=$O$7,$B594&lt;'111'!$N$11),"x","")</f>
        <v/>
      </c>
      <c r="R594" s="22" t="str">
        <f>IF(ISERROR(FIND('112'!$M$9,G594,1)),"",IF((AND(FIND('112'!$M$9,G594,1)&gt;=1,$B594&gt;='112'!$N$8,$B594&lt;='112'!$O$8,OR($L594='112'!$I$6,$M594='112'!$I$6))),"x",""))</f>
        <v>x</v>
      </c>
      <c r="S594" s="22" t="str">
        <f>IF(ISERROR(FIND('112'!$M$9,G594,1)),"",IF((AND(LEFT(G594,2)=LEFT('112'!$M$9,2),B594&lt;'112'!$N$8,$L594='112'!$I$6)),"x",""))</f>
        <v/>
      </c>
      <c r="T594" s="22" t="str">
        <f>IF(ISERROR(FIND('112'!$M$9,G594,1)),"",IF((AND(RIGHT(G594,2)=RIGHT('112'!$M$9,2),B594&lt;'112'!$N$8,$M594='112'!$I$6)),"x",""))</f>
        <v/>
      </c>
      <c r="U594" s="22" t="str">
        <f>IF(AND(B594&gt;='IN-NX'!$P$3,B594&lt;='IN-NX'!$Q$3,'IN-NX'!$D$7=D594,OR(LEFT(L594,2)="15",AND(LEFT(M594,2)&lt;&gt;"15",LEFT(M594,2)&lt;&gt;"33"))),"x","")</f>
        <v/>
      </c>
      <c r="V594" s="22" t="str">
        <f>IF(AND(OR(LEFT(TH!L594,2)="15",LEFT(TH!M594,2)="15"),'152-CT'!$J$8=TH!F594),"x","")</f>
        <v/>
      </c>
      <c r="W594" s="22" t="str">
        <f>IF(AND(OR(LEFT(TH!L594,2)="15",LEFT(TH!M594,2)="15"),TK!$E$7=TH!F594),"x","")</f>
        <v/>
      </c>
      <c r="X594" s="22" t="str">
        <f>IF(OR(TH!L594=TH!$X$7,M594=TH!$X$7),"x","")</f>
        <v/>
      </c>
      <c r="Y594" s="22" t="str">
        <f>IF(AND(B594&lt;=NKC!$N$8,B594&gt;=NKC!$M$8),"x","")</f>
        <v/>
      </c>
      <c r="Z594" s="580">
        <v>4</v>
      </c>
      <c r="AD594" s="130"/>
      <c r="AE594" s="130"/>
    </row>
    <row r="595" spans="1:31" s="130" customFormat="1" ht="15.75" customHeight="1">
      <c r="A595" s="123" t="str">
        <f>IF(B595&lt;&gt;"",IF(AND(B595&gt;=_TM1,B595&lt;=_TM2,OR(TH!L595="1111",TH!M595="1111")),TH!D595,""),"")</f>
        <v/>
      </c>
      <c r="B595" s="12">
        <f t="shared" si="23"/>
        <v>11</v>
      </c>
      <c r="C595" s="108">
        <f t="shared" si="21"/>
        <v>42702</v>
      </c>
      <c r="D595" s="108" t="s">
        <v>469</v>
      </c>
      <c r="E595" s="113">
        <v>42702</v>
      </c>
      <c r="F595" s="112" t="s">
        <v>484</v>
      </c>
      <c r="G595" s="114" t="s">
        <v>474</v>
      </c>
      <c r="H595" s="4" t="s">
        <v>371</v>
      </c>
      <c r="I595" s="139"/>
      <c r="J595" s="139"/>
      <c r="K595" s="13">
        <v>22471790</v>
      </c>
      <c r="L595" s="116" t="s">
        <v>24</v>
      </c>
      <c r="M595" s="411" t="s">
        <v>252</v>
      </c>
      <c r="N595" s="22" t="str">
        <f>IF(AND('331-CT'!$E$7=TH!H595,OR(L595="331",M595="331")),"331",IF(AND(OR(L595="131",M595="131"),H595='131-CT'!$E$7),"131",""))</f>
        <v/>
      </c>
      <c r="O595" s="22" t="str">
        <f>IF(AND($B595&gt;='111'!$N$11,$B595&lt;='111'!$O$11,OR($L595=$O$7,$M595=$O$7)),"x","")</f>
        <v/>
      </c>
      <c r="P595" s="22" t="str">
        <f>IF(AND($L595=$O$7,$B595&lt;'111'!$N$11),"x","")</f>
        <v/>
      </c>
      <c r="Q595" s="22" t="str">
        <f>IF(AND($M595=$O$7,$B595&lt;'111'!$N$11),"x","")</f>
        <v/>
      </c>
      <c r="R595" s="22" t="str">
        <f>IF(ISERROR(FIND('112'!$M$9,G595,1)),"",IF((AND(FIND('112'!$M$9,G595,1)&gt;=1,$B595&gt;='112'!$N$8,$B595&lt;='112'!$O$8,OR($L595='112'!$I$6,$M595='112'!$I$6))),"x",""))</f>
        <v>x</v>
      </c>
      <c r="S595" s="22" t="str">
        <f>IF(ISERROR(FIND('112'!$M$9,G595,1)),"",IF((AND(LEFT(G595,2)=LEFT('112'!$M$9,2),B595&lt;'112'!$N$8,$L595='112'!$I$6)),"x",""))</f>
        <v/>
      </c>
      <c r="T595" s="22" t="str">
        <f>IF(ISERROR(FIND('112'!$M$9,G595,1)),"",IF((AND(RIGHT(G595,2)=RIGHT('112'!$M$9,2),B595&lt;'112'!$N$8,$M595='112'!$I$6)),"x",""))</f>
        <v/>
      </c>
      <c r="U595" s="22" t="str">
        <f>IF(AND(B595&gt;='IN-NX'!$P$3,B595&lt;='IN-NX'!$Q$3,'IN-NX'!$D$7=D595,OR(LEFT(L595,2)="15",AND(LEFT(M595,2)&lt;&gt;"15",LEFT(M595,2)&lt;&gt;"33"))),"x","")</f>
        <v/>
      </c>
      <c r="V595" s="22" t="str">
        <f>IF(AND(OR(LEFT(TH!L595,2)="15",LEFT(TH!M595,2)="15"),'152-CT'!$J$8=TH!F595),"x","")</f>
        <v/>
      </c>
      <c r="W595" s="22" t="str">
        <f>IF(AND(OR(LEFT(TH!L595,2)="15",LEFT(TH!M595,2)="15"),TK!$E$7=TH!F595),"x","")</f>
        <v/>
      </c>
      <c r="X595" s="22" t="str">
        <f>IF(OR(TH!L595=TH!$X$7,M595=TH!$X$7),"x","")</f>
        <v/>
      </c>
      <c r="Y595" s="22" t="str">
        <f>IF(AND(B595&lt;=NKC!$N$8,B595&gt;=NKC!$M$8),"x","")</f>
        <v/>
      </c>
      <c r="Z595" s="580"/>
      <c r="AA595" s="406"/>
      <c r="AB595" s="406"/>
    </row>
    <row r="596" spans="1:31" s="406" customFormat="1" ht="15.75" customHeight="1">
      <c r="A596" s="123" t="str">
        <f>IF(B596&lt;&gt;"",IF(AND(B596&gt;=_TM1,B596&lt;=_TM2,OR(TH!L596="1111",TH!M596="1111")),TH!D596,""),"")</f>
        <v/>
      </c>
      <c r="B596" s="12">
        <f t="shared" si="23"/>
        <v>11</v>
      </c>
      <c r="C596" s="108">
        <f t="shared" si="21"/>
        <v>42702</v>
      </c>
      <c r="D596" s="108" t="s">
        <v>469</v>
      </c>
      <c r="E596" s="113">
        <v>42702</v>
      </c>
      <c r="F596" s="112" t="s">
        <v>799</v>
      </c>
      <c r="G596" s="114" t="s">
        <v>474</v>
      </c>
      <c r="H596" s="4" t="s">
        <v>371</v>
      </c>
      <c r="I596" s="139"/>
      <c r="J596" s="139"/>
      <c r="K596" s="13">
        <v>22000</v>
      </c>
      <c r="L596" s="116" t="s">
        <v>82</v>
      </c>
      <c r="M596" s="411" t="s">
        <v>252</v>
      </c>
      <c r="N596" s="22" t="str">
        <f>IF(AND('331-CT'!$E$7=TH!H596,OR(L596="331",M596="331")),"331",IF(AND(OR(L596="131",M596="131"),H596='131-CT'!$E$7),"131",""))</f>
        <v/>
      </c>
      <c r="O596" s="22" t="str">
        <f>IF(AND($B596&gt;='111'!$N$11,$B596&lt;='111'!$O$11,OR($L596=$O$7,$M596=$O$7)),"x","")</f>
        <v/>
      </c>
      <c r="P596" s="22" t="str">
        <f>IF(AND($L596=$O$7,$B596&lt;'111'!$N$11),"x","")</f>
        <v/>
      </c>
      <c r="Q596" s="22" t="str">
        <f>IF(AND($M596=$O$7,$B596&lt;'111'!$N$11),"x","")</f>
        <v/>
      </c>
      <c r="R596" s="22" t="str">
        <f>IF(ISERROR(FIND('112'!$M$9,G596,1)),"",IF((AND(FIND('112'!$M$9,G596,1)&gt;=1,$B596&gt;='112'!$N$8,$B596&lt;='112'!$O$8,OR($L596='112'!$I$6,$M596='112'!$I$6))),"x",""))</f>
        <v/>
      </c>
      <c r="S596" s="22" t="str">
        <f>IF(ISERROR(FIND('112'!$M$9,G596,1)),"",IF((AND(LEFT(G596,2)=LEFT('112'!$M$9,2),B596&lt;'112'!$N$8,$L596='112'!$I$6)),"x",""))</f>
        <v/>
      </c>
      <c r="T596" s="22" t="str">
        <f>IF(ISERROR(FIND('112'!$M$9,G596,1)),"",IF((AND(RIGHT(G596,2)=RIGHT('112'!$M$9,2),B596&lt;'112'!$N$8,$M596='112'!$I$6)),"x",""))</f>
        <v/>
      </c>
      <c r="U596" s="22" t="str">
        <f>IF(AND(B596&gt;='IN-NX'!$P$3,B596&lt;='IN-NX'!$Q$3,'IN-NX'!$D$7=D596,OR(LEFT(L596,2)="15",AND(LEFT(M596,2)&lt;&gt;"15",LEFT(M596,2)&lt;&gt;"33"))),"x","")</f>
        <v/>
      </c>
      <c r="V596" s="22" t="str">
        <f>IF(AND(OR(LEFT(TH!L596,2)="15",LEFT(TH!M596,2)="15"),'152-CT'!$J$8=TH!F596),"x","")</f>
        <v/>
      </c>
      <c r="W596" s="22" t="str">
        <f>IF(AND(OR(LEFT(TH!L596,2)="15",LEFT(TH!M596,2)="15"),TK!$E$7=TH!F596),"x","")</f>
        <v/>
      </c>
      <c r="X596" s="22" t="str">
        <f>IF(OR(TH!L596=TH!$X$7,M596=TH!$X$7),"x","")</f>
        <v>x</v>
      </c>
      <c r="Y596" s="22" t="str">
        <f>IF(AND(B596&lt;=NKC!$N$8,B596&gt;=NKC!$M$8),"x","")</f>
        <v/>
      </c>
      <c r="Z596" s="580"/>
      <c r="AC596" s="130"/>
      <c r="AD596" s="130"/>
      <c r="AE596" s="130"/>
    </row>
    <row r="597" spans="1:31" s="406" customFormat="1" ht="15.75" customHeight="1">
      <c r="A597" s="123" t="str">
        <f>IF(B597&lt;&gt;"",IF(AND(B597&gt;=_TM1,B597&lt;=_TM2,OR(TH!L597="1111",TH!M597="1111")),TH!D597,""),"")</f>
        <v>T19</v>
      </c>
      <c r="B597" s="12">
        <f t="shared" si="23"/>
        <v>11</v>
      </c>
      <c r="C597" s="108">
        <f t="shared" ref="C597:C660" si="24">E597</f>
        <v>42703</v>
      </c>
      <c r="D597" s="108" t="s">
        <v>1011</v>
      </c>
      <c r="E597" s="113">
        <v>42703</v>
      </c>
      <c r="F597" s="114" t="s">
        <v>485</v>
      </c>
      <c r="G597" s="114" t="s">
        <v>474</v>
      </c>
      <c r="H597" s="115" t="s">
        <v>488</v>
      </c>
      <c r="I597" s="139"/>
      <c r="J597" s="141"/>
      <c r="K597" s="13">
        <v>22500000</v>
      </c>
      <c r="L597" s="116" t="s">
        <v>46</v>
      </c>
      <c r="M597" s="411" t="s">
        <v>24</v>
      </c>
      <c r="N597" s="22" t="str">
        <f>IF(AND('331-CT'!$E$7=TH!H597,OR(L597="331",M597="331")),"331",IF(AND(OR(L597="131",M597="131"),H597='131-CT'!$E$7),"131",""))</f>
        <v/>
      </c>
      <c r="O597" s="22" t="str">
        <f>IF(AND($B597&gt;='111'!$N$11,$B597&lt;='111'!$O$11,OR($L597=$O$7,$M597=$O$7)),"x","")</f>
        <v>x</v>
      </c>
      <c r="P597" s="22" t="str">
        <f>IF(AND($L597=$O$7,$B597&lt;'111'!$N$11),"x","")</f>
        <v/>
      </c>
      <c r="Q597" s="22" t="str">
        <f>IF(AND($M597=$O$7,$B597&lt;'111'!$N$11),"x","")</f>
        <v/>
      </c>
      <c r="R597" s="22" t="str">
        <f>IF(ISERROR(FIND('112'!$M$9,G597,1)),"",IF((AND(FIND('112'!$M$9,G597,1)&gt;=1,$B597&gt;='112'!$N$8,$B597&lt;='112'!$O$8,OR($L597='112'!$I$6,$M597='112'!$I$6))),"x",""))</f>
        <v>x</v>
      </c>
      <c r="S597" s="22" t="str">
        <f>IF(ISERROR(FIND('112'!$M$9,G597,1)),"",IF((AND(LEFT(G597,2)=LEFT('112'!$M$9,2),B597&lt;'112'!$N$8,$L597='112'!$I$6)),"x",""))</f>
        <v/>
      </c>
      <c r="T597" s="22" t="str">
        <f>IF(ISERROR(FIND('112'!$M$9,G597,1)),"",IF((AND(RIGHT(G597,2)=RIGHT('112'!$M$9,2),B597&lt;'112'!$N$8,$M597='112'!$I$6)),"x",""))</f>
        <v/>
      </c>
      <c r="U597" s="22" t="str">
        <f>IF(AND(B597&gt;='IN-NX'!$P$3,B597&lt;='IN-NX'!$Q$3,'IN-NX'!$D$7=D597,OR(LEFT(L597,2)="15",AND(LEFT(M597,2)&lt;&gt;"15",LEFT(M597,2)&lt;&gt;"33"))),"x","")</f>
        <v/>
      </c>
      <c r="V597" s="22" t="str">
        <f>IF(AND(OR(LEFT(TH!L597,2)="15",LEFT(TH!M597,2)="15"),'152-CT'!$J$8=TH!F597),"x","")</f>
        <v/>
      </c>
      <c r="W597" s="22" t="str">
        <f>IF(AND(OR(LEFT(TH!L597,2)="15",LEFT(TH!M597,2)="15"),TK!$E$7=TH!F597),"x","")</f>
        <v/>
      </c>
      <c r="X597" s="22" t="str">
        <f>IF(OR(TH!L597=TH!$X$7,M597=TH!$X$7),"x","")</f>
        <v/>
      </c>
      <c r="Y597" s="22" t="str">
        <f>IF(AND(B597&lt;=NKC!$N$8,B597&gt;=NKC!$M$8),"x","")</f>
        <v/>
      </c>
      <c r="Z597" s="580"/>
      <c r="AD597" s="130"/>
      <c r="AE597" s="130"/>
    </row>
    <row r="598" spans="1:31" s="406" customFormat="1" ht="15.75" customHeight="1">
      <c r="A598" s="123" t="str">
        <f>IF(B598&lt;&gt;"",IF(AND(B598&gt;=_TM1,B598&lt;=_TM2,OR(TH!L598="1111",TH!M598="1111")),TH!D598,""),"")</f>
        <v>C22</v>
      </c>
      <c r="B598" s="12">
        <f t="shared" si="23"/>
        <v>11</v>
      </c>
      <c r="C598" s="108">
        <f t="shared" si="24"/>
        <v>42703</v>
      </c>
      <c r="D598" s="113" t="s">
        <v>1010</v>
      </c>
      <c r="E598" s="113">
        <v>42703</v>
      </c>
      <c r="F598" s="112" t="s">
        <v>626</v>
      </c>
      <c r="G598" s="303"/>
      <c r="H598" s="115" t="s">
        <v>488</v>
      </c>
      <c r="I598" s="139"/>
      <c r="J598" s="139"/>
      <c r="K598" s="410">
        <f>ROUND((4*40000+4*30000+12*15000+2*10000)/1.1,0)</f>
        <v>436364</v>
      </c>
      <c r="L598" s="411" t="s">
        <v>254</v>
      </c>
      <c r="M598" s="411" t="s">
        <v>46</v>
      </c>
      <c r="N598" s="22" t="str">
        <f>IF(AND('331-CT'!$E$7=TH!H598,OR(L598="331",M598="331")),"331",IF(AND(OR(L598="131",M598="131"),H598='131-CT'!$E$7),"131",""))</f>
        <v/>
      </c>
      <c r="O598" s="22" t="str">
        <f>IF(AND($B598&gt;='111'!$N$11,$B598&lt;='111'!$O$11,OR($L598=$O$7,$M598=$O$7)),"x","")</f>
        <v>x</v>
      </c>
      <c r="P598" s="22" t="str">
        <f>IF(AND($L598=$O$7,$B598&lt;'111'!$N$11),"x","")</f>
        <v/>
      </c>
      <c r="Q598" s="22" t="str">
        <f>IF(AND($M598=$O$7,$B598&lt;'111'!$N$11),"x","")</f>
        <v/>
      </c>
      <c r="R598" s="22" t="str">
        <f>IF(ISERROR(FIND('112'!$M$9,G598,1)),"",IF((AND(FIND('112'!$M$9,G598,1)&gt;=1,$B598&gt;='112'!$N$8,$B598&lt;='112'!$O$8,OR($L598='112'!$I$6,$M598='112'!$I$6))),"x",""))</f>
        <v/>
      </c>
      <c r="S598" s="22" t="str">
        <f>IF(ISERROR(FIND('112'!$M$9,G598,1)),"",IF((AND(LEFT(G598,2)=LEFT('112'!$M$9,2),B598&lt;'112'!$N$8,$L598='112'!$I$6)),"x",""))</f>
        <v/>
      </c>
      <c r="T598" s="22" t="str">
        <f>IF(ISERROR(FIND('112'!$M$9,G598,1)),"",IF((AND(RIGHT(G598,2)=RIGHT('112'!$M$9,2),B598&lt;'112'!$N$8,$M598='112'!$I$6)),"x",""))</f>
        <v/>
      </c>
      <c r="U598" s="22" t="str">
        <f>IF(AND(B598&gt;='IN-NX'!$P$3,B598&lt;='IN-NX'!$Q$3,'IN-NX'!$D$7=D598,OR(LEFT(L598,2)="15",AND(LEFT(M598,2)&lt;&gt;"15",LEFT(M598,2)&lt;&gt;"33"))),"x","")</f>
        <v/>
      </c>
      <c r="V598" s="22" t="str">
        <f>IF(AND(OR(LEFT(TH!L598,2)="15",LEFT(TH!M598,2)="15"),'152-CT'!$J$8=TH!F598),"x","")</f>
        <v/>
      </c>
      <c r="W598" s="22" t="str">
        <f>IF(AND(OR(LEFT(TH!L598,2)="15",LEFT(TH!M598,2)="15"),TK!$E$7=TH!F598),"x","")</f>
        <v/>
      </c>
      <c r="X598" s="22" t="str">
        <f>IF(OR(TH!L598=TH!$X$7,M598=TH!$X$7),"x","")</f>
        <v/>
      </c>
      <c r="Y598" s="22" t="str">
        <f>IF(AND(B598&lt;=NKC!$N$8,B598&gt;=NKC!$M$8),"x","")</f>
        <v/>
      </c>
      <c r="Z598" s="580">
        <v>4</v>
      </c>
      <c r="AD598" s="130"/>
      <c r="AE598" s="130"/>
    </row>
    <row r="599" spans="1:31" s="130" customFormat="1" ht="15.75" customHeight="1">
      <c r="A599" s="123" t="str">
        <f>IF(B599&lt;&gt;"",IF(AND(B599&gt;=_TM1,B599&lt;=_TM2,OR(TH!L599="1111",TH!M599="1111")),TH!D599,""),"")</f>
        <v>C22</v>
      </c>
      <c r="B599" s="12">
        <f t="shared" si="23"/>
        <v>11</v>
      </c>
      <c r="C599" s="108">
        <f t="shared" si="24"/>
        <v>42703</v>
      </c>
      <c r="D599" s="113" t="s">
        <v>1010</v>
      </c>
      <c r="E599" s="113">
        <v>42703</v>
      </c>
      <c r="F599" s="112" t="s">
        <v>627</v>
      </c>
      <c r="G599" s="303"/>
      <c r="H599" s="115"/>
      <c r="I599" s="139"/>
      <c r="J599" s="139"/>
      <c r="K599" s="410">
        <v>43636</v>
      </c>
      <c r="L599" s="411" t="s">
        <v>9</v>
      </c>
      <c r="M599" s="411" t="s">
        <v>46</v>
      </c>
      <c r="N599" s="22" t="str">
        <f>IF(AND('331-CT'!$E$7=TH!H599,OR(L599="331",M599="331")),"331",IF(AND(OR(L599="131",M599="131"),H599='131-CT'!$E$7),"131",""))</f>
        <v/>
      </c>
      <c r="O599" s="22" t="str">
        <f>IF(AND($B599&gt;='111'!$N$11,$B599&lt;='111'!$O$11,OR($L599=$O$7,$M599=$O$7)),"x","")</f>
        <v>x</v>
      </c>
      <c r="P599" s="22" t="str">
        <f>IF(AND($L599=$O$7,$B599&lt;'111'!$N$11),"x","")</f>
        <v/>
      </c>
      <c r="Q599" s="22" t="str">
        <f>IF(AND($M599=$O$7,$B599&lt;'111'!$N$11),"x","")</f>
        <v/>
      </c>
      <c r="R599" s="22" t="str">
        <f>IF(ISERROR(FIND('112'!$M$9,G599,1)),"",IF((AND(FIND('112'!$M$9,G599,1)&gt;=1,$B599&gt;='112'!$N$8,$B599&lt;='112'!$O$8,OR($L599='112'!$I$6,$M599='112'!$I$6))),"x",""))</f>
        <v/>
      </c>
      <c r="S599" s="22" t="str">
        <f>IF(ISERROR(FIND('112'!$M$9,G599,1)),"",IF((AND(LEFT(G599,2)=LEFT('112'!$M$9,2),B599&lt;'112'!$N$8,$L599='112'!$I$6)),"x",""))</f>
        <v/>
      </c>
      <c r="T599" s="22" t="str">
        <f>IF(ISERROR(FIND('112'!$M$9,G599,1)),"",IF((AND(RIGHT(G599,2)=RIGHT('112'!$M$9,2),B599&lt;'112'!$N$8,$M599='112'!$I$6)),"x",""))</f>
        <v/>
      </c>
      <c r="U599" s="22" t="str">
        <f>IF(AND(B599&gt;='IN-NX'!$P$3,B599&lt;='IN-NX'!$Q$3,'IN-NX'!$D$7=D599,OR(LEFT(L599,2)="15",AND(LEFT(M599,2)&lt;&gt;"15",LEFT(M599,2)&lt;&gt;"33"))),"x","")</f>
        <v/>
      </c>
      <c r="V599" s="22" t="str">
        <f>IF(AND(OR(LEFT(TH!L599,2)="15",LEFT(TH!M599,2)="15"),'152-CT'!$J$8=TH!F599),"x","")</f>
        <v/>
      </c>
      <c r="W599" s="22" t="str">
        <f>IF(AND(OR(LEFT(TH!L599,2)="15",LEFT(TH!M599,2)="15"),TK!$E$7=TH!F599),"x","")</f>
        <v/>
      </c>
      <c r="X599" s="22" t="str">
        <f>IF(OR(TH!L599=TH!$X$7,M599=TH!$X$7),"x","")</f>
        <v/>
      </c>
      <c r="Y599" s="22" t="str">
        <f>IF(AND(B599&lt;=NKC!$N$8,B599&gt;=NKC!$M$8),"x","")</f>
        <v/>
      </c>
      <c r="Z599" s="580">
        <v>4</v>
      </c>
      <c r="AA599" s="406"/>
      <c r="AB599" s="406"/>
      <c r="AC599" s="406"/>
    </row>
    <row r="600" spans="1:31" s="406" customFormat="1" ht="15.75" customHeight="1">
      <c r="A600" s="123" t="str">
        <f>IF(B600&lt;&gt;"",IF(AND(B600&gt;=_TM1,B600&lt;=_TM2,OR(TH!L600="1111",TH!M600="1111")),TH!D600,""),"")</f>
        <v/>
      </c>
      <c r="B600" s="12">
        <f t="shared" si="23"/>
        <v>11</v>
      </c>
      <c r="C600" s="108">
        <f t="shared" si="24"/>
        <v>42703</v>
      </c>
      <c r="D600" s="108" t="s">
        <v>572</v>
      </c>
      <c r="E600" s="113">
        <v>42703</v>
      </c>
      <c r="F600" s="112" t="s">
        <v>691</v>
      </c>
      <c r="G600" s="303" t="s">
        <v>771</v>
      </c>
      <c r="H600" s="4" t="s">
        <v>690</v>
      </c>
      <c r="I600" s="139">
        <v>1020</v>
      </c>
      <c r="J600" s="139">
        <v>5900</v>
      </c>
      <c r="K600" s="13">
        <f>ROUND(I600*J600,0)</f>
        <v>6018000</v>
      </c>
      <c r="L600" s="116" t="s">
        <v>252</v>
      </c>
      <c r="M600" s="411" t="s">
        <v>169</v>
      </c>
      <c r="N600" s="22" t="str">
        <f>IF(AND('331-CT'!$E$7=TH!H600,OR(L600="331",M600="331")),"331",IF(AND(OR(L600="131",M600="131"),H600='131-CT'!$E$7),"131",""))</f>
        <v/>
      </c>
      <c r="O600" s="22" t="str">
        <f>IF(AND($B600&gt;='111'!$N$11,$B600&lt;='111'!$O$11,OR($L600=$O$7,$M600=$O$7)),"x","")</f>
        <v/>
      </c>
      <c r="P600" s="22" t="str">
        <f>IF(AND($L600=$O$7,$B600&lt;'111'!$N$11),"x","")</f>
        <v/>
      </c>
      <c r="Q600" s="22" t="str">
        <f>IF(AND($M600=$O$7,$B600&lt;'111'!$N$11),"x","")</f>
        <v/>
      </c>
      <c r="R600" s="22" t="str">
        <f>IF(ISERROR(FIND('112'!$M$9,G600,1)),"",IF((AND(FIND('112'!$M$9,G600,1)&gt;=1,$B600&gt;='112'!$N$8,$B600&lt;='112'!$O$8,OR($L600='112'!$I$6,$M600='112'!$I$6))),"x",""))</f>
        <v/>
      </c>
      <c r="S600" s="22" t="str">
        <f>IF(ISERROR(FIND('112'!$M$9,G600,1)),"",IF((AND(LEFT(G600,2)=LEFT('112'!$M$9,2),B600&lt;'112'!$N$8,$L600='112'!$I$6)),"x",""))</f>
        <v/>
      </c>
      <c r="T600" s="22" t="str">
        <f>IF(ISERROR(FIND('112'!$M$9,G600,1)),"",IF((AND(RIGHT(G600,2)=RIGHT('112'!$M$9,2),B600&lt;'112'!$N$8,$M600='112'!$I$6)),"x",""))</f>
        <v/>
      </c>
      <c r="U600" s="22" t="str">
        <f>IF(AND(B600&gt;='IN-NX'!$P$3,B600&lt;='IN-NX'!$Q$3,'IN-NX'!$D$7=D600,OR(LEFT(L600,2)="15",AND(LEFT(M600,2)&lt;&gt;"15",LEFT(M600,2)&lt;&gt;"33"))),"x","")</f>
        <v/>
      </c>
      <c r="V600" s="22" t="str">
        <f>IF(AND(OR(LEFT(TH!L600,2)="15",LEFT(TH!M600,2)="15"),'152-CT'!$J$8=TH!F600),"x","")</f>
        <v/>
      </c>
      <c r="W600" s="22" t="str">
        <f>IF(AND(OR(LEFT(TH!L600,2)="15",LEFT(TH!M600,2)="15"),TK!$E$7=TH!F600),"x","")</f>
        <v/>
      </c>
      <c r="X600" s="22" t="str">
        <f>IF(OR(TH!L600=TH!$X$7,M600=TH!$X$7),"x","")</f>
        <v/>
      </c>
      <c r="Y600" s="22" t="str">
        <f>IF(AND(B600&lt;=NKC!$N$8,B600&gt;=NKC!$M$8),"x","")</f>
        <v/>
      </c>
      <c r="Z600" s="580"/>
      <c r="AC600" s="130"/>
      <c r="AD600" s="130"/>
      <c r="AE600" s="130"/>
    </row>
    <row r="601" spans="1:31" s="406" customFormat="1" ht="15.75" customHeight="1">
      <c r="A601" s="123" t="str">
        <f>IF(B601&lt;&gt;"",IF(AND(B601&gt;=_TM1,B601&lt;=_TM2,OR(TH!L601="1111",TH!M601="1111")),TH!D601,""),"")</f>
        <v/>
      </c>
      <c r="B601" s="12">
        <f t="shared" si="23"/>
        <v>11</v>
      </c>
      <c r="C601" s="108">
        <f t="shared" si="24"/>
        <v>42703</v>
      </c>
      <c r="D601" s="108" t="s">
        <v>572</v>
      </c>
      <c r="E601" s="113">
        <v>42703</v>
      </c>
      <c r="F601" s="112" t="s">
        <v>496</v>
      </c>
      <c r="G601" s="303" t="s">
        <v>771</v>
      </c>
      <c r="H601" s="4" t="s">
        <v>690</v>
      </c>
      <c r="I601" s="139"/>
      <c r="J601" s="139"/>
      <c r="K601" s="13">
        <v>601800</v>
      </c>
      <c r="L601" s="116" t="s">
        <v>252</v>
      </c>
      <c r="M601" s="411" t="s">
        <v>352</v>
      </c>
      <c r="N601" s="22" t="str">
        <f>IF(AND('331-CT'!$E$7=TH!H601,OR(L601="331",M601="331")),"331",IF(AND(OR(L601="131",M601="131"),H601='131-CT'!$E$7),"131",""))</f>
        <v/>
      </c>
      <c r="O601" s="22" t="str">
        <f>IF(AND($B601&gt;='111'!$N$11,$B601&lt;='111'!$O$11,OR($L601=$O$7,$M601=$O$7)),"x","")</f>
        <v/>
      </c>
      <c r="P601" s="22" t="str">
        <f>IF(AND($L601=$O$7,$B601&lt;'111'!$N$11),"x","")</f>
        <v/>
      </c>
      <c r="Q601" s="22" t="str">
        <f>IF(AND($M601=$O$7,$B601&lt;'111'!$N$11),"x","")</f>
        <v/>
      </c>
      <c r="R601" s="22" t="str">
        <f>IF(ISERROR(FIND('112'!$M$9,G601,1)),"",IF((AND(FIND('112'!$M$9,G601,1)&gt;=1,$B601&gt;='112'!$N$8,$B601&lt;='112'!$O$8,OR($L601='112'!$I$6,$M601='112'!$I$6))),"x",""))</f>
        <v/>
      </c>
      <c r="S601" s="22" t="str">
        <f>IF(ISERROR(FIND('112'!$M$9,G601,1)),"",IF((AND(LEFT(G601,2)=LEFT('112'!$M$9,2),B601&lt;'112'!$N$8,$L601='112'!$I$6)),"x",""))</f>
        <v/>
      </c>
      <c r="T601" s="22" t="str">
        <f>IF(ISERROR(FIND('112'!$M$9,G601,1)),"",IF((AND(RIGHT(G601,2)=RIGHT('112'!$M$9,2),B601&lt;'112'!$N$8,$M601='112'!$I$6)),"x",""))</f>
        <v/>
      </c>
      <c r="U601" s="22" t="str">
        <f>IF(AND(B601&gt;='IN-NX'!$P$3,B601&lt;='IN-NX'!$Q$3,'IN-NX'!$D$7=D601,OR(LEFT(L601,2)="15",AND(LEFT(M601,2)&lt;&gt;"15",LEFT(M601,2)&lt;&gt;"33"))),"x","")</f>
        <v/>
      </c>
      <c r="V601" s="22" t="str">
        <f>IF(AND(OR(LEFT(TH!L601,2)="15",LEFT(TH!M601,2)="15"),'152-CT'!$J$8=TH!F601),"x","")</f>
        <v/>
      </c>
      <c r="W601" s="22" t="str">
        <f>IF(AND(OR(LEFT(TH!L601,2)="15",LEFT(TH!M601,2)="15"),TK!$E$7=TH!F601),"x","")</f>
        <v/>
      </c>
      <c r="X601" s="22" t="str">
        <f>IF(OR(TH!L601=TH!$X$7,M601=TH!$X$7),"x","")</f>
        <v/>
      </c>
      <c r="Y601" s="22" t="str">
        <f>IF(AND(B601&lt;=NKC!$N$8,B601&gt;=NKC!$M$8),"x","")</f>
        <v/>
      </c>
      <c r="Z601" s="580"/>
      <c r="AC601" s="130"/>
      <c r="AD601" s="130"/>
      <c r="AE601" s="130"/>
    </row>
    <row r="602" spans="1:31" s="130" customFormat="1" ht="15.75" customHeight="1">
      <c r="A602" s="123" t="str">
        <f>IF(B602&lt;&gt;"",IF(AND(B602&gt;=_TM1,B602&lt;=_TM2,OR(TH!L602="1111",TH!M602="1111")),TH!D602,""),"")</f>
        <v/>
      </c>
      <c r="B602" s="12">
        <f t="shared" si="23"/>
        <v>11</v>
      </c>
      <c r="C602" s="108">
        <f t="shared" si="24"/>
        <v>42703</v>
      </c>
      <c r="D602" s="108" t="s">
        <v>573</v>
      </c>
      <c r="E602" s="113">
        <v>42703</v>
      </c>
      <c r="F602" s="112" t="s">
        <v>693</v>
      </c>
      <c r="G602" s="303" t="s">
        <v>772</v>
      </c>
      <c r="H602" s="4" t="s">
        <v>369</v>
      </c>
      <c r="I602" s="139">
        <v>25</v>
      </c>
      <c r="J602" s="139">
        <v>56000</v>
      </c>
      <c r="K602" s="13">
        <f>ROUND(I602*J602,0)</f>
        <v>1400000</v>
      </c>
      <c r="L602" s="116" t="s">
        <v>252</v>
      </c>
      <c r="M602" s="411" t="s">
        <v>169</v>
      </c>
      <c r="N602" s="22" t="str">
        <f>IF(AND('331-CT'!$E$7=TH!H602,OR(L602="331",M602="331")),"331",IF(AND(OR(L602="131",M602="131"),H602='131-CT'!$E$7),"131",""))</f>
        <v>131</v>
      </c>
      <c r="O602" s="22" t="str">
        <f>IF(AND($B602&gt;='111'!$N$11,$B602&lt;='111'!$O$11,OR($L602=$O$7,$M602=$O$7)),"x","")</f>
        <v/>
      </c>
      <c r="P602" s="22" t="str">
        <f>IF(AND($L602=$O$7,$B602&lt;'111'!$N$11),"x","")</f>
        <v/>
      </c>
      <c r="Q602" s="22" t="str">
        <f>IF(AND($M602=$O$7,$B602&lt;'111'!$N$11),"x","")</f>
        <v/>
      </c>
      <c r="R602" s="22" t="str">
        <f>IF(ISERROR(FIND('112'!$M$9,G602,1)),"",IF((AND(FIND('112'!$M$9,G602,1)&gt;=1,$B602&gt;='112'!$N$8,$B602&lt;='112'!$O$8,OR($L602='112'!$I$6,$M602='112'!$I$6))),"x",""))</f>
        <v/>
      </c>
      <c r="S602" s="22" t="str">
        <f>IF(ISERROR(FIND('112'!$M$9,G602,1)),"",IF((AND(LEFT(G602,2)=LEFT('112'!$M$9,2),B602&lt;'112'!$N$8,$L602='112'!$I$6)),"x",""))</f>
        <v/>
      </c>
      <c r="T602" s="22" t="str">
        <f>IF(ISERROR(FIND('112'!$M$9,G602,1)),"",IF((AND(RIGHT(G602,2)=RIGHT('112'!$M$9,2),B602&lt;'112'!$N$8,$M602='112'!$I$6)),"x",""))</f>
        <v/>
      </c>
      <c r="U602" s="22" t="str">
        <f>IF(AND(B602&gt;='IN-NX'!$P$3,B602&lt;='IN-NX'!$Q$3,'IN-NX'!$D$7=D602,OR(LEFT(L602,2)="15",AND(LEFT(M602,2)&lt;&gt;"15",LEFT(M602,2)&lt;&gt;"33"))),"x","")</f>
        <v/>
      </c>
      <c r="V602" s="22" t="str">
        <f>IF(AND(OR(LEFT(TH!L602,2)="15",LEFT(TH!M602,2)="15"),'152-CT'!$J$8=TH!F602),"x","")</f>
        <v/>
      </c>
      <c r="W602" s="22" t="str">
        <f>IF(AND(OR(LEFT(TH!L602,2)="15",LEFT(TH!M602,2)="15"),TK!$E$7=TH!F602),"x","")</f>
        <v/>
      </c>
      <c r="X602" s="22" t="str">
        <f>IF(OR(TH!L602=TH!$X$7,M602=TH!$X$7),"x","")</f>
        <v/>
      </c>
      <c r="Y602" s="22" t="str">
        <f>IF(AND(B602&lt;=NKC!$N$8,B602&gt;=NKC!$M$8),"x","")</f>
        <v/>
      </c>
      <c r="Z602" s="580"/>
      <c r="AA602" s="406"/>
      <c r="AB602" s="406"/>
      <c r="AC602" s="406"/>
    </row>
    <row r="603" spans="1:31" s="130" customFormat="1" ht="15.75" customHeight="1">
      <c r="A603" s="123" t="str">
        <f>IF(B603&lt;&gt;"",IF(AND(B603&gt;=_TM1,B603&lt;=_TM2,OR(TH!L603="1111",TH!M603="1111")),TH!D603,""),"")</f>
        <v/>
      </c>
      <c r="B603" s="12">
        <f t="shared" si="23"/>
        <v>11</v>
      </c>
      <c r="C603" s="108">
        <f t="shared" si="24"/>
        <v>42703</v>
      </c>
      <c r="D603" s="108" t="s">
        <v>573</v>
      </c>
      <c r="E603" s="113">
        <v>42703</v>
      </c>
      <c r="F603" s="112" t="s">
        <v>694</v>
      </c>
      <c r="G603" s="303" t="s">
        <v>772</v>
      </c>
      <c r="H603" s="4" t="s">
        <v>369</v>
      </c>
      <c r="I603" s="139">
        <v>5</v>
      </c>
      <c r="J603" s="139">
        <v>53000</v>
      </c>
      <c r="K603" s="13">
        <f>ROUND(I603*J603,0)</f>
        <v>265000</v>
      </c>
      <c r="L603" s="116" t="s">
        <v>252</v>
      </c>
      <c r="M603" s="411" t="s">
        <v>169</v>
      </c>
      <c r="N603" s="22" t="str">
        <f>IF(AND('331-CT'!$E$7=TH!H603,OR(L603="331",M603="331")),"331",IF(AND(OR(L603="131",M603="131"),H603='131-CT'!$E$7),"131",""))</f>
        <v>131</v>
      </c>
      <c r="O603" s="22" t="str">
        <f>IF(AND($B603&gt;='111'!$N$11,$B603&lt;='111'!$O$11,OR($L603=$O$7,$M603=$O$7)),"x","")</f>
        <v/>
      </c>
      <c r="P603" s="22" t="str">
        <f>IF(AND($L603=$O$7,$B603&lt;'111'!$N$11),"x","")</f>
        <v/>
      </c>
      <c r="Q603" s="22" t="str">
        <f>IF(AND($M603=$O$7,$B603&lt;'111'!$N$11),"x","")</f>
        <v/>
      </c>
      <c r="R603" s="22" t="str">
        <f>IF(ISERROR(FIND('112'!$M$9,G603,1)),"",IF((AND(FIND('112'!$M$9,G603,1)&gt;=1,$B603&gt;='112'!$N$8,$B603&lt;='112'!$O$8,OR($L603='112'!$I$6,$M603='112'!$I$6))),"x",""))</f>
        <v/>
      </c>
      <c r="S603" s="22" t="str">
        <f>IF(ISERROR(FIND('112'!$M$9,G603,1)),"",IF((AND(LEFT(G603,2)=LEFT('112'!$M$9,2),B603&lt;'112'!$N$8,$L603='112'!$I$6)),"x",""))</f>
        <v/>
      </c>
      <c r="T603" s="22" t="str">
        <f>IF(ISERROR(FIND('112'!$M$9,G603,1)),"",IF((AND(RIGHT(G603,2)=RIGHT('112'!$M$9,2),B603&lt;'112'!$N$8,$M603='112'!$I$6)),"x",""))</f>
        <v/>
      </c>
      <c r="U603" s="22" t="str">
        <f>IF(AND(B603&gt;='IN-NX'!$P$3,B603&lt;='IN-NX'!$Q$3,'IN-NX'!$D$7=D603,OR(LEFT(L603,2)="15",AND(LEFT(M603,2)&lt;&gt;"15",LEFT(M603,2)&lt;&gt;"33"))),"x","")</f>
        <v/>
      </c>
      <c r="V603" s="22" t="str">
        <f>IF(AND(OR(LEFT(TH!L603,2)="15",LEFT(TH!M603,2)="15"),'152-CT'!$J$8=TH!F603),"x","")</f>
        <v/>
      </c>
      <c r="W603" s="22" t="str">
        <f>IF(AND(OR(LEFT(TH!L603,2)="15",LEFT(TH!M603,2)="15"),TK!$E$7=TH!F603),"x","")</f>
        <v/>
      </c>
      <c r="X603" s="22" t="str">
        <f>IF(OR(TH!L603=TH!$X$7,M603=TH!$X$7),"x","")</f>
        <v/>
      </c>
      <c r="Y603" s="22" t="str">
        <f>IF(AND(B603&lt;=NKC!$N$8,B603&gt;=NKC!$M$8),"x","")</f>
        <v/>
      </c>
      <c r="Z603" s="580"/>
      <c r="AA603" s="406"/>
      <c r="AB603" s="406"/>
    </row>
    <row r="604" spans="1:31" s="130" customFormat="1" ht="15.75" customHeight="1">
      <c r="A604" s="123" t="str">
        <f>IF(B604&lt;&gt;"",IF(AND(B604&gt;=_TM1,B604&lt;=_TM2,OR(TH!L604="1111",TH!M604="1111")),TH!D604,""),"")</f>
        <v/>
      </c>
      <c r="B604" s="12">
        <f t="shared" si="23"/>
        <v>11</v>
      </c>
      <c r="C604" s="108">
        <f t="shared" si="24"/>
        <v>42703</v>
      </c>
      <c r="D604" s="108" t="s">
        <v>573</v>
      </c>
      <c r="E604" s="113">
        <v>42703</v>
      </c>
      <c r="F604" s="112" t="s">
        <v>695</v>
      </c>
      <c r="G604" s="303" t="s">
        <v>772</v>
      </c>
      <c r="H604" s="4" t="s">
        <v>369</v>
      </c>
      <c r="I604" s="140">
        <v>100</v>
      </c>
      <c r="J604" s="140">
        <v>30237</v>
      </c>
      <c r="K604" s="13">
        <f>ROUND(I604*J604,0)</f>
        <v>3023700</v>
      </c>
      <c r="L604" s="116" t="s">
        <v>252</v>
      </c>
      <c r="M604" s="411" t="s">
        <v>169</v>
      </c>
      <c r="N604" s="22" t="str">
        <f>IF(AND('331-CT'!$E$7=TH!H604,OR(L604="331",M604="331")),"331",IF(AND(OR(L604="131",M604="131"),H604='131-CT'!$E$7),"131",""))</f>
        <v>131</v>
      </c>
      <c r="O604" s="22" t="str">
        <f>IF(AND($B604&gt;='111'!$N$11,$B604&lt;='111'!$O$11,OR($L604=$O$7,$M604=$O$7)),"x","")</f>
        <v/>
      </c>
      <c r="P604" s="22" t="str">
        <f>IF(AND($L604=$O$7,$B604&lt;'111'!$N$11),"x","")</f>
        <v/>
      </c>
      <c r="Q604" s="22" t="str">
        <f>IF(AND($M604=$O$7,$B604&lt;'111'!$N$11),"x","")</f>
        <v/>
      </c>
      <c r="R604" s="22" t="str">
        <f>IF(ISERROR(FIND('112'!$M$9,G604,1)),"",IF((AND(FIND('112'!$M$9,G604,1)&gt;=1,$B604&gt;='112'!$N$8,$B604&lt;='112'!$O$8,OR($L604='112'!$I$6,$M604='112'!$I$6))),"x",""))</f>
        <v/>
      </c>
      <c r="S604" s="22" t="str">
        <f>IF(ISERROR(FIND('112'!$M$9,G604,1)),"",IF((AND(LEFT(G604,2)=LEFT('112'!$M$9,2),B604&lt;'112'!$N$8,$L604='112'!$I$6)),"x",""))</f>
        <v/>
      </c>
      <c r="T604" s="22" t="str">
        <f>IF(ISERROR(FIND('112'!$M$9,G604,1)),"",IF((AND(RIGHT(G604,2)=RIGHT('112'!$M$9,2),B604&lt;'112'!$N$8,$M604='112'!$I$6)),"x",""))</f>
        <v/>
      </c>
      <c r="U604" s="22" t="str">
        <f>IF(AND(B604&gt;='IN-NX'!$P$3,B604&lt;='IN-NX'!$Q$3,'IN-NX'!$D$7=D604,OR(LEFT(L604,2)="15",AND(LEFT(M604,2)&lt;&gt;"15",LEFT(M604,2)&lt;&gt;"33"))),"x","")</f>
        <v/>
      </c>
      <c r="V604" s="22" t="str">
        <f>IF(AND(OR(LEFT(TH!L604,2)="15",LEFT(TH!M604,2)="15"),'152-CT'!$J$8=TH!F604),"x","")</f>
        <v/>
      </c>
      <c r="W604" s="22" t="str">
        <f>IF(AND(OR(LEFT(TH!L604,2)="15",LEFT(TH!M604,2)="15"),TK!$E$7=TH!F604),"x","")</f>
        <v/>
      </c>
      <c r="X604" s="22" t="str">
        <f>IF(OR(TH!L604=TH!$X$7,M604=TH!$X$7),"x","")</f>
        <v/>
      </c>
      <c r="Y604" s="22" t="str">
        <f>IF(AND(B604&lt;=NKC!$N$8,B604&gt;=NKC!$M$8),"x","")</f>
        <v/>
      </c>
      <c r="Z604" s="580"/>
      <c r="AA604" s="406"/>
      <c r="AB604" s="406"/>
    </row>
    <row r="605" spans="1:31" s="130" customFormat="1" ht="15.75" customHeight="1">
      <c r="A605" s="123" t="str">
        <f>IF(B605&lt;&gt;"",IF(AND(B605&gt;=_TM1,B605&lt;=_TM2,OR(TH!L605="1111",TH!M605="1111")),TH!D605,""),"")</f>
        <v/>
      </c>
      <c r="B605" s="12">
        <f t="shared" si="23"/>
        <v>11</v>
      </c>
      <c r="C605" s="108">
        <f t="shared" si="24"/>
        <v>42703</v>
      </c>
      <c r="D605" s="108" t="s">
        <v>573</v>
      </c>
      <c r="E605" s="113">
        <v>42703</v>
      </c>
      <c r="F605" s="112" t="s">
        <v>696</v>
      </c>
      <c r="G605" s="303" t="s">
        <v>772</v>
      </c>
      <c r="H605" s="4" t="s">
        <v>369</v>
      </c>
      <c r="I605" s="139">
        <v>12</v>
      </c>
      <c r="J605" s="139">
        <v>75900</v>
      </c>
      <c r="K605" s="13">
        <f>ROUND(I605*J605,0)</f>
        <v>910800</v>
      </c>
      <c r="L605" s="116" t="s">
        <v>252</v>
      </c>
      <c r="M605" s="411" t="s">
        <v>169</v>
      </c>
      <c r="N605" s="22" t="str">
        <f>IF(AND('331-CT'!$E$7=TH!H605,OR(L605="331",M605="331")),"331",IF(AND(OR(L605="131",M605="131"),H605='131-CT'!$E$7),"131",""))</f>
        <v>131</v>
      </c>
      <c r="O605" s="22" t="str">
        <f>IF(AND($B605&gt;='111'!$N$11,$B605&lt;='111'!$O$11,OR($L605=$O$7,$M605=$O$7)),"x","")</f>
        <v/>
      </c>
      <c r="P605" s="22" t="str">
        <f>IF(AND($L605=$O$7,$B605&lt;'111'!$N$11),"x","")</f>
        <v/>
      </c>
      <c r="Q605" s="22" t="str">
        <f>IF(AND($M605=$O$7,$B605&lt;'111'!$N$11),"x","")</f>
        <v/>
      </c>
      <c r="R605" s="22" t="str">
        <f>IF(ISERROR(FIND('112'!$M$9,G605,1)),"",IF((AND(FIND('112'!$M$9,G605,1)&gt;=1,$B605&gt;='112'!$N$8,$B605&lt;='112'!$O$8,OR($L605='112'!$I$6,$M605='112'!$I$6))),"x",""))</f>
        <v/>
      </c>
      <c r="S605" s="22" t="str">
        <f>IF(ISERROR(FIND('112'!$M$9,G605,1)),"",IF((AND(LEFT(G605,2)=LEFT('112'!$M$9,2),B605&lt;'112'!$N$8,$L605='112'!$I$6)),"x",""))</f>
        <v/>
      </c>
      <c r="T605" s="22" t="str">
        <f>IF(ISERROR(FIND('112'!$M$9,G605,1)),"",IF((AND(RIGHT(G605,2)=RIGHT('112'!$M$9,2),B605&lt;'112'!$N$8,$M605='112'!$I$6)),"x",""))</f>
        <v/>
      </c>
      <c r="U605" s="22" t="str">
        <f>IF(AND(B605&gt;='IN-NX'!$P$3,B605&lt;='IN-NX'!$Q$3,'IN-NX'!$D$7=D605,OR(LEFT(L605,2)="15",AND(LEFT(M605,2)&lt;&gt;"15",LEFT(M605,2)&lt;&gt;"33"))),"x","")</f>
        <v/>
      </c>
      <c r="V605" s="22" t="str">
        <f>IF(AND(OR(LEFT(TH!L605,2)="15",LEFT(TH!M605,2)="15"),'152-CT'!$J$8=TH!F605),"x","")</f>
        <v/>
      </c>
      <c r="W605" s="22" t="str">
        <f>IF(AND(OR(LEFT(TH!L605,2)="15",LEFT(TH!M605,2)="15"),TK!$E$7=TH!F605),"x","")</f>
        <v/>
      </c>
      <c r="X605" s="22" t="str">
        <f>IF(OR(TH!L605=TH!$X$7,M605=TH!$X$7),"x","")</f>
        <v/>
      </c>
      <c r="Y605" s="22" t="str">
        <f>IF(AND(B605&lt;=NKC!$N$8,B605&gt;=NKC!$M$8),"x","")</f>
        <v/>
      </c>
      <c r="Z605" s="580"/>
      <c r="AA605" s="406"/>
    </row>
    <row r="606" spans="1:31" s="406" customFormat="1" ht="15.75" customHeight="1">
      <c r="A606" s="123" t="str">
        <f>IF(B606&lt;&gt;"",IF(AND(B606&gt;=_TM1,B606&lt;=_TM2,OR(TH!L606="1111",TH!M606="1111")),TH!D606,""),"")</f>
        <v/>
      </c>
      <c r="B606" s="12">
        <f t="shared" si="23"/>
        <v>11</v>
      </c>
      <c r="C606" s="108">
        <f t="shared" si="24"/>
        <v>42703</v>
      </c>
      <c r="D606" s="108" t="s">
        <v>573</v>
      </c>
      <c r="E606" s="113">
        <v>42703</v>
      </c>
      <c r="F606" s="112" t="s">
        <v>496</v>
      </c>
      <c r="G606" s="303" t="s">
        <v>772</v>
      </c>
      <c r="H606" s="4" t="s">
        <v>369</v>
      </c>
      <c r="I606" s="139"/>
      <c r="J606" s="139"/>
      <c r="K606" s="13">
        <v>559950</v>
      </c>
      <c r="L606" s="116" t="s">
        <v>252</v>
      </c>
      <c r="M606" s="411" t="s">
        <v>352</v>
      </c>
      <c r="N606" s="22" t="str">
        <f>IF(AND('331-CT'!$E$7=TH!H606,OR(L606="331",M606="331")),"331",IF(AND(OR(L606="131",M606="131"),H606='131-CT'!$E$7),"131",""))</f>
        <v>131</v>
      </c>
      <c r="O606" s="22" t="str">
        <f>IF(AND($B606&gt;='111'!$N$11,$B606&lt;='111'!$O$11,OR($L606=$O$7,$M606=$O$7)),"x","")</f>
        <v/>
      </c>
      <c r="P606" s="22" t="str">
        <f>IF(AND($L606=$O$7,$B606&lt;'111'!$N$11),"x","")</f>
        <v/>
      </c>
      <c r="Q606" s="22" t="str">
        <f>IF(AND($M606=$O$7,$B606&lt;'111'!$N$11),"x","")</f>
        <v/>
      </c>
      <c r="R606" s="22" t="str">
        <f>IF(ISERROR(FIND('112'!$M$9,G606,1)),"",IF((AND(FIND('112'!$M$9,G606,1)&gt;=1,$B606&gt;='112'!$N$8,$B606&lt;='112'!$O$8,OR($L606='112'!$I$6,$M606='112'!$I$6))),"x",""))</f>
        <v/>
      </c>
      <c r="S606" s="22" t="str">
        <f>IF(ISERROR(FIND('112'!$M$9,G606,1)),"",IF((AND(LEFT(G606,2)=LEFT('112'!$M$9,2),B606&lt;'112'!$N$8,$L606='112'!$I$6)),"x",""))</f>
        <v/>
      </c>
      <c r="T606" s="22" t="str">
        <f>IF(ISERROR(FIND('112'!$M$9,G606,1)),"",IF((AND(RIGHT(G606,2)=RIGHT('112'!$M$9,2),B606&lt;'112'!$N$8,$M606='112'!$I$6)),"x",""))</f>
        <v/>
      </c>
      <c r="U606" s="22" t="str">
        <f>IF(AND(B606&gt;='IN-NX'!$P$3,B606&lt;='IN-NX'!$Q$3,'IN-NX'!$D$7=D606,OR(LEFT(L606,2)="15",AND(LEFT(M606,2)&lt;&gt;"15",LEFT(M606,2)&lt;&gt;"33"))),"x","")</f>
        <v/>
      </c>
      <c r="V606" s="22" t="str">
        <f>IF(AND(OR(LEFT(TH!L606,2)="15",LEFT(TH!M606,2)="15"),'152-CT'!$J$8=TH!F606),"x","")</f>
        <v/>
      </c>
      <c r="W606" s="22" t="str">
        <f>IF(AND(OR(LEFT(TH!L606,2)="15",LEFT(TH!M606,2)="15"),TK!$E$7=TH!F606),"x","")</f>
        <v/>
      </c>
      <c r="X606" s="22" t="str">
        <f>IF(OR(TH!L606=TH!$X$7,M606=TH!$X$7),"x","")</f>
        <v/>
      </c>
      <c r="Y606" s="22" t="str">
        <f>IF(AND(B606&lt;=NKC!$N$8,B606&gt;=NKC!$M$8),"x","")</f>
        <v/>
      </c>
      <c r="Z606" s="580"/>
      <c r="AC606" s="130"/>
      <c r="AD606" s="130"/>
      <c r="AE606" s="130"/>
    </row>
    <row r="607" spans="1:31" s="406" customFormat="1" ht="15.75" customHeight="1">
      <c r="A607" s="123" t="str">
        <f>IF(B607&lt;&gt;"",IF(AND(B607&gt;=_TM1,B607&lt;=_TM2,OR(TH!L607="1111",TH!M607="1111")),TH!D607,""),"")</f>
        <v>T20</v>
      </c>
      <c r="B607" s="12">
        <f t="shared" si="23"/>
        <v>11</v>
      </c>
      <c r="C607" s="108">
        <f t="shared" si="24"/>
        <v>42703</v>
      </c>
      <c r="D607" s="108" t="s">
        <v>1012</v>
      </c>
      <c r="E607" s="113">
        <v>42703</v>
      </c>
      <c r="F607" s="114" t="s">
        <v>484</v>
      </c>
      <c r="G607" s="303" t="s">
        <v>772</v>
      </c>
      <c r="H607" s="4" t="s">
        <v>369</v>
      </c>
      <c r="I607" s="139"/>
      <c r="J607" s="139"/>
      <c r="K607" s="13">
        <v>6159450</v>
      </c>
      <c r="L607" s="116" t="s">
        <v>46</v>
      </c>
      <c r="M607" s="411" t="s">
        <v>252</v>
      </c>
      <c r="N607" s="22" t="str">
        <f>IF(AND('331-CT'!$E$7=TH!H607,OR(L607="331",M607="331")),"331",IF(AND(OR(L607="131",M607="131"),H607='131-CT'!$E$7),"131",""))</f>
        <v>131</v>
      </c>
      <c r="O607" s="22" t="str">
        <f>IF(AND($B607&gt;='111'!$N$11,$B607&lt;='111'!$O$11,OR($L607=$O$7,$M607=$O$7)),"x","")</f>
        <v>x</v>
      </c>
      <c r="P607" s="22" t="str">
        <f>IF(AND($L607=$O$7,$B607&lt;'111'!$N$11),"x","")</f>
        <v/>
      </c>
      <c r="Q607" s="22" t="str">
        <f>IF(AND($M607=$O$7,$B607&lt;'111'!$N$11),"x","")</f>
        <v/>
      </c>
      <c r="R607" s="22" t="str">
        <f>IF(ISERROR(FIND('112'!$M$9,G607,1)),"",IF((AND(FIND('112'!$M$9,G607,1)&gt;=1,$B607&gt;='112'!$N$8,$B607&lt;='112'!$O$8,OR($L607='112'!$I$6,$M607='112'!$I$6))),"x",""))</f>
        <v/>
      </c>
      <c r="S607" s="22" t="str">
        <f>IF(ISERROR(FIND('112'!$M$9,G607,1)),"",IF((AND(LEFT(G607,2)=LEFT('112'!$M$9,2),B607&lt;'112'!$N$8,$L607='112'!$I$6)),"x",""))</f>
        <v/>
      </c>
      <c r="T607" s="22" t="str">
        <f>IF(ISERROR(FIND('112'!$M$9,G607,1)),"",IF((AND(RIGHT(G607,2)=RIGHT('112'!$M$9,2),B607&lt;'112'!$N$8,$M607='112'!$I$6)),"x",""))</f>
        <v/>
      </c>
      <c r="U607" s="22" t="str">
        <f>IF(AND(B607&gt;='IN-NX'!$P$3,B607&lt;='IN-NX'!$Q$3,'IN-NX'!$D$7=D607,OR(LEFT(L607,2)="15",AND(LEFT(M607,2)&lt;&gt;"15",LEFT(M607,2)&lt;&gt;"33"))),"x","")</f>
        <v/>
      </c>
      <c r="V607" s="22" t="str">
        <f>IF(AND(OR(LEFT(TH!L607,2)="15",LEFT(TH!M607,2)="15"),'152-CT'!$J$8=TH!F607),"x","")</f>
        <v/>
      </c>
      <c r="W607" s="22" t="str">
        <f>IF(AND(OR(LEFT(TH!L607,2)="15",LEFT(TH!M607,2)="15"),TK!$E$7=TH!F607),"x","")</f>
        <v/>
      </c>
      <c r="X607" s="22" t="str">
        <f>IF(OR(TH!L607=TH!$X$7,M607=TH!$X$7),"x","")</f>
        <v/>
      </c>
      <c r="Y607" s="22" t="str">
        <f>IF(AND(B607&lt;=NKC!$N$8,B607&gt;=NKC!$M$8),"x","")</f>
        <v/>
      </c>
      <c r="Z607" s="580"/>
      <c r="AC607" s="130"/>
      <c r="AD607" s="130"/>
      <c r="AE607" s="130"/>
    </row>
    <row r="608" spans="1:31" s="130" customFormat="1" ht="15.75" customHeight="1">
      <c r="A608" s="123" t="str">
        <f>IF(B608&lt;&gt;"",IF(AND(B608&gt;=_TM1,B608&lt;=_TM2,OR(TH!L608="1111",TH!M608="1111")),TH!D608,""),"")</f>
        <v/>
      </c>
      <c r="B608" s="599">
        <f t="shared" si="23"/>
        <v>11</v>
      </c>
      <c r="C608" s="574">
        <f t="shared" si="24"/>
        <v>42704</v>
      </c>
      <c r="D608" s="574" t="s">
        <v>324</v>
      </c>
      <c r="E608" s="574">
        <v>42704</v>
      </c>
      <c r="F608" s="577" t="s">
        <v>821</v>
      </c>
      <c r="G608" s="595"/>
      <c r="H608" s="596"/>
      <c r="I608" s="576"/>
      <c r="J608" s="576"/>
      <c r="K608" s="579">
        <v>4390000</v>
      </c>
      <c r="L608" s="597" t="s">
        <v>82</v>
      </c>
      <c r="M608" s="597" t="s">
        <v>255</v>
      </c>
      <c r="N608" s="22" t="str">
        <f>IF(AND('331-CT'!$E$7=TH!H608,OR(L608="331",M608="331")),"331",IF(AND(OR(L608="131",M608="131"),H608='131-CT'!$E$7),"131",""))</f>
        <v/>
      </c>
      <c r="O608" s="22" t="str">
        <f>IF(AND($B608&gt;='111'!$N$11,$B608&lt;='111'!$O$11,OR($L608=$O$7,$M608=$O$7)),"x","")</f>
        <v/>
      </c>
      <c r="P608" s="22" t="str">
        <f>IF(AND($L608=$O$7,$B608&lt;'111'!$N$11),"x","")</f>
        <v/>
      </c>
      <c r="Q608" s="22" t="str">
        <f>IF(AND($M608=$O$7,$B608&lt;'111'!$N$11),"x","")</f>
        <v/>
      </c>
      <c r="R608" s="22" t="str">
        <f>IF(ISERROR(FIND('112'!$M$9,G608,1)),"",IF((AND(FIND('112'!$M$9,G608,1)&gt;=1,$B608&gt;='112'!$N$8,$B608&lt;='112'!$O$8,OR($L608='112'!$I$6,$M608='112'!$I$6))),"x",""))</f>
        <v/>
      </c>
      <c r="S608" s="22" t="str">
        <f>IF(ISERROR(FIND('112'!$M$9,G608,1)),"",IF((AND(LEFT(G608,2)=LEFT('112'!$M$9,2),B608&lt;'112'!$N$8,$L608='112'!$I$6)),"x",""))</f>
        <v/>
      </c>
      <c r="T608" s="22" t="str">
        <f>IF(ISERROR(FIND('112'!$M$9,G608,1)),"",IF((AND(RIGHT(G608,2)=RIGHT('112'!$M$9,2),B608&lt;'112'!$N$8,$M608='112'!$I$6)),"x",""))</f>
        <v/>
      </c>
      <c r="U608" s="22" t="str">
        <f>IF(AND(B608&gt;='IN-NX'!$P$3,B608&lt;='IN-NX'!$Q$3,'IN-NX'!$D$7=D608,OR(LEFT(L608,2)="15",AND(LEFT(M608,2)&lt;&gt;"15",LEFT(M608,2)&lt;&gt;"33"))),"x","")</f>
        <v/>
      </c>
      <c r="V608" s="22" t="str">
        <f>IF(AND(OR(LEFT(TH!L608,2)="15",LEFT(TH!M608,2)="15"),'152-CT'!$J$8=TH!F608),"x","")</f>
        <v/>
      </c>
      <c r="W608" s="22" t="str">
        <f>IF(AND(OR(LEFT(TH!L608,2)="15",LEFT(TH!M608,2)="15"),TK!$E$7=TH!F608),"x","")</f>
        <v/>
      </c>
      <c r="X608" s="22" t="str">
        <f>IF(OR(TH!L608=TH!$X$7,M608=TH!$X$7),"x","")</f>
        <v>x</v>
      </c>
      <c r="Y608" s="22" t="str">
        <f>IF(AND(B608&lt;=NKC!$N$8,B608&gt;=NKC!$M$8),"x","")</f>
        <v/>
      </c>
      <c r="Z608" s="598"/>
      <c r="AA608" s="598"/>
      <c r="AB608" s="598"/>
      <c r="AC608" s="598"/>
      <c r="AD608" s="598"/>
      <c r="AE608" s="598"/>
    </row>
    <row r="609" spans="1:31" s="130" customFormat="1" ht="15.75" customHeight="1">
      <c r="A609" s="123" t="str">
        <f>IF(B609&lt;&gt;"",IF(AND(B609&gt;=_TM1,B609&lt;=_TM2,OR(TH!L609="1111",TH!M609="1111")),TH!D609,""),"")</f>
        <v/>
      </c>
      <c r="B609" s="599">
        <f t="shared" si="23"/>
        <v>11</v>
      </c>
      <c r="C609" s="574">
        <f t="shared" si="24"/>
        <v>42704</v>
      </c>
      <c r="D609" s="574" t="s">
        <v>324</v>
      </c>
      <c r="E609" s="574">
        <v>42704</v>
      </c>
      <c r="F609" s="577" t="s">
        <v>822</v>
      </c>
      <c r="G609" s="595"/>
      <c r="H609" s="596"/>
      <c r="I609" s="576"/>
      <c r="J609" s="576"/>
      <c r="K609" s="579">
        <v>13960000</v>
      </c>
      <c r="L609" s="597" t="s">
        <v>160</v>
      </c>
      <c r="M609" s="597" t="s">
        <v>255</v>
      </c>
      <c r="N609" s="22" t="str">
        <f>IF(AND('331-CT'!$E$7=TH!H609,OR(L609="331",M609="331")),"331",IF(AND(OR(L609="131",M609="131"),H609='131-CT'!$E$7),"131",""))</f>
        <v/>
      </c>
      <c r="O609" s="22" t="str">
        <f>IF(AND($B609&gt;='111'!$N$11,$B609&lt;='111'!$O$11,OR($L609=$O$7,$M609=$O$7)),"x","")</f>
        <v/>
      </c>
      <c r="P609" s="22" t="str">
        <f>IF(AND($L609=$O$7,$B609&lt;'111'!$N$11),"x","")</f>
        <v/>
      </c>
      <c r="Q609" s="22" t="str">
        <f>IF(AND($M609=$O$7,$B609&lt;'111'!$N$11),"x","")</f>
        <v/>
      </c>
      <c r="R609" s="22" t="str">
        <f>IF(ISERROR(FIND('112'!$M$9,G609,1)),"",IF((AND(FIND('112'!$M$9,G609,1)&gt;=1,$B609&gt;='112'!$N$8,$B609&lt;='112'!$O$8,OR($L609='112'!$I$6,$M609='112'!$I$6))),"x",""))</f>
        <v/>
      </c>
      <c r="S609" s="22" t="str">
        <f>IF(ISERROR(FIND('112'!$M$9,G609,1)),"",IF((AND(LEFT(G609,2)=LEFT('112'!$M$9,2),B609&lt;'112'!$N$8,$L609='112'!$I$6)),"x",""))</f>
        <v/>
      </c>
      <c r="T609" s="22" t="str">
        <f>IF(ISERROR(FIND('112'!$M$9,G609,1)),"",IF((AND(RIGHT(G609,2)=RIGHT('112'!$M$9,2),B609&lt;'112'!$N$8,$M609='112'!$I$6)),"x",""))</f>
        <v/>
      </c>
      <c r="U609" s="22" t="str">
        <f>IF(AND(B609&gt;='IN-NX'!$P$3,B609&lt;='IN-NX'!$Q$3,'IN-NX'!$D$7=D609,OR(LEFT(L609,2)="15",AND(LEFT(M609,2)&lt;&gt;"15",LEFT(M609,2)&lt;&gt;"33"))),"x","")</f>
        <v/>
      </c>
      <c r="V609" s="22" t="str">
        <f>IF(AND(OR(LEFT(TH!L609,2)="15",LEFT(TH!M609,2)="15"),'152-CT'!$J$8=TH!F609),"x","")</f>
        <v/>
      </c>
      <c r="W609" s="22" t="str">
        <f>IF(AND(OR(LEFT(TH!L609,2)="15",LEFT(TH!M609,2)="15"),TK!$E$7=TH!F609),"x","")</f>
        <v/>
      </c>
      <c r="X609" s="22" t="str">
        <f>IF(OR(TH!L609=TH!$X$7,M609=TH!$X$7),"x","")</f>
        <v/>
      </c>
      <c r="Y609" s="22" t="str">
        <f>IF(AND(B609&lt;=NKC!$N$8,B609&gt;=NKC!$M$8),"x","")</f>
        <v/>
      </c>
      <c r="Z609" s="598"/>
      <c r="AA609" s="598"/>
      <c r="AB609" s="598"/>
      <c r="AC609" s="598"/>
      <c r="AD609" s="598"/>
      <c r="AE609" s="598"/>
    </row>
    <row r="610" spans="1:31" s="406" customFormat="1" ht="15.75" customHeight="1">
      <c r="A610" s="123" t="str">
        <f>IF(B610&lt;&gt;"",IF(AND(B610&gt;=_TM1,B610&lt;=_TM2,OR(TH!L610="1111",TH!M610="1111")),TH!D610,""),"")</f>
        <v>C23</v>
      </c>
      <c r="B610" s="599">
        <f t="shared" si="23"/>
        <v>11</v>
      </c>
      <c r="C610" s="574">
        <f t="shared" si="24"/>
        <v>42704</v>
      </c>
      <c r="D610" s="574" t="s">
        <v>1013</v>
      </c>
      <c r="E610" s="574">
        <v>42704</v>
      </c>
      <c r="F610" s="577" t="str">
        <f>"Thanh toán tiền lương tháng "&amp;MONTH(E610)&amp;"/"&amp;YEAR(E610)</f>
        <v>Thanh toán tiền lương tháng 11/2016</v>
      </c>
      <c r="G610" s="595"/>
      <c r="H610" s="596" t="s">
        <v>796</v>
      </c>
      <c r="I610" s="576"/>
      <c r="J610" s="576"/>
      <c r="K610" s="579">
        <f>K608+K609</f>
        <v>18350000</v>
      </c>
      <c r="L610" s="597" t="s">
        <v>255</v>
      </c>
      <c r="M610" s="597" t="s">
        <v>46</v>
      </c>
      <c r="N610" s="22" t="str">
        <f>IF(AND('331-CT'!$E$7=TH!H610,OR(L610="331",M610="331")),"331",IF(AND(OR(L610="131",M610="131"),H610='131-CT'!$E$7),"131",""))</f>
        <v/>
      </c>
      <c r="O610" s="22" t="str">
        <f>IF(AND($B610&gt;='111'!$N$11,$B610&lt;='111'!$O$11,OR($L610=$O$7,$M610=$O$7)),"x","")</f>
        <v>x</v>
      </c>
      <c r="P610" s="22" t="str">
        <f>IF(AND($L610=$O$7,$B610&lt;'111'!$N$11),"x","")</f>
        <v/>
      </c>
      <c r="Q610" s="22" t="str">
        <f>IF(AND($M610=$O$7,$B610&lt;'111'!$N$11),"x","")</f>
        <v/>
      </c>
      <c r="R610" s="22" t="str">
        <f>IF(ISERROR(FIND('112'!$M$9,G610,1)),"",IF((AND(FIND('112'!$M$9,G610,1)&gt;=1,$B610&gt;='112'!$N$8,$B610&lt;='112'!$O$8,OR($L610='112'!$I$6,$M610='112'!$I$6))),"x",""))</f>
        <v/>
      </c>
      <c r="S610" s="22" t="str">
        <f>IF(ISERROR(FIND('112'!$M$9,G610,1)),"",IF((AND(LEFT(G610,2)=LEFT('112'!$M$9,2),B610&lt;'112'!$N$8,$L610='112'!$I$6)),"x",""))</f>
        <v/>
      </c>
      <c r="T610" s="22" t="str">
        <f>IF(ISERROR(FIND('112'!$M$9,G610,1)),"",IF((AND(RIGHT(G610,2)=RIGHT('112'!$M$9,2),B610&lt;'112'!$N$8,$M610='112'!$I$6)),"x",""))</f>
        <v/>
      </c>
      <c r="U610" s="22" t="str">
        <f>IF(AND(B610&gt;='IN-NX'!$P$3,B610&lt;='IN-NX'!$Q$3,'IN-NX'!$D$7=D610,OR(LEFT(L610,2)="15",AND(LEFT(M610,2)&lt;&gt;"15",LEFT(M610,2)&lt;&gt;"33"))),"x","")</f>
        <v/>
      </c>
      <c r="V610" s="22" t="str">
        <f>IF(AND(OR(LEFT(TH!L610,2)="15",LEFT(TH!M610,2)="15"),'152-CT'!$J$8=TH!F610),"x","")</f>
        <v/>
      </c>
      <c r="W610" s="22" t="str">
        <f>IF(AND(OR(LEFT(TH!L610,2)="15",LEFT(TH!M610,2)="15"),TK!$E$7=TH!F610),"x","")</f>
        <v/>
      </c>
      <c r="X610" s="22" t="str">
        <f>IF(OR(TH!L610=TH!$X$7,M610=TH!$X$7),"x","")</f>
        <v/>
      </c>
      <c r="Y610" s="22" t="str">
        <f>IF(AND(B610&lt;=NKC!$N$8,B610&gt;=NKC!$M$8),"x","")</f>
        <v/>
      </c>
      <c r="Z610" s="598"/>
      <c r="AA610" s="598"/>
      <c r="AB610" s="598"/>
      <c r="AC610" s="598"/>
      <c r="AD610" s="598"/>
      <c r="AE610" s="598"/>
    </row>
    <row r="611" spans="1:31" s="406" customFormat="1" ht="15.75" customHeight="1">
      <c r="A611" s="123" t="str">
        <f>IF(B611&lt;&gt;"",IF(AND(B611&gt;=_TM1,B611&lt;=_TM2,OR(TH!L611="1111",TH!M611="1111")),TH!D611,""),"")</f>
        <v/>
      </c>
      <c r="B611" s="12">
        <f t="shared" si="23"/>
        <v>12</v>
      </c>
      <c r="C611" s="108">
        <f t="shared" si="24"/>
        <v>42705</v>
      </c>
      <c r="D611" s="108" t="s">
        <v>574</v>
      </c>
      <c r="E611" s="113">
        <v>42705</v>
      </c>
      <c r="F611" s="112" t="s">
        <v>813</v>
      </c>
      <c r="G611" s="303" t="s">
        <v>776</v>
      </c>
      <c r="H611" s="4" t="s">
        <v>814</v>
      </c>
      <c r="I611" s="139">
        <v>2400</v>
      </c>
      <c r="J611" s="139">
        <v>7500</v>
      </c>
      <c r="K611" s="13">
        <f>ROUND(I611*J611,0)</f>
        <v>18000000</v>
      </c>
      <c r="L611" s="116" t="s">
        <v>252</v>
      </c>
      <c r="M611" s="411" t="s">
        <v>169</v>
      </c>
      <c r="N611" s="22" t="str">
        <f>IF(AND('331-CT'!$E$7=TH!H611,OR(L611="331",M611="331")),"331",IF(AND(OR(L611="131",M611="131"),H611='131-CT'!$E$7),"131",""))</f>
        <v/>
      </c>
      <c r="O611" s="22" t="str">
        <f>IF(AND($B611&gt;='111'!$N$11,$B611&lt;='111'!$O$11,OR($L611=$O$7,$M611=$O$7)),"x","")</f>
        <v/>
      </c>
      <c r="P611" s="22" t="str">
        <f>IF(AND($L611=$O$7,$B611&lt;'111'!$N$11),"x","")</f>
        <v/>
      </c>
      <c r="Q611" s="22" t="str">
        <f>IF(AND($M611=$O$7,$B611&lt;'111'!$N$11),"x","")</f>
        <v/>
      </c>
      <c r="R611" s="22" t="str">
        <f>IF(ISERROR(FIND('112'!$M$9,G611,1)),"",IF((AND(FIND('112'!$M$9,G611,1)&gt;=1,$B611&gt;='112'!$N$8,$B611&lt;='112'!$O$8,OR($L611='112'!$I$6,$M611='112'!$I$6))),"x",""))</f>
        <v/>
      </c>
      <c r="S611" s="22" t="str">
        <f>IF(ISERROR(FIND('112'!$M$9,G611,1)),"",IF((AND(LEFT(G611,2)=LEFT('112'!$M$9,2),B611&lt;'112'!$N$8,$L611='112'!$I$6)),"x",""))</f>
        <v/>
      </c>
      <c r="T611" s="22" t="str">
        <f>IF(ISERROR(FIND('112'!$M$9,G611,1)),"",IF((AND(RIGHT(G611,2)=RIGHT('112'!$M$9,2),B611&lt;'112'!$N$8,$M611='112'!$I$6)),"x",""))</f>
        <v/>
      </c>
      <c r="U611" s="22" t="str">
        <f>IF(AND(B611&gt;='IN-NX'!$P$3,B611&lt;='IN-NX'!$Q$3,'IN-NX'!$D$7=D611,OR(LEFT(L611,2)="15",AND(LEFT(M611,2)&lt;&gt;"15",LEFT(M611,2)&lt;&gt;"33"))),"x","")</f>
        <v/>
      </c>
      <c r="V611" s="22" t="str">
        <f>IF(AND(OR(LEFT(TH!L611,2)="15",LEFT(TH!M611,2)="15"),'152-CT'!$J$8=TH!F611),"x","")</f>
        <v/>
      </c>
      <c r="W611" s="22" t="str">
        <f>IF(AND(OR(LEFT(TH!L611,2)="15",LEFT(TH!M611,2)="15"),TK!$E$7=TH!F611),"x","")</f>
        <v/>
      </c>
      <c r="X611" s="22" t="str">
        <f>IF(OR(TH!L611=TH!$X$7,M611=TH!$X$7),"x","")</f>
        <v/>
      </c>
      <c r="Y611" s="22" t="str">
        <f>IF(AND(B611&lt;=NKC!$N$8,B611&gt;=NKC!$M$8),"x","")</f>
        <v/>
      </c>
      <c r="Z611" s="580"/>
      <c r="AD611" s="130"/>
      <c r="AE611" s="130"/>
    </row>
    <row r="612" spans="1:31" s="406" customFormat="1" ht="15.75" customHeight="1">
      <c r="A612" s="123" t="str">
        <f>IF(B612&lt;&gt;"",IF(AND(B612&gt;=_TM1,B612&lt;=_TM2,OR(TH!L612="1111",TH!M612="1111")),TH!D612,""),"")</f>
        <v/>
      </c>
      <c r="B612" s="12">
        <f t="shared" si="23"/>
        <v>12</v>
      </c>
      <c r="C612" s="108">
        <f t="shared" si="24"/>
        <v>42705</v>
      </c>
      <c r="D612" s="108" t="s">
        <v>574</v>
      </c>
      <c r="E612" s="113">
        <v>42705</v>
      </c>
      <c r="F612" s="112" t="s">
        <v>496</v>
      </c>
      <c r="G612" s="303" t="s">
        <v>776</v>
      </c>
      <c r="H612" s="4" t="s">
        <v>814</v>
      </c>
      <c r="I612" s="139"/>
      <c r="J612" s="139"/>
      <c r="K612" s="13">
        <v>1800000</v>
      </c>
      <c r="L612" s="116" t="s">
        <v>252</v>
      </c>
      <c r="M612" s="411" t="s">
        <v>352</v>
      </c>
      <c r="N612" s="22" t="str">
        <f>IF(AND('331-CT'!$E$7=TH!H612,OR(L612="331",M612="331")),"331",IF(AND(OR(L612="131",M612="131"),H612='131-CT'!$E$7),"131",""))</f>
        <v/>
      </c>
      <c r="O612" s="22" t="str">
        <f>IF(AND($B612&gt;='111'!$N$11,$B612&lt;='111'!$O$11,OR($L612=$O$7,$M612=$O$7)),"x","")</f>
        <v/>
      </c>
      <c r="P612" s="22" t="str">
        <f>IF(AND($L612=$O$7,$B612&lt;'111'!$N$11),"x","")</f>
        <v/>
      </c>
      <c r="Q612" s="22" t="str">
        <f>IF(AND($M612=$O$7,$B612&lt;'111'!$N$11),"x","")</f>
        <v/>
      </c>
      <c r="R612" s="22" t="str">
        <f>IF(ISERROR(FIND('112'!$M$9,G612,1)),"",IF((AND(FIND('112'!$M$9,G612,1)&gt;=1,$B612&gt;='112'!$N$8,$B612&lt;='112'!$O$8,OR($L612='112'!$I$6,$M612='112'!$I$6))),"x",""))</f>
        <v/>
      </c>
      <c r="S612" s="22" t="str">
        <f>IF(ISERROR(FIND('112'!$M$9,G612,1)),"",IF((AND(LEFT(G612,2)=LEFT('112'!$M$9,2),B612&lt;'112'!$N$8,$L612='112'!$I$6)),"x",""))</f>
        <v/>
      </c>
      <c r="T612" s="22" t="str">
        <f>IF(ISERROR(FIND('112'!$M$9,G612,1)),"",IF((AND(RIGHT(G612,2)=RIGHT('112'!$M$9,2),B612&lt;'112'!$N$8,$M612='112'!$I$6)),"x",""))</f>
        <v/>
      </c>
      <c r="U612" s="22" t="str">
        <f>IF(AND(B612&gt;='IN-NX'!$P$3,B612&lt;='IN-NX'!$Q$3,'IN-NX'!$D$7=D612,OR(LEFT(L612,2)="15",AND(LEFT(M612,2)&lt;&gt;"15",LEFT(M612,2)&lt;&gt;"33"))),"x","")</f>
        <v/>
      </c>
      <c r="V612" s="22" t="str">
        <f>IF(AND(OR(LEFT(TH!L612,2)="15",LEFT(TH!M612,2)="15"),'152-CT'!$J$8=TH!F612),"x","")</f>
        <v/>
      </c>
      <c r="W612" s="22" t="str">
        <f>IF(AND(OR(LEFT(TH!L612,2)="15",LEFT(TH!M612,2)="15"),TK!$E$7=TH!F612),"x","")</f>
        <v/>
      </c>
      <c r="X612" s="22" t="str">
        <f>IF(OR(TH!L612=TH!$X$7,M612=TH!$X$7),"x","")</f>
        <v/>
      </c>
      <c r="Y612" s="22" t="str">
        <f>IF(AND(B612&lt;=NKC!$N$8,B612&gt;=NKC!$M$8),"x","")</f>
        <v/>
      </c>
      <c r="Z612" s="580"/>
      <c r="AD612" s="130"/>
      <c r="AE612" s="130"/>
    </row>
    <row r="613" spans="1:31" s="406" customFormat="1" ht="15.75" customHeight="1">
      <c r="A613" s="123" t="str">
        <f>IF(B613&lt;&gt;"",IF(AND(B613&gt;=_TM1,B613&lt;=_TM2,OR(TH!L613="1111",TH!M613="1111")),TH!D613,""),"")</f>
        <v>T21</v>
      </c>
      <c r="B613" s="12">
        <f t="shared" si="23"/>
        <v>12</v>
      </c>
      <c r="C613" s="108">
        <f t="shared" si="24"/>
        <v>42705</v>
      </c>
      <c r="D613" s="108" t="s">
        <v>1016</v>
      </c>
      <c r="E613" s="113">
        <v>42705</v>
      </c>
      <c r="F613" s="114" t="s">
        <v>484</v>
      </c>
      <c r="G613" s="303" t="s">
        <v>776</v>
      </c>
      <c r="H613" s="4" t="s">
        <v>814</v>
      </c>
      <c r="I613" s="139"/>
      <c r="J613" s="139"/>
      <c r="K613" s="13">
        <v>19800000</v>
      </c>
      <c r="L613" s="116" t="s">
        <v>46</v>
      </c>
      <c r="M613" s="411" t="s">
        <v>252</v>
      </c>
      <c r="N613" s="22" t="str">
        <f>IF(AND('331-CT'!$E$7=TH!H613,OR(L613="331",M613="331")),"331",IF(AND(OR(L613="131",M613="131"),H613='131-CT'!$E$7),"131",""))</f>
        <v/>
      </c>
      <c r="O613" s="22" t="str">
        <f>IF(AND($B613&gt;='111'!$N$11,$B613&lt;='111'!$O$11,OR($L613=$O$7,$M613=$O$7)),"x","")</f>
        <v>x</v>
      </c>
      <c r="P613" s="22" t="str">
        <f>IF(AND($L613=$O$7,$B613&lt;'111'!$N$11),"x","")</f>
        <v/>
      </c>
      <c r="Q613" s="22" t="str">
        <f>IF(AND($M613=$O$7,$B613&lt;'111'!$N$11),"x","")</f>
        <v/>
      </c>
      <c r="R613" s="22" t="str">
        <f>IF(ISERROR(FIND('112'!$M$9,G613,1)),"",IF((AND(FIND('112'!$M$9,G613,1)&gt;=1,$B613&gt;='112'!$N$8,$B613&lt;='112'!$O$8,OR($L613='112'!$I$6,$M613='112'!$I$6))),"x",""))</f>
        <v/>
      </c>
      <c r="S613" s="22" t="str">
        <f>IF(ISERROR(FIND('112'!$M$9,G613,1)),"",IF((AND(LEFT(G613,2)=LEFT('112'!$M$9,2),B613&lt;'112'!$N$8,$L613='112'!$I$6)),"x",""))</f>
        <v/>
      </c>
      <c r="T613" s="22" t="str">
        <f>IF(ISERROR(FIND('112'!$M$9,G613,1)),"",IF((AND(RIGHT(G613,2)=RIGHT('112'!$M$9,2),B613&lt;'112'!$N$8,$M613='112'!$I$6)),"x",""))</f>
        <v/>
      </c>
      <c r="U613" s="22" t="str">
        <f>IF(AND(B613&gt;='IN-NX'!$P$3,B613&lt;='IN-NX'!$Q$3,'IN-NX'!$D$7=D613,OR(LEFT(L613,2)="15",AND(LEFT(M613,2)&lt;&gt;"15",LEFT(M613,2)&lt;&gt;"33"))),"x","")</f>
        <v/>
      </c>
      <c r="V613" s="22" t="str">
        <f>IF(AND(OR(LEFT(TH!L613,2)="15",LEFT(TH!M613,2)="15"),'152-CT'!$J$8=TH!F613),"x","")</f>
        <v/>
      </c>
      <c r="W613" s="22" t="str">
        <f>IF(AND(OR(LEFT(TH!L613,2)="15",LEFT(TH!M613,2)="15"),TK!$E$7=TH!F613),"x","")</f>
        <v/>
      </c>
      <c r="X613" s="22" t="str">
        <f>IF(OR(TH!L613=TH!$X$7,M613=TH!$X$7),"x","")</f>
        <v/>
      </c>
      <c r="Y613" s="22" t="str">
        <f>IF(AND(B613&lt;=NKC!$N$8,B613&gt;=NKC!$M$8),"x","")</f>
        <v/>
      </c>
      <c r="Z613" s="580"/>
      <c r="AD613" s="130"/>
      <c r="AE613" s="130"/>
    </row>
    <row r="614" spans="1:31" s="406" customFormat="1" ht="15.75" customHeight="1">
      <c r="A614" s="123" t="str">
        <f>IF(B614&lt;&gt;"",IF(AND(B614&gt;=_TM1,B614&lt;=_TM2,OR(TH!L614="1111",TH!M614="1111")),TH!D614,""),"")</f>
        <v/>
      </c>
      <c r="B614" s="12">
        <f t="shared" si="23"/>
        <v>12</v>
      </c>
      <c r="C614" s="108">
        <f t="shared" si="24"/>
        <v>42706</v>
      </c>
      <c r="D614" s="108" t="s">
        <v>575</v>
      </c>
      <c r="E614" s="113">
        <v>42706</v>
      </c>
      <c r="F614" s="112" t="s">
        <v>813</v>
      </c>
      <c r="G614" s="303" t="s">
        <v>824</v>
      </c>
      <c r="H614" s="4" t="s">
        <v>814</v>
      </c>
      <c r="I614" s="139">
        <v>1600</v>
      </c>
      <c r="J614" s="139">
        <v>7500</v>
      </c>
      <c r="K614" s="13">
        <f>ROUND(I614*J614,0)</f>
        <v>12000000</v>
      </c>
      <c r="L614" s="116" t="s">
        <v>252</v>
      </c>
      <c r="M614" s="411" t="s">
        <v>169</v>
      </c>
      <c r="N614" s="22" t="str">
        <f>IF(AND('331-CT'!$E$7=TH!H614,OR(L614="331",M614="331")),"331",IF(AND(OR(L614="131",M614="131"),H614='131-CT'!$E$7),"131",""))</f>
        <v/>
      </c>
      <c r="O614" s="22" t="str">
        <f>IF(AND($B614&gt;='111'!$N$11,$B614&lt;='111'!$O$11,OR($L614=$O$7,$M614=$O$7)),"x","")</f>
        <v/>
      </c>
      <c r="P614" s="22" t="str">
        <f>IF(AND($L614=$O$7,$B614&lt;'111'!$N$11),"x","")</f>
        <v/>
      </c>
      <c r="Q614" s="22" t="str">
        <f>IF(AND($M614=$O$7,$B614&lt;'111'!$N$11),"x","")</f>
        <v/>
      </c>
      <c r="R614" s="22" t="str">
        <f>IF(ISERROR(FIND('112'!$M$9,G614,1)),"",IF((AND(FIND('112'!$M$9,G614,1)&gt;=1,$B614&gt;='112'!$N$8,$B614&lt;='112'!$O$8,OR($L614='112'!$I$6,$M614='112'!$I$6))),"x",""))</f>
        <v/>
      </c>
      <c r="S614" s="22" t="str">
        <f>IF(ISERROR(FIND('112'!$M$9,G614,1)),"",IF((AND(LEFT(G614,2)=LEFT('112'!$M$9,2),B614&lt;'112'!$N$8,$L614='112'!$I$6)),"x",""))</f>
        <v/>
      </c>
      <c r="T614" s="22" t="str">
        <f>IF(ISERROR(FIND('112'!$M$9,G614,1)),"",IF((AND(RIGHT(G614,2)=RIGHT('112'!$M$9,2),B614&lt;'112'!$N$8,$M614='112'!$I$6)),"x",""))</f>
        <v/>
      </c>
      <c r="U614" s="22" t="str">
        <f>IF(AND(B614&gt;='IN-NX'!$P$3,B614&lt;='IN-NX'!$Q$3,'IN-NX'!$D$7=D614,OR(LEFT(L614,2)="15",AND(LEFT(M614,2)&lt;&gt;"15",LEFT(M614,2)&lt;&gt;"33"))),"x","")</f>
        <v/>
      </c>
      <c r="V614" s="22" t="str">
        <f>IF(AND(OR(LEFT(TH!L614,2)="15",LEFT(TH!M614,2)="15"),'152-CT'!$J$8=TH!F614),"x","")</f>
        <v/>
      </c>
      <c r="W614" s="22" t="str">
        <f>IF(AND(OR(LEFT(TH!L614,2)="15",LEFT(TH!M614,2)="15"),TK!$E$7=TH!F614),"x","")</f>
        <v/>
      </c>
      <c r="X614" s="22" t="str">
        <f>IF(OR(TH!L614=TH!$X$7,M614=TH!$X$7),"x","")</f>
        <v/>
      </c>
      <c r="Y614" s="22" t="str">
        <f>IF(AND(B614&lt;=NKC!$N$8,B614&gt;=NKC!$M$8),"x","")</f>
        <v/>
      </c>
      <c r="Z614" s="580"/>
      <c r="AC614" s="130"/>
      <c r="AD614" s="130"/>
      <c r="AE614" s="130"/>
    </row>
    <row r="615" spans="1:31" s="406" customFormat="1" ht="15.75" customHeight="1">
      <c r="A615" s="123" t="str">
        <f>IF(B615&lt;&gt;"",IF(AND(B615&gt;=_TM1,B615&lt;=_TM2,OR(TH!L615="1111",TH!M615="1111")),TH!D615,""),"")</f>
        <v/>
      </c>
      <c r="B615" s="12">
        <f t="shared" si="23"/>
        <v>12</v>
      </c>
      <c r="C615" s="108">
        <f t="shared" si="24"/>
        <v>42706</v>
      </c>
      <c r="D615" s="108" t="s">
        <v>575</v>
      </c>
      <c r="E615" s="113">
        <v>42706</v>
      </c>
      <c r="F615" s="112" t="s">
        <v>496</v>
      </c>
      <c r="G615" s="303" t="s">
        <v>824</v>
      </c>
      <c r="H615" s="4" t="s">
        <v>814</v>
      </c>
      <c r="I615" s="139"/>
      <c r="J615" s="139"/>
      <c r="K615" s="13">
        <v>1200000</v>
      </c>
      <c r="L615" s="116" t="s">
        <v>252</v>
      </c>
      <c r="M615" s="411" t="s">
        <v>352</v>
      </c>
      <c r="N615" s="22" t="str">
        <f>IF(AND('331-CT'!$E$7=TH!H615,OR(L615="331",M615="331")),"331",IF(AND(OR(L615="131",M615="131"),H615='131-CT'!$E$7),"131",""))</f>
        <v/>
      </c>
      <c r="O615" s="22" t="str">
        <f>IF(AND($B615&gt;='111'!$N$11,$B615&lt;='111'!$O$11,OR($L615=$O$7,$M615=$O$7)),"x","")</f>
        <v/>
      </c>
      <c r="P615" s="22" t="str">
        <f>IF(AND($L615=$O$7,$B615&lt;'111'!$N$11),"x","")</f>
        <v/>
      </c>
      <c r="Q615" s="22" t="str">
        <f>IF(AND($M615=$O$7,$B615&lt;'111'!$N$11),"x","")</f>
        <v/>
      </c>
      <c r="R615" s="22" t="str">
        <f>IF(ISERROR(FIND('112'!$M$9,G615,1)),"",IF((AND(FIND('112'!$M$9,G615,1)&gt;=1,$B615&gt;='112'!$N$8,$B615&lt;='112'!$O$8,OR($L615='112'!$I$6,$M615='112'!$I$6))),"x",""))</f>
        <v/>
      </c>
      <c r="S615" s="22" t="str">
        <f>IF(ISERROR(FIND('112'!$M$9,G615,1)),"",IF((AND(LEFT(G615,2)=LEFT('112'!$M$9,2),B615&lt;'112'!$N$8,$L615='112'!$I$6)),"x",""))</f>
        <v/>
      </c>
      <c r="T615" s="22" t="str">
        <f>IF(ISERROR(FIND('112'!$M$9,G615,1)),"",IF((AND(RIGHT(G615,2)=RIGHT('112'!$M$9,2),B615&lt;'112'!$N$8,$M615='112'!$I$6)),"x",""))</f>
        <v/>
      </c>
      <c r="U615" s="22" t="str">
        <f>IF(AND(B615&gt;='IN-NX'!$P$3,B615&lt;='IN-NX'!$Q$3,'IN-NX'!$D$7=D615,OR(LEFT(L615,2)="15",AND(LEFT(M615,2)&lt;&gt;"15",LEFT(M615,2)&lt;&gt;"33"))),"x","")</f>
        <v/>
      </c>
      <c r="V615" s="22" t="str">
        <f>IF(AND(OR(LEFT(TH!L615,2)="15",LEFT(TH!M615,2)="15"),'152-CT'!$J$8=TH!F615),"x","")</f>
        <v/>
      </c>
      <c r="W615" s="22" t="str">
        <f>IF(AND(OR(LEFT(TH!L615,2)="15",LEFT(TH!M615,2)="15"),TK!$E$7=TH!F615),"x","")</f>
        <v/>
      </c>
      <c r="X615" s="22" t="str">
        <f>IF(OR(TH!L615=TH!$X$7,M615=TH!$X$7),"x","")</f>
        <v/>
      </c>
      <c r="Y615" s="22" t="str">
        <f>IF(AND(B615&lt;=NKC!$N$8,B615&gt;=NKC!$M$8),"x","")</f>
        <v/>
      </c>
      <c r="Z615" s="580"/>
      <c r="AD615" s="130"/>
      <c r="AE615" s="130"/>
    </row>
    <row r="616" spans="1:31" s="406" customFormat="1" ht="15.75" customHeight="1">
      <c r="A616" s="123" t="str">
        <f>IF(B616&lt;&gt;"",IF(AND(B616&gt;=_TM1,B616&lt;=_TM2,OR(TH!L616="1111",TH!M616="1111")),TH!D616,""),"")</f>
        <v>T22</v>
      </c>
      <c r="B616" s="12">
        <f t="shared" si="23"/>
        <v>12</v>
      </c>
      <c r="C616" s="108">
        <f t="shared" si="24"/>
        <v>42706</v>
      </c>
      <c r="D616" s="108" t="s">
        <v>1017</v>
      </c>
      <c r="E616" s="113">
        <v>42706</v>
      </c>
      <c r="F616" s="114" t="s">
        <v>484</v>
      </c>
      <c r="G616" s="303" t="s">
        <v>824</v>
      </c>
      <c r="H616" s="4" t="s">
        <v>814</v>
      </c>
      <c r="I616" s="140"/>
      <c r="J616" s="140"/>
      <c r="K616" s="13">
        <v>13200000</v>
      </c>
      <c r="L616" s="116" t="s">
        <v>46</v>
      </c>
      <c r="M616" s="411" t="s">
        <v>252</v>
      </c>
      <c r="N616" s="22" t="str">
        <f>IF(AND('331-CT'!$E$7=TH!H616,OR(L616="331",M616="331")),"331",IF(AND(OR(L616="131",M616="131"),H616='131-CT'!$E$7),"131",""))</f>
        <v/>
      </c>
      <c r="O616" s="22" t="str">
        <f>IF(AND($B616&gt;='111'!$N$11,$B616&lt;='111'!$O$11,OR($L616=$O$7,$M616=$O$7)),"x","")</f>
        <v>x</v>
      </c>
      <c r="P616" s="22" t="str">
        <f>IF(AND($L616=$O$7,$B616&lt;'111'!$N$11),"x","")</f>
        <v/>
      </c>
      <c r="Q616" s="22" t="str">
        <f>IF(AND($M616=$O$7,$B616&lt;'111'!$N$11),"x","")</f>
        <v/>
      </c>
      <c r="R616" s="22" t="str">
        <f>IF(ISERROR(FIND('112'!$M$9,G616,1)),"",IF((AND(FIND('112'!$M$9,G616,1)&gt;=1,$B616&gt;='112'!$N$8,$B616&lt;='112'!$O$8,OR($L616='112'!$I$6,$M616='112'!$I$6))),"x",""))</f>
        <v/>
      </c>
      <c r="S616" s="22" t="str">
        <f>IF(ISERROR(FIND('112'!$M$9,G616,1)),"",IF((AND(LEFT(G616,2)=LEFT('112'!$M$9,2),B616&lt;'112'!$N$8,$L616='112'!$I$6)),"x",""))</f>
        <v/>
      </c>
      <c r="T616" s="22" t="str">
        <f>IF(ISERROR(FIND('112'!$M$9,G616,1)),"",IF((AND(RIGHT(G616,2)=RIGHT('112'!$M$9,2),B616&lt;'112'!$N$8,$M616='112'!$I$6)),"x",""))</f>
        <v/>
      </c>
      <c r="U616" s="22" t="str">
        <f>IF(AND(B616&gt;='IN-NX'!$P$3,B616&lt;='IN-NX'!$Q$3,'IN-NX'!$D$7=D616,OR(LEFT(L616,2)="15",AND(LEFT(M616,2)&lt;&gt;"15",LEFT(M616,2)&lt;&gt;"33"))),"x","")</f>
        <v/>
      </c>
      <c r="V616" s="22" t="str">
        <f>IF(AND(OR(LEFT(TH!L616,2)="15",LEFT(TH!M616,2)="15"),'152-CT'!$J$8=TH!F616),"x","")</f>
        <v/>
      </c>
      <c r="W616" s="22" t="str">
        <f>IF(AND(OR(LEFT(TH!L616,2)="15",LEFT(TH!M616,2)="15"),TK!$E$7=TH!F616),"x","")</f>
        <v/>
      </c>
      <c r="X616" s="22" t="str">
        <f>IF(OR(TH!L616=TH!$X$7,M616=TH!$X$7),"x","")</f>
        <v/>
      </c>
      <c r="Y616" s="22" t="str">
        <f>IF(AND(B616&lt;=NKC!$N$8,B616&gt;=NKC!$M$8),"x","")</f>
        <v/>
      </c>
      <c r="Z616" s="580"/>
      <c r="AD616" s="130"/>
      <c r="AE616" s="130"/>
    </row>
    <row r="617" spans="1:31" s="406" customFormat="1" ht="15.75" customHeight="1">
      <c r="A617" s="123" t="str">
        <f>IF(B617&lt;&gt;"",IF(AND(B617&gt;=_TM1,B617&lt;=_TM2,OR(TH!L617="1111",TH!M617="1111")),TH!D617,""),"")</f>
        <v/>
      </c>
      <c r="B617" s="12">
        <f t="shared" si="23"/>
        <v>12</v>
      </c>
      <c r="C617" s="108">
        <f t="shared" si="24"/>
        <v>42707</v>
      </c>
      <c r="D617" s="108" t="s">
        <v>576</v>
      </c>
      <c r="E617" s="113">
        <v>42707</v>
      </c>
      <c r="F617" s="112" t="s">
        <v>813</v>
      </c>
      <c r="G617" s="303" t="s">
        <v>825</v>
      </c>
      <c r="H617" s="4" t="s">
        <v>814</v>
      </c>
      <c r="I617" s="139">
        <v>4000</v>
      </c>
      <c r="J617" s="139">
        <v>4500</v>
      </c>
      <c r="K617" s="13">
        <f>ROUND(I617*J617,0)</f>
        <v>18000000</v>
      </c>
      <c r="L617" s="116" t="s">
        <v>252</v>
      </c>
      <c r="M617" s="411" t="s">
        <v>169</v>
      </c>
      <c r="N617" s="22" t="str">
        <f>IF(AND('331-CT'!$E$7=TH!H617,OR(L617="331",M617="331")),"331",IF(AND(OR(L617="131",M617="131"),H617='131-CT'!$E$7),"131",""))</f>
        <v/>
      </c>
      <c r="O617" s="22" t="str">
        <f>IF(AND($B617&gt;='111'!$N$11,$B617&lt;='111'!$O$11,OR($L617=$O$7,$M617=$O$7)),"x","")</f>
        <v/>
      </c>
      <c r="P617" s="22" t="str">
        <f>IF(AND($L617=$O$7,$B617&lt;'111'!$N$11),"x","")</f>
        <v/>
      </c>
      <c r="Q617" s="22" t="str">
        <f>IF(AND($M617=$O$7,$B617&lt;'111'!$N$11),"x","")</f>
        <v/>
      </c>
      <c r="R617" s="22" t="str">
        <f>IF(ISERROR(FIND('112'!$M$9,G617,1)),"",IF((AND(FIND('112'!$M$9,G617,1)&gt;=1,$B617&gt;='112'!$N$8,$B617&lt;='112'!$O$8,OR($L617='112'!$I$6,$M617='112'!$I$6))),"x",""))</f>
        <v/>
      </c>
      <c r="S617" s="22" t="str">
        <f>IF(ISERROR(FIND('112'!$M$9,G617,1)),"",IF((AND(LEFT(G617,2)=LEFT('112'!$M$9,2),B617&lt;'112'!$N$8,$L617='112'!$I$6)),"x",""))</f>
        <v/>
      </c>
      <c r="T617" s="22" t="str">
        <f>IF(ISERROR(FIND('112'!$M$9,G617,1)),"",IF((AND(RIGHT(G617,2)=RIGHT('112'!$M$9,2),B617&lt;'112'!$N$8,$M617='112'!$I$6)),"x",""))</f>
        <v/>
      </c>
      <c r="U617" s="22" t="str">
        <f>IF(AND(B617&gt;='IN-NX'!$P$3,B617&lt;='IN-NX'!$Q$3,'IN-NX'!$D$7=D617,OR(LEFT(L617,2)="15",AND(LEFT(M617,2)&lt;&gt;"15",LEFT(M617,2)&lt;&gt;"33"))),"x","")</f>
        <v/>
      </c>
      <c r="V617" s="22" t="str">
        <f>IF(AND(OR(LEFT(TH!L617,2)="15",LEFT(TH!M617,2)="15"),'152-CT'!$J$8=TH!F617),"x","")</f>
        <v/>
      </c>
      <c r="W617" s="22" t="str">
        <f>IF(AND(OR(LEFT(TH!L617,2)="15",LEFT(TH!M617,2)="15"),TK!$E$7=TH!F617),"x","")</f>
        <v/>
      </c>
      <c r="X617" s="22" t="str">
        <f>IF(OR(TH!L617=TH!$X$7,M617=TH!$X$7),"x","")</f>
        <v/>
      </c>
      <c r="Y617" s="22" t="str">
        <f>IF(AND(B617&lt;=NKC!$N$8,B617&gt;=NKC!$M$8),"x","")</f>
        <v/>
      </c>
      <c r="Z617" s="580"/>
      <c r="AD617" s="130"/>
      <c r="AE617" s="130"/>
    </row>
    <row r="618" spans="1:31" s="406" customFormat="1" ht="15.75" customHeight="1">
      <c r="A618" s="123" t="str">
        <f>IF(B618&lt;&gt;"",IF(AND(B618&gt;=_TM1,B618&lt;=_TM2,OR(TH!L618="1111",TH!M618="1111")),TH!D618,""),"")</f>
        <v/>
      </c>
      <c r="B618" s="12">
        <f t="shared" si="23"/>
        <v>12</v>
      </c>
      <c r="C618" s="108">
        <f t="shared" si="24"/>
        <v>42707</v>
      </c>
      <c r="D618" s="108" t="s">
        <v>576</v>
      </c>
      <c r="E618" s="113">
        <v>42707</v>
      </c>
      <c r="F618" s="112" t="s">
        <v>496</v>
      </c>
      <c r="G618" s="303" t="s">
        <v>825</v>
      </c>
      <c r="H618" s="4" t="s">
        <v>814</v>
      </c>
      <c r="I618" s="139"/>
      <c r="J618" s="139"/>
      <c r="K618" s="13">
        <v>1800000</v>
      </c>
      <c r="L618" s="116" t="s">
        <v>252</v>
      </c>
      <c r="M618" s="411" t="s">
        <v>352</v>
      </c>
      <c r="N618" s="22" t="str">
        <f>IF(AND('331-CT'!$E$7=TH!H618,OR(L618="331",M618="331")),"331",IF(AND(OR(L618="131",M618="131"),H618='131-CT'!$E$7),"131",""))</f>
        <v/>
      </c>
      <c r="O618" s="22" t="str">
        <f>IF(AND($B618&gt;='111'!$N$11,$B618&lt;='111'!$O$11,OR($L618=$O$7,$M618=$O$7)),"x","")</f>
        <v/>
      </c>
      <c r="P618" s="22" t="str">
        <f>IF(AND($L618=$O$7,$B618&lt;'111'!$N$11),"x","")</f>
        <v/>
      </c>
      <c r="Q618" s="22" t="str">
        <f>IF(AND($M618=$O$7,$B618&lt;'111'!$N$11),"x","")</f>
        <v/>
      </c>
      <c r="R618" s="22" t="str">
        <f>IF(ISERROR(FIND('112'!$M$9,G618,1)),"",IF((AND(FIND('112'!$M$9,G618,1)&gt;=1,$B618&gt;='112'!$N$8,$B618&lt;='112'!$O$8,OR($L618='112'!$I$6,$M618='112'!$I$6))),"x",""))</f>
        <v/>
      </c>
      <c r="S618" s="22" t="str">
        <f>IF(ISERROR(FIND('112'!$M$9,G618,1)),"",IF((AND(LEFT(G618,2)=LEFT('112'!$M$9,2),B618&lt;'112'!$N$8,$L618='112'!$I$6)),"x",""))</f>
        <v/>
      </c>
      <c r="T618" s="22" t="str">
        <f>IF(ISERROR(FIND('112'!$M$9,G618,1)),"",IF((AND(RIGHT(G618,2)=RIGHT('112'!$M$9,2),B618&lt;'112'!$N$8,$M618='112'!$I$6)),"x",""))</f>
        <v/>
      </c>
      <c r="U618" s="22" t="str">
        <f>IF(AND(B618&gt;='IN-NX'!$P$3,B618&lt;='IN-NX'!$Q$3,'IN-NX'!$D$7=D618,OR(LEFT(L618,2)="15",AND(LEFT(M618,2)&lt;&gt;"15",LEFT(M618,2)&lt;&gt;"33"))),"x","")</f>
        <v/>
      </c>
      <c r="V618" s="22" t="str">
        <f>IF(AND(OR(LEFT(TH!L618,2)="15",LEFT(TH!M618,2)="15"),'152-CT'!$J$8=TH!F618),"x","")</f>
        <v/>
      </c>
      <c r="W618" s="22" t="str">
        <f>IF(AND(OR(LEFT(TH!L618,2)="15",LEFT(TH!M618,2)="15"),TK!$E$7=TH!F618),"x","")</f>
        <v/>
      </c>
      <c r="X618" s="22" t="str">
        <f>IF(OR(TH!L618=TH!$X$7,M618=TH!$X$7),"x","")</f>
        <v/>
      </c>
      <c r="Y618" s="22" t="str">
        <f>IF(AND(B618&lt;=NKC!$N$8,B618&gt;=NKC!$M$8),"x","")</f>
        <v/>
      </c>
      <c r="Z618" s="580"/>
      <c r="AD618" s="130"/>
      <c r="AE618" s="130"/>
    </row>
    <row r="619" spans="1:31" s="406" customFormat="1" ht="15.75" customHeight="1">
      <c r="A619" s="123" t="str">
        <f>IF(B619&lt;&gt;"",IF(AND(B619&gt;=_TM1,B619&lt;=_TM2,OR(TH!L619="1111",TH!M619="1111")),TH!D619,""),"")</f>
        <v>T23</v>
      </c>
      <c r="B619" s="12">
        <f t="shared" si="23"/>
        <v>12</v>
      </c>
      <c r="C619" s="108">
        <f t="shared" si="24"/>
        <v>42707</v>
      </c>
      <c r="D619" s="108" t="s">
        <v>1018</v>
      </c>
      <c r="E619" s="113">
        <v>42707</v>
      </c>
      <c r="F619" s="114" t="s">
        <v>484</v>
      </c>
      <c r="G619" s="303" t="s">
        <v>825</v>
      </c>
      <c r="H619" s="4" t="s">
        <v>814</v>
      </c>
      <c r="I619" s="139"/>
      <c r="J619" s="139"/>
      <c r="K619" s="13">
        <v>19800000</v>
      </c>
      <c r="L619" s="116" t="s">
        <v>46</v>
      </c>
      <c r="M619" s="411" t="s">
        <v>252</v>
      </c>
      <c r="N619" s="22" t="str">
        <f>IF(AND('331-CT'!$E$7=TH!H619,OR(L619="331",M619="331")),"331",IF(AND(OR(L619="131",M619="131"),H619='131-CT'!$E$7),"131",""))</f>
        <v/>
      </c>
      <c r="O619" s="22" t="str">
        <f>IF(AND($B619&gt;='111'!$N$11,$B619&lt;='111'!$O$11,OR($L619=$O$7,$M619=$O$7)),"x","")</f>
        <v>x</v>
      </c>
      <c r="P619" s="22" t="str">
        <f>IF(AND($L619=$O$7,$B619&lt;'111'!$N$11),"x","")</f>
        <v/>
      </c>
      <c r="Q619" s="22" t="str">
        <f>IF(AND($M619=$O$7,$B619&lt;'111'!$N$11),"x","")</f>
        <v/>
      </c>
      <c r="R619" s="22" t="str">
        <f>IF(ISERROR(FIND('112'!$M$9,G619,1)),"",IF((AND(FIND('112'!$M$9,G619,1)&gt;=1,$B619&gt;='112'!$N$8,$B619&lt;='112'!$O$8,OR($L619='112'!$I$6,$M619='112'!$I$6))),"x",""))</f>
        <v/>
      </c>
      <c r="S619" s="22" t="str">
        <f>IF(ISERROR(FIND('112'!$M$9,G619,1)),"",IF((AND(LEFT(G619,2)=LEFT('112'!$M$9,2),B619&lt;'112'!$N$8,$L619='112'!$I$6)),"x",""))</f>
        <v/>
      </c>
      <c r="T619" s="22" t="str">
        <f>IF(ISERROR(FIND('112'!$M$9,G619,1)),"",IF((AND(RIGHT(G619,2)=RIGHT('112'!$M$9,2),B619&lt;'112'!$N$8,$M619='112'!$I$6)),"x",""))</f>
        <v/>
      </c>
      <c r="U619" s="22" t="str">
        <f>IF(AND(B619&gt;='IN-NX'!$P$3,B619&lt;='IN-NX'!$Q$3,'IN-NX'!$D$7=D619,OR(LEFT(L619,2)="15",AND(LEFT(M619,2)&lt;&gt;"15",LEFT(M619,2)&lt;&gt;"33"))),"x","")</f>
        <v/>
      </c>
      <c r="V619" s="22" t="str">
        <f>IF(AND(OR(LEFT(TH!L619,2)="15",LEFT(TH!M619,2)="15"),'152-CT'!$J$8=TH!F619),"x","")</f>
        <v/>
      </c>
      <c r="W619" s="22" t="str">
        <f>IF(AND(OR(LEFT(TH!L619,2)="15",LEFT(TH!M619,2)="15"),TK!$E$7=TH!F619),"x","")</f>
        <v/>
      </c>
      <c r="X619" s="22" t="str">
        <f>IF(OR(TH!L619=TH!$X$7,M619=TH!$X$7),"x","")</f>
        <v/>
      </c>
      <c r="Y619" s="22" t="str">
        <f>IF(AND(B619&lt;=NKC!$N$8,B619&gt;=NKC!$M$8),"x","")</f>
        <v/>
      </c>
      <c r="Z619" s="580"/>
      <c r="AD619" s="130"/>
      <c r="AE619" s="130"/>
    </row>
    <row r="620" spans="1:31" s="406" customFormat="1" ht="15.75" customHeight="1">
      <c r="A620" s="123" t="str">
        <f>IF(B620&lt;&gt;"",IF(AND(B620&gt;=_TM1,B620&lt;=_TM2,OR(TH!L620="1111",TH!M620="1111")),TH!D620,""),"")</f>
        <v/>
      </c>
      <c r="B620" s="12">
        <f t="shared" si="23"/>
        <v>12</v>
      </c>
      <c r="C620" s="108">
        <f t="shared" si="24"/>
        <v>42708</v>
      </c>
      <c r="D620" s="108" t="s">
        <v>577</v>
      </c>
      <c r="E620" s="113">
        <v>42708</v>
      </c>
      <c r="F620" s="114" t="s">
        <v>827</v>
      </c>
      <c r="G620" s="303" t="s">
        <v>826</v>
      </c>
      <c r="H620" s="129" t="s">
        <v>683</v>
      </c>
      <c r="I620" s="139">
        <f>1532+1439+1693+1490</f>
        <v>6154</v>
      </c>
      <c r="J620" s="139">
        <v>16700</v>
      </c>
      <c r="K620" s="13">
        <f>ROUND(I620*J620,0)</f>
        <v>102771800</v>
      </c>
      <c r="L620" s="116" t="s">
        <v>252</v>
      </c>
      <c r="M620" s="411" t="s">
        <v>169</v>
      </c>
      <c r="N620" s="22" t="str">
        <f>IF(AND('331-CT'!$E$7=TH!H620,OR(L620="331",M620="331")),"331",IF(AND(OR(L620="131",M620="131"),H620='131-CT'!$E$7),"131",""))</f>
        <v/>
      </c>
      <c r="O620" s="22" t="str">
        <f>IF(AND($B620&gt;='111'!$N$11,$B620&lt;='111'!$O$11,OR($L620=$O$7,$M620=$O$7)),"x","")</f>
        <v/>
      </c>
      <c r="P620" s="22" t="str">
        <f>IF(AND($L620=$O$7,$B620&lt;'111'!$N$11),"x","")</f>
        <v/>
      </c>
      <c r="Q620" s="22" t="str">
        <f>IF(AND($M620=$O$7,$B620&lt;'111'!$N$11),"x","")</f>
        <v/>
      </c>
      <c r="R620" s="22" t="str">
        <f>IF(ISERROR(FIND('112'!$M$9,G620,1)),"",IF((AND(FIND('112'!$M$9,G620,1)&gt;=1,$B620&gt;='112'!$N$8,$B620&lt;='112'!$O$8,OR($L620='112'!$I$6,$M620='112'!$I$6))),"x",""))</f>
        <v/>
      </c>
      <c r="S620" s="22" t="str">
        <f>IF(ISERROR(FIND('112'!$M$9,G620,1)),"",IF((AND(LEFT(G620,2)=LEFT('112'!$M$9,2),B620&lt;'112'!$N$8,$L620='112'!$I$6)),"x",""))</f>
        <v/>
      </c>
      <c r="T620" s="22" t="str">
        <f>IF(ISERROR(FIND('112'!$M$9,G620,1)),"",IF((AND(RIGHT(G620,2)=RIGHT('112'!$M$9,2),B620&lt;'112'!$N$8,$M620='112'!$I$6)),"x",""))</f>
        <v/>
      </c>
      <c r="U620" s="22" t="str">
        <f>IF(AND(B620&gt;='IN-NX'!$P$3,B620&lt;='IN-NX'!$Q$3,'IN-NX'!$D$7=D620,OR(LEFT(L620,2)="15",AND(LEFT(M620,2)&lt;&gt;"15",LEFT(M620,2)&lt;&gt;"33"))),"x","")</f>
        <v/>
      </c>
      <c r="V620" s="22" t="str">
        <f>IF(AND(OR(LEFT(TH!L620,2)="15",LEFT(TH!M620,2)="15"),'152-CT'!$J$8=TH!F620),"x","")</f>
        <v/>
      </c>
      <c r="W620" s="22" t="str">
        <f>IF(AND(OR(LEFT(TH!L620,2)="15",LEFT(TH!M620,2)="15"),TK!$E$7=TH!F620),"x","")</f>
        <v/>
      </c>
      <c r="X620" s="22" t="str">
        <f>IF(OR(TH!L620=TH!$X$7,M620=TH!$X$7),"x","")</f>
        <v/>
      </c>
      <c r="Y620" s="22" t="str">
        <f>IF(AND(B620&lt;=NKC!$N$8,B620&gt;=NKC!$M$8),"x","")</f>
        <v/>
      </c>
      <c r="Z620" s="580"/>
      <c r="AC620" s="130"/>
      <c r="AD620" s="130"/>
      <c r="AE620" s="130"/>
    </row>
    <row r="621" spans="1:31" s="406" customFormat="1" ht="15.75" customHeight="1">
      <c r="A621" s="123" t="str">
        <f>IF(B621&lt;&gt;"",IF(AND(B621&gt;=_TM1,B621&lt;=_TM2,OR(TH!L621="1111",TH!M621="1111")),TH!D621,""),"")</f>
        <v/>
      </c>
      <c r="B621" s="12">
        <f t="shared" si="23"/>
        <v>12</v>
      </c>
      <c r="C621" s="108">
        <f t="shared" si="24"/>
        <v>42708</v>
      </c>
      <c r="D621" s="108" t="s">
        <v>577</v>
      </c>
      <c r="E621" s="113">
        <v>42708</v>
      </c>
      <c r="F621" s="114" t="s">
        <v>828</v>
      </c>
      <c r="G621" s="303" t="s">
        <v>826</v>
      </c>
      <c r="H621" s="129" t="s">
        <v>683</v>
      </c>
      <c r="I621" s="139">
        <v>878</v>
      </c>
      <c r="J621" s="139">
        <v>19400</v>
      </c>
      <c r="K621" s="13">
        <f>ROUND(I621*J621,0)</f>
        <v>17033200</v>
      </c>
      <c r="L621" s="116" t="s">
        <v>252</v>
      </c>
      <c r="M621" s="411" t="s">
        <v>169</v>
      </c>
      <c r="N621" s="22" t="str">
        <f>IF(AND('331-CT'!$E$7=TH!H621,OR(L621="331",M621="331")),"331",IF(AND(OR(L621="131",M621="131"),H621='131-CT'!$E$7),"131",""))</f>
        <v/>
      </c>
      <c r="O621" s="22" t="str">
        <f>IF(AND($B621&gt;='111'!$N$11,$B621&lt;='111'!$O$11,OR($L621=$O$7,$M621=$O$7)),"x","")</f>
        <v/>
      </c>
      <c r="P621" s="22" t="str">
        <f>IF(AND($L621=$O$7,$B621&lt;'111'!$N$11),"x","")</f>
        <v/>
      </c>
      <c r="Q621" s="22" t="str">
        <f>IF(AND($M621=$O$7,$B621&lt;'111'!$N$11),"x","")</f>
        <v/>
      </c>
      <c r="R621" s="22" t="str">
        <f>IF(ISERROR(FIND('112'!$M$9,G621,1)),"",IF((AND(FIND('112'!$M$9,G621,1)&gt;=1,$B621&gt;='112'!$N$8,$B621&lt;='112'!$O$8,OR($L621='112'!$I$6,$M621='112'!$I$6))),"x",""))</f>
        <v/>
      </c>
      <c r="S621" s="22" t="str">
        <f>IF(ISERROR(FIND('112'!$M$9,G621,1)),"",IF((AND(LEFT(G621,2)=LEFT('112'!$M$9,2),B621&lt;'112'!$N$8,$L621='112'!$I$6)),"x",""))</f>
        <v/>
      </c>
      <c r="T621" s="22" t="str">
        <f>IF(ISERROR(FIND('112'!$M$9,G621,1)),"",IF((AND(RIGHT(G621,2)=RIGHT('112'!$M$9,2),B621&lt;'112'!$N$8,$M621='112'!$I$6)),"x",""))</f>
        <v/>
      </c>
      <c r="U621" s="22" t="str">
        <f>IF(AND(B621&gt;='IN-NX'!$P$3,B621&lt;='IN-NX'!$Q$3,'IN-NX'!$D$7=D621,OR(LEFT(L621,2)="15",AND(LEFT(M621,2)&lt;&gt;"15",LEFT(M621,2)&lt;&gt;"33"))),"x","")</f>
        <v/>
      </c>
      <c r="V621" s="22" t="str">
        <f>IF(AND(OR(LEFT(TH!L621,2)="15",LEFT(TH!M621,2)="15"),'152-CT'!$J$8=TH!F621),"x","")</f>
        <v/>
      </c>
      <c r="W621" s="22" t="str">
        <f>IF(AND(OR(LEFT(TH!L621,2)="15",LEFT(TH!M621,2)="15"),TK!$E$7=TH!F621),"x","")</f>
        <v/>
      </c>
      <c r="X621" s="22" t="str">
        <f>IF(OR(TH!L621=TH!$X$7,M621=TH!$X$7),"x","")</f>
        <v/>
      </c>
      <c r="Y621" s="22" t="str">
        <f>IF(AND(B621&lt;=NKC!$N$8,B621&gt;=NKC!$M$8),"x","")</f>
        <v/>
      </c>
      <c r="Z621" s="580"/>
      <c r="AD621" s="130"/>
      <c r="AE621" s="130"/>
    </row>
    <row r="622" spans="1:31" s="406" customFormat="1" ht="15.75" customHeight="1">
      <c r="A622" s="123" t="str">
        <f>IF(B622&lt;&gt;"",IF(AND(B622&gt;=_TM1,B622&lt;=_TM2,OR(TH!L622="1111",TH!M622="1111")),TH!D622,""),"")</f>
        <v/>
      </c>
      <c r="B622" s="12">
        <f t="shared" si="23"/>
        <v>12</v>
      </c>
      <c r="C622" s="108">
        <f t="shared" si="24"/>
        <v>42708</v>
      </c>
      <c r="D622" s="108" t="s">
        <v>577</v>
      </c>
      <c r="E622" s="113">
        <v>42708</v>
      </c>
      <c r="F622" s="112" t="s">
        <v>496</v>
      </c>
      <c r="G622" s="303" t="s">
        <v>826</v>
      </c>
      <c r="H622" s="129" t="s">
        <v>683</v>
      </c>
      <c r="I622" s="139"/>
      <c r="J622" s="139"/>
      <c r="K622" s="13">
        <v>11980500</v>
      </c>
      <c r="L622" s="116" t="s">
        <v>252</v>
      </c>
      <c r="M622" s="411" t="s">
        <v>352</v>
      </c>
      <c r="N622" s="22" t="str">
        <f>IF(AND('331-CT'!$E$7=TH!H622,OR(L622="331",M622="331")),"331",IF(AND(OR(L622="131",M622="131"),H622='131-CT'!$E$7),"131",""))</f>
        <v/>
      </c>
      <c r="O622" s="22" t="str">
        <f>IF(AND($B622&gt;='111'!$N$11,$B622&lt;='111'!$O$11,OR($L622=$O$7,$M622=$O$7)),"x","")</f>
        <v/>
      </c>
      <c r="P622" s="22" t="str">
        <f>IF(AND($L622=$O$7,$B622&lt;'111'!$N$11),"x","")</f>
        <v/>
      </c>
      <c r="Q622" s="22" t="str">
        <f>IF(AND($M622=$O$7,$B622&lt;'111'!$N$11),"x","")</f>
        <v/>
      </c>
      <c r="R622" s="22" t="str">
        <f>IF(ISERROR(FIND('112'!$M$9,G622,1)),"",IF((AND(FIND('112'!$M$9,G622,1)&gt;=1,$B622&gt;='112'!$N$8,$B622&lt;='112'!$O$8,OR($L622='112'!$I$6,$M622='112'!$I$6))),"x",""))</f>
        <v/>
      </c>
      <c r="S622" s="22" t="str">
        <f>IF(ISERROR(FIND('112'!$M$9,G622,1)),"",IF((AND(LEFT(G622,2)=LEFT('112'!$M$9,2),B622&lt;'112'!$N$8,$L622='112'!$I$6)),"x",""))</f>
        <v/>
      </c>
      <c r="T622" s="22" t="str">
        <f>IF(ISERROR(FIND('112'!$M$9,G622,1)),"",IF((AND(RIGHT(G622,2)=RIGHT('112'!$M$9,2),B622&lt;'112'!$N$8,$M622='112'!$I$6)),"x",""))</f>
        <v/>
      </c>
      <c r="U622" s="22" t="str">
        <f>IF(AND(B622&gt;='IN-NX'!$P$3,B622&lt;='IN-NX'!$Q$3,'IN-NX'!$D$7=D622,OR(LEFT(L622,2)="15",AND(LEFT(M622,2)&lt;&gt;"15",LEFT(M622,2)&lt;&gt;"33"))),"x","")</f>
        <v/>
      </c>
      <c r="V622" s="22" t="str">
        <f>IF(AND(OR(LEFT(TH!L622,2)="15",LEFT(TH!M622,2)="15"),'152-CT'!$J$8=TH!F622),"x","")</f>
        <v/>
      </c>
      <c r="W622" s="22" t="str">
        <f>IF(AND(OR(LEFT(TH!L622,2)="15",LEFT(TH!M622,2)="15"),TK!$E$7=TH!F622),"x","")</f>
        <v/>
      </c>
      <c r="X622" s="22" t="str">
        <f>IF(OR(TH!L622=TH!$X$7,M622=TH!$X$7),"x","")</f>
        <v/>
      </c>
      <c r="Y622" s="22" t="str">
        <f>IF(AND(B622&lt;=NKC!$N$8,B622&gt;=NKC!$M$8),"x","")</f>
        <v/>
      </c>
      <c r="Z622" s="580"/>
      <c r="AD622" s="130"/>
      <c r="AE622" s="130"/>
    </row>
    <row r="623" spans="1:31" s="406" customFormat="1" ht="15.75" customHeight="1">
      <c r="A623" s="123" t="str">
        <f>IF(B623&lt;&gt;"",IF(AND(B623&gt;=_TM1,B623&lt;=_TM2,OR(TH!L623="1111",TH!M623="1111")),TH!D623,""),"")</f>
        <v>T24</v>
      </c>
      <c r="B623" s="12">
        <f t="shared" si="23"/>
        <v>12</v>
      </c>
      <c r="C623" s="108">
        <f t="shared" si="24"/>
        <v>42709</v>
      </c>
      <c r="D623" s="108" t="s">
        <v>1019</v>
      </c>
      <c r="E623" s="113">
        <v>42709</v>
      </c>
      <c r="F623" s="114" t="s">
        <v>484</v>
      </c>
      <c r="G623" s="303" t="s">
        <v>1027</v>
      </c>
      <c r="H623" s="4" t="s">
        <v>366</v>
      </c>
      <c r="I623" s="139"/>
      <c r="J623" s="139"/>
      <c r="K623" s="13">
        <f>4094640+3465000</f>
        <v>7559640</v>
      </c>
      <c r="L623" s="116" t="s">
        <v>46</v>
      </c>
      <c r="M623" s="411" t="s">
        <v>252</v>
      </c>
      <c r="N623" s="22" t="str">
        <f>IF(AND('331-CT'!$E$7=TH!H623,OR(L623="331",M623="331")),"331",IF(AND(OR(L623="131",M623="131"),H623='131-CT'!$E$7),"131",""))</f>
        <v/>
      </c>
      <c r="O623" s="22" t="str">
        <f>IF(AND($B623&gt;='111'!$N$11,$B623&lt;='111'!$O$11,OR($L623=$O$7,$M623=$O$7)),"x","")</f>
        <v>x</v>
      </c>
      <c r="P623" s="22" t="str">
        <f>IF(AND($L623=$O$7,$B623&lt;'111'!$N$11),"x","")</f>
        <v/>
      </c>
      <c r="Q623" s="22" t="str">
        <f>IF(AND($M623=$O$7,$B623&lt;'111'!$N$11),"x","")</f>
        <v/>
      </c>
      <c r="R623" s="22" t="str">
        <f>IF(ISERROR(FIND('112'!$M$9,G623,1)),"",IF((AND(FIND('112'!$M$9,G623,1)&gt;=1,$B623&gt;='112'!$N$8,$B623&lt;='112'!$O$8,OR($L623='112'!$I$6,$M623='112'!$I$6))),"x",""))</f>
        <v/>
      </c>
      <c r="S623" s="22" t="str">
        <f>IF(ISERROR(FIND('112'!$M$9,G623,1)),"",IF((AND(LEFT(G623,2)=LEFT('112'!$M$9,2),B623&lt;'112'!$N$8,$L623='112'!$I$6)),"x",""))</f>
        <v/>
      </c>
      <c r="T623" s="22" t="str">
        <f>IF(ISERROR(FIND('112'!$M$9,G623,1)),"",IF((AND(RIGHT(G623,2)=RIGHT('112'!$M$9,2),B623&lt;'112'!$N$8,$M623='112'!$I$6)),"x",""))</f>
        <v/>
      </c>
      <c r="U623" s="22" t="str">
        <f>IF(AND(B623&gt;='IN-NX'!$P$3,B623&lt;='IN-NX'!$Q$3,'IN-NX'!$D$7=D623,OR(LEFT(L623,2)="15",AND(LEFT(M623,2)&lt;&gt;"15",LEFT(M623,2)&lt;&gt;"33"))),"x","")</f>
        <v/>
      </c>
      <c r="V623" s="22" t="str">
        <f>IF(AND(OR(LEFT(TH!L623,2)="15",LEFT(TH!M623,2)="15"),'152-CT'!$J$8=TH!F623),"x","")</f>
        <v/>
      </c>
      <c r="W623" s="22" t="str">
        <f>IF(AND(OR(LEFT(TH!L623,2)="15",LEFT(TH!M623,2)="15"),TK!$E$7=TH!F623),"x","")</f>
        <v/>
      </c>
      <c r="X623" s="22" t="str">
        <f>IF(OR(TH!L623=TH!$X$7,M623=TH!$X$7),"x","")</f>
        <v/>
      </c>
      <c r="Y623" s="22" t="str">
        <f>IF(AND(B623&lt;=NKC!$N$8,B623&gt;=NKC!$M$8),"x","")</f>
        <v/>
      </c>
      <c r="Z623" s="580"/>
      <c r="AC623" s="130"/>
    </row>
    <row r="624" spans="1:31" s="406" customFormat="1" ht="15.75" customHeight="1">
      <c r="A624" s="123" t="str">
        <f>IF(B624&lt;&gt;"",IF(AND(B624&gt;=_TM1,B624&lt;=_TM2,OR(TH!L624="1111",TH!M624="1111")),TH!D624,""),"")</f>
        <v>T25</v>
      </c>
      <c r="B624" s="12">
        <f t="shared" si="23"/>
        <v>12</v>
      </c>
      <c r="C624" s="108">
        <f t="shared" si="24"/>
        <v>42709</v>
      </c>
      <c r="D624" s="108" t="s">
        <v>1020</v>
      </c>
      <c r="E624" s="113">
        <v>42709</v>
      </c>
      <c r="F624" s="114" t="s">
        <v>484</v>
      </c>
      <c r="G624" s="303" t="s">
        <v>806</v>
      </c>
      <c r="H624" s="4" t="s">
        <v>618</v>
      </c>
      <c r="I624" s="139"/>
      <c r="J624" s="139"/>
      <c r="K624" s="13">
        <v>4601300</v>
      </c>
      <c r="L624" s="116" t="s">
        <v>46</v>
      </c>
      <c r="M624" s="411" t="s">
        <v>252</v>
      </c>
      <c r="N624" s="22" t="str">
        <f>IF(AND('331-CT'!$E$7=TH!H624,OR(L624="331",M624="331")),"331",IF(AND(OR(L624="131",M624="131"),H624='131-CT'!$E$7),"131",""))</f>
        <v/>
      </c>
      <c r="O624" s="22" t="str">
        <f>IF(AND($B624&gt;='111'!$N$11,$B624&lt;='111'!$O$11,OR($L624=$O$7,$M624=$O$7)),"x","")</f>
        <v>x</v>
      </c>
      <c r="P624" s="22" t="str">
        <f>IF(AND($L624=$O$7,$B624&lt;'111'!$N$11),"x","")</f>
        <v/>
      </c>
      <c r="Q624" s="22" t="str">
        <f>IF(AND($M624=$O$7,$B624&lt;'111'!$N$11),"x","")</f>
        <v/>
      </c>
      <c r="R624" s="22" t="str">
        <f>IF(ISERROR(FIND('112'!$M$9,G624,1)),"",IF((AND(FIND('112'!$M$9,G624,1)&gt;=1,$B624&gt;='112'!$N$8,$B624&lt;='112'!$O$8,OR($L624='112'!$I$6,$M624='112'!$I$6))),"x",""))</f>
        <v/>
      </c>
      <c r="S624" s="22" t="str">
        <f>IF(ISERROR(FIND('112'!$M$9,G624,1)),"",IF((AND(LEFT(G624,2)=LEFT('112'!$M$9,2),B624&lt;'112'!$N$8,$L624='112'!$I$6)),"x",""))</f>
        <v/>
      </c>
      <c r="T624" s="22" t="str">
        <f>IF(ISERROR(FIND('112'!$M$9,G624,1)),"",IF((AND(RIGHT(G624,2)=RIGHT('112'!$M$9,2),B624&lt;'112'!$N$8,$M624='112'!$I$6)),"x",""))</f>
        <v/>
      </c>
      <c r="U624" s="22" t="str">
        <f>IF(AND(B624&gt;='IN-NX'!$P$3,B624&lt;='IN-NX'!$Q$3,'IN-NX'!$D$7=D624,OR(LEFT(L624,2)="15",AND(LEFT(M624,2)&lt;&gt;"15",LEFT(M624,2)&lt;&gt;"33"))),"x","")</f>
        <v/>
      </c>
      <c r="V624" s="22" t="str">
        <f>IF(AND(OR(LEFT(TH!L624,2)="15",LEFT(TH!M624,2)="15"),'152-CT'!$J$8=TH!F624),"x","")</f>
        <v/>
      </c>
      <c r="W624" s="22" t="str">
        <f>IF(AND(OR(LEFT(TH!L624,2)="15",LEFT(TH!M624,2)="15"),TK!$E$7=TH!F624),"x","")</f>
        <v/>
      </c>
      <c r="X624" s="22" t="str">
        <f>IF(OR(TH!L624=TH!$X$7,M624=TH!$X$7),"x","")</f>
        <v/>
      </c>
      <c r="Y624" s="22" t="str">
        <f>IF(AND(B624&lt;=NKC!$N$8,B624&gt;=NKC!$M$8),"x","")</f>
        <v/>
      </c>
      <c r="Z624" s="580"/>
      <c r="AC624" s="130"/>
    </row>
    <row r="625" spans="1:31" s="406" customFormat="1" ht="15.75" customHeight="1">
      <c r="A625" s="123" t="str">
        <f>IF(B625&lt;&gt;"",IF(AND(B625&gt;=_TM1,B625&lt;=_TM2,OR(TH!L625="1111",TH!M625="1111")),TH!D625,""),"")</f>
        <v/>
      </c>
      <c r="B625" s="12">
        <f t="shared" si="23"/>
        <v>12</v>
      </c>
      <c r="C625" s="108">
        <f t="shared" si="24"/>
        <v>42709</v>
      </c>
      <c r="D625" s="113" t="s">
        <v>324</v>
      </c>
      <c r="E625" s="113">
        <v>42709</v>
      </c>
      <c r="F625" s="112" t="s">
        <v>976</v>
      </c>
      <c r="G625" s="305" t="s">
        <v>843</v>
      </c>
      <c r="H625" s="115" t="s">
        <v>624</v>
      </c>
      <c r="I625" s="139"/>
      <c r="J625" s="139"/>
      <c r="K625" s="13">
        <v>37000000</v>
      </c>
      <c r="L625" s="116" t="s">
        <v>82</v>
      </c>
      <c r="M625" s="116" t="s">
        <v>8</v>
      </c>
      <c r="N625" s="22" t="str">
        <f>IF(AND('331-CT'!$E$7=TH!H625,OR(L625="331",M625="331")),"331",IF(AND(OR(L625="131",M625="131"),H625='131-CT'!$E$7),"131",""))</f>
        <v/>
      </c>
      <c r="O625" s="22" t="str">
        <f>IF(AND($B625&gt;='111'!$N$11,$B625&lt;='111'!$O$11,OR($L625=$O$7,$M625=$O$7)),"x","")</f>
        <v/>
      </c>
      <c r="P625" s="22" t="str">
        <f>IF(AND($L625=$O$7,$B625&lt;'111'!$N$11),"x","")</f>
        <v/>
      </c>
      <c r="Q625" s="22" t="str">
        <f>IF(AND($M625=$O$7,$B625&lt;'111'!$N$11),"x","")</f>
        <v/>
      </c>
      <c r="R625" s="22" t="str">
        <f>IF(ISERROR(FIND('112'!$M$9,G625,1)),"",IF((AND(FIND('112'!$M$9,G625,1)&gt;=1,$B625&gt;='112'!$N$8,$B625&lt;='112'!$O$8,OR($L625='112'!$I$6,$M625='112'!$I$6))),"x",""))</f>
        <v/>
      </c>
      <c r="S625" s="22" t="str">
        <f>IF(ISERROR(FIND('112'!$M$9,G625,1)),"",IF((AND(LEFT(G625,2)=LEFT('112'!$M$9,2),B625&lt;'112'!$N$8,$L625='112'!$I$6)),"x",""))</f>
        <v/>
      </c>
      <c r="T625" s="22" t="str">
        <f>IF(ISERROR(FIND('112'!$M$9,G625,1)),"",IF((AND(RIGHT(G625,2)=RIGHT('112'!$M$9,2),B625&lt;'112'!$N$8,$M625='112'!$I$6)),"x",""))</f>
        <v/>
      </c>
      <c r="U625" s="22" t="str">
        <f>IF(AND(B625&gt;='IN-NX'!$P$3,B625&lt;='IN-NX'!$Q$3,'IN-NX'!$D$7=D625,OR(LEFT(L625,2)="15",AND(LEFT(M625,2)&lt;&gt;"15",LEFT(M625,2)&lt;&gt;"33"))),"x","")</f>
        <v/>
      </c>
      <c r="V625" s="22" t="str">
        <f>IF(AND(OR(LEFT(TH!L625,2)="15",LEFT(TH!M625,2)="15"),'152-CT'!$J$8=TH!F625),"x","")</f>
        <v/>
      </c>
      <c r="W625" s="22" t="str">
        <f>IF(AND(OR(LEFT(TH!L625,2)="15",LEFT(TH!M625,2)="15"),TK!$E$7=TH!F625),"x","")</f>
        <v/>
      </c>
      <c r="X625" s="22" t="str">
        <f>IF(OR(TH!L625=TH!$X$7,M625=TH!$X$7),"x","")</f>
        <v>x</v>
      </c>
      <c r="Y625" s="22" t="str">
        <f>IF(AND(B625&lt;=NKC!$N$8,B625&gt;=NKC!$M$8),"x","")</f>
        <v/>
      </c>
      <c r="Z625" s="580">
        <v>4</v>
      </c>
      <c r="AC625" s="130"/>
      <c r="AD625" s="130"/>
      <c r="AE625" s="130"/>
    </row>
    <row r="626" spans="1:31" s="406" customFormat="1" ht="15.75" customHeight="1">
      <c r="A626" s="123" t="str">
        <f>IF(B626&lt;&gt;"",IF(AND(B626&gt;=_TM1,B626&lt;=_TM2,OR(TH!L626="1111",TH!M626="1111")),TH!D626,""),"")</f>
        <v/>
      </c>
      <c r="B626" s="12">
        <f t="shared" si="23"/>
        <v>12</v>
      </c>
      <c r="C626" s="108">
        <f t="shared" si="24"/>
        <v>42709</v>
      </c>
      <c r="D626" s="113" t="s">
        <v>324</v>
      </c>
      <c r="E626" s="113">
        <v>42709</v>
      </c>
      <c r="F626" s="112" t="s">
        <v>435</v>
      </c>
      <c r="G626" s="305" t="s">
        <v>843</v>
      </c>
      <c r="H626" s="115" t="s">
        <v>624</v>
      </c>
      <c r="I626" s="139"/>
      <c r="J626" s="139"/>
      <c r="K626" s="13">
        <v>3700000</v>
      </c>
      <c r="L626" s="116" t="s">
        <v>9</v>
      </c>
      <c r="M626" s="116" t="s">
        <v>8</v>
      </c>
      <c r="N626" s="22" t="str">
        <f>IF(AND('331-CT'!$E$7=TH!H626,OR(L626="331",M626="331")),"331",IF(AND(OR(L626="131",M626="131"),H626='131-CT'!$E$7),"131",""))</f>
        <v/>
      </c>
      <c r="O626" s="22" t="str">
        <f>IF(AND($B626&gt;='111'!$N$11,$B626&lt;='111'!$O$11,OR($L626=$O$7,$M626=$O$7)),"x","")</f>
        <v/>
      </c>
      <c r="P626" s="22" t="str">
        <f>IF(AND($L626=$O$7,$B626&lt;'111'!$N$11),"x","")</f>
        <v/>
      </c>
      <c r="Q626" s="22" t="str">
        <f>IF(AND($M626=$O$7,$B626&lt;'111'!$N$11),"x","")</f>
        <v/>
      </c>
      <c r="R626" s="22" t="str">
        <f>IF(ISERROR(FIND('112'!$M$9,G626,1)),"",IF((AND(FIND('112'!$M$9,G626,1)&gt;=1,$B626&gt;='112'!$N$8,$B626&lt;='112'!$O$8,OR($L626='112'!$I$6,$M626='112'!$I$6))),"x",""))</f>
        <v/>
      </c>
      <c r="S626" s="22" t="str">
        <f>IF(ISERROR(FIND('112'!$M$9,G626,1)),"",IF((AND(LEFT(G626,2)=LEFT('112'!$M$9,2),B626&lt;'112'!$N$8,$L626='112'!$I$6)),"x",""))</f>
        <v/>
      </c>
      <c r="T626" s="22" t="str">
        <f>IF(ISERROR(FIND('112'!$M$9,G626,1)),"",IF((AND(RIGHT(G626,2)=RIGHT('112'!$M$9,2),B626&lt;'112'!$N$8,$M626='112'!$I$6)),"x",""))</f>
        <v/>
      </c>
      <c r="U626" s="22" t="str">
        <f>IF(AND(B626&gt;='IN-NX'!$P$3,B626&lt;='IN-NX'!$Q$3,'IN-NX'!$D$7=D626,OR(LEFT(L626,2)="15",AND(LEFT(M626,2)&lt;&gt;"15",LEFT(M626,2)&lt;&gt;"33"))),"x","")</f>
        <v/>
      </c>
      <c r="V626" s="22" t="str">
        <f>IF(AND(OR(LEFT(TH!L626,2)="15",LEFT(TH!M626,2)="15"),'152-CT'!$J$8=TH!F626),"x","")</f>
        <v/>
      </c>
      <c r="W626" s="22" t="str">
        <f>IF(AND(OR(LEFT(TH!L626,2)="15",LEFT(TH!M626,2)="15"),TK!$E$7=TH!F626),"x","")</f>
        <v/>
      </c>
      <c r="X626" s="22" t="str">
        <f>IF(OR(TH!L626=TH!$X$7,M626=TH!$X$7),"x","")</f>
        <v/>
      </c>
      <c r="Y626" s="22" t="str">
        <f>IF(AND(B626&lt;=NKC!$N$8,B626&gt;=NKC!$M$8),"x","")</f>
        <v/>
      </c>
      <c r="Z626" s="580">
        <v>4</v>
      </c>
      <c r="AC626" s="130"/>
      <c r="AD626" s="130"/>
      <c r="AE626" s="130"/>
    </row>
    <row r="627" spans="1:31" s="406" customFormat="1" ht="15.75" customHeight="1">
      <c r="A627" s="123" t="str">
        <f>IF(B627&lt;&gt;"",IF(AND(B627&gt;=_TM1,B627&lt;=_TM2,OR(TH!L627="1111",TH!M627="1111")),TH!D627,""),"")</f>
        <v/>
      </c>
      <c r="B627" s="12">
        <f t="shared" si="23"/>
        <v>12</v>
      </c>
      <c r="C627" s="108">
        <f t="shared" si="24"/>
        <v>42709</v>
      </c>
      <c r="D627" s="108" t="s">
        <v>578</v>
      </c>
      <c r="E627" s="113">
        <v>42709</v>
      </c>
      <c r="F627" s="112" t="s">
        <v>813</v>
      </c>
      <c r="G627" s="303" t="s">
        <v>829</v>
      </c>
      <c r="H627" s="4" t="s">
        <v>814</v>
      </c>
      <c r="I627" s="139">
        <v>2400</v>
      </c>
      <c r="J627" s="139">
        <v>7500</v>
      </c>
      <c r="K627" s="13">
        <f>ROUND(I627*J627,0)</f>
        <v>18000000</v>
      </c>
      <c r="L627" s="116" t="s">
        <v>252</v>
      </c>
      <c r="M627" s="411" t="s">
        <v>169</v>
      </c>
      <c r="N627" s="22" t="str">
        <f>IF(AND('331-CT'!$E$7=TH!H627,OR(L627="331",M627="331")),"331",IF(AND(OR(L627="131",M627="131"),H627='131-CT'!$E$7),"131",""))</f>
        <v/>
      </c>
      <c r="O627" s="22" t="str">
        <f>IF(AND($B627&gt;='111'!$N$11,$B627&lt;='111'!$O$11,OR($L627=$O$7,$M627=$O$7)),"x","")</f>
        <v/>
      </c>
      <c r="P627" s="22" t="str">
        <f>IF(AND($L627=$O$7,$B627&lt;'111'!$N$11),"x","")</f>
        <v/>
      </c>
      <c r="Q627" s="22" t="str">
        <f>IF(AND($M627=$O$7,$B627&lt;'111'!$N$11),"x","")</f>
        <v/>
      </c>
      <c r="R627" s="22" t="str">
        <f>IF(ISERROR(FIND('112'!$M$9,G627,1)),"",IF((AND(FIND('112'!$M$9,G627,1)&gt;=1,$B627&gt;='112'!$N$8,$B627&lt;='112'!$O$8,OR($L627='112'!$I$6,$M627='112'!$I$6))),"x",""))</f>
        <v/>
      </c>
      <c r="S627" s="22" t="str">
        <f>IF(ISERROR(FIND('112'!$M$9,G627,1)),"",IF((AND(LEFT(G627,2)=LEFT('112'!$M$9,2),B627&lt;'112'!$N$8,$L627='112'!$I$6)),"x",""))</f>
        <v/>
      </c>
      <c r="T627" s="22" t="str">
        <f>IF(ISERROR(FIND('112'!$M$9,G627,1)),"",IF((AND(RIGHT(G627,2)=RIGHT('112'!$M$9,2),B627&lt;'112'!$N$8,$M627='112'!$I$6)),"x",""))</f>
        <v/>
      </c>
      <c r="U627" s="22" t="str">
        <f>IF(AND(B627&gt;='IN-NX'!$P$3,B627&lt;='IN-NX'!$Q$3,'IN-NX'!$D$7=D627,OR(LEFT(L627,2)="15",AND(LEFT(M627,2)&lt;&gt;"15",LEFT(M627,2)&lt;&gt;"33"))),"x","")</f>
        <v/>
      </c>
      <c r="V627" s="22" t="str">
        <f>IF(AND(OR(LEFT(TH!L627,2)="15",LEFT(TH!M627,2)="15"),'152-CT'!$J$8=TH!F627),"x","")</f>
        <v/>
      </c>
      <c r="W627" s="22" t="str">
        <f>IF(AND(OR(LEFT(TH!L627,2)="15",LEFT(TH!M627,2)="15"),TK!$E$7=TH!F627),"x","")</f>
        <v/>
      </c>
      <c r="X627" s="22" t="str">
        <f>IF(OR(TH!L627=TH!$X$7,M627=TH!$X$7),"x","")</f>
        <v/>
      </c>
      <c r="Y627" s="22" t="str">
        <f>IF(AND(B627&lt;=NKC!$N$8,B627&gt;=NKC!$M$8),"x","")</f>
        <v/>
      </c>
      <c r="Z627" s="580"/>
      <c r="AC627" s="130"/>
      <c r="AD627" s="130"/>
      <c r="AE627" s="130"/>
    </row>
    <row r="628" spans="1:31" s="406" customFormat="1" ht="15.75" customHeight="1">
      <c r="A628" s="123" t="str">
        <f>IF(B628&lt;&gt;"",IF(AND(B628&gt;=_TM1,B628&lt;=_TM2,OR(TH!L628="1111",TH!M628="1111")),TH!D628,""),"")</f>
        <v/>
      </c>
      <c r="B628" s="12">
        <f t="shared" si="23"/>
        <v>12</v>
      </c>
      <c r="C628" s="108">
        <f t="shared" si="24"/>
        <v>42709</v>
      </c>
      <c r="D628" s="108" t="s">
        <v>578</v>
      </c>
      <c r="E628" s="113">
        <v>42709</v>
      </c>
      <c r="F628" s="112" t="s">
        <v>496</v>
      </c>
      <c r="G628" s="303" t="s">
        <v>829</v>
      </c>
      <c r="H628" s="4" t="s">
        <v>814</v>
      </c>
      <c r="I628" s="139"/>
      <c r="J628" s="139"/>
      <c r="K628" s="13">
        <v>1800000</v>
      </c>
      <c r="L628" s="116" t="s">
        <v>252</v>
      </c>
      <c r="M628" s="411" t="s">
        <v>352</v>
      </c>
      <c r="N628" s="22" t="str">
        <f>IF(AND('331-CT'!$E$7=TH!H628,OR(L628="331",M628="331")),"331",IF(AND(OR(L628="131",M628="131"),H628='131-CT'!$E$7),"131",""))</f>
        <v/>
      </c>
      <c r="O628" s="22" t="str">
        <f>IF(AND($B628&gt;='111'!$N$11,$B628&lt;='111'!$O$11,OR($L628=$O$7,$M628=$O$7)),"x","")</f>
        <v/>
      </c>
      <c r="P628" s="22" t="str">
        <f>IF(AND($L628=$O$7,$B628&lt;'111'!$N$11),"x","")</f>
        <v/>
      </c>
      <c r="Q628" s="22" t="str">
        <f>IF(AND($M628=$O$7,$B628&lt;'111'!$N$11),"x","")</f>
        <v/>
      </c>
      <c r="R628" s="22" t="str">
        <f>IF(ISERROR(FIND('112'!$M$9,G628,1)),"",IF((AND(FIND('112'!$M$9,G628,1)&gt;=1,$B628&gt;='112'!$N$8,$B628&lt;='112'!$O$8,OR($L628='112'!$I$6,$M628='112'!$I$6))),"x",""))</f>
        <v/>
      </c>
      <c r="S628" s="22" t="str">
        <f>IF(ISERROR(FIND('112'!$M$9,G628,1)),"",IF((AND(LEFT(G628,2)=LEFT('112'!$M$9,2),B628&lt;'112'!$N$8,$L628='112'!$I$6)),"x",""))</f>
        <v/>
      </c>
      <c r="T628" s="22" t="str">
        <f>IF(ISERROR(FIND('112'!$M$9,G628,1)),"",IF((AND(RIGHT(G628,2)=RIGHT('112'!$M$9,2),B628&lt;'112'!$N$8,$M628='112'!$I$6)),"x",""))</f>
        <v/>
      </c>
      <c r="U628" s="22" t="str">
        <f>IF(AND(B628&gt;='IN-NX'!$P$3,B628&lt;='IN-NX'!$Q$3,'IN-NX'!$D$7=D628,OR(LEFT(L628,2)="15",AND(LEFT(M628,2)&lt;&gt;"15",LEFT(M628,2)&lt;&gt;"33"))),"x","")</f>
        <v/>
      </c>
      <c r="V628" s="22" t="str">
        <f>IF(AND(OR(LEFT(TH!L628,2)="15",LEFT(TH!M628,2)="15"),'152-CT'!$J$8=TH!F628),"x","")</f>
        <v/>
      </c>
      <c r="W628" s="22" t="str">
        <f>IF(AND(OR(LEFT(TH!L628,2)="15",LEFT(TH!M628,2)="15"),TK!$E$7=TH!F628),"x","")</f>
        <v/>
      </c>
      <c r="X628" s="22" t="str">
        <f>IF(OR(TH!L628=TH!$X$7,M628=TH!$X$7),"x","")</f>
        <v/>
      </c>
      <c r="Y628" s="22" t="str">
        <f>IF(AND(B628&lt;=NKC!$N$8,B628&gt;=NKC!$M$8),"x","")</f>
        <v/>
      </c>
      <c r="Z628" s="580"/>
      <c r="AD628" s="130"/>
      <c r="AE628" s="130"/>
    </row>
    <row r="629" spans="1:31" s="406" customFormat="1" ht="15.75" customHeight="1">
      <c r="A629" s="123" t="str">
        <f>IF(B629&lt;&gt;"",IF(AND(B629&gt;=_TM1,B629&lt;=_TM2,OR(TH!L629="1111",TH!M629="1111")),TH!D629,""),"")</f>
        <v>T26</v>
      </c>
      <c r="B629" s="12">
        <f t="shared" si="23"/>
        <v>12</v>
      </c>
      <c r="C629" s="108">
        <f t="shared" si="24"/>
        <v>42709</v>
      </c>
      <c r="D629" s="108" t="s">
        <v>1034</v>
      </c>
      <c r="E629" s="113">
        <v>42709</v>
      </c>
      <c r="F629" s="114" t="s">
        <v>484</v>
      </c>
      <c r="G629" s="303" t="s">
        <v>829</v>
      </c>
      <c r="H629" s="4" t="s">
        <v>814</v>
      </c>
      <c r="I629" s="140"/>
      <c r="J629" s="140"/>
      <c r="K629" s="13">
        <v>19800000</v>
      </c>
      <c r="L629" s="116" t="s">
        <v>46</v>
      </c>
      <c r="M629" s="411" t="s">
        <v>252</v>
      </c>
      <c r="N629" s="22" t="str">
        <f>IF(AND('331-CT'!$E$7=TH!H629,OR(L629="331",M629="331")),"331",IF(AND(OR(L629="131",M629="131"),H629='131-CT'!$E$7),"131",""))</f>
        <v/>
      </c>
      <c r="O629" s="22" t="str">
        <f>IF(AND($B629&gt;='111'!$N$11,$B629&lt;='111'!$O$11,OR($L629=$O$7,$M629=$O$7)),"x","")</f>
        <v>x</v>
      </c>
      <c r="P629" s="22" t="str">
        <f>IF(AND($L629=$O$7,$B629&lt;'111'!$N$11),"x","")</f>
        <v/>
      </c>
      <c r="Q629" s="22" t="str">
        <f>IF(AND($M629=$O$7,$B629&lt;'111'!$N$11),"x","")</f>
        <v/>
      </c>
      <c r="R629" s="22" t="str">
        <f>IF(ISERROR(FIND('112'!$M$9,G629,1)),"",IF((AND(FIND('112'!$M$9,G629,1)&gt;=1,$B629&gt;='112'!$N$8,$B629&lt;='112'!$O$8,OR($L629='112'!$I$6,$M629='112'!$I$6))),"x",""))</f>
        <v/>
      </c>
      <c r="S629" s="22" t="str">
        <f>IF(ISERROR(FIND('112'!$M$9,G629,1)),"",IF((AND(LEFT(G629,2)=LEFT('112'!$M$9,2),B629&lt;'112'!$N$8,$L629='112'!$I$6)),"x",""))</f>
        <v/>
      </c>
      <c r="T629" s="22" t="str">
        <f>IF(ISERROR(FIND('112'!$M$9,G629,1)),"",IF((AND(RIGHT(G629,2)=RIGHT('112'!$M$9,2),B629&lt;'112'!$N$8,$M629='112'!$I$6)),"x",""))</f>
        <v/>
      </c>
      <c r="U629" s="22" t="str">
        <f>IF(AND(B629&gt;='IN-NX'!$P$3,B629&lt;='IN-NX'!$Q$3,'IN-NX'!$D$7=D629,OR(LEFT(L629,2)="15",AND(LEFT(M629,2)&lt;&gt;"15",LEFT(M629,2)&lt;&gt;"33"))),"x","")</f>
        <v/>
      </c>
      <c r="V629" s="22" t="str">
        <f>IF(AND(OR(LEFT(TH!L629,2)="15",LEFT(TH!M629,2)="15"),'152-CT'!$J$8=TH!F629),"x","")</f>
        <v/>
      </c>
      <c r="W629" s="22" t="str">
        <f>IF(AND(OR(LEFT(TH!L629,2)="15",LEFT(TH!M629,2)="15"),TK!$E$7=TH!F629),"x","")</f>
        <v/>
      </c>
      <c r="X629" s="22" t="str">
        <f>IF(OR(TH!L629=TH!$X$7,M629=TH!$X$7),"x","")</f>
        <v/>
      </c>
      <c r="Y629" s="22" t="str">
        <f>IF(AND(B629&lt;=NKC!$N$8,B629&gt;=NKC!$M$8),"x","")</f>
        <v/>
      </c>
      <c r="Z629" s="580"/>
      <c r="AD629" s="130"/>
      <c r="AE629" s="130"/>
    </row>
    <row r="630" spans="1:31" s="406" customFormat="1" ht="15.75" customHeight="1">
      <c r="A630" s="123" t="str">
        <f>IF(B630&lt;&gt;"",IF(AND(B630&gt;=_TM1,B630&lt;=_TM2,OR(TH!L630="1111",TH!M630="1111")),TH!D630,""),"")</f>
        <v/>
      </c>
      <c r="B630" s="12">
        <f t="shared" si="23"/>
        <v>12</v>
      </c>
      <c r="C630" s="108">
        <f t="shared" si="24"/>
        <v>42710</v>
      </c>
      <c r="D630" s="108" t="s">
        <v>579</v>
      </c>
      <c r="E630" s="113">
        <v>42710</v>
      </c>
      <c r="F630" s="112" t="s">
        <v>813</v>
      </c>
      <c r="G630" s="303" t="s">
        <v>830</v>
      </c>
      <c r="H630" s="4" t="s">
        <v>814</v>
      </c>
      <c r="I630" s="139">
        <v>2400</v>
      </c>
      <c r="J630" s="139">
        <v>7500</v>
      </c>
      <c r="K630" s="13">
        <f>ROUND(I630*J630,0)</f>
        <v>18000000</v>
      </c>
      <c r="L630" s="116" t="s">
        <v>252</v>
      </c>
      <c r="M630" s="411" t="s">
        <v>169</v>
      </c>
      <c r="N630" s="22" t="str">
        <f>IF(AND('331-CT'!$E$7=TH!H630,OR(L630="331",M630="331")),"331",IF(AND(OR(L630="131",M630="131"),H630='131-CT'!$E$7),"131",""))</f>
        <v/>
      </c>
      <c r="O630" s="22" t="str">
        <f>IF(AND($B630&gt;='111'!$N$11,$B630&lt;='111'!$O$11,OR($L630=$O$7,$M630=$O$7)),"x","")</f>
        <v/>
      </c>
      <c r="P630" s="22" t="str">
        <f>IF(AND($L630=$O$7,$B630&lt;'111'!$N$11),"x","")</f>
        <v/>
      </c>
      <c r="Q630" s="22" t="str">
        <f>IF(AND($M630=$O$7,$B630&lt;'111'!$N$11),"x","")</f>
        <v/>
      </c>
      <c r="R630" s="22" t="str">
        <f>IF(ISERROR(FIND('112'!$M$9,G630,1)),"",IF((AND(FIND('112'!$M$9,G630,1)&gt;=1,$B630&gt;='112'!$N$8,$B630&lt;='112'!$O$8,OR($L630='112'!$I$6,$M630='112'!$I$6))),"x",""))</f>
        <v/>
      </c>
      <c r="S630" s="22" t="str">
        <f>IF(ISERROR(FIND('112'!$M$9,G630,1)),"",IF((AND(LEFT(G630,2)=LEFT('112'!$M$9,2),B630&lt;'112'!$N$8,$L630='112'!$I$6)),"x",""))</f>
        <v/>
      </c>
      <c r="T630" s="22" t="str">
        <f>IF(ISERROR(FIND('112'!$M$9,G630,1)),"",IF((AND(RIGHT(G630,2)=RIGHT('112'!$M$9,2),B630&lt;'112'!$N$8,$M630='112'!$I$6)),"x",""))</f>
        <v/>
      </c>
      <c r="U630" s="22" t="str">
        <f>IF(AND(B630&gt;='IN-NX'!$P$3,B630&lt;='IN-NX'!$Q$3,'IN-NX'!$D$7=D630,OR(LEFT(L630,2)="15",AND(LEFT(M630,2)&lt;&gt;"15",LEFT(M630,2)&lt;&gt;"33"))),"x","")</f>
        <v/>
      </c>
      <c r="V630" s="22" t="str">
        <f>IF(AND(OR(LEFT(TH!L630,2)="15",LEFT(TH!M630,2)="15"),'152-CT'!$J$8=TH!F630),"x","")</f>
        <v/>
      </c>
      <c r="W630" s="22" t="str">
        <f>IF(AND(OR(LEFT(TH!L630,2)="15",LEFT(TH!M630,2)="15"),TK!$E$7=TH!F630),"x","")</f>
        <v/>
      </c>
      <c r="X630" s="22" t="str">
        <f>IF(OR(TH!L630=TH!$X$7,M630=TH!$X$7),"x","")</f>
        <v/>
      </c>
      <c r="Y630" s="22" t="str">
        <f>IF(AND(B630&lt;=NKC!$N$8,B630&gt;=NKC!$M$8),"x","")</f>
        <v/>
      </c>
      <c r="Z630" s="580"/>
      <c r="AD630" s="130"/>
      <c r="AE630" s="130"/>
    </row>
    <row r="631" spans="1:31" s="406" customFormat="1" ht="15.75" customHeight="1">
      <c r="A631" s="123" t="str">
        <f>IF(B631&lt;&gt;"",IF(AND(B631&gt;=_TM1,B631&lt;=_TM2,OR(TH!L631="1111",TH!M631="1111")),TH!D631,""),"")</f>
        <v/>
      </c>
      <c r="B631" s="12">
        <f t="shared" si="23"/>
        <v>12</v>
      </c>
      <c r="C631" s="108">
        <f t="shared" si="24"/>
        <v>42710</v>
      </c>
      <c r="D631" s="108" t="s">
        <v>579</v>
      </c>
      <c r="E631" s="113">
        <v>42710</v>
      </c>
      <c r="F631" s="112" t="s">
        <v>496</v>
      </c>
      <c r="G631" s="303" t="s">
        <v>830</v>
      </c>
      <c r="H631" s="4" t="s">
        <v>814</v>
      </c>
      <c r="I631" s="139"/>
      <c r="J631" s="139"/>
      <c r="K631" s="13">
        <v>1800000</v>
      </c>
      <c r="L631" s="116" t="s">
        <v>252</v>
      </c>
      <c r="M631" s="411" t="s">
        <v>352</v>
      </c>
      <c r="N631" s="22" t="str">
        <f>IF(AND('331-CT'!$E$7=TH!H631,OR(L631="331",M631="331")),"331",IF(AND(OR(L631="131",M631="131"),H631='131-CT'!$E$7),"131",""))</f>
        <v/>
      </c>
      <c r="O631" s="22" t="str">
        <f>IF(AND($B631&gt;='111'!$N$11,$B631&lt;='111'!$O$11,OR($L631=$O$7,$M631=$O$7)),"x","")</f>
        <v/>
      </c>
      <c r="P631" s="22" t="str">
        <f>IF(AND($L631=$O$7,$B631&lt;'111'!$N$11),"x","")</f>
        <v/>
      </c>
      <c r="Q631" s="22" t="str">
        <f>IF(AND($M631=$O$7,$B631&lt;'111'!$N$11),"x","")</f>
        <v/>
      </c>
      <c r="R631" s="22" t="str">
        <f>IF(ISERROR(FIND('112'!$M$9,G631,1)),"",IF((AND(FIND('112'!$M$9,G631,1)&gt;=1,$B631&gt;='112'!$N$8,$B631&lt;='112'!$O$8,OR($L631='112'!$I$6,$M631='112'!$I$6))),"x",""))</f>
        <v/>
      </c>
      <c r="S631" s="22" t="str">
        <f>IF(ISERROR(FIND('112'!$M$9,G631,1)),"",IF((AND(LEFT(G631,2)=LEFT('112'!$M$9,2),B631&lt;'112'!$N$8,$L631='112'!$I$6)),"x",""))</f>
        <v/>
      </c>
      <c r="T631" s="22" t="str">
        <f>IF(ISERROR(FIND('112'!$M$9,G631,1)),"",IF((AND(RIGHT(G631,2)=RIGHT('112'!$M$9,2),B631&lt;'112'!$N$8,$M631='112'!$I$6)),"x",""))</f>
        <v/>
      </c>
      <c r="U631" s="22" t="str">
        <f>IF(AND(B631&gt;='IN-NX'!$P$3,B631&lt;='IN-NX'!$Q$3,'IN-NX'!$D$7=D631,OR(LEFT(L631,2)="15",AND(LEFT(M631,2)&lt;&gt;"15",LEFT(M631,2)&lt;&gt;"33"))),"x","")</f>
        <v/>
      </c>
      <c r="V631" s="22" t="str">
        <f>IF(AND(OR(LEFT(TH!L631,2)="15",LEFT(TH!M631,2)="15"),'152-CT'!$J$8=TH!F631),"x","")</f>
        <v/>
      </c>
      <c r="W631" s="22" t="str">
        <f>IF(AND(OR(LEFT(TH!L631,2)="15",LEFT(TH!M631,2)="15"),TK!$E$7=TH!F631),"x","")</f>
        <v/>
      </c>
      <c r="X631" s="22" t="str">
        <f>IF(OR(TH!L631=TH!$X$7,M631=TH!$X$7),"x","")</f>
        <v/>
      </c>
      <c r="Y631" s="22" t="str">
        <f>IF(AND(B631&lt;=NKC!$N$8,B631&gt;=NKC!$M$8),"x","")</f>
        <v/>
      </c>
      <c r="Z631" s="580"/>
      <c r="AD631" s="130"/>
      <c r="AE631" s="130"/>
    </row>
    <row r="632" spans="1:31" s="406" customFormat="1" ht="15.75" customHeight="1">
      <c r="A632" s="123" t="str">
        <f>IF(B632&lt;&gt;"",IF(AND(B632&gt;=_TM1,B632&lt;=_TM2,OR(TH!L632="1111",TH!M632="1111")),TH!D632,""),"")</f>
        <v>T27</v>
      </c>
      <c r="B632" s="12">
        <f t="shared" si="23"/>
        <v>12</v>
      </c>
      <c r="C632" s="108">
        <f t="shared" si="24"/>
        <v>42710</v>
      </c>
      <c r="D632" s="108" t="s">
        <v>1035</v>
      </c>
      <c r="E632" s="113">
        <v>42710</v>
      </c>
      <c r="F632" s="114" t="s">
        <v>484</v>
      </c>
      <c r="G632" s="303" t="s">
        <v>830</v>
      </c>
      <c r="H632" s="4" t="s">
        <v>814</v>
      </c>
      <c r="I632" s="140"/>
      <c r="J632" s="140"/>
      <c r="K632" s="13">
        <v>19800000</v>
      </c>
      <c r="L632" s="116" t="s">
        <v>46</v>
      </c>
      <c r="M632" s="411" t="s">
        <v>252</v>
      </c>
      <c r="N632" s="22" t="str">
        <f>IF(AND('331-CT'!$E$7=TH!H632,OR(L632="331",M632="331")),"331",IF(AND(OR(L632="131",M632="131"),H632='131-CT'!$E$7),"131",""))</f>
        <v/>
      </c>
      <c r="O632" s="22" t="str">
        <f>IF(AND($B632&gt;='111'!$N$11,$B632&lt;='111'!$O$11,OR($L632=$O$7,$M632=$O$7)),"x","")</f>
        <v>x</v>
      </c>
      <c r="P632" s="22" t="str">
        <f>IF(AND($L632=$O$7,$B632&lt;'111'!$N$11),"x","")</f>
        <v/>
      </c>
      <c r="Q632" s="22" t="str">
        <f>IF(AND($M632=$O$7,$B632&lt;'111'!$N$11),"x","")</f>
        <v/>
      </c>
      <c r="R632" s="22" t="str">
        <f>IF(ISERROR(FIND('112'!$M$9,G632,1)),"",IF((AND(FIND('112'!$M$9,G632,1)&gt;=1,$B632&gt;='112'!$N$8,$B632&lt;='112'!$O$8,OR($L632='112'!$I$6,$M632='112'!$I$6))),"x",""))</f>
        <v/>
      </c>
      <c r="S632" s="22" t="str">
        <f>IF(ISERROR(FIND('112'!$M$9,G632,1)),"",IF((AND(LEFT(G632,2)=LEFT('112'!$M$9,2),B632&lt;'112'!$N$8,$L632='112'!$I$6)),"x",""))</f>
        <v/>
      </c>
      <c r="T632" s="22" t="str">
        <f>IF(ISERROR(FIND('112'!$M$9,G632,1)),"",IF((AND(RIGHT(G632,2)=RIGHT('112'!$M$9,2),B632&lt;'112'!$N$8,$M632='112'!$I$6)),"x",""))</f>
        <v/>
      </c>
      <c r="U632" s="22" t="str">
        <f>IF(AND(B632&gt;='IN-NX'!$P$3,B632&lt;='IN-NX'!$Q$3,'IN-NX'!$D$7=D632,OR(LEFT(L632,2)="15",AND(LEFT(M632,2)&lt;&gt;"15",LEFT(M632,2)&lt;&gt;"33"))),"x","")</f>
        <v/>
      </c>
      <c r="V632" s="22" t="str">
        <f>IF(AND(OR(LEFT(TH!L632,2)="15",LEFT(TH!M632,2)="15"),'152-CT'!$J$8=TH!F632),"x","")</f>
        <v/>
      </c>
      <c r="W632" s="22" t="str">
        <f>IF(AND(OR(LEFT(TH!L632,2)="15",LEFT(TH!M632,2)="15"),TK!$E$7=TH!F632),"x","")</f>
        <v/>
      </c>
      <c r="X632" s="22" t="str">
        <f>IF(OR(TH!L632=TH!$X$7,M632=TH!$X$7),"x","")</f>
        <v/>
      </c>
      <c r="Y632" s="22" t="str">
        <f>IF(AND(B632&lt;=NKC!$N$8,B632&gt;=NKC!$M$8),"x","")</f>
        <v/>
      </c>
      <c r="Z632" s="580"/>
      <c r="AD632" s="130"/>
      <c r="AE632" s="130"/>
    </row>
    <row r="633" spans="1:31" s="406" customFormat="1" ht="15.75" customHeight="1">
      <c r="A633" s="123" t="str">
        <f>IF(B633&lt;&gt;"",IF(AND(B633&gt;=_TM1,B633&lt;=_TM2,OR(TH!L633="1111",TH!M633="1111")),TH!D633,""),"")</f>
        <v/>
      </c>
      <c r="B633" s="12">
        <f t="shared" si="23"/>
        <v>12</v>
      </c>
      <c r="C633" s="108">
        <f t="shared" si="24"/>
        <v>42712</v>
      </c>
      <c r="D633" s="113" t="s">
        <v>949</v>
      </c>
      <c r="E633" s="108">
        <v>42712</v>
      </c>
      <c r="F633" s="112" t="s">
        <v>444</v>
      </c>
      <c r="G633" s="303" t="s">
        <v>943</v>
      </c>
      <c r="H633" s="115" t="s">
        <v>442</v>
      </c>
      <c r="I633" s="139">
        <v>19820</v>
      </c>
      <c r="J633" s="139">
        <v>800</v>
      </c>
      <c r="K633" s="13">
        <f>ROUND(I633*J633,0)</f>
        <v>15856000</v>
      </c>
      <c r="L633" s="116" t="s">
        <v>156</v>
      </c>
      <c r="M633" s="116" t="s">
        <v>8</v>
      </c>
      <c r="N633" s="22" t="str">
        <f>IF(AND('331-CT'!$E$7=TH!H633,OR(L633="331",M633="331")),"331",IF(AND(OR(L633="131",M633="131"),H633='131-CT'!$E$7),"131",""))</f>
        <v>331</v>
      </c>
      <c r="O633" s="22" t="str">
        <f>IF(AND($B633&gt;='111'!$N$11,$B633&lt;='111'!$O$11,OR($L633=$O$7,$M633=$O$7)),"x","")</f>
        <v/>
      </c>
      <c r="P633" s="22" t="str">
        <f>IF(AND($L633=$O$7,$B633&lt;'111'!$N$11),"x","")</f>
        <v/>
      </c>
      <c r="Q633" s="22" t="str">
        <f>IF(AND($M633=$O$7,$B633&lt;'111'!$N$11),"x","")</f>
        <v/>
      </c>
      <c r="R633" s="22" t="str">
        <f>IF(ISERROR(FIND('112'!$M$9,G633,1)),"",IF((AND(FIND('112'!$M$9,G633,1)&gt;=1,$B633&gt;='112'!$N$8,$B633&lt;='112'!$O$8,OR($L633='112'!$I$6,$M633='112'!$I$6))),"x",""))</f>
        <v/>
      </c>
      <c r="S633" s="22" t="str">
        <f>IF(ISERROR(FIND('112'!$M$9,G633,1)),"",IF((AND(LEFT(G633,2)=LEFT('112'!$M$9,2),B633&lt;'112'!$N$8,$L633='112'!$I$6)),"x",""))</f>
        <v/>
      </c>
      <c r="T633" s="22" t="str">
        <f>IF(ISERROR(FIND('112'!$M$9,G633,1)),"",IF((AND(RIGHT(G633,2)=RIGHT('112'!$M$9,2),B633&lt;'112'!$N$8,$M633='112'!$I$6)),"x",""))</f>
        <v/>
      </c>
      <c r="U633" s="22" t="str">
        <f>IF(AND(B633&gt;='IN-NX'!$P$3,B633&lt;='IN-NX'!$Q$3,'IN-NX'!$D$7=D633,OR(LEFT(L633,2)="15",AND(LEFT(M633,2)&lt;&gt;"15",LEFT(M633,2)&lt;&gt;"33"))),"x","")</f>
        <v/>
      </c>
      <c r="V633" s="22" t="str">
        <f>IF(AND(OR(LEFT(TH!L633,2)="15",LEFT(TH!M633,2)="15"),'152-CT'!$J$8=TH!F633),"x","")</f>
        <v/>
      </c>
      <c r="W633" s="22" t="str">
        <f>IF(AND(OR(LEFT(TH!L633,2)="15",LEFT(TH!M633,2)="15"),TK!$E$7=TH!F633),"x","")</f>
        <v>x</v>
      </c>
      <c r="X633" s="22" t="str">
        <f>IF(OR(TH!L633=TH!$X$7,M633=TH!$X$7),"x","")</f>
        <v/>
      </c>
      <c r="Y633" s="22" t="str">
        <f>IF(AND(B633&lt;=NKC!$N$8,B633&gt;=NKC!$M$8),"x","")</f>
        <v/>
      </c>
      <c r="Z633" s="580">
        <v>4</v>
      </c>
    </row>
    <row r="634" spans="1:31" s="406" customFormat="1" ht="15.75" customHeight="1">
      <c r="A634" s="123" t="str">
        <f>IF(B634&lt;&gt;"",IF(AND(B634&gt;=_TM1,B634&lt;=_TM2,OR(TH!L634="1111",TH!M634="1111")),TH!D634,""),"")</f>
        <v/>
      </c>
      <c r="B634" s="12">
        <f t="shared" si="23"/>
        <v>12</v>
      </c>
      <c r="C634" s="108">
        <f t="shared" si="24"/>
        <v>42712</v>
      </c>
      <c r="D634" s="113" t="s">
        <v>949</v>
      </c>
      <c r="E634" s="108">
        <v>42712</v>
      </c>
      <c r="F634" s="112" t="s">
        <v>445</v>
      </c>
      <c r="G634" s="303" t="s">
        <v>943</v>
      </c>
      <c r="H634" s="115" t="s">
        <v>442</v>
      </c>
      <c r="I634" s="139"/>
      <c r="J634" s="139"/>
      <c r="K634" s="410">
        <v>1585600</v>
      </c>
      <c r="L634" s="116" t="s">
        <v>9</v>
      </c>
      <c r="M634" s="116" t="s">
        <v>8</v>
      </c>
      <c r="N634" s="22" t="str">
        <f>IF(AND('331-CT'!$E$7=TH!H634,OR(L634="331",M634="331")),"331",IF(AND(OR(L634="131",M634="131"),H634='131-CT'!$E$7),"131",""))</f>
        <v>331</v>
      </c>
      <c r="O634" s="22" t="str">
        <f>IF(AND($B634&gt;='111'!$N$11,$B634&lt;='111'!$O$11,OR($L634=$O$7,$M634=$O$7)),"x","")</f>
        <v/>
      </c>
      <c r="P634" s="22" t="str">
        <f>IF(AND($L634=$O$7,$B634&lt;'111'!$N$11),"x","")</f>
        <v/>
      </c>
      <c r="Q634" s="22" t="str">
        <f>IF(AND($M634=$O$7,$B634&lt;'111'!$N$11),"x","")</f>
        <v/>
      </c>
      <c r="R634" s="22" t="str">
        <f>IF(ISERROR(FIND('112'!$M$9,G634,1)),"",IF((AND(FIND('112'!$M$9,G634,1)&gt;=1,$B634&gt;='112'!$N$8,$B634&lt;='112'!$O$8,OR($L634='112'!$I$6,$M634='112'!$I$6))),"x",""))</f>
        <v/>
      </c>
      <c r="S634" s="22" t="str">
        <f>IF(ISERROR(FIND('112'!$M$9,G634,1)),"",IF((AND(LEFT(G634,2)=LEFT('112'!$M$9,2),B634&lt;'112'!$N$8,$L634='112'!$I$6)),"x",""))</f>
        <v/>
      </c>
      <c r="T634" s="22" t="str">
        <f>IF(ISERROR(FIND('112'!$M$9,G634,1)),"",IF((AND(RIGHT(G634,2)=RIGHT('112'!$M$9,2),B634&lt;'112'!$N$8,$M634='112'!$I$6)),"x",""))</f>
        <v/>
      </c>
      <c r="U634" s="22" t="str">
        <f>IF(AND(B634&gt;='IN-NX'!$P$3,B634&lt;='IN-NX'!$Q$3,'IN-NX'!$D$7=D634,OR(LEFT(L634,2)="15",AND(LEFT(M634,2)&lt;&gt;"15",LEFT(M634,2)&lt;&gt;"33"))),"x","")</f>
        <v/>
      </c>
      <c r="V634" s="22" t="str">
        <f>IF(AND(OR(LEFT(TH!L634,2)="15",LEFT(TH!M634,2)="15"),'152-CT'!$J$8=TH!F634),"x","")</f>
        <v/>
      </c>
      <c r="W634" s="22" t="str">
        <f>IF(AND(OR(LEFT(TH!L634,2)="15",LEFT(TH!M634,2)="15"),TK!$E$7=TH!F634),"x","")</f>
        <v/>
      </c>
      <c r="X634" s="22" t="str">
        <f>IF(OR(TH!L634=TH!$X$7,M634=TH!$X$7),"x","")</f>
        <v/>
      </c>
      <c r="Y634" s="22" t="str">
        <f>IF(AND(B634&lt;=NKC!$N$8,B634&gt;=NKC!$M$8),"x","")</f>
        <v/>
      </c>
      <c r="Z634" s="580">
        <v>4</v>
      </c>
    </row>
    <row r="635" spans="1:31" s="406" customFormat="1" ht="15.75" customHeight="1">
      <c r="A635" s="123" t="str">
        <f>IF(B635&lt;&gt;"",IF(AND(B635&gt;=_TM1,B635&lt;=_TM2,OR(TH!L635="1111",TH!M635="1111")),TH!D635,""),"")</f>
        <v>C24</v>
      </c>
      <c r="B635" s="12">
        <f t="shared" si="23"/>
        <v>12</v>
      </c>
      <c r="C635" s="108">
        <f t="shared" si="24"/>
        <v>42712</v>
      </c>
      <c r="D635" s="113" t="s">
        <v>1014</v>
      </c>
      <c r="E635" s="108">
        <v>42712</v>
      </c>
      <c r="F635" s="112" t="s">
        <v>465</v>
      </c>
      <c r="G635" s="303" t="s">
        <v>943</v>
      </c>
      <c r="H635" s="115" t="s">
        <v>442</v>
      </c>
      <c r="I635" s="139"/>
      <c r="J635" s="139"/>
      <c r="K635" s="410">
        <v>17441600</v>
      </c>
      <c r="L635" s="116" t="s">
        <v>8</v>
      </c>
      <c r="M635" s="116" t="s">
        <v>46</v>
      </c>
      <c r="N635" s="22" t="str">
        <f>IF(AND('331-CT'!$E$7=TH!H635,OR(L635="331",M635="331")),"331",IF(AND(OR(L635="131",M635="131"),H635='131-CT'!$E$7),"131",""))</f>
        <v>331</v>
      </c>
      <c r="O635" s="22" t="str">
        <f>IF(AND($B635&gt;='111'!$N$11,$B635&lt;='111'!$O$11,OR($L635=$O$7,$M635=$O$7)),"x","")</f>
        <v>x</v>
      </c>
      <c r="P635" s="22" t="str">
        <f>IF(AND($L635=$O$7,$B635&lt;'111'!$N$11),"x","")</f>
        <v/>
      </c>
      <c r="Q635" s="22" t="str">
        <f>IF(AND($M635=$O$7,$B635&lt;'111'!$N$11),"x","")</f>
        <v/>
      </c>
      <c r="R635" s="22" t="str">
        <f>IF(ISERROR(FIND('112'!$M$9,G635,1)),"",IF((AND(FIND('112'!$M$9,G635,1)&gt;=1,$B635&gt;='112'!$N$8,$B635&lt;='112'!$O$8,OR($L635='112'!$I$6,$M635='112'!$I$6))),"x",""))</f>
        <v/>
      </c>
      <c r="S635" s="22" t="str">
        <f>IF(ISERROR(FIND('112'!$M$9,G635,1)),"",IF((AND(LEFT(G635,2)=LEFT('112'!$M$9,2),B635&lt;'112'!$N$8,$L635='112'!$I$6)),"x",""))</f>
        <v/>
      </c>
      <c r="T635" s="22" t="str">
        <f>IF(ISERROR(FIND('112'!$M$9,G635,1)),"",IF((AND(RIGHT(G635,2)=RIGHT('112'!$M$9,2),B635&lt;'112'!$N$8,$M635='112'!$I$6)),"x",""))</f>
        <v/>
      </c>
      <c r="U635" s="22" t="str">
        <f>IF(AND(B635&gt;='IN-NX'!$P$3,B635&lt;='IN-NX'!$Q$3,'IN-NX'!$D$7=D635,OR(LEFT(L635,2)="15",AND(LEFT(M635,2)&lt;&gt;"15",LEFT(M635,2)&lt;&gt;"33"))),"x","")</f>
        <v/>
      </c>
      <c r="V635" s="22" t="str">
        <f>IF(AND(OR(LEFT(TH!L635,2)="15",LEFT(TH!M635,2)="15"),'152-CT'!$J$8=TH!F635),"x","")</f>
        <v/>
      </c>
      <c r="W635" s="22" t="str">
        <f>IF(AND(OR(LEFT(TH!L635,2)="15",LEFT(TH!M635,2)="15"),TK!$E$7=TH!F635),"x","")</f>
        <v/>
      </c>
      <c r="X635" s="22" t="str">
        <f>IF(OR(TH!L635=TH!$X$7,M635=TH!$X$7),"x","")</f>
        <v/>
      </c>
      <c r="Y635" s="22" t="str">
        <f>IF(AND(B635&lt;=NKC!$N$8,B635&gt;=NKC!$M$8),"x","")</f>
        <v/>
      </c>
      <c r="Z635" s="580"/>
    </row>
    <row r="636" spans="1:31" s="406" customFormat="1" ht="15.75" customHeight="1">
      <c r="A636" s="123" t="str">
        <f>IF(B636&lt;&gt;"",IF(AND(B636&gt;=_TM1,B636&lt;=_TM2,OR(TH!L636="1111",TH!M636="1111")),TH!D636,""),"")</f>
        <v/>
      </c>
      <c r="B636" s="12">
        <f t="shared" si="23"/>
        <v>12</v>
      </c>
      <c r="C636" s="108">
        <f t="shared" si="24"/>
        <v>42713</v>
      </c>
      <c r="D636" s="108" t="s">
        <v>469</v>
      </c>
      <c r="E636" s="113">
        <v>42713</v>
      </c>
      <c r="F636" s="112" t="s">
        <v>484</v>
      </c>
      <c r="G636" s="114" t="s">
        <v>474</v>
      </c>
      <c r="H636" s="4" t="s">
        <v>831</v>
      </c>
      <c r="I636" s="139"/>
      <c r="J636" s="141"/>
      <c r="K636" s="13">
        <v>15576000</v>
      </c>
      <c r="L636" s="116" t="s">
        <v>24</v>
      </c>
      <c r="M636" s="411" t="s">
        <v>252</v>
      </c>
      <c r="N636" s="22" t="str">
        <f>IF(AND('331-CT'!$E$7=TH!H636,OR(L636="331",M636="331")),"331",IF(AND(OR(L636="131",M636="131"),H636='131-CT'!$E$7),"131",""))</f>
        <v/>
      </c>
      <c r="O636" s="22" t="str">
        <f>IF(AND($B636&gt;='111'!$N$11,$B636&lt;='111'!$O$11,OR($L636=$O$7,$M636=$O$7)),"x","")</f>
        <v/>
      </c>
      <c r="P636" s="22" t="str">
        <f>IF(AND($L636=$O$7,$B636&lt;'111'!$N$11),"x","")</f>
        <v/>
      </c>
      <c r="Q636" s="22" t="str">
        <f>IF(AND($M636=$O$7,$B636&lt;'111'!$N$11),"x","")</f>
        <v/>
      </c>
      <c r="R636" s="22" t="str">
        <f>IF(ISERROR(FIND('112'!$M$9,G636,1)),"",IF((AND(FIND('112'!$M$9,G636,1)&gt;=1,$B636&gt;='112'!$N$8,$B636&lt;='112'!$O$8,OR($L636='112'!$I$6,$M636='112'!$I$6))),"x",""))</f>
        <v>x</v>
      </c>
      <c r="S636" s="22" t="str">
        <f>IF(ISERROR(FIND('112'!$M$9,G636,1)),"",IF((AND(LEFT(G636,2)=LEFT('112'!$M$9,2),B636&lt;'112'!$N$8,$L636='112'!$I$6)),"x",""))</f>
        <v/>
      </c>
      <c r="T636" s="22" t="str">
        <f>IF(ISERROR(FIND('112'!$M$9,G636,1)),"",IF((AND(RIGHT(G636,2)=RIGHT('112'!$M$9,2),B636&lt;'112'!$N$8,$M636='112'!$I$6)),"x",""))</f>
        <v/>
      </c>
      <c r="U636" s="22" t="str">
        <f>IF(AND(B636&gt;='IN-NX'!$P$3,B636&lt;='IN-NX'!$Q$3,'IN-NX'!$D$7=D636,OR(LEFT(L636,2)="15",AND(LEFT(M636,2)&lt;&gt;"15",LEFT(M636,2)&lt;&gt;"33"))),"x","")</f>
        <v/>
      </c>
      <c r="V636" s="22" t="str">
        <f>IF(AND(OR(LEFT(TH!L636,2)="15",LEFT(TH!M636,2)="15"),'152-CT'!$J$8=TH!F636),"x","")</f>
        <v/>
      </c>
      <c r="W636" s="22" t="str">
        <f>IF(AND(OR(LEFT(TH!L636,2)="15",LEFT(TH!M636,2)="15"),TK!$E$7=TH!F636),"x","")</f>
        <v/>
      </c>
      <c r="X636" s="22" t="str">
        <f>IF(OR(TH!L636=TH!$X$7,M636=TH!$X$7),"x","")</f>
        <v/>
      </c>
      <c r="Y636" s="22" t="str">
        <f>IF(AND(B636&lt;=NKC!$N$8,B636&gt;=NKC!$M$8),"x","")</f>
        <v/>
      </c>
      <c r="Z636" s="580"/>
      <c r="AD636" s="130"/>
      <c r="AE636" s="130"/>
    </row>
    <row r="637" spans="1:31" s="406" customFormat="1" ht="15.75" customHeight="1">
      <c r="A637" s="123" t="str">
        <f>IF(B637&lt;&gt;"",IF(AND(B637&gt;=_TM1,B637&lt;=_TM2,OR(TH!L637="1111",TH!M637="1111")),TH!D637,""),"")</f>
        <v/>
      </c>
      <c r="B637" s="12">
        <f t="shared" si="23"/>
        <v>12</v>
      </c>
      <c r="C637" s="108">
        <f t="shared" si="24"/>
        <v>42713</v>
      </c>
      <c r="D637" s="108" t="s">
        <v>580</v>
      </c>
      <c r="E637" s="113">
        <v>42713</v>
      </c>
      <c r="F637" s="112" t="s">
        <v>833</v>
      </c>
      <c r="G637" s="303" t="s">
        <v>832</v>
      </c>
      <c r="H637" s="129" t="s">
        <v>831</v>
      </c>
      <c r="I637" s="139">
        <v>400</v>
      </c>
      <c r="J637" s="139">
        <v>13400</v>
      </c>
      <c r="K637" s="13">
        <f>ROUND(I637*J637,0)</f>
        <v>5360000</v>
      </c>
      <c r="L637" s="116" t="s">
        <v>252</v>
      </c>
      <c r="M637" s="411" t="s">
        <v>169</v>
      </c>
      <c r="N637" s="22" t="str">
        <f>IF(AND('331-CT'!$E$7=TH!H637,OR(L637="331",M637="331")),"331",IF(AND(OR(L637="131",M637="131"),H637='131-CT'!$E$7),"131",""))</f>
        <v/>
      </c>
      <c r="O637" s="22" t="str">
        <f>IF(AND($B637&gt;='111'!$N$11,$B637&lt;='111'!$O$11,OR($L637=$O$7,$M637=$O$7)),"x","")</f>
        <v/>
      </c>
      <c r="P637" s="22" t="str">
        <f>IF(AND($L637=$O$7,$B637&lt;'111'!$N$11),"x","")</f>
        <v/>
      </c>
      <c r="Q637" s="22" t="str">
        <f>IF(AND($M637=$O$7,$B637&lt;'111'!$N$11),"x","")</f>
        <v/>
      </c>
      <c r="R637" s="22" t="str">
        <f>IF(ISERROR(FIND('112'!$M$9,G637,1)),"",IF((AND(FIND('112'!$M$9,G637,1)&gt;=1,$B637&gt;='112'!$N$8,$B637&lt;='112'!$O$8,OR($L637='112'!$I$6,$M637='112'!$I$6))),"x",""))</f>
        <v/>
      </c>
      <c r="S637" s="22" t="str">
        <f>IF(ISERROR(FIND('112'!$M$9,G637,1)),"",IF((AND(LEFT(G637,2)=LEFT('112'!$M$9,2),B637&lt;'112'!$N$8,$L637='112'!$I$6)),"x",""))</f>
        <v/>
      </c>
      <c r="T637" s="22" t="str">
        <f>IF(ISERROR(FIND('112'!$M$9,G637,1)),"",IF((AND(RIGHT(G637,2)=RIGHT('112'!$M$9,2),B637&lt;'112'!$N$8,$M637='112'!$I$6)),"x",""))</f>
        <v/>
      </c>
      <c r="U637" s="22" t="str">
        <f>IF(AND(B637&gt;='IN-NX'!$P$3,B637&lt;='IN-NX'!$Q$3,'IN-NX'!$D$7=D637,OR(LEFT(L637,2)="15",AND(LEFT(M637,2)&lt;&gt;"15",LEFT(M637,2)&lt;&gt;"33"))),"x","")</f>
        <v/>
      </c>
      <c r="V637" s="22" t="str">
        <f>IF(AND(OR(LEFT(TH!L637,2)="15",LEFT(TH!M637,2)="15"),'152-CT'!$J$8=TH!F637),"x","")</f>
        <v/>
      </c>
      <c r="W637" s="22" t="str">
        <f>IF(AND(OR(LEFT(TH!L637,2)="15",LEFT(TH!M637,2)="15"),TK!$E$7=TH!F637),"x","")</f>
        <v/>
      </c>
      <c r="X637" s="22" t="str">
        <f>IF(OR(TH!L637=TH!$X$7,M637=TH!$X$7),"x","")</f>
        <v/>
      </c>
      <c r="Y637" s="22" t="str">
        <f>IF(AND(B637&lt;=NKC!$N$8,B637&gt;=NKC!$M$8),"x","")</f>
        <v/>
      </c>
      <c r="Z637" s="580"/>
      <c r="AC637" s="130"/>
      <c r="AD637" s="130"/>
      <c r="AE637" s="130"/>
    </row>
    <row r="638" spans="1:31" s="406" customFormat="1" ht="15.75" customHeight="1">
      <c r="A638" s="123" t="str">
        <f>IF(B638&lt;&gt;"",IF(AND(B638&gt;=_TM1,B638&lt;=_TM2,OR(TH!L638="1111",TH!M638="1111")),TH!D638,""),"")</f>
        <v/>
      </c>
      <c r="B638" s="12">
        <f t="shared" si="23"/>
        <v>12</v>
      </c>
      <c r="C638" s="108">
        <f t="shared" si="24"/>
        <v>42713</v>
      </c>
      <c r="D638" s="108" t="s">
        <v>580</v>
      </c>
      <c r="E638" s="113">
        <v>42713</v>
      </c>
      <c r="F638" s="112" t="s">
        <v>834</v>
      </c>
      <c r="G638" s="303" t="s">
        <v>832</v>
      </c>
      <c r="H638" s="129" t="s">
        <v>831</v>
      </c>
      <c r="I638" s="139">
        <v>4000</v>
      </c>
      <c r="J638" s="139">
        <v>2200</v>
      </c>
      <c r="K638" s="13">
        <f>ROUND(I638*J638,0)</f>
        <v>8800000</v>
      </c>
      <c r="L638" s="116" t="s">
        <v>252</v>
      </c>
      <c r="M638" s="411" t="s">
        <v>169</v>
      </c>
      <c r="N638" s="22" t="str">
        <f>IF(AND('331-CT'!$E$7=TH!H638,OR(L638="331",M638="331")),"331",IF(AND(OR(L638="131",M638="131"),H638='131-CT'!$E$7),"131",""))</f>
        <v/>
      </c>
      <c r="O638" s="22" t="str">
        <f>IF(AND($B638&gt;='111'!$N$11,$B638&lt;='111'!$O$11,OR($L638=$O$7,$M638=$O$7)),"x","")</f>
        <v/>
      </c>
      <c r="P638" s="22" t="str">
        <f>IF(AND($L638=$O$7,$B638&lt;'111'!$N$11),"x","")</f>
        <v/>
      </c>
      <c r="Q638" s="22" t="str">
        <f>IF(AND($M638=$O$7,$B638&lt;'111'!$N$11),"x","")</f>
        <v/>
      </c>
      <c r="R638" s="22" t="str">
        <f>IF(ISERROR(FIND('112'!$M$9,G638,1)),"",IF((AND(FIND('112'!$M$9,G638,1)&gt;=1,$B638&gt;='112'!$N$8,$B638&lt;='112'!$O$8,OR($L638='112'!$I$6,$M638='112'!$I$6))),"x",""))</f>
        <v/>
      </c>
      <c r="S638" s="22" t="str">
        <f>IF(ISERROR(FIND('112'!$M$9,G638,1)),"",IF((AND(LEFT(G638,2)=LEFT('112'!$M$9,2),B638&lt;'112'!$N$8,$L638='112'!$I$6)),"x",""))</f>
        <v/>
      </c>
      <c r="T638" s="22" t="str">
        <f>IF(ISERROR(FIND('112'!$M$9,G638,1)),"",IF((AND(RIGHT(G638,2)=RIGHT('112'!$M$9,2),B638&lt;'112'!$N$8,$M638='112'!$I$6)),"x",""))</f>
        <v/>
      </c>
      <c r="U638" s="22" t="str">
        <f>IF(AND(B638&gt;='IN-NX'!$P$3,B638&lt;='IN-NX'!$Q$3,'IN-NX'!$D$7=D638,OR(LEFT(L638,2)="15",AND(LEFT(M638,2)&lt;&gt;"15",LEFT(M638,2)&lt;&gt;"33"))),"x","")</f>
        <v/>
      </c>
      <c r="V638" s="22" t="str">
        <f>IF(AND(OR(LEFT(TH!L638,2)="15",LEFT(TH!M638,2)="15"),'152-CT'!$J$8=TH!F638),"x","")</f>
        <v/>
      </c>
      <c r="W638" s="22" t="str">
        <f>IF(AND(OR(LEFT(TH!L638,2)="15",LEFT(TH!M638,2)="15"),TK!$E$7=TH!F638),"x","")</f>
        <v/>
      </c>
      <c r="X638" s="22" t="str">
        <f>IF(OR(TH!L638=TH!$X$7,M638=TH!$X$7),"x","")</f>
        <v/>
      </c>
      <c r="Y638" s="22" t="str">
        <f>IF(AND(B638&lt;=NKC!$N$8,B638&gt;=NKC!$M$8),"x","")</f>
        <v/>
      </c>
      <c r="Z638" s="580"/>
      <c r="AD638" s="130"/>
      <c r="AE638" s="130"/>
    </row>
    <row r="639" spans="1:31" s="130" customFormat="1" ht="15.75" customHeight="1">
      <c r="A639" s="123" t="str">
        <f>IF(B639&lt;&gt;"",IF(AND(B639&gt;=_TM1,B639&lt;=_TM2,OR(TH!L639="1111",TH!M639="1111")),TH!D639,""),"")</f>
        <v/>
      </c>
      <c r="B639" s="12">
        <f t="shared" si="23"/>
        <v>12</v>
      </c>
      <c r="C639" s="108">
        <f t="shared" si="24"/>
        <v>42713</v>
      </c>
      <c r="D639" s="108" t="s">
        <v>580</v>
      </c>
      <c r="E639" s="113">
        <v>42713</v>
      </c>
      <c r="F639" s="112" t="s">
        <v>496</v>
      </c>
      <c r="G639" s="303" t="s">
        <v>832</v>
      </c>
      <c r="H639" s="129" t="s">
        <v>831</v>
      </c>
      <c r="I639" s="140"/>
      <c r="J639" s="140"/>
      <c r="K639" s="13">
        <v>1416000</v>
      </c>
      <c r="L639" s="116" t="s">
        <v>252</v>
      </c>
      <c r="M639" s="411" t="s">
        <v>352</v>
      </c>
      <c r="N639" s="22" t="str">
        <f>IF(AND('331-CT'!$E$7=TH!H639,OR(L639="331",M639="331")),"331",IF(AND(OR(L639="131",M639="131"),H639='131-CT'!$E$7),"131",""))</f>
        <v/>
      </c>
      <c r="O639" s="22" t="str">
        <f>IF(AND($B639&gt;='111'!$N$11,$B639&lt;='111'!$O$11,OR($L639=$O$7,$M639=$O$7)),"x","")</f>
        <v/>
      </c>
      <c r="P639" s="22" t="str">
        <f>IF(AND($L639=$O$7,$B639&lt;'111'!$N$11),"x","")</f>
        <v/>
      </c>
      <c r="Q639" s="22" t="str">
        <f>IF(AND($M639=$O$7,$B639&lt;'111'!$N$11),"x","")</f>
        <v/>
      </c>
      <c r="R639" s="22" t="str">
        <f>IF(ISERROR(FIND('112'!$M$9,G639,1)),"",IF((AND(FIND('112'!$M$9,G639,1)&gt;=1,$B639&gt;='112'!$N$8,$B639&lt;='112'!$O$8,OR($L639='112'!$I$6,$M639='112'!$I$6))),"x",""))</f>
        <v/>
      </c>
      <c r="S639" s="22" t="str">
        <f>IF(ISERROR(FIND('112'!$M$9,G639,1)),"",IF((AND(LEFT(G639,2)=LEFT('112'!$M$9,2),B639&lt;'112'!$N$8,$L639='112'!$I$6)),"x",""))</f>
        <v/>
      </c>
      <c r="T639" s="22" t="str">
        <f>IF(ISERROR(FIND('112'!$M$9,G639,1)),"",IF((AND(RIGHT(G639,2)=RIGHT('112'!$M$9,2),B639&lt;'112'!$N$8,$M639='112'!$I$6)),"x",""))</f>
        <v/>
      </c>
      <c r="U639" s="22" t="str">
        <f>IF(AND(B639&gt;='IN-NX'!$P$3,B639&lt;='IN-NX'!$Q$3,'IN-NX'!$D$7=D639,OR(LEFT(L639,2)="15",AND(LEFT(M639,2)&lt;&gt;"15",LEFT(M639,2)&lt;&gt;"33"))),"x","")</f>
        <v/>
      </c>
      <c r="V639" s="22" t="str">
        <f>IF(AND(OR(LEFT(TH!L639,2)="15",LEFT(TH!M639,2)="15"),'152-CT'!$J$8=TH!F639),"x","")</f>
        <v/>
      </c>
      <c r="W639" s="22" t="str">
        <f>IF(AND(OR(LEFT(TH!L639,2)="15",LEFT(TH!M639,2)="15"),TK!$E$7=TH!F639),"x","")</f>
        <v/>
      </c>
      <c r="X639" s="22" t="str">
        <f>IF(OR(TH!L639=TH!$X$7,M639=TH!$X$7),"x","")</f>
        <v/>
      </c>
      <c r="Y639" s="22" t="str">
        <f>IF(AND(B639&lt;=NKC!$N$8,B639&gt;=NKC!$M$8),"x","")</f>
        <v/>
      </c>
      <c r="Z639" s="580"/>
      <c r="AA639" s="406"/>
      <c r="AB639" s="406"/>
      <c r="AC639" s="406"/>
    </row>
    <row r="640" spans="1:31" s="406" customFormat="1" ht="15.75" customHeight="1">
      <c r="A640" s="123" t="str">
        <f>IF(B640&lt;&gt;"",IF(AND(B640&gt;=_TM1,B640&lt;=_TM2,OR(TH!L640="1111",TH!M640="1111")),TH!D640,""),"")</f>
        <v/>
      </c>
      <c r="B640" s="12">
        <f t="shared" si="23"/>
        <v>12</v>
      </c>
      <c r="C640" s="108">
        <f t="shared" si="24"/>
        <v>42713</v>
      </c>
      <c r="D640" s="108" t="s">
        <v>581</v>
      </c>
      <c r="E640" s="113">
        <v>42713</v>
      </c>
      <c r="F640" s="114" t="s">
        <v>828</v>
      </c>
      <c r="G640" s="303" t="s">
        <v>441</v>
      </c>
      <c r="H640" s="129" t="s">
        <v>683</v>
      </c>
      <c r="I640" s="139">
        <v>5240</v>
      </c>
      <c r="J640" s="139">
        <v>13800</v>
      </c>
      <c r="K640" s="13">
        <f>ROUND(I640*J640,0)</f>
        <v>72312000</v>
      </c>
      <c r="L640" s="116" t="s">
        <v>252</v>
      </c>
      <c r="M640" s="411" t="s">
        <v>169</v>
      </c>
      <c r="N640" s="22" t="str">
        <f>IF(AND('331-CT'!$E$7=TH!H640,OR(L640="331",M640="331")),"331",IF(AND(OR(L640="131",M640="131"),H640='131-CT'!$E$7),"131",""))</f>
        <v/>
      </c>
      <c r="O640" s="22" t="str">
        <f>IF(AND($B640&gt;='111'!$N$11,$B640&lt;='111'!$O$11,OR($L640=$O$7,$M640=$O$7)),"x","")</f>
        <v/>
      </c>
      <c r="P640" s="22" t="str">
        <f>IF(AND($L640=$O$7,$B640&lt;'111'!$N$11),"x","")</f>
        <v/>
      </c>
      <c r="Q640" s="22" t="str">
        <f>IF(AND($M640=$O$7,$B640&lt;'111'!$N$11),"x","")</f>
        <v/>
      </c>
      <c r="R640" s="22" t="str">
        <f>IF(ISERROR(FIND('112'!$M$9,G640,1)),"",IF((AND(FIND('112'!$M$9,G640,1)&gt;=1,$B640&gt;='112'!$N$8,$B640&lt;='112'!$O$8,OR($L640='112'!$I$6,$M640='112'!$I$6))),"x",""))</f>
        <v/>
      </c>
      <c r="S640" s="22" t="str">
        <f>IF(ISERROR(FIND('112'!$M$9,G640,1)),"",IF((AND(LEFT(G640,2)=LEFT('112'!$M$9,2),B640&lt;'112'!$N$8,$L640='112'!$I$6)),"x",""))</f>
        <v/>
      </c>
      <c r="T640" s="22" t="str">
        <f>IF(ISERROR(FIND('112'!$M$9,G640,1)),"",IF((AND(RIGHT(G640,2)=RIGHT('112'!$M$9,2),B640&lt;'112'!$N$8,$M640='112'!$I$6)),"x",""))</f>
        <v/>
      </c>
      <c r="U640" s="22" t="str">
        <f>IF(AND(B640&gt;='IN-NX'!$P$3,B640&lt;='IN-NX'!$Q$3,'IN-NX'!$D$7=D640,OR(LEFT(L640,2)="15",AND(LEFT(M640,2)&lt;&gt;"15",LEFT(M640,2)&lt;&gt;"33"))),"x","")</f>
        <v/>
      </c>
      <c r="V640" s="22" t="str">
        <f>IF(AND(OR(LEFT(TH!L640,2)="15",LEFT(TH!M640,2)="15"),'152-CT'!$J$8=TH!F640),"x","")</f>
        <v/>
      </c>
      <c r="W640" s="22" t="str">
        <f>IF(AND(OR(LEFT(TH!L640,2)="15",LEFT(TH!M640,2)="15"),TK!$E$7=TH!F640),"x","")</f>
        <v/>
      </c>
      <c r="X640" s="22" t="str">
        <f>IF(OR(TH!L640=TH!$X$7,M640=TH!$X$7),"x","")</f>
        <v/>
      </c>
      <c r="Y640" s="22" t="str">
        <f>IF(AND(B640&lt;=NKC!$N$8,B640&gt;=NKC!$M$8),"x","")</f>
        <v/>
      </c>
      <c r="Z640" s="580"/>
      <c r="AD640" s="130"/>
      <c r="AE640" s="130"/>
    </row>
    <row r="641" spans="1:31" s="406" customFormat="1" ht="15.75" customHeight="1">
      <c r="A641" s="123" t="str">
        <f>IF(B641&lt;&gt;"",IF(AND(B641&gt;=_TM1,B641&lt;=_TM2,OR(TH!L641="1111",TH!M641="1111")),TH!D641,""),"")</f>
        <v/>
      </c>
      <c r="B641" s="12">
        <f t="shared" si="23"/>
        <v>12</v>
      </c>
      <c r="C641" s="108">
        <f t="shared" si="24"/>
        <v>42713</v>
      </c>
      <c r="D641" s="108" t="s">
        <v>581</v>
      </c>
      <c r="E641" s="113">
        <v>42713</v>
      </c>
      <c r="F641" s="112" t="s">
        <v>496</v>
      </c>
      <c r="G641" s="303" t="s">
        <v>441</v>
      </c>
      <c r="H641" s="129" t="s">
        <v>683</v>
      </c>
      <c r="I641" s="139"/>
      <c r="J641" s="139"/>
      <c r="K641" s="13">
        <v>7231200</v>
      </c>
      <c r="L641" s="116" t="s">
        <v>252</v>
      </c>
      <c r="M641" s="411" t="s">
        <v>352</v>
      </c>
      <c r="N641" s="22" t="str">
        <f>IF(AND('331-CT'!$E$7=TH!H641,OR(L641="331",M641="331")),"331",IF(AND(OR(L641="131",M641="131"),H641='131-CT'!$E$7),"131",""))</f>
        <v/>
      </c>
      <c r="O641" s="22" t="str">
        <f>IF(AND($B641&gt;='111'!$N$11,$B641&lt;='111'!$O$11,OR($L641=$O$7,$M641=$O$7)),"x","")</f>
        <v/>
      </c>
      <c r="P641" s="22" t="str">
        <f>IF(AND($L641=$O$7,$B641&lt;'111'!$N$11),"x","")</f>
        <v/>
      </c>
      <c r="Q641" s="22" t="str">
        <f>IF(AND($M641=$O$7,$B641&lt;'111'!$N$11),"x","")</f>
        <v/>
      </c>
      <c r="R641" s="22" t="str">
        <f>IF(ISERROR(FIND('112'!$M$9,G641,1)),"",IF((AND(FIND('112'!$M$9,G641,1)&gt;=1,$B641&gt;='112'!$N$8,$B641&lt;='112'!$O$8,OR($L641='112'!$I$6,$M641='112'!$I$6))),"x",""))</f>
        <v/>
      </c>
      <c r="S641" s="22" t="str">
        <f>IF(ISERROR(FIND('112'!$M$9,G641,1)),"",IF((AND(LEFT(G641,2)=LEFT('112'!$M$9,2),B641&lt;'112'!$N$8,$L641='112'!$I$6)),"x",""))</f>
        <v/>
      </c>
      <c r="T641" s="22" t="str">
        <f>IF(ISERROR(FIND('112'!$M$9,G641,1)),"",IF((AND(RIGHT(G641,2)=RIGHT('112'!$M$9,2),B641&lt;'112'!$N$8,$M641='112'!$I$6)),"x",""))</f>
        <v/>
      </c>
      <c r="U641" s="22" t="str">
        <f>IF(AND(B641&gt;='IN-NX'!$P$3,B641&lt;='IN-NX'!$Q$3,'IN-NX'!$D$7=D641,OR(LEFT(L641,2)="15",AND(LEFT(M641,2)&lt;&gt;"15",LEFT(M641,2)&lt;&gt;"33"))),"x","")</f>
        <v/>
      </c>
      <c r="V641" s="22" t="str">
        <f>IF(AND(OR(LEFT(TH!L641,2)="15",LEFT(TH!M641,2)="15"),'152-CT'!$J$8=TH!F641),"x","")</f>
        <v/>
      </c>
      <c r="W641" s="22" t="str">
        <f>IF(AND(OR(LEFT(TH!L641,2)="15",LEFT(TH!M641,2)="15"),TK!$E$7=TH!F641),"x","")</f>
        <v/>
      </c>
      <c r="X641" s="22" t="str">
        <f>IF(OR(TH!L641=TH!$X$7,M641=TH!$X$7),"x","")</f>
        <v/>
      </c>
      <c r="Y641" s="22" t="str">
        <f>IF(AND(B641&lt;=NKC!$N$8,B641&gt;=NKC!$M$8),"x","")</f>
        <v/>
      </c>
      <c r="Z641" s="580"/>
      <c r="AD641" s="130"/>
      <c r="AE641" s="130"/>
    </row>
    <row r="642" spans="1:31" s="406" customFormat="1" ht="15.75" customHeight="1">
      <c r="A642" s="123" t="str">
        <f>IF(B642&lt;&gt;"",IF(AND(B642&gt;=_TM1,B642&lt;=_TM2,OR(TH!L642="1111",TH!M642="1111")),TH!D642,""),"")</f>
        <v/>
      </c>
      <c r="B642" s="12">
        <f t="shared" si="23"/>
        <v>12</v>
      </c>
      <c r="C642" s="108">
        <f t="shared" si="24"/>
        <v>42713</v>
      </c>
      <c r="D642" s="108" t="s">
        <v>582</v>
      </c>
      <c r="E642" s="113">
        <v>42713</v>
      </c>
      <c r="F642" s="114" t="s">
        <v>837</v>
      </c>
      <c r="G642" s="303" t="s">
        <v>836</v>
      </c>
      <c r="H642" s="129" t="s">
        <v>835</v>
      </c>
      <c r="I642" s="139">
        <v>91</v>
      </c>
      <c r="J642" s="139">
        <v>27000</v>
      </c>
      <c r="K642" s="13">
        <f>ROUND(I642*J642,0)</f>
        <v>2457000</v>
      </c>
      <c r="L642" s="116" t="s">
        <v>252</v>
      </c>
      <c r="M642" s="411" t="s">
        <v>169</v>
      </c>
      <c r="N642" s="22" t="str">
        <f>IF(AND('331-CT'!$E$7=TH!H642,OR(L642="331",M642="331")),"331",IF(AND(OR(L642="131",M642="131"),H642='131-CT'!$E$7),"131",""))</f>
        <v/>
      </c>
      <c r="O642" s="22" t="str">
        <f>IF(AND($B642&gt;='111'!$N$11,$B642&lt;='111'!$O$11,OR($L642=$O$7,$M642=$O$7)),"x","")</f>
        <v/>
      </c>
      <c r="P642" s="22" t="str">
        <f>IF(AND($L642=$O$7,$B642&lt;'111'!$N$11),"x","")</f>
        <v/>
      </c>
      <c r="Q642" s="22" t="str">
        <f>IF(AND($M642=$O$7,$B642&lt;'111'!$N$11),"x","")</f>
        <v/>
      </c>
      <c r="R642" s="22" t="str">
        <f>IF(ISERROR(FIND('112'!$M$9,G642,1)),"",IF((AND(FIND('112'!$M$9,G642,1)&gt;=1,$B642&gt;='112'!$N$8,$B642&lt;='112'!$O$8,OR($L642='112'!$I$6,$M642='112'!$I$6))),"x",""))</f>
        <v/>
      </c>
      <c r="S642" s="22" t="str">
        <f>IF(ISERROR(FIND('112'!$M$9,G642,1)),"",IF((AND(LEFT(G642,2)=LEFT('112'!$M$9,2),B642&lt;'112'!$N$8,$L642='112'!$I$6)),"x",""))</f>
        <v/>
      </c>
      <c r="T642" s="22" t="str">
        <f>IF(ISERROR(FIND('112'!$M$9,G642,1)),"",IF((AND(RIGHT(G642,2)=RIGHT('112'!$M$9,2),B642&lt;'112'!$N$8,$M642='112'!$I$6)),"x",""))</f>
        <v/>
      </c>
      <c r="U642" s="22" t="str">
        <f>IF(AND(B642&gt;='IN-NX'!$P$3,B642&lt;='IN-NX'!$Q$3,'IN-NX'!$D$7=D642,OR(LEFT(L642,2)="15",AND(LEFT(M642,2)&lt;&gt;"15",LEFT(M642,2)&lt;&gt;"33"))),"x","")</f>
        <v/>
      </c>
      <c r="V642" s="22" t="str">
        <f>IF(AND(OR(LEFT(TH!L642,2)="15",LEFT(TH!M642,2)="15"),'152-CT'!$J$8=TH!F642),"x","")</f>
        <v/>
      </c>
      <c r="W642" s="22" t="str">
        <f>IF(AND(OR(LEFT(TH!L642,2)="15",LEFT(TH!M642,2)="15"),TK!$E$7=TH!F642),"x","")</f>
        <v/>
      </c>
      <c r="X642" s="22" t="str">
        <f>IF(OR(TH!L642=TH!$X$7,M642=TH!$X$7),"x","")</f>
        <v/>
      </c>
      <c r="Y642" s="22" t="str">
        <f>IF(AND(B642&lt;=NKC!$N$8,B642&gt;=NKC!$M$8),"x","")</f>
        <v/>
      </c>
      <c r="Z642" s="580"/>
      <c r="AD642" s="130"/>
      <c r="AE642" s="130"/>
    </row>
    <row r="643" spans="1:31" s="406" customFormat="1" ht="15.75" customHeight="1">
      <c r="A643" s="123" t="str">
        <f>IF(B643&lt;&gt;"",IF(AND(B643&gt;=_TM1,B643&lt;=_TM2,OR(TH!L643="1111",TH!M643="1111")),TH!D643,""),"")</f>
        <v/>
      </c>
      <c r="B643" s="12">
        <f t="shared" si="23"/>
        <v>12</v>
      </c>
      <c r="C643" s="108">
        <f t="shared" si="24"/>
        <v>42713</v>
      </c>
      <c r="D643" s="108" t="s">
        <v>582</v>
      </c>
      <c r="E643" s="113">
        <v>42713</v>
      </c>
      <c r="F643" s="114" t="s">
        <v>838</v>
      </c>
      <c r="G643" s="303" t="s">
        <v>836</v>
      </c>
      <c r="H643" s="129" t="s">
        <v>835</v>
      </c>
      <c r="I643" s="139">
        <v>300</v>
      </c>
      <c r="J643" s="139">
        <v>6700</v>
      </c>
      <c r="K643" s="13">
        <f>ROUND(I643*J643,0)</f>
        <v>2010000</v>
      </c>
      <c r="L643" s="116" t="s">
        <v>252</v>
      </c>
      <c r="M643" s="411" t="s">
        <v>169</v>
      </c>
      <c r="N643" s="22" t="str">
        <f>IF(AND('331-CT'!$E$7=TH!H643,OR(L643="331",M643="331")),"331",IF(AND(OR(L643="131",M643="131"),H643='131-CT'!$E$7),"131",""))</f>
        <v/>
      </c>
      <c r="O643" s="22" t="str">
        <f>IF(AND($B643&gt;='111'!$N$11,$B643&lt;='111'!$O$11,OR($L643=$O$7,$M643=$O$7)),"x","")</f>
        <v/>
      </c>
      <c r="P643" s="22" t="str">
        <f>IF(AND($L643=$O$7,$B643&lt;'111'!$N$11),"x","")</f>
        <v/>
      </c>
      <c r="Q643" s="22" t="str">
        <f>IF(AND($M643=$O$7,$B643&lt;'111'!$N$11),"x","")</f>
        <v/>
      </c>
      <c r="R643" s="22" t="str">
        <f>IF(ISERROR(FIND('112'!$M$9,G643,1)),"",IF((AND(FIND('112'!$M$9,G643,1)&gt;=1,$B643&gt;='112'!$N$8,$B643&lt;='112'!$O$8,OR($L643='112'!$I$6,$M643='112'!$I$6))),"x",""))</f>
        <v/>
      </c>
      <c r="S643" s="22" t="str">
        <f>IF(ISERROR(FIND('112'!$M$9,G643,1)),"",IF((AND(LEFT(G643,2)=LEFT('112'!$M$9,2),B643&lt;'112'!$N$8,$L643='112'!$I$6)),"x",""))</f>
        <v/>
      </c>
      <c r="T643" s="22" t="str">
        <f>IF(ISERROR(FIND('112'!$M$9,G643,1)),"",IF((AND(RIGHT(G643,2)=RIGHT('112'!$M$9,2),B643&lt;'112'!$N$8,$M643='112'!$I$6)),"x",""))</f>
        <v/>
      </c>
      <c r="U643" s="22" t="str">
        <f>IF(AND(B643&gt;='IN-NX'!$P$3,B643&lt;='IN-NX'!$Q$3,'IN-NX'!$D$7=D643,OR(LEFT(L643,2)="15",AND(LEFT(M643,2)&lt;&gt;"15",LEFT(M643,2)&lt;&gt;"33"))),"x","")</f>
        <v/>
      </c>
      <c r="V643" s="22" t="str">
        <f>IF(AND(OR(LEFT(TH!L643,2)="15",LEFT(TH!M643,2)="15"),'152-CT'!$J$8=TH!F643),"x","")</f>
        <v/>
      </c>
      <c r="W643" s="22" t="str">
        <f>IF(AND(OR(LEFT(TH!L643,2)="15",LEFT(TH!M643,2)="15"),TK!$E$7=TH!F643),"x","")</f>
        <v/>
      </c>
      <c r="X643" s="22" t="str">
        <f>IF(OR(TH!L643=TH!$X$7,M643=TH!$X$7),"x","")</f>
        <v/>
      </c>
      <c r="Y643" s="22" t="str">
        <f>IF(AND(B643&lt;=NKC!$N$8,B643&gt;=NKC!$M$8),"x","")</f>
        <v/>
      </c>
      <c r="Z643" s="580"/>
      <c r="AC643" s="130"/>
      <c r="AD643" s="130"/>
      <c r="AE643" s="130"/>
    </row>
    <row r="644" spans="1:31" s="406" customFormat="1" ht="15.75" customHeight="1">
      <c r="A644" s="123" t="str">
        <f>IF(B644&lt;&gt;"",IF(AND(B644&gt;=_TM1,B644&lt;=_TM2,OR(TH!L644="1111",TH!M644="1111")),TH!D644,""),"")</f>
        <v/>
      </c>
      <c r="B644" s="12">
        <f t="shared" si="23"/>
        <v>12</v>
      </c>
      <c r="C644" s="108">
        <f t="shared" si="24"/>
        <v>42713</v>
      </c>
      <c r="D644" s="108" t="s">
        <v>582</v>
      </c>
      <c r="E644" s="113">
        <v>42713</v>
      </c>
      <c r="F644" s="112" t="s">
        <v>496</v>
      </c>
      <c r="G644" s="303" t="s">
        <v>836</v>
      </c>
      <c r="H644" s="129" t="s">
        <v>835</v>
      </c>
      <c r="I644" s="139"/>
      <c r="J644" s="139"/>
      <c r="K644" s="13">
        <v>446700</v>
      </c>
      <c r="L644" s="116" t="s">
        <v>252</v>
      </c>
      <c r="M644" s="411" t="s">
        <v>352</v>
      </c>
      <c r="N644" s="22" t="str">
        <f>IF(AND('331-CT'!$E$7=TH!H644,OR(L644="331",M644="331")),"331",IF(AND(OR(L644="131",M644="131"),H644='131-CT'!$E$7),"131",""))</f>
        <v/>
      </c>
      <c r="O644" s="22" t="str">
        <f>IF(AND($B644&gt;='111'!$N$11,$B644&lt;='111'!$O$11,OR($L644=$O$7,$M644=$O$7)),"x","")</f>
        <v/>
      </c>
      <c r="P644" s="22" t="str">
        <f>IF(AND($L644=$O$7,$B644&lt;'111'!$N$11),"x","")</f>
        <v/>
      </c>
      <c r="Q644" s="22" t="str">
        <f>IF(AND($M644=$O$7,$B644&lt;'111'!$N$11),"x","")</f>
        <v/>
      </c>
      <c r="R644" s="22" t="str">
        <f>IF(ISERROR(FIND('112'!$M$9,G644,1)),"",IF((AND(FIND('112'!$M$9,G644,1)&gt;=1,$B644&gt;='112'!$N$8,$B644&lt;='112'!$O$8,OR($L644='112'!$I$6,$M644='112'!$I$6))),"x",""))</f>
        <v/>
      </c>
      <c r="S644" s="22" t="str">
        <f>IF(ISERROR(FIND('112'!$M$9,G644,1)),"",IF((AND(LEFT(G644,2)=LEFT('112'!$M$9,2),B644&lt;'112'!$N$8,$L644='112'!$I$6)),"x",""))</f>
        <v/>
      </c>
      <c r="T644" s="22" t="str">
        <f>IF(ISERROR(FIND('112'!$M$9,G644,1)),"",IF((AND(RIGHT(G644,2)=RIGHT('112'!$M$9,2),B644&lt;'112'!$N$8,$M644='112'!$I$6)),"x",""))</f>
        <v/>
      </c>
      <c r="U644" s="22" t="str">
        <f>IF(AND(B644&gt;='IN-NX'!$P$3,B644&lt;='IN-NX'!$Q$3,'IN-NX'!$D$7=D644,OR(LEFT(L644,2)="15",AND(LEFT(M644,2)&lt;&gt;"15",LEFT(M644,2)&lt;&gt;"33"))),"x","")</f>
        <v/>
      </c>
      <c r="V644" s="22" t="str">
        <f>IF(AND(OR(LEFT(TH!L644,2)="15",LEFT(TH!M644,2)="15"),'152-CT'!$J$8=TH!F644),"x","")</f>
        <v/>
      </c>
      <c r="W644" s="22" t="str">
        <f>IF(AND(OR(LEFT(TH!L644,2)="15",LEFT(TH!M644,2)="15"),TK!$E$7=TH!F644),"x","")</f>
        <v/>
      </c>
      <c r="X644" s="22" t="str">
        <f>IF(OR(TH!L644=TH!$X$7,M644=TH!$X$7),"x","")</f>
        <v/>
      </c>
      <c r="Y644" s="22" t="str">
        <f>IF(AND(B644&lt;=NKC!$N$8,B644&gt;=NKC!$M$8),"x","")</f>
        <v/>
      </c>
      <c r="Z644" s="580"/>
      <c r="AD644" s="130"/>
      <c r="AE644" s="130"/>
    </row>
    <row r="645" spans="1:31" s="406" customFormat="1" ht="15.75" customHeight="1">
      <c r="A645" s="123" t="str">
        <f>IF(B645&lt;&gt;"",IF(AND(B645&gt;=_TM1,B645&lt;=_TM2,OR(TH!L645="1111",TH!M645="1111")),TH!D645,""),"")</f>
        <v/>
      </c>
      <c r="B645" s="12">
        <f t="shared" si="23"/>
        <v>12</v>
      </c>
      <c r="C645" s="108">
        <f t="shared" si="24"/>
        <v>42713</v>
      </c>
      <c r="D645" s="108" t="s">
        <v>583</v>
      </c>
      <c r="E645" s="113">
        <v>42713</v>
      </c>
      <c r="F645" s="112" t="s">
        <v>813</v>
      </c>
      <c r="G645" s="303" t="s">
        <v>839</v>
      </c>
      <c r="H645" s="4" t="s">
        <v>814</v>
      </c>
      <c r="I645" s="139">
        <v>2400</v>
      </c>
      <c r="J645" s="139">
        <v>7500</v>
      </c>
      <c r="K645" s="13">
        <f>ROUND(I645*J645,0)</f>
        <v>18000000</v>
      </c>
      <c r="L645" s="116" t="s">
        <v>252</v>
      </c>
      <c r="M645" s="411" t="s">
        <v>169</v>
      </c>
      <c r="N645" s="22" t="str">
        <f>IF(AND('331-CT'!$E$7=TH!H645,OR(L645="331",M645="331")),"331",IF(AND(OR(L645="131",M645="131"),H645='131-CT'!$E$7),"131",""))</f>
        <v/>
      </c>
      <c r="O645" s="22" t="str">
        <f>IF(AND($B645&gt;='111'!$N$11,$B645&lt;='111'!$O$11,OR($L645=$O$7,$M645=$O$7)),"x","")</f>
        <v/>
      </c>
      <c r="P645" s="22" t="str">
        <f>IF(AND($L645=$O$7,$B645&lt;'111'!$N$11),"x","")</f>
        <v/>
      </c>
      <c r="Q645" s="22" t="str">
        <f>IF(AND($M645=$O$7,$B645&lt;'111'!$N$11),"x","")</f>
        <v/>
      </c>
      <c r="R645" s="22" t="str">
        <f>IF(ISERROR(FIND('112'!$M$9,G645,1)),"",IF((AND(FIND('112'!$M$9,G645,1)&gt;=1,$B645&gt;='112'!$N$8,$B645&lt;='112'!$O$8,OR($L645='112'!$I$6,$M645='112'!$I$6))),"x",""))</f>
        <v/>
      </c>
      <c r="S645" s="22" t="str">
        <f>IF(ISERROR(FIND('112'!$M$9,G645,1)),"",IF((AND(LEFT(G645,2)=LEFT('112'!$M$9,2),B645&lt;'112'!$N$8,$L645='112'!$I$6)),"x",""))</f>
        <v/>
      </c>
      <c r="T645" s="22" t="str">
        <f>IF(ISERROR(FIND('112'!$M$9,G645,1)),"",IF((AND(RIGHT(G645,2)=RIGHT('112'!$M$9,2),B645&lt;'112'!$N$8,$M645='112'!$I$6)),"x",""))</f>
        <v/>
      </c>
      <c r="U645" s="22" t="str">
        <f>IF(AND(B645&gt;='IN-NX'!$P$3,B645&lt;='IN-NX'!$Q$3,'IN-NX'!$D$7=D645,OR(LEFT(L645,2)="15",AND(LEFT(M645,2)&lt;&gt;"15",LEFT(M645,2)&lt;&gt;"33"))),"x","")</f>
        <v/>
      </c>
      <c r="V645" s="22" t="str">
        <f>IF(AND(OR(LEFT(TH!L645,2)="15",LEFT(TH!M645,2)="15"),'152-CT'!$J$8=TH!F645),"x","")</f>
        <v/>
      </c>
      <c r="W645" s="22" t="str">
        <f>IF(AND(OR(LEFT(TH!L645,2)="15",LEFT(TH!M645,2)="15"),TK!$E$7=TH!F645),"x","")</f>
        <v/>
      </c>
      <c r="X645" s="22" t="str">
        <f>IF(OR(TH!L645=TH!$X$7,M645=TH!$X$7),"x","")</f>
        <v/>
      </c>
      <c r="Y645" s="22" t="str">
        <f>IF(AND(B645&lt;=NKC!$N$8,B645&gt;=NKC!$M$8),"x","")</f>
        <v/>
      </c>
      <c r="Z645" s="580"/>
      <c r="AD645" s="130"/>
      <c r="AE645" s="130"/>
    </row>
    <row r="646" spans="1:31" s="406" customFormat="1" ht="15.75" customHeight="1">
      <c r="A646" s="123" t="str">
        <f>IF(B646&lt;&gt;"",IF(AND(B646&gt;=_TM1,B646&lt;=_TM2,OR(TH!L646="1111",TH!M646="1111")),TH!D646,""),"")</f>
        <v/>
      </c>
      <c r="B646" s="12">
        <f t="shared" si="23"/>
        <v>12</v>
      </c>
      <c r="C646" s="108">
        <f t="shared" si="24"/>
        <v>42713</v>
      </c>
      <c r="D646" s="108" t="s">
        <v>583</v>
      </c>
      <c r="E646" s="113">
        <v>42713</v>
      </c>
      <c r="F646" s="112" t="s">
        <v>496</v>
      </c>
      <c r="G646" s="303" t="s">
        <v>839</v>
      </c>
      <c r="H646" s="4" t="s">
        <v>814</v>
      </c>
      <c r="I646" s="139"/>
      <c r="J646" s="139"/>
      <c r="K646" s="13">
        <v>1800000</v>
      </c>
      <c r="L646" s="116" t="s">
        <v>252</v>
      </c>
      <c r="M646" s="411" t="s">
        <v>352</v>
      </c>
      <c r="N646" s="22" t="str">
        <f>IF(AND('331-CT'!$E$7=TH!H646,OR(L646="331",M646="331")),"331",IF(AND(OR(L646="131",M646="131"),H646='131-CT'!$E$7),"131",""))</f>
        <v/>
      </c>
      <c r="O646" s="22" t="str">
        <f>IF(AND($B646&gt;='111'!$N$11,$B646&lt;='111'!$O$11,OR($L646=$O$7,$M646=$O$7)),"x","")</f>
        <v/>
      </c>
      <c r="P646" s="22" t="str">
        <f>IF(AND($L646=$O$7,$B646&lt;'111'!$N$11),"x","")</f>
        <v/>
      </c>
      <c r="Q646" s="22" t="str">
        <f>IF(AND($M646=$O$7,$B646&lt;'111'!$N$11),"x","")</f>
        <v/>
      </c>
      <c r="R646" s="22" t="str">
        <f>IF(ISERROR(FIND('112'!$M$9,G646,1)),"",IF((AND(FIND('112'!$M$9,G646,1)&gt;=1,$B646&gt;='112'!$N$8,$B646&lt;='112'!$O$8,OR($L646='112'!$I$6,$M646='112'!$I$6))),"x",""))</f>
        <v/>
      </c>
      <c r="S646" s="22" t="str">
        <f>IF(ISERROR(FIND('112'!$M$9,G646,1)),"",IF((AND(LEFT(G646,2)=LEFT('112'!$M$9,2),B646&lt;'112'!$N$8,$L646='112'!$I$6)),"x",""))</f>
        <v/>
      </c>
      <c r="T646" s="22" t="str">
        <f>IF(ISERROR(FIND('112'!$M$9,G646,1)),"",IF((AND(RIGHT(G646,2)=RIGHT('112'!$M$9,2),B646&lt;'112'!$N$8,$M646='112'!$I$6)),"x",""))</f>
        <v/>
      </c>
      <c r="U646" s="22" t="str">
        <f>IF(AND(B646&gt;='IN-NX'!$P$3,B646&lt;='IN-NX'!$Q$3,'IN-NX'!$D$7=D646,OR(LEFT(L646,2)="15",AND(LEFT(M646,2)&lt;&gt;"15",LEFT(M646,2)&lt;&gt;"33"))),"x","")</f>
        <v/>
      </c>
      <c r="V646" s="22" t="str">
        <f>IF(AND(OR(LEFT(TH!L646,2)="15",LEFT(TH!M646,2)="15"),'152-CT'!$J$8=TH!F646),"x","")</f>
        <v/>
      </c>
      <c r="W646" s="22" t="str">
        <f>IF(AND(OR(LEFT(TH!L646,2)="15",LEFT(TH!M646,2)="15"),TK!$E$7=TH!F646),"x","")</f>
        <v/>
      </c>
      <c r="X646" s="22" t="str">
        <f>IF(OR(TH!L646=TH!$X$7,M646=TH!$X$7),"x","")</f>
        <v/>
      </c>
      <c r="Y646" s="22" t="str">
        <f>IF(AND(B646&lt;=NKC!$N$8,B646&gt;=NKC!$M$8),"x","")</f>
        <v/>
      </c>
      <c r="Z646" s="580"/>
      <c r="AD646" s="130"/>
      <c r="AE646" s="130"/>
    </row>
    <row r="647" spans="1:31" s="406" customFormat="1" ht="15.75" customHeight="1">
      <c r="A647" s="123" t="str">
        <f>IF(B647&lt;&gt;"",IF(AND(B647&gt;=_TM1,B647&lt;=_TM2,OR(TH!L647="1111",TH!M647="1111")),TH!D647,""),"")</f>
        <v>T28</v>
      </c>
      <c r="B647" s="12">
        <f t="shared" si="23"/>
        <v>12</v>
      </c>
      <c r="C647" s="108">
        <f t="shared" si="24"/>
        <v>42713</v>
      </c>
      <c r="D647" s="108" t="s">
        <v>1036</v>
      </c>
      <c r="E647" s="113">
        <v>42713</v>
      </c>
      <c r="F647" s="114" t="s">
        <v>484</v>
      </c>
      <c r="G647" s="303" t="s">
        <v>839</v>
      </c>
      <c r="H647" s="4" t="s">
        <v>814</v>
      </c>
      <c r="I647" s="140"/>
      <c r="J647" s="140"/>
      <c r="K647" s="13">
        <v>19800000</v>
      </c>
      <c r="L647" s="116" t="s">
        <v>46</v>
      </c>
      <c r="M647" s="411" t="s">
        <v>252</v>
      </c>
      <c r="N647" s="22" t="str">
        <f>IF(AND('331-CT'!$E$7=TH!H647,OR(L647="331",M647="331")),"331",IF(AND(OR(L647="131",M647="131"),H647='131-CT'!$E$7),"131",""))</f>
        <v/>
      </c>
      <c r="O647" s="22" t="str">
        <f>IF(AND($B647&gt;='111'!$N$11,$B647&lt;='111'!$O$11,OR($L647=$O$7,$M647=$O$7)),"x","")</f>
        <v>x</v>
      </c>
      <c r="P647" s="22" t="str">
        <f>IF(AND($L647=$O$7,$B647&lt;'111'!$N$11),"x","")</f>
        <v/>
      </c>
      <c r="Q647" s="22" t="str">
        <f>IF(AND($M647=$O$7,$B647&lt;'111'!$N$11),"x","")</f>
        <v/>
      </c>
      <c r="R647" s="22" t="str">
        <f>IF(ISERROR(FIND('112'!$M$9,G647,1)),"",IF((AND(FIND('112'!$M$9,G647,1)&gt;=1,$B647&gt;='112'!$N$8,$B647&lt;='112'!$O$8,OR($L647='112'!$I$6,$M647='112'!$I$6))),"x",""))</f>
        <v/>
      </c>
      <c r="S647" s="22" t="str">
        <f>IF(ISERROR(FIND('112'!$M$9,G647,1)),"",IF((AND(LEFT(G647,2)=LEFT('112'!$M$9,2),B647&lt;'112'!$N$8,$L647='112'!$I$6)),"x",""))</f>
        <v/>
      </c>
      <c r="T647" s="22" t="str">
        <f>IF(ISERROR(FIND('112'!$M$9,G647,1)),"",IF((AND(RIGHT(G647,2)=RIGHT('112'!$M$9,2),B647&lt;'112'!$N$8,$M647='112'!$I$6)),"x",""))</f>
        <v/>
      </c>
      <c r="U647" s="22" t="str">
        <f>IF(AND(B647&gt;='IN-NX'!$P$3,B647&lt;='IN-NX'!$Q$3,'IN-NX'!$D$7=D647,OR(LEFT(L647,2)="15",AND(LEFT(M647,2)&lt;&gt;"15",LEFT(M647,2)&lt;&gt;"33"))),"x","")</f>
        <v/>
      </c>
      <c r="V647" s="22" t="str">
        <f>IF(AND(OR(LEFT(TH!L647,2)="15",LEFT(TH!M647,2)="15"),'152-CT'!$J$8=TH!F647),"x","")</f>
        <v/>
      </c>
      <c r="W647" s="22" t="str">
        <f>IF(AND(OR(LEFT(TH!L647,2)="15",LEFT(TH!M647,2)="15"),TK!$E$7=TH!F647),"x","")</f>
        <v/>
      </c>
      <c r="X647" s="22" t="str">
        <f>IF(OR(TH!L647=TH!$X$7,M647=TH!$X$7),"x","")</f>
        <v/>
      </c>
      <c r="Y647" s="22" t="str">
        <f>IF(AND(B647&lt;=NKC!$N$8,B647&gt;=NKC!$M$8),"x","")</f>
        <v/>
      </c>
      <c r="Z647" s="580"/>
      <c r="AD647" s="130"/>
      <c r="AE647" s="130"/>
    </row>
    <row r="648" spans="1:31" s="130" customFormat="1" ht="15.75" customHeight="1">
      <c r="A648" s="123" t="str">
        <f>IF(B648&lt;&gt;"",IF(AND(B648&gt;=_TM1,B648&lt;=_TM2,OR(TH!L648="1111",TH!M648="1111")),TH!D648,""),"")</f>
        <v/>
      </c>
      <c r="B648" s="12">
        <f t="shared" si="23"/>
        <v>12</v>
      </c>
      <c r="C648" s="108">
        <f t="shared" si="24"/>
        <v>42714</v>
      </c>
      <c r="D648" s="108" t="s">
        <v>584</v>
      </c>
      <c r="E648" s="113">
        <v>42714</v>
      </c>
      <c r="F648" s="112" t="s">
        <v>813</v>
      </c>
      <c r="G648" s="303" t="s">
        <v>840</v>
      </c>
      <c r="H648" s="4" t="s">
        <v>814</v>
      </c>
      <c r="I648" s="139">
        <v>2400</v>
      </c>
      <c r="J648" s="139">
        <v>7500</v>
      </c>
      <c r="K648" s="13">
        <f>ROUND(I648*J648,0)</f>
        <v>18000000</v>
      </c>
      <c r="L648" s="116" t="s">
        <v>252</v>
      </c>
      <c r="M648" s="411" t="s">
        <v>169</v>
      </c>
      <c r="N648" s="22" t="str">
        <f>IF(AND('331-CT'!$E$7=TH!H648,OR(L648="331",M648="331")),"331",IF(AND(OR(L648="131",M648="131"),H648='131-CT'!$E$7),"131",""))</f>
        <v/>
      </c>
      <c r="O648" s="22" t="str">
        <f>IF(AND($B648&gt;='111'!$N$11,$B648&lt;='111'!$O$11,OR($L648=$O$7,$M648=$O$7)),"x","")</f>
        <v/>
      </c>
      <c r="P648" s="22" t="str">
        <f>IF(AND($L648=$O$7,$B648&lt;'111'!$N$11),"x","")</f>
        <v/>
      </c>
      <c r="Q648" s="22" t="str">
        <f>IF(AND($M648=$O$7,$B648&lt;'111'!$N$11),"x","")</f>
        <v/>
      </c>
      <c r="R648" s="22" t="str">
        <f>IF(ISERROR(FIND('112'!$M$9,G648,1)),"",IF((AND(FIND('112'!$M$9,G648,1)&gt;=1,$B648&gt;='112'!$N$8,$B648&lt;='112'!$O$8,OR($L648='112'!$I$6,$M648='112'!$I$6))),"x",""))</f>
        <v/>
      </c>
      <c r="S648" s="22" t="str">
        <f>IF(ISERROR(FIND('112'!$M$9,G648,1)),"",IF((AND(LEFT(G648,2)=LEFT('112'!$M$9,2),B648&lt;'112'!$N$8,$L648='112'!$I$6)),"x",""))</f>
        <v/>
      </c>
      <c r="T648" s="22" t="str">
        <f>IF(ISERROR(FIND('112'!$M$9,G648,1)),"",IF((AND(RIGHT(G648,2)=RIGHT('112'!$M$9,2),B648&lt;'112'!$N$8,$M648='112'!$I$6)),"x",""))</f>
        <v/>
      </c>
      <c r="U648" s="22" t="str">
        <f>IF(AND(B648&gt;='IN-NX'!$P$3,B648&lt;='IN-NX'!$Q$3,'IN-NX'!$D$7=D648,OR(LEFT(L648,2)="15",AND(LEFT(M648,2)&lt;&gt;"15",LEFT(M648,2)&lt;&gt;"33"))),"x","")</f>
        <v/>
      </c>
      <c r="V648" s="22" t="str">
        <f>IF(AND(OR(LEFT(TH!L648,2)="15",LEFT(TH!M648,2)="15"),'152-CT'!$J$8=TH!F648),"x","")</f>
        <v/>
      </c>
      <c r="W648" s="22" t="str">
        <f>IF(AND(OR(LEFT(TH!L648,2)="15",LEFT(TH!M648,2)="15"),TK!$E$7=TH!F648),"x","")</f>
        <v/>
      </c>
      <c r="X648" s="22" t="str">
        <f>IF(OR(TH!L648=TH!$X$7,M648=TH!$X$7),"x","")</f>
        <v/>
      </c>
      <c r="Y648" s="22" t="str">
        <f>IF(AND(B648&lt;=NKC!$N$8,B648&gt;=NKC!$M$8),"x","")</f>
        <v/>
      </c>
      <c r="Z648" s="580"/>
      <c r="AA648" s="406"/>
      <c r="AB648" s="406"/>
      <c r="AC648" s="406"/>
    </row>
    <row r="649" spans="1:31" s="406" customFormat="1" ht="15.75" customHeight="1">
      <c r="A649" s="123" t="str">
        <f>IF(B649&lt;&gt;"",IF(AND(B649&gt;=_TM1,B649&lt;=_TM2,OR(TH!L649="1111",TH!M649="1111")),TH!D649,""),"")</f>
        <v/>
      </c>
      <c r="B649" s="12">
        <f t="shared" si="23"/>
        <v>12</v>
      </c>
      <c r="C649" s="108">
        <f t="shared" si="24"/>
        <v>42714</v>
      </c>
      <c r="D649" s="108" t="s">
        <v>584</v>
      </c>
      <c r="E649" s="113">
        <v>42714</v>
      </c>
      <c r="F649" s="112" t="s">
        <v>496</v>
      </c>
      <c r="G649" s="303" t="s">
        <v>840</v>
      </c>
      <c r="H649" s="4" t="s">
        <v>814</v>
      </c>
      <c r="I649" s="139"/>
      <c r="J649" s="139"/>
      <c r="K649" s="13">
        <v>1800000</v>
      </c>
      <c r="L649" s="116" t="s">
        <v>252</v>
      </c>
      <c r="M649" s="411" t="s">
        <v>352</v>
      </c>
      <c r="N649" s="22" t="str">
        <f>IF(AND('331-CT'!$E$7=TH!H649,OR(L649="331",M649="331")),"331",IF(AND(OR(L649="131",M649="131"),H649='131-CT'!$E$7),"131",""))</f>
        <v/>
      </c>
      <c r="O649" s="22" t="str">
        <f>IF(AND($B649&gt;='111'!$N$11,$B649&lt;='111'!$O$11,OR($L649=$O$7,$M649=$O$7)),"x","")</f>
        <v/>
      </c>
      <c r="P649" s="22" t="str">
        <f>IF(AND($L649=$O$7,$B649&lt;'111'!$N$11),"x","")</f>
        <v/>
      </c>
      <c r="Q649" s="22" t="str">
        <f>IF(AND($M649=$O$7,$B649&lt;'111'!$N$11),"x","")</f>
        <v/>
      </c>
      <c r="R649" s="22" t="str">
        <f>IF(ISERROR(FIND('112'!$M$9,G649,1)),"",IF((AND(FIND('112'!$M$9,G649,1)&gt;=1,$B649&gt;='112'!$N$8,$B649&lt;='112'!$O$8,OR($L649='112'!$I$6,$M649='112'!$I$6))),"x",""))</f>
        <v/>
      </c>
      <c r="S649" s="22" t="str">
        <f>IF(ISERROR(FIND('112'!$M$9,G649,1)),"",IF((AND(LEFT(G649,2)=LEFT('112'!$M$9,2),B649&lt;'112'!$N$8,$L649='112'!$I$6)),"x",""))</f>
        <v/>
      </c>
      <c r="T649" s="22" t="str">
        <f>IF(ISERROR(FIND('112'!$M$9,G649,1)),"",IF((AND(RIGHT(G649,2)=RIGHT('112'!$M$9,2),B649&lt;'112'!$N$8,$M649='112'!$I$6)),"x",""))</f>
        <v/>
      </c>
      <c r="U649" s="22" t="str">
        <f>IF(AND(B649&gt;='IN-NX'!$P$3,B649&lt;='IN-NX'!$Q$3,'IN-NX'!$D$7=D649,OR(LEFT(L649,2)="15",AND(LEFT(M649,2)&lt;&gt;"15",LEFT(M649,2)&lt;&gt;"33"))),"x","")</f>
        <v/>
      </c>
      <c r="V649" s="22" t="str">
        <f>IF(AND(OR(LEFT(TH!L649,2)="15",LEFT(TH!M649,2)="15"),'152-CT'!$J$8=TH!F649),"x","")</f>
        <v/>
      </c>
      <c r="W649" s="22" t="str">
        <f>IF(AND(OR(LEFT(TH!L649,2)="15",LEFT(TH!M649,2)="15"),TK!$E$7=TH!F649),"x","")</f>
        <v/>
      </c>
      <c r="X649" s="22" t="str">
        <f>IF(OR(TH!L649=TH!$X$7,M649=TH!$X$7),"x","")</f>
        <v/>
      </c>
      <c r="Y649" s="22" t="str">
        <f>IF(AND(B649&lt;=NKC!$N$8,B649&gt;=NKC!$M$8),"x","")</f>
        <v/>
      </c>
      <c r="Z649" s="580"/>
      <c r="AC649" s="130"/>
      <c r="AD649" s="130"/>
      <c r="AE649" s="130"/>
    </row>
    <row r="650" spans="1:31" s="406" customFormat="1" ht="15.75" customHeight="1">
      <c r="A650" s="123" t="str">
        <f>IF(B650&lt;&gt;"",IF(AND(B650&gt;=_TM1,B650&lt;=_TM2,OR(TH!L650="1111",TH!M650="1111")),TH!D650,""),"")</f>
        <v>T29</v>
      </c>
      <c r="B650" s="12">
        <f t="shared" si="23"/>
        <v>12</v>
      </c>
      <c r="C650" s="108">
        <f t="shared" si="24"/>
        <v>42714</v>
      </c>
      <c r="D650" s="108" t="s">
        <v>1037</v>
      </c>
      <c r="E650" s="113">
        <v>42714</v>
      </c>
      <c r="F650" s="114" t="s">
        <v>484</v>
      </c>
      <c r="G650" s="303" t="s">
        <v>840</v>
      </c>
      <c r="H650" s="4" t="s">
        <v>814</v>
      </c>
      <c r="I650" s="140"/>
      <c r="J650" s="140"/>
      <c r="K650" s="13">
        <v>19800000</v>
      </c>
      <c r="L650" s="116" t="s">
        <v>46</v>
      </c>
      <c r="M650" s="411" t="s">
        <v>252</v>
      </c>
      <c r="N650" s="22" t="str">
        <f>IF(AND('331-CT'!$E$7=TH!H650,OR(L650="331",M650="331")),"331",IF(AND(OR(L650="131",M650="131"),H650='131-CT'!$E$7),"131",""))</f>
        <v/>
      </c>
      <c r="O650" s="22" t="str">
        <f>IF(AND($B650&gt;='111'!$N$11,$B650&lt;='111'!$O$11,OR($L650=$O$7,$M650=$O$7)),"x","")</f>
        <v>x</v>
      </c>
      <c r="P650" s="22" t="str">
        <f>IF(AND($L650=$O$7,$B650&lt;'111'!$N$11),"x","")</f>
        <v/>
      </c>
      <c r="Q650" s="22" t="str">
        <f>IF(AND($M650=$O$7,$B650&lt;'111'!$N$11),"x","")</f>
        <v/>
      </c>
      <c r="R650" s="22" t="str">
        <f>IF(ISERROR(FIND('112'!$M$9,G650,1)),"",IF((AND(FIND('112'!$M$9,G650,1)&gt;=1,$B650&gt;='112'!$N$8,$B650&lt;='112'!$O$8,OR($L650='112'!$I$6,$M650='112'!$I$6))),"x",""))</f>
        <v/>
      </c>
      <c r="S650" s="22" t="str">
        <f>IF(ISERROR(FIND('112'!$M$9,G650,1)),"",IF((AND(LEFT(G650,2)=LEFT('112'!$M$9,2),B650&lt;'112'!$N$8,$L650='112'!$I$6)),"x",""))</f>
        <v/>
      </c>
      <c r="T650" s="22" t="str">
        <f>IF(ISERROR(FIND('112'!$M$9,G650,1)),"",IF((AND(RIGHT(G650,2)=RIGHT('112'!$M$9,2),B650&lt;'112'!$N$8,$M650='112'!$I$6)),"x",""))</f>
        <v/>
      </c>
      <c r="U650" s="22" t="str">
        <f>IF(AND(B650&gt;='IN-NX'!$P$3,B650&lt;='IN-NX'!$Q$3,'IN-NX'!$D$7=D650,OR(LEFT(L650,2)="15",AND(LEFT(M650,2)&lt;&gt;"15",LEFT(M650,2)&lt;&gt;"33"))),"x","")</f>
        <v/>
      </c>
      <c r="V650" s="22" t="str">
        <f>IF(AND(OR(LEFT(TH!L650,2)="15",LEFT(TH!M650,2)="15"),'152-CT'!$J$8=TH!F650),"x","")</f>
        <v/>
      </c>
      <c r="W650" s="22" t="str">
        <f>IF(AND(OR(LEFT(TH!L650,2)="15",LEFT(TH!M650,2)="15"),TK!$E$7=TH!F650),"x","")</f>
        <v/>
      </c>
      <c r="X650" s="22" t="str">
        <f>IF(OR(TH!L650=TH!$X$7,M650=TH!$X$7),"x","")</f>
        <v/>
      </c>
      <c r="Y650" s="22" t="str">
        <f>IF(AND(B650&lt;=NKC!$N$8,B650&gt;=NKC!$M$8),"x","")</f>
        <v/>
      </c>
      <c r="Z650" s="580"/>
      <c r="AD650" s="130"/>
      <c r="AE650" s="130"/>
    </row>
    <row r="651" spans="1:31" s="406" customFormat="1" ht="15.75" customHeight="1">
      <c r="A651" s="123" t="str">
        <f>IF(B651&lt;&gt;"",IF(AND(B651&gt;=_TM1,B651&lt;=_TM2,OR(TH!L651="1111",TH!M651="1111")),TH!D651,""),"")</f>
        <v/>
      </c>
      <c r="B651" s="12">
        <f t="shared" si="23"/>
        <v>12</v>
      </c>
      <c r="C651" s="108">
        <f t="shared" si="24"/>
        <v>42715</v>
      </c>
      <c r="D651" s="108" t="s">
        <v>585</v>
      </c>
      <c r="E651" s="113">
        <v>42715</v>
      </c>
      <c r="F651" s="112" t="s">
        <v>813</v>
      </c>
      <c r="G651" s="303" t="s">
        <v>841</v>
      </c>
      <c r="H651" s="4" t="s">
        <v>814</v>
      </c>
      <c r="I651" s="139">
        <v>2400</v>
      </c>
      <c r="J651" s="139">
        <v>7500</v>
      </c>
      <c r="K651" s="13">
        <f>ROUND(I651*J651,0)</f>
        <v>18000000</v>
      </c>
      <c r="L651" s="116" t="s">
        <v>252</v>
      </c>
      <c r="M651" s="411" t="s">
        <v>169</v>
      </c>
      <c r="N651" s="22" t="str">
        <f>IF(AND('331-CT'!$E$7=TH!H651,OR(L651="331",M651="331")),"331",IF(AND(OR(L651="131",M651="131"),H651='131-CT'!$E$7),"131",""))</f>
        <v/>
      </c>
      <c r="O651" s="22" t="str">
        <f>IF(AND($B651&gt;='111'!$N$11,$B651&lt;='111'!$O$11,OR($L651=$O$7,$M651=$O$7)),"x","")</f>
        <v/>
      </c>
      <c r="P651" s="22" t="str">
        <f>IF(AND($L651=$O$7,$B651&lt;'111'!$N$11),"x","")</f>
        <v/>
      </c>
      <c r="Q651" s="22" t="str">
        <f>IF(AND($M651=$O$7,$B651&lt;'111'!$N$11),"x","")</f>
        <v/>
      </c>
      <c r="R651" s="22" t="str">
        <f>IF(ISERROR(FIND('112'!$M$9,G651,1)),"",IF((AND(FIND('112'!$M$9,G651,1)&gt;=1,$B651&gt;='112'!$N$8,$B651&lt;='112'!$O$8,OR($L651='112'!$I$6,$M651='112'!$I$6))),"x",""))</f>
        <v/>
      </c>
      <c r="S651" s="22" t="str">
        <f>IF(ISERROR(FIND('112'!$M$9,G651,1)),"",IF((AND(LEFT(G651,2)=LEFT('112'!$M$9,2),B651&lt;'112'!$N$8,$L651='112'!$I$6)),"x",""))</f>
        <v/>
      </c>
      <c r="T651" s="22" t="str">
        <f>IF(ISERROR(FIND('112'!$M$9,G651,1)),"",IF((AND(RIGHT(G651,2)=RIGHT('112'!$M$9,2),B651&lt;'112'!$N$8,$M651='112'!$I$6)),"x",""))</f>
        <v/>
      </c>
      <c r="U651" s="22" t="str">
        <f>IF(AND(B651&gt;='IN-NX'!$P$3,B651&lt;='IN-NX'!$Q$3,'IN-NX'!$D$7=D651,OR(LEFT(L651,2)="15",AND(LEFT(M651,2)&lt;&gt;"15",LEFT(M651,2)&lt;&gt;"33"))),"x","")</f>
        <v/>
      </c>
      <c r="V651" s="22" t="str">
        <f>IF(AND(OR(LEFT(TH!L651,2)="15",LEFT(TH!M651,2)="15"),'152-CT'!$J$8=TH!F651),"x","")</f>
        <v/>
      </c>
      <c r="W651" s="22" t="str">
        <f>IF(AND(OR(LEFT(TH!L651,2)="15",LEFT(TH!M651,2)="15"),TK!$E$7=TH!F651),"x","")</f>
        <v/>
      </c>
      <c r="X651" s="22" t="str">
        <f>IF(OR(TH!L651=TH!$X$7,M651=TH!$X$7),"x","")</f>
        <v/>
      </c>
      <c r="Y651" s="22" t="str">
        <f>IF(AND(B651&lt;=NKC!$N$8,B651&gt;=NKC!$M$8),"x","")</f>
        <v/>
      </c>
      <c r="Z651" s="580"/>
      <c r="AD651" s="130"/>
      <c r="AE651" s="130"/>
    </row>
    <row r="652" spans="1:31" s="406" customFormat="1" ht="15.75" customHeight="1">
      <c r="A652" s="123" t="str">
        <f>IF(B652&lt;&gt;"",IF(AND(B652&gt;=_TM1,B652&lt;=_TM2,OR(TH!L652="1111",TH!M652="1111")),TH!D652,""),"")</f>
        <v/>
      </c>
      <c r="B652" s="12">
        <f t="shared" si="23"/>
        <v>12</v>
      </c>
      <c r="C652" s="108">
        <f t="shared" si="24"/>
        <v>42715</v>
      </c>
      <c r="D652" s="108" t="s">
        <v>585</v>
      </c>
      <c r="E652" s="113">
        <v>42715</v>
      </c>
      <c r="F652" s="112" t="s">
        <v>496</v>
      </c>
      <c r="G652" s="303" t="s">
        <v>841</v>
      </c>
      <c r="H652" s="4" t="s">
        <v>814</v>
      </c>
      <c r="I652" s="139"/>
      <c r="J652" s="139"/>
      <c r="K652" s="13">
        <v>1800000</v>
      </c>
      <c r="L652" s="116" t="s">
        <v>252</v>
      </c>
      <c r="M652" s="411" t="s">
        <v>352</v>
      </c>
      <c r="N652" s="22" t="str">
        <f>IF(AND('331-CT'!$E$7=TH!H652,OR(L652="331",M652="331")),"331",IF(AND(OR(L652="131",M652="131"),H652='131-CT'!$E$7),"131",""))</f>
        <v/>
      </c>
      <c r="O652" s="22" t="str">
        <f>IF(AND($B652&gt;='111'!$N$11,$B652&lt;='111'!$O$11,OR($L652=$O$7,$M652=$O$7)),"x","")</f>
        <v/>
      </c>
      <c r="P652" s="22" t="str">
        <f>IF(AND($L652=$O$7,$B652&lt;'111'!$N$11),"x","")</f>
        <v/>
      </c>
      <c r="Q652" s="22" t="str">
        <f>IF(AND($M652=$O$7,$B652&lt;'111'!$N$11),"x","")</f>
        <v/>
      </c>
      <c r="R652" s="22" t="str">
        <f>IF(ISERROR(FIND('112'!$M$9,G652,1)),"",IF((AND(FIND('112'!$M$9,G652,1)&gt;=1,$B652&gt;='112'!$N$8,$B652&lt;='112'!$O$8,OR($L652='112'!$I$6,$M652='112'!$I$6))),"x",""))</f>
        <v/>
      </c>
      <c r="S652" s="22" t="str">
        <f>IF(ISERROR(FIND('112'!$M$9,G652,1)),"",IF((AND(LEFT(G652,2)=LEFT('112'!$M$9,2),B652&lt;'112'!$N$8,$L652='112'!$I$6)),"x",""))</f>
        <v/>
      </c>
      <c r="T652" s="22" t="str">
        <f>IF(ISERROR(FIND('112'!$M$9,G652,1)),"",IF((AND(RIGHT(G652,2)=RIGHT('112'!$M$9,2),B652&lt;'112'!$N$8,$M652='112'!$I$6)),"x",""))</f>
        <v/>
      </c>
      <c r="U652" s="22" t="str">
        <f>IF(AND(B652&gt;='IN-NX'!$P$3,B652&lt;='IN-NX'!$Q$3,'IN-NX'!$D$7=D652,OR(LEFT(L652,2)="15",AND(LEFT(M652,2)&lt;&gt;"15",LEFT(M652,2)&lt;&gt;"33"))),"x","")</f>
        <v/>
      </c>
      <c r="V652" s="22" t="str">
        <f>IF(AND(OR(LEFT(TH!L652,2)="15",LEFT(TH!M652,2)="15"),'152-CT'!$J$8=TH!F652),"x","")</f>
        <v/>
      </c>
      <c r="W652" s="22" t="str">
        <f>IF(AND(OR(LEFT(TH!L652,2)="15",LEFT(TH!M652,2)="15"),TK!$E$7=TH!F652),"x","")</f>
        <v/>
      </c>
      <c r="X652" s="22" t="str">
        <f>IF(OR(TH!L652=TH!$X$7,M652=TH!$X$7),"x","")</f>
        <v/>
      </c>
      <c r="Y652" s="22" t="str">
        <f>IF(AND(B652&lt;=NKC!$N$8,B652&gt;=NKC!$M$8),"x","")</f>
        <v/>
      </c>
      <c r="Z652" s="580"/>
      <c r="AD652" s="130"/>
      <c r="AE652" s="130"/>
    </row>
    <row r="653" spans="1:31" s="406" customFormat="1" ht="15.75" customHeight="1">
      <c r="A653" s="123" t="str">
        <f>IF(B653&lt;&gt;"",IF(AND(B653&gt;=_TM1,B653&lt;=_TM2,OR(TH!L653="1111",TH!M653="1111")),TH!D653,""),"")</f>
        <v>T30</v>
      </c>
      <c r="B653" s="12">
        <f t="shared" si="23"/>
        <v>12</v>
      </c>
      <c r="C653" s="108">
        <f t="shared" si="24"/>
        <v>42715</v>
      </c>
      <c r="D653" s="108" t="s">
        <v>1038</v>
      </c>
      <c r="E653" s="113">
        <v>42715</v>
      </c>
      <c r="F653" s="114" t="s">
        <v>484</v>
      </c>
      <c r="G653" s="303" t="s">
        <v>841</v>
      </c>
      <c r="H653" s="4" t="s">
        <v>814</v>
      </c>
      <c r="I653" s="140"/>
      <c r="J653" s="140"/>
      <c r="K653" s="13">
        <v>19800000</v>
      </c>
      <c r="L653" s="116" t="s">
        <v>46</v>
      </c>
      <c r="M653" s="411" t="s">
        <v>252</v>
      </c>
      <c r="N653" s="22" t="str">
        <f>IF(AND('331-CT'!$E$7=TH!H653,OR(L653="331",M653="331")),"331",IF(AND(OR(L653="131",M653="131"),H653='131-CT'!$E$7),"131",""))</f>
        <v/>
      </c>
      <c r="O653" s="22" t="str">
        <f>IF(AND($B653&gt;='111'!$N$11,$B653&lt;='111'!$O$11,OR($L653=$O$7,$M653=$O$7)),"x","")</f>
        <v>x</v>
      </c>
      <c r="P653" s="22" t="str">
        <f>IF(AND($L653=$O$7,$B653&lt;'111'!$N$11),"x","")</f>
        <v/>
      </c>
      <c r="Q653" s="22" t="str">
        <f>IF(AND($M653=$O$7,$B653&lt;'111'!$N$11),"x","")</f>
        <v/>
      </c>
      <c r="R653" s="22" t="str">
        <f>IF(ISERROR(FIND('112'!$M$9,G653,1)),"",IF((AND(FIND('112'!$M$9,G653,1)&gt;=1,$B653&gt;='112'!$N$8,$B653&lt;='112'!$O$8,OR($L653='112'!$I$6,$M653='112'!$I$6))),"x",""))</f>
        <v/>
      </c>
      <c r="S653" s="22" t="str">
        <f>IF(ISERROR(FIND('112'!$M$9,G653,1)),"",IF((AND(LEFT(G653,2)=LEFT('112'!$M$9,2),B653&lt;'112'!$N$8,$L653='112'!$I$6)),"x",""))</f>
        <v/>
      </c>
      <c r="T653" s="22" t="str">
        <f>IF(ISERROR(FIND('112'!$M$9,G653,1)),"",IF((AND(RIGHT(G653,2)=RIGHT('112'!$M$9,2),B653&lt;'112'!$N$8,$M653='112'!$I$6)),"x",""))</f>
        <v/>
      </c>
      <c r="U653" s="22" t="str">
        <f>IF(AND(B653&gt;='IN-NX'!$P$3,B653&lt;='IN-NX'!$Q$3,'IN-NX'!$D$7=D653,OR(LEFT(L653,2)="15",AND(LEFT(M653,2)&lt;&gt;"15",LEFT(M653,2)&lt;&gt;"33"))),"x","")</f>
        <v/>
      </c>
      <c r="V653" s="22" t="str">
        <f>IF(AND(OR(LEFT(TH!L653,2)="15",LEFT(TH!M653,2)="15"),'152-CT'!$J$8=TH!F653),"x","")</f>
        <v/>
      </c>
      <c r="W653" s="22" t="str">
        <f>IF(AND(OR(LEFT(TH!L653,2)="15",LEFT(TH!M653,2)="15"),TK!$E$7=TH!F653),"x","")</f>
        <v/>
      </c>
      <c r="X653" s="22" t="str">
        <f>IF(OR(TH!L653=TH!$X$7,M653=TH!$X$7),"x","")</f>
        <v/>
      </c>
      <c r="Y653" s="22" t="str">
        <f>IF(AND(B653&lt;=NKC!$N$8,B653&gt;=NKC!$M$8),"x","")</f>
        <v/>
      </c>
      <c r="Z653" s="580"/>
      <c r="AD653" s="130"/>
      <c r="AE653" s="130"/>
    </row>
    <row r="654" spans="1:31" s="130" customFormat="1" ht="15.75" customHeight="1">
      <c r="A654" s="123" t="str">
        <f>IF(B654&lt;&gt;"",IF(AND(B654&gt;=_TM1,B654&lt;=_TM2,OR(TH!L654="1111",TH!M654="1111")),TH!D654,""),"")</f>
        <v>C25</v>
      </c>
      <c r="B654" s="12">
        <f t="shared" si="23"/>
        <v>12</v>
      </c>
      <c r="C654" s="108">
        <f t="shared" si="24"/>
        <v>42716</v>
      </c>
      <c r="D654" s="108" t="s">
        <v>1015</v>
      </c>
      <c r="E654" s="113">
        <v>42716</v>
      </c>
      <c r="F654" s="112" t="s">
        <v>471</v>
      </c>
      <c r="G654" s="114" t="s">
        <v>474</v>
      </c>
      <c r="H654" s="115" t="s">
        <v>488</v>
      </c>
      <c r="I654" s="139"/>
      <c r="J654" s="141"/>
      <c r="K654" s="13">
        <v>4500000</v>
      </c>
      <c r="L654" s="116" t="s">
        <v>24</v>
      </c>
      <c r="M654" s="411" t="s">
        <v>46</v>
      </c>
      <c r="N654" s="22" t="str">
        <f>IF(AND('331-CT'!$E$7=TH!H654,OR(L654="331",M654="331")),"331",IF(AND(OR(L654="131",M654="131"),H654='131-CT'!$E$7),"131",""))</f>
        <v/>
      </c>
      <c r="O654" s="22" t="str">
        <f>IF(AND($B654&gt;='111'!$N$11,$B654&lt;='111'!$O$11,OR($L654=$O$7,$M654=$O$7)),"x","")</f>
        <v>x</v>
      </c>
      <c r="P654" s="22" t="str">
        <f>IF(AND($L654=$O$7,$B654&lt;'111'!$N$11),"x","")</f>
        <v/>
      </c>
      <c r="Q654" s="22" t="str">
        <f>IF(AND($M654=$O$7,$B654&lt;'111'!$N$11),"x","")</f>
        <v/>
      </c>
      <c r="R654" s="22" t="str">
        <f>IF(ISERROR(FIND('112'!$M$9,G654,1)),"",IF((AND(FIND('112'!$M$9,G654,1)&gt;=1,$B654&gt;='112'!$N$8,$B654&lt;='112'!$O$8,OR($L654='112'!$I$6,$M654='112'!$I$6))),"x",""))</f>
        <v>x</v>
      </c>
      <c r="S654" s="22" t="str">
        <f>IF(ISERROR(FIND('112'!$M$9,G654,1)),"",IF((AND(LEFT(G654,2)=LEFT('112'!$M$9,2),B654&lt;'112'!$N$8,$L654='112'!$I$6)),"x",""))</f>
        <v/>
      </c>
      <c r="T654" s="22" t="str">
        <f>IF(ISERROR(FIND('112'!$M$9,G654,1)),"",IF((AND(RIGHT(G654,2)=RIGHT('112'!$M$9,2),B654&lt;'112'!$N$8,$M654='112'!$I$6)),"x",""))</f>
        <v/>
      </c>
      <c r="U654" s="22" t="str">
        <f>IF(AND(B654&gt;='IN-NX'!$P$3,B654&lt;='IN-NX'!$Q$3,'IN-NX'!$D$7=D654,OR(LEFT(L654,2)="15",AND(LEFT(M654,2)&lt;&gt;"15",LEFT(M654,2)&lt;&gt;"33"))),"x","")</f>
        <v/>
      </c>
      <c r="V654" s="22" t="str">
        <f>IF(AND(OR(LEFT(TH!L654,2)="15",LEFT(TH!M654,2)="15"),'152-CT'!$J$8=TH!F654),"x","")</f>
        <v/>
      </c>
      <c r="W654" s="22" t="str">
        <f>IF(AND(OR(LEFT(TH!L654,2)="15",LEFT(TH!M654,2)="15"),TK!$E$7=TH!F654),"x","")</f>
        <v/>
      </c>
      <c r="X654" s="22" t="str">
        <f>IF(OR(TH!L654=TH!$X$7,M654=TH!$X$7),"x","")</f>
        <v/>
      </c>
      <c r="Y654" s="22" t="str">
        <f>IF(AND(B654&lt;=NKC!$N$8,B654&gt;=NKC!$M$8),"x","")</f>
        <v/>
      </c>
      <c r="Z654" s="580"/>
      <c r="AA654" s="406"/>
      <c r="AB654" s="406"/>
      <c r="AC654" s="406"/>
    </row>
    <row r="655" spans="1:31" s="406" customFormat="1" ht="15.75" customHeight="1">
      <c r="A655" s="123" t="str">
        <f>IF(B655&lt;&gt;"",IF(AND(B655&gt;=_TM1,B655&lt;=_TM2,OR(TH!L655="1111",TH!M655="1111")),TH!D655,""),"")</f>
        <v/>
      </c>
      <c r="B655" s="12">
        <f t="shared" si="23"/>
        <v>12</v>
      </c>
      <c r="C655" s="108">
        <f t="shared" si="24"/>
        <v>42716</v>
      </c>
      <c r="D655" s="108" t="s">
        <v>470</v>
      </c>
      <c r="E655" s="113">
        <v>42716</v>
      </c>
      <c r="F655" s="114" t="s">
        <v>465</v>
      </c>
      <c r="G655" s="114" t="s">
        <v>474</v>
      </c>
      <c r="H655" s="115"/>
      <c r="I655" s="139"/>
      <c r="J655" s="141"/>
      <c r="K655" s="13">
        <v>20000000</v>
      </c>
      <c r="L655" s="116" t="s">
        <v>8</v>
      </c>
      <c r="M655" s="411" t="s">
        <v>24</v>
      </c>
      <c r="N655" s="22" t="str">
        <f>IF(AND('331-CT'!$E$7=TH!H655,OR(L655="331",M655="331")),"331",IF(AND(OR(L655="131",M655="131"),H655='131-CT'!$E$7),"131",""))</f>
        <v/>
      </c>
      <c r="O655" s="22" t="str">
        <f>IF(AND($B655&gt;='111'!$N$11,$B655&lt;='111'!$O$11,OR($L655=$O$7,$M655=$O$7)),"x","")</f>
        <v/>
      </c>
      <c r="P655" s="22" t="str">
        <f>IF(AND($L655=$O$7,$B655&lt;'111'!$N$11),"x","")</f>
        <v/>
      </c>
      <c r="Q655" s="22" t="str">
        <f>IF(AND($M655=$O$7,$B655&lt;'111'!$N$11),"x","")</f>
        <v/>
      </c>
      <c r="R655" s="22" t="str">
        <f>IF(ISERROR(FIND('112'!$M$9,G655,1)),"",IF((AND(FIND('112'!$M$9,G655,1)&gt;=1,$B655&gt;='112'!$N$8,$B655&lt;='112'!$O$8,OR($L655='112'!$I$6,$M655='112'!$I$6))),"x",""))</f>
        <v>x</v>
      </c>
      <c r="S655" s="22" t="str">
        <f>IF(ISERROR(FIND('112'!$M$9,G655,1)),"",IF((AND(LEFT(G655,2)=LEFT('112'!$M$9,2),B655&lt;'112'!$N$8,$L655='112'!$I$6)),"x",""))</f>
        <v/>
      </c>
      <c r="T655" s="22" t="str">
        <f>IF(ISERROR(FIND('112'!$M$9,G655,1)),"",IF((AND(RIGHT(G655,2)=RIGHT('112'!$M$9,2),B655&lt;'112'!$N$8,$M655='112'!$I$6)),"x",""))</f>
        <v/>
      </c>
      <c r="U655" s="22" t="str">
        <f>IF(AND(B655&gt;='IN-NX'!$P$3,B655&lt;='IN-NX'!$Q$3,'IN-NX'!$D$7=D655,OR(LEFT(L655,2)="15",AND(LEFT(M655,2)&lt;&gt;"15",LEFT(M655,2)&lt;&gt;"33"))),"x","")</f>
        <v/>
      </c>
      <c r="V655" s="22" t="str">
        <f>IF(AND(OR(LEFT(TH!L655,2)="15",LEFT(TH!M655,2)="15"),'152-CT'!$J$8=TH!F655),"x","")</f>
        <v/>
      </c>
      <c r="W655" s="22" t="str">
        <f>IF(AND(OR(LEFT(TH!L655,2)="15",LEFT(TH!M655,2)="15"),TK!$E$7=TH!F655),"x","")</f>
        <v/>
      </c>
      <c r="X655" s="22" t="str">
        <f>IF(OR(TH!L655=TH!$X$7,M655=TH!$X$7),"x","")</f>
        <v/>
      </c>
      <c r="Y655" s="22" t="str">
        <f>IF(AND(B655&lt;=NKC!$N$8,B655&gt;=NKC!$M$8),"x","")</f>
        <v/>
      </c>
      <c r="Z655" s="580"/>
      <c r="AD655" s="130"/>
      <c r="AE655" s="130"/>
    </row>
    <row r="656" spans="1:31" s="130" customFormat="1" ht="15.75" customHeight="1">
      <c r="A656" s="123" t="str">
        <f>IF(B656&lt;&gt;"",IF(AND(B656&gt;=_TM1,B656&lt;=_TM2,OR(TH!L656="1111",TH!M656="1111")),TH!D656,""),"")</f>
        <v/>
      </c>
      <c r="B656" s="12">
        <f t="shared" si="23"/>
        <v>12</v>
      </c>
      <c r="C656" s="108">
        <f t="shared" si="24"/>
        <v>42716</v>
      </c>
      <c r="D656" s="108" t="s">
        <v>470</v>
      </c>
      <c r="E656" s="113">
        <v>42716</v>
      </c>
      <c r="F656" s="114" t="s">
        <v>486</v>
      </c>
      <c r="G656" s="114" t="s">
        <v>474</v>
      </c>
      <c r="H656" s="115"/>
      <c r="I656" s="139"/>
      <c r="J656" s="141"/>
      <c r="K656" s="13">
        <v>20000</v>
      </c>
      <c r="L656" s="116" t="s">
        <v>82</v>
      </c>
      <c r="M656" s="411" t="s">
        <v>24</v>
      </c>
      <c r="N656" s="22" t="str">
        <f>IF(AND('331-CT'!$E$7=TH!H656,OR(L656="331",M656="331")),"331",IF(AND(OR(L656="131",M656="131"),H656='131-CT'!$E$7),"131",""))</f>
        <v/>
      </c>
      <c r="O656" s="22" t="str">
        <f>IF(AND($B656&gt;='111'!$N$11,$B656&lt;='111'!$O$11,OR($L656=$O$7,$M656=$O$7)),"x","")</f>
        <v/>
      </c>
      <c r="P656" s="22" t="str">
        <f>IF(AND($L656=$O$7,$B656&lt;'111'!$N$11),"x","")</f>
        <v/>
      </c>
      <c r="Q656" s="22" t="str">
        <f>IF(AND($M656=$O$7,$B656&lt;'111'!$N$11),"x","")</f>
        <v/>
      </c>
      <c r="R656" s="22" t="str">
        <f>IF(ISERROR(FIND('112'!$M$9,G656,1)),"",IF((AND(FIND('112'!$M$9,G656,1)&gt;=1,$B656&gt;='112'!$N$8,$B656&lt;='112'!$O$8,OR($L656='112'!$I$6,$M656='112'!$I$6))),"x",""))</f>
        <v>x</v>
      </c>
      <c r="S656" s="22" t="str">
        <f>IF(ISERROR(FIND('112'!$M$9,G656,1)),"",IF((AND(LEFT(G656,2)=LEFT('112'!$M$9,2),B656&lt;'112'!$N$8,$L656='112'!$I$6)),"x",""))</f>
        <v/>
      </c>
      <c r="T656" s="22" t="str">
        <f>IF(ISERROR(FIND('112'!$M$9,G656,1)),"",IF((AND(RIGHT(G656,2)=RIGHT('112'!$M$9,2),B656&lt;'112'!$N$8,$M656='112'!$I$6)),"x",""))</f>
        <v/>
      </c>
      <c r="U656" s="22" t="str">
        <f>IF(AND(B656&gt;='IN-NX'!$P$3,B656&lt;='IN-NX'!$Q$3,'IN-NX'!$D$7=D656,OR(LEFT(L656,2)="15",AND(LEFT(M656,2)&lt;&gt;"15",LEFT(M656,2)&lt;&gt;"33"))),"x","")</f>
        <v/>
      </c>
      <c r="V656" s="22" t="str">
        <f>IF(AND(OR(LEFT(TH!L656,2)="15",LEFT(TH!M656,2)="15"),'152-CT'!$J$8=TH!F656),"x","")</f>
        <v/>
      </c>
      <c r="W656" s="22" t="str">
        <f>IF(AND(OR(LEFT(TH!L656,2)="15",LEFT(TH!M656,2)="15"),TK!$E$7=TH!F656),"x","")</f>
        <v/>
      </c>
      <c r="X656" s="22" t="str">
        <f>IF(OR(TH!L656=TH!$X$7,M656=TH!$X$7),"x","")</f>
        <v>x</v>
      </c>
      <c r="Y656" s="22" t="str">
        <f>IF(AND(B656&lt;=NKC!$N$8,B656&gt;=NKC!$M$8),"x","")</f>
        <v/>
      </c>
      <c r="Z656" s="580">
        <v>4</v>
      </c>
      <c r="AA656" s="406"/>
      <c r="AB656" s="406"/>
      <c r="AC656" s="406"/>
    </row>
    <row r="657" spans="1:31" s="406" customFormat="1" ht="15.75" customHeight="1">
      <c r="A657" s="123" t="str">
        <f>IF(B657&lt;&gt;"",IF(AND(B657&gt;=_TM1,B657&lt;=_TM2,OR(TH!L657="1111",TH!M657="1111")),TH!D657,""),"")</f>
        <v/>
      </c>
      <c r="B657" s="12">
        <f t="shared" ref="B657:B720" si="25">IF(C657&lt;&gt;"",MONTH(C657),"")</f>
        <v>12</v>
      </c>
      <c r="C657" s="108">
        <f t="shared" si="24"/>
        <v>42716</v>
      </c>
      <c r="D657" s="108" t="s">
        <v>470</v>
      </c>
      <c r="E657" s="113">
        <v>42716</v>
      </c>
      <c r="F657" s="114" t="s">
        <v>487</v>
      </c>
      <c r="G657" s="114" t="s">
        <v>474</v>
      </c>
      <c r="H657" s="115"/>
      <c r="I657" s="139"/>
      <c r="J657" s="141"/>
      <c r="K657" s="13">
        <v>2000</v>
      </c>
      <c r="L657" s="116" t="s">
        <v>9</v>
      </c>
      <c r="M657" s="411" t="s">
        <v>24</v>
      </c>
      <c r="N657" s="22" t="str">
        <f>IF(AND('331-CT'!$E$7=TH!H657,OR(L657="331",M657="331")),"331",IF(AND(OR(L657="131",M657="131"),H657='131-CT'!$E$7),"131",""))</f>
        <v/>
      </c>
      <c r="O657" s="22" t="str">
        <f>IF(AND($B657&gt;='111'!$N$11,$B657&lt;='111'!$O$11,OR($L657=$O$7,$M657=$O$7)),"x","")</f>
        <v/>
      </c>
      <c r="P657" s="22" t="str">
        <f>IF(AND($L657=$O$7,$B657&lt;'111'!$N$11),"x","")</f>
        <v/>
      </c>
      <c r="Q657" s="22" t="str">
        <f>IF(AND($M657=$O$7,$B657&lt;'111'!$N$11),"x","")</f>
        <v/>
      </c>
      <c r="R657" s="22" t="str">
        <f>IF(ISERROR(FIND('112'!$M$9,G657,1)),"",IF((AND(FIND('112'!$M$9,G657,1)&gt;=1,$B657&gt;='112'!$N$8,$B657&lt;='112'!$O$8,OR($L657='112'!$I$6,$M657='112'!$I$6))),"x",""))</f>
        <v>x</v>
      </c>
      <c r="S657" s="22" t="str">
        <f>IF(ISERROR(FIND('112'!$M$9,G657,1)),"",IF((AND(LEFT(G657,2)=LEFT('112'!$M$9,2),B657&lt;'112'!$N$8,$L657='112'!$I$6)),"x",""))</f>
        <v/>
      </c>
      <c r="T657" s="22" t="str">
        <f>IF(ISERROR(FIND('112'!$M$9,G657,1)),"",IF((AND(RIGHT(G657,2)=RIGHT('112'!$M$9,2),B657&lt;'112'!$N$8,$M657='112'!$I$6)),"x",""))</f>
        <v/>
      </c>
      <c r="U657" s="22" t="str">
        <f>IF(AND(B657&gt;='IN-NX'!$P$3,B657&lt;='IN-NX'!$Q$3,'IN-NX'!$D$7=D657,OR(LEFT(L657,2)="15",AND(LEFT(M657,2)&lt;&gt;"15",LEFT(M657,2)&lt;&gt;"33"))),"x","")</f>
        <v/>
      </c>
      <c r="V657" s="22" t="str">
        <f>IF(AND(OR(LEFT(TH!L657,2)="15",LEFT(TH!M657,2)="15"),'152-CT'!$J$8=TH!F657),"x","")</f>
        <v/>
      </c>
      <c r="W657" s="22" t="str">
        <f>IF(AND(OR(LEFT(TH!L657,2)="15",LEFT(TH!M657,2)="15"),TK!$E$7=TH!F657),"x","")</f>
        <v/>
      </c>
      <c r="X657" s="22" t="str">
        <f>IF(OR(TH!L657=TH!$X$7,M657=TH!$X$7),"x","")</f>
        <v/>
      </c>
      <c r="Y657" s="22" t="str">
        <f>IF(AND(B657&lt;=NKC!$N$8,B657&gt;=NKC!$M$8),"x","")</f>
        <v/>
      </c>
      <c r="Z657" s="580">
        <v>4</v>
      </c>
      <c r="AD657" s="130"/>
      <c r="AE657" s="130"/>
    </row>
    <row r="658" spans="1:31" s="406" customFormat="1" ht="15.75" customHeight="1">
      <c r="A658" s="123" t="str">
        <f>IF(B658&lt;&gt;"",IF(AND(B658&gt;=_TM1,B658&lt;=_TM2,OR(TH!L658="1111",TH!M658="1111")),TH!D658,""),"")</f>
        <v/>
      </c>
      <c r="B658" s="12">
        <f t="shared" si="25"/>
        <v>12</v>
      </c>
      <c r="C658" s="108">
        <f t="shared" si="24"/>
        <v>42716</v>
      </c>
      <c r="D658" s="108" t="s">
        <v>586</v>
      </c>
      <c r="E658" s="113">
        <v>42716</v>
      </c>
      <c r="F658" s="112" t="s">
        <v>813</v>
      </c>
      <c r="G658" s="303" t="s">
        <v>842</v>
      </c>
      <c r="H658" s="4" t="s">
        <v>814</v>
      </c>
      <c r="I658" s="139">
        <v>2400</v>
      </c>
      <c r="J658" s="139">
        <v>7500</v>
      </c>
      <c r="K658" s="13">
        <f>ROUND(I658*J658,0)</f>
        <v>18000000</v>
      </c>
      <c r="L658" s="116" t="s">
        <v>252</v>
      </c>
      <c r="M658" s="411" t="s">
        <v>169</v>
      </c>
      <c r="N658" s="22" t="str">
        <f>IF(AND('331-CT'!$E$7=TH!H658,OR(L658="331",M658="331")),"331",IF(AND(OR(L658="131",M658="131"),H658='131-CT'!$E$7),"131",""))</f>
        <v/>
      </c>
      <c r="O658" s="22" t="str">
        <f>IF(AND($B658&gt;='111'!$N$11,$B658&lt;='111'!$O$11,OR($L658=$O$7,$M658=$O$7)),"x","")</f>
        <v/>
      </c>
      <c r="P658" s="22" t="str">
        <f>IF(AND($L658=$O$7,$B658&lt;'111'!$N$11),"x","")</f>
        <v/>
      </c>
      <c r="Q658" s="22" t="str">
        <f>IF(AND($M658=$O$7,$B658&lt;'111'!$N$11),"x","")</f>
        <v/>
      </c>
      <c r="R658" s="22" t="str">
        <f>IF(ISERROR(FIND('112'!$M$9,G658,1)),"",IF((AND(FIND('112'!$M$9,G658,1)&gt;=1,$B658&gt;='112'!$N$8,$B658&lt;='112'!$O$8,OR($L658='112'!$I$6,$M658='112'!$I$6))),"x",""))</f>
        <v/>
      </c>
      <c r="S658" s="22" t="str">
        <f>IF(ISERROR(FIND('112'!$M$9,G658,1)),"",IF((AND(LEFT(G658,2)=LEFT('112'!$M$9,2),B658&lt;'112'!$N$8,$L658='112'!$I$6)),"x",""))</f>
        <v/>
      </c>
      <c r="T658" s="22" t="str">
        <f>IF(ISERROR(FIND('112'!$M$9,G658,1)),"",IF((AND(RIGHT(G658,2)=RIGHT('112'!$M$9,2),B658&lt;'112'!$N$8,$M658='112'!$I$6)),"x",""))</f>
        <v/>
      </c>
      <c r="U658" s="22" t="str">
        <f>IF(AND(B658&gt;='IN-NX'!$P$3,B658&lt;='IN-NX'!$Q$3,'IN-NX'!$D$7=D658,OR(LEFT(L658,2)="15",AND(LEFT(M658,2)&lt;&gt;"15",LEFT(M658,2)&lt;&gt;"33"))),"x","")</f>
        <v/>
      </c>
      <c r="V658" s="22" t="str">
        <f>IF(AND(OR(LEFT(TH!L658,2)="15",LEFT(TH!M658,2)="15"),'152-CT'!$J$8=TH!F658),"x","")</f>
        <v/>
      </c>
      <c r="W658" s="22" t="str">
        <f>IF(AND(OR(LEFT(TH!L658,2)="15",LEFT(TH!M658,2)="15"),TK!$E$7=TH!F658),"x","")</f>
        <v/>
      </c>
      <c r="X658" s="22" t="str">
        <f>IF(OR(TH!L658=TH!$X$7,M658=TH!$X$7),"x","")</f>
        <v/>
      </c>
      <c r="Y658" s="22" t="str">
        <f>IF(AND(B658&lt;=NKC!$N$8,B658&gt;=NKC!$M$8),"x","")</f>
        <v/>
      </c>
      <c r="Z658" s="580"/>
      <c r="AD658" s="130"/>
      <c r="AE658" s="130"/>
    </row>
    <row r="659" spans="1:31" s="130" customFormat="1" ht="15.75" customHeight="1">
      <c r="A659" s="123" t="str">
        <f>IF(B659&lt;&gt;"",IF(AND(B659&gt;=_TM1,B659&lt;=_TM2,OR(TH!L659="1111",TH!M659="1111")),TH!D659,""),"")</f>
        <v/>
      </c>
      <c r="B659" s="12">
        <f t="shared" si="25"/>
        <v>12</v>
      </c>
      <c r="C659" s="108">
        <f t="shared" si="24"/>
        <v>42716</v>
      </c>
      <c r="D659" s="108" t="s">
        <v>586</v>
      </c>
      <c r="E659" s="113">
        <v>42716</v>
      </c>
      <c r="F659" s="112" t="s">
        <v>496</v>
      </c>
      <c r="G659" s="303" t="s">
        <v>842</v>
      </c>
      <c r="H659" s="4" t="s">
        <v>814</v>
      </c>
      <c r="I659" s="139"/>
      <c r="J659" s="139"/>
      <c r="K659" s="13">
        <v>1800000</v>
      </c>
      <c r="L659" s="116" t="s">
        <v>252</v>
      </c>
      <c r="M659" s="411" t="s">
        <v>352</v>
      </c>
      <c r="N659" s="22" t="str">
        <f>IF(AND('331-CT'!$E$7=TH!H659,OR(L659="331",M659="331")),"331",IF(AND(OR(L659="131",M659="131"),H659='131-CT'!$E$7),"131",""))</f>
        <v/>
      </c>
      <c r="O659" s="22" t="str">
        <f>IF(AND($B659&gt;='111'!$N$11,$B659&lt;='111'!$O$11,OR($L659=$O$7,$M659=$O$7)),"x","")</f>
        <v/>
      </c>
      <c r="P659" s="22" t="str">
        <f>IF(AND($L659=$O$7,$B659&lt;'111'!$N$11),"x","")</f>
        <v/>
      </c>
      <c r="Q659" s="22" t="str">
        <f>IF(AND($M659=$O$7,$B659&lt;'111'!$N$11),"x","")</f>
        <v/>
      </c>
      <c r="R659" s="22" t="str">
        <f>IF(ISERROR(FIND('112'!$M$9,G659,1)),"",IF((AND(FIND('112'!$M$9,G659,1)&gt;=1,$B659&gt;='112'!$N$8,$B659&lt;='112'!$O$8,OR($L659='112'!$I$6,$M659='112'!$I$6))),"x",""))</f>
        <v/>
      </c>
      <c r="S659" s="22" t="str">
        <f>IF(ISERROR(FIND('112'!$M$9,G659,1)),"",IF((AND(LEFT(G659,2)=LEFT('112'!$M$9,2),B659&lt;'112'!$N$8,$L659='112'!$I$6)),"x",""))</f>
        <v/>
      </c>
      <c r="T659" s="22" t="str">
        <f>IF(ISERROR(FIND('112'!$M$9,G659,1)),"",IF((AND(RIGHT(G659,2)=RIGHT('112'!$M$9,2),B659&lt;'112'!$N$8,$M659='112'!$I$6)),"x",""))</f>
        <v/>
      </c>
      <c r="U659" s="22" t="str">
        <f>IF(AND(B659&gt;='IN-NX'!$P$3,B659&lt;='IN-NX'!$Q$3,'IN-NX'!$D$7=D659,OR(LEFT(L659,2)="15",AND(LEFT(M659,2)&lt;&gt;"15",LEFT(M659,2)&lt;&gt;"33"))),"x","")</f>
        <v/>
      </c>
      <c r="V659" s="22" t="str">
        <f>IF(AND(OR(LEFT(TH!L659,2)="15",LEFT(TH!M659,2)="15"),'152-CT'!$J$8=TH!F659),"x","")</f>
        <v/>
      </c>
      <c r="W659" s="22" t="str">
        <f>IF(AND(OR(LEFT(TH!L659,2)="15",LEFT(TH!M659,2)="15"),TK!$E$7=TH!F659),"x","")</f>
        <v/>
      </c>
      <c r="X659" s="22" t="str">
        <f>IF(OR(TH!L659=TH!$X$7,M659=TH!$X$7),"x","")</f>
        <v/>
      </c>
      <c r="Y659" s="22" t="str">
        <f>IF(AND(B659&lt;=NKC!$N$8,B659&gt;=NKC!$M$8),"x","")</f>
        <v/>
      </c>
      <c r="Z659" s="580"/>
      <c r="AA659" s="406"/>
      <c r="AB659" s="406"/>
      <c r="AC659" s="406"/>
    </row>
    <row r="660" spans="1:31" s="406" customFormat="1" ht="15.75" customHeight="1">
      <c r="A660" s="123" t="str">
        <f>IF(B660&lt;&gt;"",IF(AND(B660&gt;=_TM1,B660&lt;=_TM2,OR(TH!L660="1111",TH!M660="1111")),TH!D660,""),"")</f>
        <v>T31</v>
      </c>
      <c r="B660" s="12">
        <f t="shared" si="25"/>
        <v>12</v>
      </c>
      <c r="C660" s="108">
        <f t="shared" si="24"/>
        <v>42716</v>
      </c>
      <c r="D660" s="108" t="s">
        <v>1039</v>
      </c>
      <c r="E660" s="113">
        <v>42716</v>
      </c>
      <c r="F660" s="114" t="s">
        <v>484</v>
      </c>
      <c r="G660" s="303" t="s">
        <v>842</v>
      </c>
      <c r="H660" s="4" t="s">
        <v>814</v>
      </c>
      <c r="I660" s="140"/>
      <c r="J660" s="140"/>
      <c r="K660" s="13">
        <v>19800000</v>
      </c>
      <c r="L660" s="116" t="s">
        <v>46</v>
      </c>
      <c r="M660" s="411" t="s">
        <v>252</v>
      </c>
      <c r="N660" s="22" t="str">
        <f>IF(AND('331-CT'!$E$7=TH!H660,OR(L660="331",M660="331")),"331",IF(AND(OR(L660="131",M660="131"),H660='131-CT'!$E$7),"131",""))</f>
        <v/>
      </c>
      <c r="O660" s="22" t="str">
        <f>IF(AND($B660&gt;='111'!$N$11,$B660&lt;='111'!$O$11,OR($L660=$O$7,$M660=$O$7)),"x","")</f>
        <v>x</v>
      </c>
      <c r="P660" s="22" t="str">
        <f>IF(AND($L660=$O$7,$B660&lt;'111'!$N$11),"x","")</f>
        <v/>
      </c>
      <c r="Q660" s="22" t="str">
        <f>IF(AND($M660=$O$7,$B660&lt;'111'!$N$11),"x","")</f>
        <v/>
      </c>
      <c r="R660" s="22" t="str">
        <f>IF(ISERROR(FIND('112'!$M$9,G660,1)),"",IF((AND(FIND('112'!$M$9,G660,1)&gt;=1,$B660&gt;='112'!$N$8,$B660&lt;='112'!$O$8,OR($L660='112'!$I$6,$M660='112'!$I$6))),"x",""))</f>
        <v/>
      </c>
      <c r="S660" s="22" t="str">
        <f>IF(ISERROR(FIND('112'!$M$9,G660,1)),"",IF((AND(LEFT(G660,2)=LEFT('112'!$M$9,2),B660&lt;'112'!$N$8,$L660='112'!$I$6)),"x",""))</f>
        <v/>
      </c>
      <c r="T660" s="22" t="str">
        <f>IF(ISERROR(FIND('112'!$M$9,G660,1)),"",IF((AND(RIGHT(G660,2)=RIGHT('112'!$M$9,2),B660&lt;'112'!$N$8,$M660='112'!$I$6)),"x",""))</f>
        <v/>
      </c>
      <c r="U660" s="22" t="str">
        <f>IF(AND(B660&gt;='IN-NX'!$P$3,B660&lt;='IN-NX'!$Q$3,'IN-NX'!$D$7=D660,OR(LEFT(L660,2)="15",AND(LEFT(M660,2)&lt;&gt;"15",LEFT(M660,2)&lt;&gt;"33"))),"x","")</f>
        <v/>
      </c>
      <c r="V660" s="22" t="str">
        <f>IF(AND(OR(LEFT(TH!L660,2)="15",LEFT(TH!M660,2)="15"),'152-CT'!$J$8=TH!F660),"x","")</f>
        <v/>
      </c>
      <c r="W660" s="22" t="str">
        <f>IF(AND(OR(LEFT(TH!L660,2)="15",LEFT(TH!M660,2)="15"),TK!$E$7=TH!F660),"x","")</f>
        <v/>
      </c>
      <c r="X660" s="22" t="str">
        <f>IF(OR(TH!L660=TH!$X$7,M660=TH!$X$7),"x","")</f>
        <v/>
      </c>
      <c r="Y660" s="22" t="str">
        <f>IF(AND(B660&lt;=NKC!$N$8,B660&gt;=NKC!$M$8),"x","")</f>
        <v/>
      </c>
      <c r="Z660" s="580"/>
      <c r="AC660" s="130"/>
      <c r="AD660" s="130"/>
      <c r="AE660" s="130"/>
    </row>
    <row r="661" spans="1:31" s="406" customFormat="1" ht="15.75" customHeight="1">
      <c r="A661" s="123" t="str">
        <f>IF(B661&lt;&gt;"",IF(AND(B661&gt;=_TM1,B661&lt;=_TM2,OR(TH!L661="1111",TH!M661="1111")),TH!D661,""),"")</f>
        <v/>
      </c>
      <c r="B661" s="12">
        <f t="shared" si="25"/>
        <v>12</v>
      </c>
      <c r="C661" s="108">
        <f t="shared" ref="C661:C724" si="26">E661</f>
        <v>42716</v>
      </c>
      <c r="D661" s="108" t="s">
        <v>587</v>
      </c>
      <c r="E661" s="113">
        <v>42716</v>
      </c>
      <c r="F661" s="114" t="s">
        <v>664</v>
      </c>
      <c r="G661" s="305" t="s">
        <v>882</v>
      </c>
      <c r="H661" s="4" t="s">
        <v>618</v>
      </c>
      <c r="I661" s="140">
        <v>332</v>
      </c>
      <c r="J661" s="140">
        <v>9400</v>
      </c>
      <c r="K661" s="13">
        <f>ROUND(I661*J661,0)</f>
        <v>3120800</v>
      </c>
      <c r="L661" s="116" t="s">
        <v>252</v>
      </c>
      <c r="M661" s="411" t="s">
        <v>169</v>
      </c>
      <c r="N661" s="22" t="str">
        <f>IF(AND('331-CT'!$E$7=TH!H661,OR(L661="331",M661="331")),"331",IF(AND(OR(L661="131",M661="131"),H661='131-CT'!$E$7),"131",""))</f>
        <v/>
      </c>
      <c r="O661" s="22" t="str">
        <f>IF(AND($B661&gt;='111'!$N$11,$B661&lt;='111'!$O$11,OR($L661=$O$7,$M661=$O$7)),"x","")</f>
        <v/>
      </c>
      <c r="P661" s="22" t="str">
        <f>IF(AND($L661=$O$7,$B661&lt;'111'!$N$11),"x","")</f>
        <v/>
      </c>
      <c r="Q661" s="22" t="str">
        <f>IF(AND($M661=$O$7,$B661&lt;'111'!$N$11),"x","")</f>
        <v/>
      </c>
      <c r="R661" s="22" t="str">
        <f>IF(ISERROR(FIND('112'!$M$9,G661,1)),"",IF((AND(FIND('112'!$M$9,G661,1)&gt;=1,$B661&gt;='112'!$N$8,$B661&lt;='112'!$O$8,OR($L661='112'!$I$6,$M661='112'!$I$6))),"x",""))</f>
        <v/>
      </c>
      <c r="S661" s="22" t="str">
        <f>IF(ISERROR(FIND('112'!$M$9,G661,1)),"",IF((AND(LEFT(G661,2)=LEFT('112'!$M$9,2),B661&lt;'112'!$N$8,$L661='112'!$I$6)),"x",""))</f>
        <v/>
      </c>
      <c r="T661" s="22" t="str">
        <f>IF(ISERROR(FIND('112'!$M$9,G661,1)),"",IF((AND(RIGHT(G661,2)=RIGHT('112'!$M$9,2),B661&lt;'112'!$N$8,$M661='112'!$I$6)),"x",""))</f>
        <v/>
      </c>
      <c r="U661" s="22" t="str">
        <f>IF(AND(B661&gt;='IN-NX'!$P$3,B661&lt;='IN-NX'!$Q$3,'IN-NX'!$D$7=D661,OR(LEFT(L661,2)="15",AND(LEFT(M661,2)&lt;&gt;"15",LEFT(M661,2)&lt;&gt;"33"))),"x","")</f>
        <v/>
      </c>
      <c r="V661" s="22" t="str">
        <f>IF(AND(OR(LEFT(TH!L661,2)="15",LEFT(TH!M661,2)="15"),'152-CT'!$J$8=TH!F661),"x","")</f>
        <v/>
      </c>
      <c r="W661" s="22" t="str">
        <f>IF(AND(OR(LEFT(TH!L661,2)="15",LEFT(TH!M661,2)="15"),TK!$E$7=TH!F661),"x","")</f>
        <v/>
      </c>
      <c r="X661" s="22" t="str">
        <f>IF(OR(TH!L661=TH!$X$7,M661=TH!$X$7),"x","")</f>
        <v/>
      </c>
      <c r="Y661" s="22" t="str">
        <f>IF(AND(B661&lt;=NKC!$N$8,B661&gt;=NKC!$M$8),"x","")</f>
        <v/>
      </c>
      <c r="Z661" s="580"/>
      <c r="AD661" s="130"/>
      <c r="AE661" s="130"/>
    </row>
    <row r="662" spans="1:31" s="406" customFormat="1" ht="15.75" customHeight="1">
      <c r="A662" s="123" t="str">
        <f>IF(B662&lt;&gt;"",IF(AND(B662&gt;=_TM1,B662&lt;=_TM2,OR(TH!L662="1111",TH!M662="1111")),TH!D662,""),"")</f>
        <v/>
      </c>
      <c r="B662" s="12">
        <f t="shared" si="25"/>
        <v>12</v>
      </c>
      <c r="C662" s="108">
        <f t="shared" si="26"/>
        <v>42716</v>
      </c>
      <c r="D662" s="108" t="s">
        <v>587</v>
      </c>
      <c r="E662" s="113">
        <v>42716</v>
      </c>
      <c r="F662" s="114" t="s">
        <v>511</v>
      </c>
      <c r="G662" s="305" t="s">
        <v>882</v>
      </c>
      <c r="H662" s="4" t="s">
        <v>618</v>
      </c>
      <c r="I662" s="139">
        <v>104</v>
      </c>
      <c r="J662" s="139">
        <v>12900</v>
      </c>
      <c r="K662" s="13">
        <f>ROUND(I662*J662,0)</f>
        <v>1341600</v>
      </c>
      <c r="L662" s="116" t="s">
        <v>252</v>
      </c>
      <c r="M662" s="411" t="s">
        <v>169</v>
      </c>
      <c r="N662" s="22" t="str">
        <f>IF(AND('331-CT'!$E$7=TH!H662,OR(L662="331",M662="331")),"331",IF(AND(OR(L662="131",M662="131"),H662='131-CT'!$E$7),"131",""))</f>
        <v/>
      </c>
      <c r="O662" s="22" t="str">
        <f>IF(AND($B662&gt;='111'!$N$11,$B662&lt;='111'!$O$11,OR($L662=$O$7,$M662=$O$7)),"x","")</f>
        <v/>
      </c>
      <c r="P662" s="22" t="str">
        <f>IF(AND($L662=$O$7,$B662&lt;'111'!$N$11),"x","")</f>
        <v/>
      </c>
      <c r="Q662" s="22" t="str">
        <f>IF(AND($M662=$O$7,$B662&lt;'111'!$N$11),"x","")</f>
        <v/>
      </c>
      <c r="R662" s="22" t="str">
        <f>IF(ISERROR(FIND('112'!$M$9,G662,1)),"",IF((AND(FIND('112'!$M$9,G662,1)&gt;=1,$B662&gt;='112'!$N$8,$B662&lt;='112'!$O$8,OR($L662='112'!$I$6,$M662='112'!$I$6))),"x",""))</f>
        <v/>
      </c>
      <c r="S662" s="22" t="str">
        <f>IF(ISERROR(FIND('112'!$M$9,G662,1)),"",IF((AND(LEFT(G662,2)=LEFT('112'!$M$9,2),B662&lt;'112'!$N$8,$L662='112'!$I$6)),"x",""))</f>
        <v/>
      </c>
      <c r="T662" s="22" t="str">
        <f>IF(ISERROR(FIND('112'!$M$9,G662,1)),"",IF((AND(RIGHT(G662,2)=RIGHT('112'!$M$9,2),B662&lt;'112'!$N$8,$M662='112'!$I$6)),"x",""))</f>
        <v/>
      </c>
      <c r="U662" s="22" t="str">
        <f>IF(AND(B662&gt;='IN-NX'!$P$3,B662&lt;='IN-NX'!$Q$3,'IN-NX'!$D$7=D662,OR(LEFT(L662,2)="15",AND(LEFT(M662,2)&lt;&gt;"15",LEFT(M662,2)&lt;&gt;"33"))),"x","")</f>
        <v/>
      </c>
      <c r="V662" s="22" t="str">
        <f>IF(AND(OR(LEFT(TH!L662,2)="15",LEFT(TH!M662,2)="15"),'152-CT'!$J$8=TH!F662),"x","")</f>
        <v/>
      </c>
      <c r="W662" s="22" t="str">
        <f>IF(AND(OR(LEFT(TH!L662,2)="15",LEFT(TH!M662,2)="15"),TK!$E$7=TH!F662),"x","")</f>
        <v/>
      </c>
      <c r="X662" s="22" t="str">
        <f>IF(OR(TH!L662=TH!$X$7,M662=TH!$X$7),"x","")</f>
        <v/>
      </c>
      <c r="Y662" s="22" t="str">
        <f>IF(AND(B662&lt;=NKC!$N$8,B662&gt;=NKC!$M$8),"x","")</f>
        <v/>
      </c>
      <c r="Z662" s="580"/>
      <c r="AD662" s="130"/>
      <c r="AE662" s="130"/>
    </row>
    <row r="663" spans="1:31" s="406" customFormat="1" ht="15.75" customHeight="1">
      <c r="A663" s="123" t="str">
        <f>IF(B663&lt;&gt;"",IF(AND(B663&gt;=_TM1,B663&lt;=_TM2,OR(TH!L663="1111",TH!M663="1111")),TH!D663,""),"")</f>
        <v/>
      </c>
      <c r="B663" s="12">
        <f t="shared" si="25"/>
        <v>12</v>
      </c>
      <c r="C663" s="108">
        <f t="shared" si="26"/>
        <v>42716</v>
      </c>
      <c r="D663" s="108" t="s">
        <v>587</v>
      </c>
      <c r="E663" s="113">
        <v>42716</v>
      </c>
      <c r="F663" s="112" t="s">
        <v>496</v>
      </c>
      <c r="G663" s="305" t="s">
        <v>882</v>
      </c>
      <c r="H663" s="4" t="s">
        <v>618</v>
      </c>
      <c r="I663" s="139"/>
      <c r="J663" s="139"/>
      <c r="K663" s="13">
        <v>446240</v>
      </c>
      <c r="L663" s="116" t="s">
        <v>252</v>
      </c>
      <c r="M663" s="411" t="s">
        <v>352</v>
      </c>
      <c r="N663" s="22" t="str">
        <f>IF(AND('331-CT'!$E$7=TH!H663,OR(L663="331",M663="331")),"331",IF(AND(OR(L663="131",M663="131"),H663='131-CT'!$E$7),"131",""))</f>
        <v/>
      </c>
      <c r="O663" s="22" t="str">
        <f>IF(AND($B663&gt;='111'!$N$11,$B663&lt;='111'!$O$11,OR($L663=$O$7,$M663=$O$7)),"x","")</f>
        <v/>
      </c>
      <c r="P663" s="22" t="str">
        <f>IF(AND($L663=$O$7,$B663&lt;'111'!$N$11),"x","")</f>
        <v/>
      </c>
      <c r="Q663" s="22" t="str">
        <f>IF(AND($M663=$O$7,$B663&lt;'111'!$N$11),"x","")</f>
        <v/>
      </c>
      <c r="R663" s="22" t="str">
        <f>IF(ISERROR(FIND('112'!$M$9,G663,1)),"",IF((AND(FIND('112'!$M$9,G663,1)&gt;=1,$B663&gt;='112'!$N$8,$B663&lt;='112'!$O$8,OR($L663='112'!$I$6,$M663='112'!$I$6))),"x",""))</f>
        <v/>
      </c>
      <c r="S663" s="22" t="str">
        <f>IF(ISERROR(FIND('112'!$M$9,G663,1)),"",IF((AND(LEFT(G663,2)=LEFT('112'!$M$9,2),B663&lt;'112'!$N$8,$L663='112'!$I$6)),"x",""))</f>
        <v/>
      </c>
      <c r="T663" s="22" t="str">
        <f>IF(ISERROR(FIND('112'!$M$9,G663,1)),"",IF((AND(RIGHT(G663,2)=RIGHT('112'!$M$9,2),B663&lt;'112'!$N$8,$M663='112'!$I$6)),"x",""))</f>
        <v/>
      </c>
      <c r="U663" s="22" t="str">
        <f>IF(AND(B663&gt;='IN-NX'!$P$3,B663&lt;='IN-NX'!$Q$3,'IN-NX'!$D$7=D663,OR(LEFT(L663,2)="15",AND(LEFT(M663,2)&lt;&gt;"15",LEFT(M663,2)&lt;&gt;"33"))),"x","")</f>
        <v/>
      </c>
      <c r="V663" s="22" t="str">
        <f>IF(AND(OR(LEFT(TH!L663,2)="15",LEFT(TH!M663,2)="15"),'152-CT'!$J$8=TH!F663),"x","")</f>
        <v/>
      </c>
      <c r="W663" s="22" t="str">
        <f>IF(AND(OR(LEFT(TH!L663,2)="15",LEFT(TH!M663,2)="15"),TK!$E$7=TH!F663),"x","")</f>
        <v/>
      </c>
      <c r="X663" s="22" t="str">
        <f>IF(OR(TH!L663=TH!$X$7,M663=TH!$X$7),"x","")</f>
        <v/>
      </c>
      <c r="Y663" s="22" t="str">
        <f>IF(AND(B663&lt;=NKC!$N$8,B663&gt;=NKC!$M$8),"x","")</f>
        <v/>
      </c>
      <c r="Z663" s="580"/>
      <c r="AD663" s="130"/>
      <c r="AE663" s="130"/>
    </row>
    <row r="664" spans="1:31" s="406" customFormat="1" ht="15.75" customHeight="1">
      <c r="A664" s="123" t="str">
        <f>IF(B664&lt;&gt;"",IF(AND(B664&gt;=_TM1,B664&lt;=_TM2,OR(TH!L664="1111",TH!M664="1111")),TH!D664,""),"")</f>
        <v>C26</v>
      </c>
      <c r="B664" s="12">
        <f t="shared" si="25"/>
        <v>12</v>
      </c>
      <c r="C664" s="108">
        <f t="shared" si="26"/>
        <v>42717</v>
      </c>
      <c r="D664" s="108" t="s">
        <v>1033</v>
      </c>
      <c r="E664" s="113">
        <v>42717</v>
      </c>
      <c r="F664" s="112" t="s">
        <v>471</v>
      </c>
      <c r="G664" s="114" t="s">
        <v>474</v>
      </c>
      <c r="H664" s="115" t="s">
        <v>796</v>
      </c>
      <c r="I664" s="139"/>
      <c r="J664" s="141"/>
      <c r="K664" s="13">
        <v>13300000</v>
      </c>
      <c r="L664" s="116" t="s">
        <v>24</v>
      </c>
      <c r="M664" s="411" t="s">
        <v>46</v>
      </c>
      <c r="N664" s="22" t="str">
        <f>IF(AND('331-CT'!$E$7=TH!H664,OR(L664="331",M664="331")),"331",IF(AND(OR(L664="131",M664="131"),H664='131-CT'!$E$7),"131",""))</f>
        <v/>
      </c>
      <c r="O664" s="22" t="str">
        <f>IF(AND($B664&gt;='111'!$N$11,$B664&lt;='111'!$O$11,OR($L664=$O$7,$M664=$O$7)),"x","")</f>
        <v>x</v>
      </c>
      <c r="P664" s="22" t="str">
        <f>IF(AND($L664=$O$7,$B664&lt;'111'!$N$11),"x","")</f>
        <v/>
      </c>
      <c r="Q664" s="22" t="str">
        <f>IF(AND($M664=$O$7,$B664&lt;'111'!$N$11),"x","")</f>
        <v/>
      </c>
      <c r="R664" s="22" t="str">
        <f>IF(ISERROR(FIND('112'!$M$9,G664,1)),"",IF((AND(FIND('112'!$M$9,G664,1)&gt;=1,$B664&gt;='112'!$N$8,$B664&lt;='112'!$O$8,OR($L664='112'!$I$6,$M664='112'!$I$6))),"x",""))</f>
        <v>x</v>
      </c>
      <c r="S664" s="22" t="str">
        <f>IF(ISERROR(FIND('112'!$M$9,G664,1)),"",IF((AND(LEFT(G664,2)=LEFT('112'!$M$9,2),B664&lt;'112'!$N$8,$L664='112'!$I$6)),"x",""))</f>
        <v/>
      </c>
      <c r="T664" s="22" t="str">
        <f>IF(ISERROR(FIND('112'!$M$9,G664,1)),"",IF((AND(RIGHT(G664,2)=RIGHT('112'!$M$9,2),B664&lt;'112'!$N$8,$M664='112'!$I$6)),"x",""))</f>
        <v/>
      </c>
      <c r="U664" s="22" t="str">
        <f>IF(AND(B664&gt;='IN-NX'!$P$3,B664&lt;='IN-NX'!$Q$3,'IN-NX'!$D$7=D664,OR(LEFT(L664,2)="15",AND(LEFT(M664,2)&lt;&gt;"15",LEFT(M664,2)&lt;&gt;"33"))),"x","")</f>
        <v/>
      </c>
      <c r="V664" s="22" t="str">
        <f>IF(AND(OR(LEFT(TH!L664,2)="15",LEFT(TH!M664,2)="15"),'152-CT'!$J$8=TH!F664),"x","")</f>
        <v/>
      </c>
      <c r="W664" s="22" t="str">
        <f>IF(AND(OR(LEFT(TH!L664,2)="15",LEFT(TH!M664,2)="15"),TK!$E$7=TH!F664),"x","")</f>
        <v/>
      </c>
      <c r="X664" s="22" t="str">
        <f>IF(OR(TH!L664=TH!$X$7,M664=TH!$X$7),"x","")</f>
        <v/>
      </c>
      <c r="Y664" s="22" t="str">
        <f>IF(AND(B664&lt;=NKC!$N$8,B664&gt;=NKC!$M$8),"x","")</f>
        <v/>
      </c>
      <c r="Z664" s="580"/>
      <c r="AD664" s="130"/>
      <c r="AE664" s="130"/>
    </row>
    <row r="665" spans="1:31" s="406" customFormat="1" ht="15.75" customHeight="1">
      <c r="A665" s="123" t="str">
        <f>IF(B665&lt;&gt;"",IF(AND(B665&gt;=_TM1,B665&lt;=_TM2,OR(TH!L665="1111",TH!M665="1111")),TH!D665,""),"")</f>
        <v/>
      </c>
      <c r="B665" s="12">
        <f t="shared" si="25"/>
        <v>12</v>
      </c>
      <c r="C665" s="108">
        <f t="shared" si="26"/>
        <v>42717</v>
      </c>
      <c r="D665" s="108" t="s">
        <v>469</v>
      </c>
      <c r="E665" s="113">
        <v>42717</v>
      </c>
      <c r="F665" s="112" t="s">
        <v>484</v>
      </c>
      <c r="G665" s="114" t="s">
        <v>474</v>
      </c>
      <c r="H665" s="115" t="s">
        <v>683</v>
      </c>
      <c r="I665" s="139"/>
      <c r="J665" s="141"/>
      <c r="K665" s="13">
        <v>27324000</v>
      </c>
      <c r="L665" s="116" t="s">
        <v>24</v>
      </c>
      <c r="M665" s="411" t="s">
        <v>252</v>
      </c>
      <c r="N665" s="22" t="str">
        <f>IF(AND('331-CT'!$E$7=TH!H665,OR(L665="331",M665="331")),"331",IF(AND(OR(L665="131",M665="131"),H665='131-CT'!$E$7),"131",""))</f>
        <v/>
      </c>
      <c r="O665" s="22" t="str">
        <f>IF(AND($B665&gt;='111'!$N$11,$B665&lt;='111'!$O$11,OR($L665=$O$7,$M665=$O$7)),"x","")</f>
        <v/>
      </c>
      <c r="P665" s="22" t="str">
        <f>IF(AND($L665=$O$7,$B665&lt;'111'!$N$11),"x","")</f>
        <v/>
      </c>
      <c r="Q665" s="22" t="str">
        <f>IF(AND($M665=$O$7,$B665&lt;'111'!$N$11),"x","")</f>
        <v/>
      </c>
      <c r="R665" s="22" t="str">
        <f>IF(ISERROR(FIND('112'!$M$9,G665,1)),"",IF((AND(FIND('112'!$M$9,G665,1)&gt;=1,$B665&gt;='112'!$N$8,$B665&lt;='112'!$O$8,OR($L665='112'!$I$6,$M665='112'!$I$6))),"x",""))</f>
        <v>x</v>
      </c>
      <c r="S665" s="22" t="str">
        <f>IF(ISERROR(FIND('112'!$M$9,G665,1)),"",IF((AND(LEFT(G665,2)=LEFT('112'!$M$9,2),B665&lt;'112'!$N$8,$L665='112'!$I$6)),"x",""))</f>
        <v/>
      </c>
      <c r="T665" s="22" t="str">
        <f>IF(ISERROR(FIND('112'!$M$9,G665,1)),"",IF((AND(RIGHT(G665,2)=RIGHT('112'!$M$9,2),B665&lt;'112'!$N$8,$M665='112'!$I$6)),"x",""))</f>
        <v/>
      </c>
      <c r="U665" s="22" t="str">
        <f>IF(AND(B665&gt;='IN-NX'!$P$3,B665&lt;='IN-NX'!$Q$3,'IN-NX'!$D$7=D665,OR(LEFT(L665,2)="15",AND(LEFT(M665,2)&lt;&gt;"15",LEFT(M665,2)&lt;&gt;"33"))),"x","")</f>
        <v/>
      </c>
      <c r="V665" s="22" t="str">
        <f>IF(AND(OR(LEFT(TH!L665,2)="15",LEFT(TH!M665,2)="15"),'152-CT'!$J$8=TH!F665),"x","")</f>
        <v/>
      </c>
      <c r="W665" s="22" t="str">
        <f>IF(AND(OR(LEFT(TH!L665,2)="15",LEFT(TH!M665,2)="15"),TK!$E$7=TH!F665),"x","")</f>
        <v/>
      </c>
      <c r="X665" s="22" t="str">
        <f>IF(OR(TH!L665=TH!$X$7,M665=TH!$X$7),"x","")</f>
        <v/>
      </c>
      <c r="Y665" s="22" t="str">
        <f>IF(AND(B665&lt;=NKC!$N$8,B665&gt;=NKC!$M$8),"x","")</f>
        <v/>
      </c>
      <c r="Z665" s="580"/>
      <c r="AD665" s="130"/>
      <c r="AE665" s="130"/>
    </row>
    <row r="666" spans="1:31" s="130" customFormat="1" ht="15.75" customHeight="1">
      <c r="A666" s="123" t="str">
        <f>IF(B666&lt;&gt;"",IF(AND(B666&gt;=_TM1,B666&lt;=_TM2,OR(TH!L666="1111",TH!M666="1111")),TH!D666,""),"")</f>
        <v/>
      </c>
      <c r="B666" s="12">
        <f t="shared" si="25"/>
        <v>12</v>
      </c>
      <c r="C666" s="108">
        <f t="shared" si="26"/>
        <v>42717</v>
      </c>
      <c r="D666" s="108" t="s">
        <v>588</v>
      </c>
      <c r="E666" s="113">
        <v>42717</v>
      </c>
      <c r="F666" s="114" t="s">
        <v>529</v>
      </c>
      <c r="G666" s="305" t="s">
        <v>883</v>
      </c>
      <c r="H666" s="4" t="s">
        <v>369</v>
      </c>
      <c r="I666" s="139">
        <v>60</v>
      </c>
      <c r="J666" s="139">
        <v>47449</v>
      </c>
      <c r="K666" s="13">
        <f>ROUND(I666*J666,0)</f>
        <v>2846940</v>
      </c>
      <c r="L666" s="116" t="s">
        <v>252</v>
      </c>
      <c r="M666" s="411" t="s">
        <v>169</v>
      </c>
      <c r="N666" s="22" t="str">
        <f>IF(AND('331-CT'!$E$7=TH!H666,OR(L666="331",M666="331")),"331",IF(AND(OR(L666="131",M666="131"),H666='131-CT'!$E$7),"131",""))</f>
        <v>131</v>
      </c>
      <c r="O666" s="22" t="str">
        <f>IF(AND($B666&gt;='111'!$N$11,$B666&lt;='111'!$O$11,OR($L666=$O$7,$M666=$O$7)),"x","")</f>
        <v/>
      </c>
      <c r="P666" s="22" t="str">
        <f>IF(AND($L666=$O$7,$B666&lt;'111'!$N$11),"x","")</f>
        <v/>
      </c>
      <c r="Q666" s="22" t="str">
        <f>IF(AND($M666=$O$7,$B666&lt;'111'!$N$11),"x","")</f>
        <v/>
      </c>
      <c r="R666" s="22" t="str">
        <f>IF(ISERROR(FIND('112'!$M$9,G666,1)),"",IF((AND(FIND('112'!$M$9,G666,1)&gt;=1,$B666&gt;='112'!$N$8,$B666&lt;='112'!$O$8,OR($L666='112'!$I$6,$M666='112'!$I$6))),"x",""))</f>
        <v/>
      </c>
      <c r="S666" s="22" t="str">
        <f>IF(ISERROR(FIND('112'!$M$9,G666,1)),"",IF((AND(LEFT(G666,2)=LEFT('112'!$M$9,2),B666&lt;'112'!$N$8,$L666='112'!$I$6)),"x",""))</f>
        <v/>
      </c>
      <c r="T666" s="22" t="str">
        <f>IF(ISERROR(FIND('112'!$M$9,G666,1)),"",IF((AND(RIGHT(G666,2)=RIGHT('112'!$M$9,2),B666&lt;'112'!$N$8,$M666='112'!$I$6)),"x",""))</f>
        <v/>
      </c>
      <c r="U666" s="22" t="str">
        <f>IF(AND(B666&gt;='IN-NX'!$P$3,B666&lt;='IN-NX'!$Q$3,'IN-NX'!$D$7=D666,OR(LEFT(L666,2)="15",AND(LEFT(M666,2)&lt;&gt;"15",LEFT(M666,2)&lt;&gt;"33"))),"x","")</f>
        <v/>
      </c>
      <c r="V666" s="22" t="str">
        <f>IF(AND(OR(LEFT(TH!L666,2)="15",LEFT(TH!M666,2)="15"),'152-CT'!$J$8=TH!F666),"x","")</f>
        <v/>
      </c>
      <c r="W666" s="22" t="str">
        <f>IF(AND(OR(LEFT(TH!L666,2)="15",LEFT(TH!M666,2)="15"),TK!$E$7=TH!F666),"x","")</f>
        <v/>
      </c>
      <c r="X666" s="22" t="str">
        <f>IF(OR(TH!L666=TH!$X$7,M666=TH!$X$7),"x","")</f>
        <v/>
      </c>
      <c r="Y666" s="22" t="str">
        <f>IF(AND(B666&lt;=NKC!$N$8,B666&gt;=NKC!$M$8),"x","")</f>
        <v/>
      </c>
      <c r="Z666" s="580"/>
      <c r="AA666" s="406"/>
      <c r="AB666" s="406"/>
      <c r="AC666" s="406"/>
    </row>
    <row r="667" spans="1:31" s="130" customFormat="1" ht="15.75" customHeight="1">
      <c r="A667" s="123" t="str">
        <f>IF(B667&lt;&gt;"",IF(AND(B667&gt;=_TM1,B667&lt;=_TM2,OR(TH!L667="1111",TH!M667="1111")),TH!D667,""),"")</f>
        <v/>
      </c>
      <c r="B667" s="12">
        <f t="shared" si="25"/>
        <v>12</v>
      </c>
      <c r="C667" s="108">
        <f t="shared" si="26"/>
        <v>42717</v>
      </c>
      <c r="D667" s="108" t="s">
        <v>588</v>
      </c>
      <c r="E667" s="113">
        <v>42717</v>
      </c>
      <c r="F667" s="114" t="s">
        <v>666</v>
      </c>
      <c r="G667" s="305" t="s">
        <v>883</v>
      </c>
      <c r="H667" s="4" t="s">
        <v>369</v>
      </c>
      <c r="I667" s="139">
        <v>22</v>
      </c>
      <c r="J667" s="139">
        <v>54530</v>
      </c>
      <c r="K667" s="13">
        <f>ROUND(I667*J667,0)</f>
        <v>1199660</v>
      </c>
      <c r="L667" s="116" t="s">
        <v>252</v>
      </c>
      <c r="M667" s="411" t="s">
        <v>169</v>
      </c>
      <c r="N667" s="22" t="str">
        <f>IF(AND('331-CT'!$E$7=TH!H667,OR(L667="331",M667="331")),"331",IF(AND(OR(L667="131",M667="131"),H667='131-CT'!$E$7),"131",""))</f>
        <v>131</v>
      </c>
      <c r="O667" s="22" t="str">
        <f>IF(AND($B667&gt;='111'!$N$11,$B667&lt;='111'!$O$11,OR($L667=$O$7,$M667=$O$7)),"x","")</f>
        <v/>
      </c>
      <c r="P667" s="22" t="str">
        <f>IF(AND($L667=$O$7,$B667&lt;'111'!$N$11),"x","")</f>
        <v/>
      </c>
      <c r="Q667" s="22" t="str">
        <f>IF(AND($M667=$O$7,$B667&lt;'111'!$N$11),"x","")</f>
        <v/>
      </c>
      <c r="R667" s="22" t="str">
        <f>IF(ISERROR(FIND('112'!$M$9,G667,1)),"",IF((AND(FIND('112'!$M$9,G667,1)&gt;=1,$B667&gt;='112'!$N$8,$B667&lt;='112'!$O$8,OR($L667='112'!$I$6,$M667='112'!$I$6))),"x",""))</f>
        <v/>
      </c>
      <c r="S667" s="22" t="str">
        <f>IF(ISERROR(FIND('112'!$M$9,G667,1)),"",IF((AND(LEFT(G667,2)=LEFT('112'!$M$9,2),B667&lt;'112'!$N$8,$L667='112'!$I$6)),"x",""))</f>
        <v/>
      </c>
      <c r="T667" s="22" t="str">
        <f>IF(ISERROR(FIND('112'!$M$9,G667,1)),"",IF((AND(RIGHT(G667,2)=RIGHT('112'!$M$9,2),B667&lt;'112'!$N$8,$M667='112'!$I$6)),"x",""))</f>
        <v/>
      </c>
      <c r="U667" s="22" t="str">
        <f>IF(AND(B667&gt;='IN-NX'!$P$3,B667&lt;='IN-NX'!$Q$3,'IN-NX'!$D$7=D667,OR(LEFT(L667,2)="15",AND(LEFT(M667,2)&lt;&gt;"15",LEFT(M667,2)&lt;&gt;"33"))),"x","")</f>
        <v/>
      </c>
      <c r="V667" s="22" t="str">
        <f>IF(AND(OR(LEFT(TH!L667,2)="15",LEFT(TH!M667,2)="15"),'152-CT'!$J$8=TH!F667),"x","")</f>
        <v/>
      </c>
      <c r="W667" s="22" t="str">
        <f>IF(AND(OR(LEFT(TH!L667,2)="15",LEFT(TH!M667,2)="15"),TK!$E$7=TH!F667),"x","")</f>
        <v/>
      </c>
      <c r="X667" s="22" t="str">
        <f>IF(OR(TH!L667=TH!$X$7,M667=TH!$X$7),"x","")</f>
        <v/>
      </c>
      <c r="Y667" s="22" t="str">
        <f>IF(AND(B667&lt;=NKC!$N$8,B667&gt;=NKC!$M$8),"x","")</f>
        <v/>
      </c>
      <c r="Z667" s="580"/>
      <c r="AA667" s="406"/>
      <c r="AB667" s="406"/>
    </row>
    <row r="668" spans="1:31" s="406" customFormat="1" ht="15.75" customHeight="1">
      <c r="A668" s="123" t="str">
        <f>IF(B668&lt;&gt;"",IF(AND(B668&gt;=_TM1,B668&lt;=_TM2,OR(TH!L668="1111",TH!M668="1111")),TH!D668,""),"")</f>
        <v/>
      </c>
      <c r="B668" s="12">
        <f t="shared" si="25"/>
        <v>12</v>
      </c>
      <c r="C668" s="108">
        <f t="shared" si="26"/>
        <v>42717</v>
      </c>
      <c r="D668" s="108" t="s">
        <v>588</v>
      </c>
      <c r="E668" s="113">
        <v>42717</v>
      </c>
      <c r="F668" s="112" t="s">
        <v>496</v>
      </c>
      <c r="G668" s="305" t="s">
        <v>883</v>
      </c>
      <c r="H668" s="4" t="s">
        <v>369</v>
      </c>
      <c r="I668" s="139"/>
      <c r="J668" s="139"/>
      <c r="K668" s="13">
        <v>404660</v>
      </c>
      <c r="L668" s="116" t="s">
        <v>252</v>
      </c>
      <c r="M668" s="411" t="s">
        <v>352</v>
      </c>
      <c r="N668" s="22" t="str">
        <f>IF(AND('331-CT'!$E$7=TH!H668,OR(L668="331",M668="331")),"331",IF(AND(OR(L668="131",M668="131"),H668='131-CT'!$E$7),"131",""))</f>
        <v>131</v>
      </c>
      <c r="O668" s="22" t="str">
        <f>IF(AND($B668&gt;='111'!$N$11,$B668&lt;='111'!$O$11,OR($L668=$O$7,$M668=$O$7)),"x","")</f>
        <v/>
      </c>
      <c r="P668" s="22" t="str">
        <f>IF(AND($L668=$O$7,$B668&lt;'111'!$N$11),"x","")</f>
        <v/>
      </c>
      <c r="Q668" s="22" t="str">
        <f>IF(AND($M668=$O$7,$B668&lt;'111'!$N$11),"x","")</f>
        <v/>
      </c>
      <c r="R668" s="22" t="str">
        <f>IF(ISERROR(FIND('112'!$M$9,G668,1)),"",IF((AND(FIND('112'!$M$9,G668,1)&gt;=1,$B668&gt;='112'!$N$8,$B668&lt;='112'!$O$8,OR($L668='112'!$I$6,$M668='112'!$I$6))),"x",""))</f>
        <v/>
      </c>
      <c r="S668" s="22" t="str">
        <f>IF(ISERROR(FIND('112'!$M$9,G668,1)),"",IF((AND(LEFT(G668,2)=LEFT('112'!$M$9,2),B668&lt;'112'!$N$8,$L668='112'!$I$6)),"x",""))</f>
        <v/>
      </c>
      <c r="T668" s="22" t="str">
        <f>IF(ISERROR(FIND('112'!$M$9,G668,1)),"",IF((AND(RIGHT(G668,2)=RIGHT('112'!$M$9,2),B668&lt;'112'!$N$8,$M668='112'!$I$6)),"x",""))</f>
        <v/>
      </c>
      <c r="U668" s="22" t="str">
        <f>IF(AND(B668&gt;='IN-NX'!$P$3,B668&lt;='IN-NX'!$Q$3,'IN-NX'!$D$7=D668,OR(LEFT(L668,2)="15",AND(LEFT(M668,2)&lt;&gt;"15",LEFT(M668,2)&lt;&gt;"33"))),"x","")</f>
        <v/>
      </c>
      <c r="V668" s="22" t="str">
        <f>IF(AND(OR(LEFT(TH!L668,2)="15",LEFT(TH!M668,2)="15"),'152-CT'!$J$8=TH!F668),"x","")</f>
        <v/>
      </c>
      <c r="W668" s="22" t="str">
        <f>IF(AND(OR(LEFT(TH!L668,2)="15",LEFT(TH!M668,2)="15"),TK!$E$7=TH!F668),"x","")</f>
        <v/>
      </c>
      <c r="X668" s="22" t="str">
        <f>IF(OR(TH!L668=TH!$X$7,M668=TH!$X$7),"x","")</f>
        <v/>
      </c>
      <c r="Y668" s="22" t="str">
        <f>IF(AND(B668&lt;=NKC!$N$8,B668&gt;=NKC!$M$8),"x","")</f>
        <v/>
      </c>
      <c r="Z668" s="580"/>
      <c r="AD668" s="130"/>
      <c r="AE668" s="130"/>
    </row>
    <row r="669" spans="1:31" s="406" customFormat="1" ht="15.75" customHeight="1">
      <c r="A669" s="123" t="str">
        <f>IF(B669&lt;&gt;"",IF(AND(B669&gt;=_TM1,B669&lt;=_TM2,OR(TH!L669="1111",TH!M669="1111")),TH!D669,""),"")</f>
        <v>T32</v>
      </c>
      <c r="B669" s="12">
        <f t="shared" si="25"/>
        <v>12</v>
      </c>
      <c r="C669" s="108">
        <f t="shared" si="26"/>
        <v>42717</v>
      </c>
      <c r="D669" s="108" t="s">
        <v>1040</v>
      </c>
      <c r="E669" s="113">
        <v>42717</v>
      </c>
      <c r="F669" s="114" t="s">
        <v>484</v>
      </c>
      <c r="G669" s="305" t="s">
        <v>883</v>
      </c>
      <c r="H669" s="4" t="s">
        <v>369</v>
      </c>
      <c r="I669" s="139"/>
      <c r="J669" s="139"/>
      <c r="K669" s="13">
        <v>4451260</v>
      </c>
      <c r="L669" s="116" t="s">
        <v>46</v>
      </c>
      <c r="M669" s="411" t="s">
        <v>252</v>
      </c>
      <c r="N669" s="22" t="str">
        <f>IF(AND('331-CT'!$E$7=TH!H669,OR(L669="331",M669="331")),"331",IF(AND(OR(L669="131",M669="131"),H669='131-CT'!$E$7),"131",""))</f>
        <v>131</v>
      </c>
      <c r="O669" s="22" t="str">
        <f>IF(AND($B669&gt;='111'!$N$11,$B669&lt;='111'!$O$11,OR($L669=$O$7,$M669=$O$7)),"x","")</f>
        <v>x</v>
      </c>
      <c r="P669" s="22" t="str">
        <f>IF(AND($L669=$O$7,$B669&lt;'111'!$N$11),"x","")</f>
        <v/>
      </c>
      <c r="Q669" s="22" t="str">
        <f>IF(AND($M669=$O$7,$B669&lt;'111'!$N$11),"x","")</f>
        <v/>
      </c>
      <c r="R669" s="22" t="str">
        <f>IF(ISERROR(FIND('112'!$M$9,G669,1)),"",IF((AND(FIND('112'!$M$9,G669,1)&gt;=1,$B669&gt;='112'!$N$8,$B669&lt;='112'!$O$8,OR($L669='112'!$I$6,$M669='112'!$I$6))),"x",""))</f>
        <v/>
      </c>
      <c r="S669" s="22" t="str">
        <f>IF(ISERROR(FIND('112'!$M$9,G669,1)),"",IF((AND(LEFT(G669,2)=LEFT('112'!$M$9,2),B669&lt;'112'!$N$8,$L669='112'!$I$6)),"x",""))</f>
        <v/>
      </c>
      <c r="T669" s="22" t="str">
        <f>IF(ISERROR(FIND('112'!$M$9,G669,1)),"",IF((AND(RIGHT(G669,2)=RIGHT('112'!$M$9,2),B669&lt;'112'!$N$8,$M669='112'!$I$6)),"x",""))</f>
        <v/>
      </c>
      <c r="U669" s="22" t="str">
        <f>IF(AND(B669&gt;='IN-NX'!$P$3,B669&lt;='IN-NX'!$Q$3,'IN-NX'!$D$7=D669,OR(LEFT(L669,2)="15",AND(LEFT(M669,2)&lt;&gt;"15",LEFT(M669,2)&lt;&gt;"33"))),"x","")</f>
        <v/>
      </c>
      <c r="V669" s="22" t="str">
        <f>IF(AND(OR(LEFT(TH!L669,2)="15",LEFT(TH!M669,2)="15"),'152-CT'!$J$8=TH!F669),"x","")</f>
        <v/>
      </c>
      <c r="W669" s="22" t="str">
        <f>IF(AND(OR(LEFT(TH!L669,2)="15",LEFT(TH!M669,2)="15"),TK!$E$7=TH!F669),"x","")</f>
        <v/>
      </c>
      <c r="X669" s="22" t="str">
        <f>IF(OR(TH!L669=TH!$X$7,M669=TH!$X$7),"x","")</f>
        <v/>
      </c>
      <c r="Y669" s="22" t="str">
        <f>IF(AND(B669&lt;=NKC!$N$8,B669&gt;=NKC!$M$8),"x","")</f>
        <v/>
      </c>
      <c r="Z669" s="580"/>
      <c r="AD669" s="130"/>
      <c r="AE669" s="130"/>
    </row>
    <row r="670" spans="1:31" s="406" customFormat="1" ht="15.75" customHeight="1">
      <c r="A670" s="123" t="str">
        <f>IF(B670&lt;&gt;"",IF(AND(B670&gt;=_TM1,B670&lt;=_TM2,OR(TH!L670="1111",TH!M670="1111")),TH!D670,""),"")</f>
        <v/>
      </c>
      <c r="B670" s="12">
        <f t="shared" si="25"/>
        <v>12</v>
      </c>
      <c r="C670" s="108">
        <f t="shared" si="26"/>
        <v>42718</v>
      </c>
      <c r="D670" s="108" t="s">
        <v>470</v>
      </c>
      <c r="E670" s="113">
        <v>42718</v>
      </c>
      <c r="F670" s="114" t="s">
        <v>480</v>
      </c>
      <c r="G670" s="114" t="s">
        <v>474</v>
      </c>
      <c r="H670" s="115"/>
      <c r="I670" s="139"/>
      <c r="J670" s="141"/>
      <c r="K670" s="13">
        <v>20000</v>
      </c>
      <c r="L670" s="116" t="s">
        <v>82</v>
      </c>
      <c r="M670" s="411" t="s">
        <v>24</v>
      </c>
      <c r="N670" s="22" t="str">
        <f>IF(AND('331-CT'!$E$7=TH!H670,OR(L670="331",M670="331")),"331",IF(AND(OR(L670="131",M670="131"),H670='131-CT'!$E$7),"131",""))</f>
        <v/>
      </c>
      <c r="O670" s="22" t="str">
        <f>IF(AND($B670&gt;='111'!$N$11,$B670&lt;='111'!$O$11,OR($L670=$O$7,$M670=$O$7)),"x","")</f>
        <v/>
      </c>
      <c r="P670" s="22" t="str">
        <f>IF(AND($L670=$O$7,$B670&lt;'111'!$N$11),"x","")</f>
        <v/>
      </c>
      <c r="Q670" s="22" t="str">
        <f>IF(AND($M670=$O$7,$B670&lt;'111'!$N$11),"x","")</f>
        <v/>
      </c>
      <c r="R670" s="22" t="str">
        <f>IF(ISERROR(FIND('112'!$M$9,G670,1)),"",IF((AND(FIND('112'!$M$9,G670,1)&gt;=1,$B670&gt;='112'!$N$8,$B670&lt;='112'!$O$8,OR($L670='112'!$I$6,$M670='112'!$I$6))),"x",""))</f>
        <v>x</v>
      </c>
      <c r="S670" s="22" t="str">
        <f>IF(ISERROR(FIND('112'!$M$9,G670,1)),"",IF((AND(LEFT(G670,2)=LEFT('112'!$M$9,2),B670&lt;'112'!$N$8,$L670='112'!$I$6)),"x",""))</f>
        <v/>
      </c>
      <c r="T670" s="22" t="str">
        <f>IF(ISERROR(FIND('112'!$M$9,G670,1)),"",IF((AND(RIGHT(G670,2)=RIGHT('112'!$M$9,2),B670&lt;'112'!$N$8,$M670='112'!$I$6)),"x",""))</f>
        <v/>
      </c>
      <c r="U670" s="22" t="str">
        <f>IF(AND(B670&gt;='IN-NX'!$P$3,B670&lt;='IN-NX'!$Q$3,'IN-NX'!$D$7=D670,OR(LEFT(L670,2)="15",AND(LEFT(M670,2)&lt;&gt;"15",LEFT(M670,2)&lt;&gt;"33"))),"x","")</f>
        <v/>
      </c>
      <c r="V670" s="22" t="str">
        <f>IF(AND(OR(LEFT(TH!L670,2)="15",LEFT(TH!M670,2)="15"),'152-CT'!$J$8=TH!F670),"x","")</f>
        <v/>
      </c>
      <c r="W670" s="22" t="str">
        <f>IF(AND(OR(LEFT(TH!L670,2)="15",LEFT(TH!M670,2)="15"),TK!$E$7=TH!F670),"x","")</f>
        <v/>
      </c>
      <c r="X670" s="22" t="str">
        <f>IF(OR(TH!L670=TH!$X$7,M670=TH!$X$7),"x","")</f>
        <v>x</v>
      </c>
      <c r="Y670" s="22" t="str">
        <f>IF(AND(B670&lt;=NKC!$N$8,B670&gt;=NKC!$M$8),"x","")</f>
        <v/>
      </c>
      <c r="Z670" s="580">
        <v>4</v>
      </c>
      <c r="AD670" s="130"/>
      <c r="AE670" s="130"/>
    </row>
    <row r="671" spans="1:31" s="406" customFormat="1" ht="15.75" customHeight="1">
      <c r="A671" s="123" t="str">
        <f>IF(B671&lt;&gt;"",IF(AND(B671&gt;=_TM1,B671&lt;=_TM2,OR(TH!L671="1111",TH!M671="1111")),TH!D671,""),"")</f>
        <v/>
      </c>
      <c r="B671" s="12">
        <f t="shared" si="25"/>
        <v>12</v>
      </c>
      <c r="C671" s="108">
        <f t="shared" si="26"/>
        <v>42718</v>
      </c>
      <c r="D671" s="108" t="s">
        <v>470</v>
      </c>
      <c r="E671" s="113">
        <v>42718</v>
      </c>
      <c r="F671" s="114" t="s">
        <v>481</v>
      </c>
      <c r="G671" s="114" t="s">
        <v>474</v>
      </c>
      <c r="H671" s="115"/>
      <c r="I671" s="139"/>
      <c r="J671" s="141"/>
      <c r="K671" s="13">
        <v>2000</v>
      </c>
      <c r="L671" s="116" t="s">
        <v>9</v>
      </c>
      <c r="M671" s="411" t="s">
        <v>24</v>
      </c>
      <c r="N671" s="22" t="str">
        <f>IF(AND('331-CT'!$E$7=TH!H671,OR(L671="331",M671="331")),"331",IF(AND(OR(L671="131",M671="131"),H671='131-CT'!$E$7),"131",""))</f>
        <v/>
      </c>
      <c r="O671" s="22" t="str">
        <f>IF(AND($B671&gt;='111'!$N$11,$B671&lt;='111'!$O$11,OR($L671=$O$7,$M671=$O$7)),"x","")</f>
        <v/>
      </c>
      <c r="P671" s="22" t="str">
        <f>IF(AND($L671=$O$7,$B671&lt;'111'!$N$11),"x","")</f>
        <v/>
      </c>
      <c r="Q671" s="22" t="str">
        <f>IF(AND($M671=$O$7,$B671&lt;'111'!$N$11),"x","")</f>
        <v/>
      </c>
      <c r="R671" s="22" t="str">
        <f>IF(ISERROR(FIND('112'!$M$9,G671,1)),"",IF((AND(FIND('112'!$M$9,G671,1)&gt;=1,$B671&gt;='112'!$N$8,$B671&lt;='112'!$O$8,OR($L671='112'!$I$6,$M671='112'!$I$6))),"x",""))</f>
        <v>x</v>
      </c>
      <c r="S671" s="22" t="str">
        <f>IF(ISERROR(FIND('112'!$M$9,G671,1)),"",IF((AND(LEFT(G671,2)=LEFT('112'!$M$9,2),B671&lt;'112'!$N$8,$L671='112'!$I$6)),"x",""))</f>
        <v/>
      </c>
      <c r="T671" s="22" t="str">
        <f>IF(ISERROR(FIND('112'!$M$9,G671,1)),"",IF((AND(RIGHT(G671,2)=RIGHT('112'!$M$9,2),B671&lt;'112'!$N$8,$M671='112'!$I$6)),"x",""))</f>
        <v/>
      </c>
      <c r="U671" s="22" t="str">
        <f>IF(AND(B671&gt;='IN-NX'!$P$3,B671&lt;='IN-NX'!$Q$3,'IN-NX'!$D$7=D671,OR(LEFT(L671,2)="15",AND(LEFT(M671,2)&lt;&gt;"15",LEFT(M671,2)&lt;&gt;"33"))),"x","")</f>
        <v/>
      </c>
      <c r="V671" s="22" t="str">
        <f>IF(AND(OR(LEFT(TH!L671,2)="15",LEFT(TH!M671,2)="15"),'152-CT'!$J$8=TH!F671),"x","")</f>
        <v/>
      </c>
      <c r="W671" s="22" t="str">
        <f>IF(AND(OR(LEFT(TH!L671,2)="15",LEFT(TH!M671,2)="15"),TK!$E$7=TH!F671),"x","")</f>
        <v/>
      </c>
      <c r="X671" s="22" t="str">
        <f>IF(OR(TH!L671=TH!$X$7,M671=TH!$X$7),"x","")</f>
        <v/>
      </c>
      <c r="Y671" s="22" t="str">
        <f>IF(AND(B671&lt;=NKC!$N$8,B671&gt;=NKC!$M$8),"x","")</f>
        <v/>
      </c>
      <c r="Z671" s="580">
        <v>4</v>
      </c>
      <c r="AD671" s="130"/>
      <c r="AE671" s="130"/>
    </row>
    <row r="672" spans="1:31" s="406" customFormat="1" ht="15.75" customHeight="1">
      <c r="A672" s="123" t="str">
        <f>IF(B672&lt;&gt;"",IF(AND(B672&gt;=_TM1,B672&lt;=_TM2,OR(TH!L672="1111",TH!M672="1111")),TH!D672,""),"")</f>
        <v/>
      </c>
      <c r="B672" s="12">
        <f t="shared" si="25"/>
        <v>12</v>
      </c>
      <c r="C672" s="108">
        <f t="shared" si="26"/>
        <v>42718</v>
      </c>
      <c r="D672" s="108" t="s">
        <v>470</v>
      </c>
      <c r="E672" s="113">
        <v>42718</v>
      </c>
      <c r="F672" s="114" t="s">
        <v>975</v>
      </c>
      <c r="G672" s="114" t="s">
        <v>474</v>
      </c>
      <c r="H672" s="115" t="s">
        <v>624</v>
      </c>
      <c r="I672" s="139"/>
      <c r="J672" s="141"/>
      <c r="K672" s="13">
        <v>40700000</v>
      </c>
      <c r="L672" s="116" t="s">
        <v>8</v>
      </c>
      <c r="M672" s="411" t="s">
        <v>24</v>
      </c>
      <c r="N672" s="22" t="str">
        <f>IF(AND('331-CT'!$E$7=TH!H672,OR(L672="331",M672="331")),"331",IF(AND(OR(L672="131",M672="131"),H672='131-CT'!$E$7),"131",""))</f>
        <v/>
      </c>
      <c r="O672" s="22" t="str">
        <f>IF(AND($B672&gt;='111'!$N$11,$B672&lt;='111'!$O$11,OR($L672=$O$7,$M672=$O$7)),"x","")</f>
        <v/>
      </c>
      <c r="P672" s="22" t="str">
        <f>IF(AND($L672=$O$7,$B672&lt;'111'!$N$11),"x","")</f>
        <v/>
      </c>
      <c r="Q672" s="22" t="str">
        <f>IF(AND($M672=$O$7,$B672&lt;'111'!$N$11),"x","")</f>
        <v/>
      </c>
      <c r="R672" s="22" t="str">
        <f>IF(ISERROR(FIND('112'!$M$9,G672,1)),"",IF((AND(FIND('112'!$M$9,G672,1)&gt;=1,$B672&gt;='112'!$N$8,$B672&lt;='112'!$O$8,OR($L672='112'!$I$6,$M672='112'!$I$6))),"x",""))</f>
        <v>x</v>
      </c>
      <c r="S672" s="22" t="str">
        <f>IF(ISERROR(FIND('112'!$M$9,G672,1)),"",IF((AND(LEFT(G672,2)=LEFT('112'!$M$9,2),B672&lt;'112'!$N$8,$L672='112'!$I$6)),"x",""))</f>
        <v/>
      </c>
      <c r="T672" s="22" t="str">
        <f>IF(ISERROR(FIND('112'!$M$9,G672,1)),"",IF((AND(RIGHT(G672,2)=RIGHT('112'!$M$9,2),B672&lt;'112'!$N$8,$M672='112'!$I$6)),"x",""))</f>
        <v/>
      </c>
      <c r="U672" s="22" t="str">
        <f>IF(AND(B672&gt;='IN-NX'!$P$3,B672&lt;='IN-NX'!$Q$3,'IN-NX'!$D$7=D672,OR(LEFT(L672,2)="15",AND(LEFT(M672,2)&lt;&gt;"15",LEFT(M672,2)&lt;&gt;"33"))),"x","")</f>
        <v/>
      </c>
      <c r="V672" s="22" t="str">
        <f>IF(AND(OR(LEFT(TH!L672,2)="15",LEFT(TH!M672,2)="15"),'152-CT'!$J$8=TH!F672),"x","")</f>
        <v/>
      </c>
      <c r="W672" s="22" t="str">
        <f>IF(AND(OR(LEFT(TH!L672,2)="15",LEFT(TH!M672,2)="15"),TK!$E$7=TH!F672),"x","")</f>
        <v/>
      </c>
      <c r="X672" s="22" t="str">
        <f>IF(OR(TH!L672=TH!$X$7,M672=TH!$X$7),"x","")</f>
        <v/>
      </c>
      <c r="Y672" s="22" t="str">
        <f>IF(AND(B672&lt;=NKC!$N$8,B672&gt;=NKC!$M$8),"x","")</f>
        <v/>
      </c>
      <c r="Z672" s="580"/>
      <c r="AD672" s="130"/>
      <c r="AE672" s="130"/>
    </row>
    <row r="673" spans="1:31" s="406" customFormat="1" ht="15.75" customHeight="1">
      <c r="A673" s="123" t="str">
        <f>IF(B673&lt;&gt;"",IF(AND(B673&gt;=_TM1,B673&lt;=_TM2,OR(TH!L673="1111",TH!M673="1111")),TH!D673,""),"")</f>
        <v/>
      </c>
      <c r="B673" s="12">
        <f t="shared" si="25"/>
        <v>12</v>
      </c>
      <c r="C673" s="108">
        <f t="shared" si="26"/>
        <v>42718</v>
      </c>
      <c r="D673" s="108" t="s">
        <v>470</v>
      </c>
      <c r="E673" s="113">
        <v>42718</v>
      </c>
      <c r="F673" s="114" t="s">
        <v>480</v>
      </c>
      <c r="G673" s="114" t="s">
        <v>474</v>
      </c>
      <c r="H673" s="115"/>
      <c r="I673" s="139"/>
      <c r="J673" s="141"/>
      <c r="K673" s="13">
        <v>20000</v>
      </c>
      <c r="L673" s="116" t="s">
        <v>82</v>
      </c>
      <c r="M673" s="411" t="s">
        <v>24</v>
      </c>
      <c r="N673" s="22" t="str">
        <f>IF(AND('331-CT'!$E$7=TH!H673,OR(L673="331",M673="331")),"331",IF(AND(OR(L673="131",M673="131"),H673='131-CT'!$E$7),"131",""))</f>
        <v/>
      </c>
      <c r="O673" s="22" t="str">
        <f>IF(AND($B673&gt;='111'!$N$11,$B673&lt;='111'!$O$11,OR($L673=$O$7,$M673=$O$7)),"x","")</f>
        <v/>
      </c>
      <c r="P673" s="22" t="str">
        <f>IF(AND($L673=$O$7,$B673&lt;'111'!$N$11),"x","")</f>
        <v/>
      </c>
      <c r="Q673" s="22" t="str">
        <f>IF(AND($M673=$O$7,$B673&lt;'111'!$N$11),"x","")</f>
        <v/>
      </c>
      <c r="R673" s="22" t="str">
        <f>IF(ISERROR(FIND('112'!$M$9,G673,1)),"",IF((AND(FIND('112'!$M$9,G673,1)&gt;=1,$B673&gt;='112'!$N$8,$B673&lt;='112'!$O$8,OR($L673='112'!$I$6,$M673='112'!$I$6))),"x",""))</f>
        <v>x</v>
      </c>
      <c r="S673" s="22" t="str">
        <f>IF(ISERROR(FIND('112'!$M$9,G673,1)),"",IF((AND(LEFT(G673,2)=LEFT('112'!$M$9,2),B673&lt;'112'!$N$8,$L673='112'!$I$6)),"x",""))</f>
        <v/>
      </c>
      <c r="T673" s="22" t="str">
        <f>IF(ISERROR(FIND('112'!$M$9,G673,1)),"",IF((AND(RIGHT(G673,2)=RIGHT('112'!$M$9,2),B673&lt;'112'!$N$8,$M673='112'!$I$6)),"x",""))</f>
        <v/>
      </c>
      <c r="U673" s="22" t="str">
        <f>IF(AND(B673&gt;='IN-NX'!$P$3,B673&lt;='IN-NX'!$Q$3,'IN-NX'!$D$7=D673,OR(LEFT(L673,2)="15",AND(LEFT(M673,2)&lt;&gt;"15",LEFT(M673,2)&lt;&gt;"33"))),"x","")</f>
        <v/>
      </c>
      <c r="V673" s="22" t="str">
        <f>IF(AND(OR(LEFT(TH!L673,2)="15",LEFT(TH!M673,2)="15"),'152-CT'!$J$8=TH!F673),"x","")</f>
        <v/>
      </c>
      <c r="W673" s="22" t="str">
        <f>IF(AND(OR(LEFT(TH!L673,2)="15",LEFT(TH!M673,2)="15"),TK!$E$7=TH!F673),"x","")</f>
        <v/>
      </c>
      <c r="X673" s="22" t="str">
        <f>IF(OR(TH!L673=TH!$X$7,M673=TH!$X$7),"x","")</f>
        <v>x</v>
      </c>
      <c r="Y673" s="22" t="str">
        <f>IF(AND(B673&lt;=NKC!$N$8,B673&gt;=NKC!$M$8),"x","")</f>
        <v/>
      </c>
      <c r="Z673" s="580">
        <v>4</v>
      </c>
      <c r="AD673" s="130"/>
      <c r="AE673" s="130"/>
    </row>
    <row r="674" spans="1:31" s="406" customFormat="1" ht="15.75" customHeight="1">
      <c r="A674" s="123" t="str">
        <f>IF(B674&lt;&gt;"",IF(AND(B674&gt;=_TM1,B674&lt;=_TM2,OR(TH!L674="1111",TH!M674="1111")),TH!D674,""),"")</f>
        <v/>
      </c>
      <c r="B674" s="12">
        <f t="shared" si="25"/>
        <v>12</v>
      </c>
      <c r="C674" s="108">
        <f t="shared" si="26"/>
        <v>42718</v>
      </c>
      <c r="D674" s="108" t="s">
        <v>470</v>
      </c>
      <c r="E674" s="113">
        <v>42718</v>
      </c>
      <c r="F674" s="114" t="s">
        <v>481</v>
      </c>
      <c r="G674" s="114" t="s">
        <v>474</v>
      </c>
      <c r="H674" s="115"/>
      <c r="I674" s="139"/>
      <c r="J674" s="141"/>
      <c r="K674" s="13">
        <v>2000</v>
      </c>
      <c r="L674" s="116" t="s">
        <v>9</v>
      </c>
      <c r="M674" s="411" t="s">
        <v>24</v>
      </c>
      <c r="N674" s="22" t="str">
        <f>IF(AND('331-CT'!$E$7=TH!H674,OR(L674="331",M674="331")),"331",IF(AND(OR(L674="131",M674="131"),H674='131-CT'!$E$7),"131",""))</f>
        <v/>
      </c>
      <c r="O674" s="22" t="str">
        <f>IF(AND($B674&gt;='111'!$N$11,$B674&lt;='111'!$O$11,OR($L674=$O$7,$M674=$O$7)),"x","")</f>
        <v/>
      </c>
      <c r="P674" s="22" t="str">
        <f>IF(AND($L674=$O$7,$B674&lt;'111'!$N$11),"x","")</f>
        <v/>
      </c>
      <c r="Q674" s="22" t="str">
        <f>IF(AND($M674=$O$7,$B674&lt;'111'!$N$11),"x","")</f>
        <v/>
      </c>
      <c r="R674" s="22" t="str">
        <f>IF(ISERROR(FIND('112'!$M$9,G674,1)),"",IF((AND(FIND('112'!$M$9,G674,1)&gt;=1,$B674&gt;='112'!$N$8,$B674&lt;='112'!$O$8,OR($L674='112'!$I$6,$M674='112'!$I$6))),"x",""))</f>
        <v>x</v>
      </c>
      <c r="S674" s="22" t="str">
        <f>IF(ISERROR(FIND('112'!$M$9,G674,1)),"",IF((AND(LEFT(G674,2)=LEFT('112'!$M$9,2),B674&lt;'112'!$N$8,$L674='112'!$I$6)),"x",""))</f>
        <v/>
      </c>
      <c r="T674" s="22" t="str">
        <f>IF(ISERROR(FIND('112'!$M$9,G674,1)),"",IF((AND(RIGHT(G674,2)=RIGHT('112'!$M$9,2),B674&lt;'112'!$N$8,$M674='112'!$I$6)),"x",""))</f>
        <v/>
      </c>
      <c r="U674" s="22" t="str">
        <f>IF(AND(B674&gt;='IN-NX'!$P$3,B674&lt;='IN-NX'!$Q$3,'IN-NX'!$D$7=D674,OR(LEFT(L674,2)="15",AND(LEFT(M674,2)&lt;&gt;"15",LEFT(M674,2)&lt;&gt;"33"))),"x","")</f>
        <v/>
      </c>
      <c r="V674" s="22" t="str">
        <f>IF(AND(OR(LEFT(TH!L674,2)="15",LEFT(TH!M674,2)="15"),'152-CT'!$J$8=TH!F674),"x","")</f>
        <v/>
      </c>
      <c r="W674" s="22" t="str">
        <f>IF(AND(OR(LEFT(TH!L674,2)="15",LEFT(TH!M674,2)="15"),TK!$E$7=TH!F674),"x","")</f>
        <v/>
      </c>
      <c r="X674" s="22" t="str">
        <f>IF(OR(TH!L674=TH!$X$7,M674=TH!$X$7),"x","")</f>
        <v/>
      </c>
      <c r="Y674" s="22" t="str">
        <f>IF(AND(B674&lt;=NKC!$N$8,B674&gt;=NKC!$M$8),"x","")</f>
        <v/>
      </c>
      <c r="Z674" s="580">
        <v>4</v>
      </c>
      <c r="AD674" s="130"/>
      <c r="AE674" s="130"/>
    </row>
    <row r="675" spans="1:31" s="130" customFormat="1" ht="15.75" customHeight="1">
      <c r="A675" s="123" t="str">
        <f>IF(B675&lt;&gt;"",IF(AND(B675&gt;=_TM1,B675&lt;=_TM2,OR(TH!L675="1111",TH!M675="1111")),TH!D675,""),"")</f>
        <v/>
      </c>
      <c r="B675" s="12">
        <f t="shared" si="25"/>
        <v>12</v>
      </c>
      <c r="C675" s="108">
        <f t="shared" si="26"/>
        <v>42719</v>
      </c>
      <c r="D675" s="108" t="s">
        <v>589</v>
      </c>
      <c r="E675" s="113">
        <v>42719</v>
      </c>
      <c r="F675" s="114" t="s">
        <v>844</v>
      </c>
      <c r="G675" s="303" t="s">
        <v>843</v>
      </c>
      <c r="H675" s="4" t="s">
        <v>366</v>
      </c>
      <c r="I675" s="139">
        <v>103</v>
      </c>
      <c r="J675" s="139">
        <v>14000</v>
      </c>
      <c r="K675" s="13">
        <f>ROUND(I675*J675,0)</f>
        <v>1442000</v>
      </c>
      <c r="L675" s="116" t="s">
        <v>252</v>
      </c>
      <c r="M675" s="411" t="s">
        <v>169</v>
      </c>
      <c r="N675" s="22" t="str">
        <f>IF(AND('331-CT'!$E$7=TH!H675,OR(L675="331",M675="331")),"331",IF(AND(OR(L675="131",M675="131"),H675='131-CT'!$E$7),"131",""))</f>
        <v/>
      </c>
      <c r="O675" s="22" t="str">
        <f>IF(AND($B675&gt;='111'!$N$11,$B675&lt;='111'!$O$11,OR($L675=$O$7,$M675=$O$7)),"x","")</f>
        <v/>
      </c>
      <c r="P675" s="22" t="str">
        <f>IF(AND($L675=$O$7,$B675&lt;'111'!$N$11),"x","")</f>
        <v/>
      </c>
      <c r="Q675" s="22" t="str">
        <f>IF(AND($M675=$O$7,$B675&lt;'111'!$N$11),"x","")</f>
        <v/>
      </c>
      <c r="R675" s="22" t="str">
        <f>IF(ISERROR(FIND('112'!$M$9,G675,1)),"",IF((AND(FIND('112'!$M$9,G675,1)&gt;=1,$B675&gt;='112'!$N$8,$B675&lt;='112'!$O$8,OR($L675='112'!$I$6,$M675='112'!$I$6))),"x",""))</f>
        <v/>
      </c>
      <c r="S675" s="22" t="str">
        <f>IF(ISERROR(FIND('112'!$M$9,G675,1)),"",IF((AND(LEFT(G675,2)=LEFT('112'!$M$9,2),B675&lt;'112'!$N$8,$L675='112'!$I$6)),"x",""))</f>
        <v/>
      </c>
      <c r="T675" s="22" t="str">
        <f>IF(ISERROR(FIND('112'!$M$9,G675,1)),"",IF((AND(RIGHT(G675,2)=RIGHT('112'!$M$9,2),B675&lt;'112'!$N$8,$M675='112'!$I$6)),"x",""))</f>
        <v/>
      </c>
      <c r="U675" s="22" t="str">
        <f>IF(AND(B675&gt;='IN-NX'!$P$3,B675&lt;='IN-NX'!$Q$3,'IN-NX'!$D$7=D675,OR(LEFT(L675,2)="15",AND(LEFT(M675,2)&lt;&gt;"15",LEFT(M675,2)&lt;&gt;"33"))),"x","")</f>
        <v/>
      </c>
      <c r="V675" s="22" t="str">
        <f>IF(AND(OR(LEFT(TH!L675,2)="15",LEFT(TH!M675,2)="15"),'152-CT'!$J$8=TH!F675),"x","")</f>
        <v/>
      </c>
      <c r="W675" s="22" t="str">
        <f>IF(AND(OR(LEFT(TH!L675,2)="15",LEFT(TH!M675,2)="15"),TK!$E$7=TH!F675),"x","")</f>
        <v/>
      </c>
      <c r="X675" s="22" t="str">
        <f>IF(OR(TH!L675=TH!$X$7,M675=TH!$X$7),"x","")</f>
        <v/>
      </c>
      <c r="Y675" s="22" t="str">
        <f>IF(AND(B675&lt;=NKC!$N$8,B675&gt;=NKC!$M$8),"x","")</f>
        <v/>
      </c>
      <c r="Z675" s="580"/>
      <c r="AA675" s="406"/>
      <c r="AB675" s="406"/>
      <c r="AC675" s="406"/>
    </row>
    <row r="676" spans="1:31" s="130" customFormat="1" ht="15.75" customHeight="1">
      <c r="A676" s="123" t="str">
        <f>IF(B676&lt;&gt;"",IF(AND(B676&gt;=_TM1,B676&lt;=_TM2,OR(TH!L676="1111",TH!M676="1111")),TH!D676,""),"")</f>
        <v/>
      </c>
      <c r="B676" s="12">
        <f t="shared" si="25"/>
        <v>12</v>
      </c>
      <c r="C676" s="108">
        <f t="shared" si="26"/>
        <v>42719</v>
      </c>
      <c r="D676" s="108" t="s">
        <v>589</v>
      </c>
      <c r="E676" s="113">
        <v>42719</v>
      </c>
      <c r="F676" s="114" t="s">
        <v>845</v>
      </c>
      <c r="G676" s="303" t="s">
        <v>843</v>
      </c>
      <c r="H676" s="4" t="s">
        <v>366</v>
      </c>
      <c r="I676" s="140">
        <v>273</v>
      </c>
      <c r="J676" s="140">
        <v>20000</v>
      </c>
      <c r="K676" s="13">
        <f>ROUND(I676*J676,0)</f>
        <v>5460000</v>
      </c>
      <c r="L676" s="116" t="s">
        <v>252</v>
      </c>
      <c r="M676" s="411" t="s">
        <v>169</v>
      </c>
      <c r="N676" s="22" t="str">
        <f>IF(AND('331-CT'!$E$7=TH!H676,OR(L676="331",M676="331")),"331",IF(AND(OR(L676="131",M676="131"),H676='131-CT'!$E$7),"131",""))</f>
        <v/>
      </c>
      <c r="O676" s="22" t="str">
        <f>IF(AND($B676&gt;='111'!$N$11,$B676&lt;='111'!$O$11,OR($L676=$O$7,$M676=$O$7)),"x","")</f>
        <v/>
      </c>
      <c r="P676" s="22" t="str">
        <f>IF(AND($L676=$O$7,$B676&lt;'111'!$N$11),"x","")</f>
        <v/>
      </c>
      <c r="Q676" s="22" t="str">
        <f>IF(AND($M676=$O$7,$B676&lt;'111'!$N$11),"x","")</f>
        <v/>
      </c>
      <c r="R676" s="22" t="str">
        <f>IF(ISERROR(FIND('112'!$M$9,G676,1)),"",IF((AND(FIND('112'!$M$9,G676,1)&gt;=1,$B676&gt;='112'!$N$8,$B676&lt;='112'!$O$8,OR($L676='112'!$I$6,$M676='112'!$I$6))),"x",""))</f>
        <v/>
      </c>
      <c r="S676" s="22" t="str">
        <f>IF(ISERROR(FIND('112'!$M$9,G676,1)),"",IF((AND(LEFT(G676,2)=LEFT('112'!$M$9,2),B676&lt;'112'!$N$8,$L676='112'!$I$6)),"x",""))</f>
        <v/>
      </c>
      <c r="T676" s="22" t="str">
        <f>IF(ISERROR(FIND('112'!$M$9,G676,1)),"",IF((AND(RIGHT(G676,2)=RIGHT('112'!$M$9,2),B676&lt;'112'!$N$8,$M676='112'!$I$6)),"x",""))</f>
        <v/>
      </c>
      <c r="U676" s="22" t="str">
        <f>IF(AND(B676&gt;='IN-NX'!$P$3,B676&lt;='IN-NX'!$Q$3,'IN-NX'!$D$7=D676,OR(LEFT(L676,2)="15",AND(LEFT(M676,2)&lt;&gt;"15",LEFT(M676,2)&lt;&gt;"33"))),"x","")</f>
        <v/>
      </c>
      <c r="V676" s="22" t="str">
        <f>IF(AND(OR(LEFT(TH!L676,2)="15",LEFT(TH!M676,2)="15"),'152-CT'!$J$8=TH!F676),"x","")</f>
        <v/>
      </c>
      <c r="W676" s="22" t="str">
        <f>IF(AND(OR(LEFT(TH!L676,2)="15",LEFT(TH!M676,2)="15"),TK!$E$7=TH!F676),"x","")</f>
        <v/>
      </c>
      <c r="X676" s="22" t="str">
        <f>IF(OR(TH!L676=TH!$X$7,M676=TH!$X$7),"x","")</f>
        <v/>
      </c>
      <c r="Y676" s="22" t="str">
        <f>IF(AND(B676&lt;=NKC!$N$8,B676&gt;=NKC!$M$8),"x","")</f>
        <v/>
      </c>
      <c r="Z676" s="580"/>
      <c r="AA676" s="406"/>
      <c r="AB676" s="406"/>
      <c r="AC676" s="406"/>
    </row>
    <row r="677" spans="1:31" s="130" customFormat="1" ht="15.75" customHeight="1">
      <c r="A677" s="123" t="str">
        <f>IF(B677&lt;&gt;"",IF(AND(B677&gt;=_TM1,B677&lt;=_TM2,OR(TH!L677="1111",TH!M677="1111")),TH!D677,""),"")</f>
        <v/>
      </c>
      <c r="B677" s="12">
        <f t="shared" si="25"/>
        <v>12</v>
      </c>
      <c r="C677" s="108">
        <f t="shared" si="26"/>
        <v>42719</v>
      </c>
      <c r="D677" s="108" t="s">
        <v>589</v>
      </c>
      <c r="E677" s="113">
        <v>42719</v>
      </c>
      <c r="F677" s="112" t="s">
        <v>496</v>
      </c>
      <c r="G677" s="303" t="s">
        <v>843</v>
      </c>
      <c r="H677" s="4" t="s">
        <v>366</v>
      </c>
      <c r="I677" s="140"/>
      <c r="J677" s="140"/>
      <c r="K677" s="13">
        <v>690200</v>
      </c>
      <c r="L677" s="116" t="s">
        <v>252</v>
      </c>
      <c r="M677" s="411" t="s">
        <v>352</v>
      </c>
      <c r="N677" s="22" t="str">
        <f>IF(AND('331-CT'!$E$7=TH!H677,OR(L677="331",M677="331")),"331",IF(AND(OR(L677="131",M677="131"),H677='131-CT'!$E$7),"131",""))</f>
        <v/>
      </c>
      <c r="O677" s="22" t="str">
        <f>IF(AND($B677&gt;='111'!$N$11,$B677&lt;='111'!$O$11,OR($L677=$O$7,$M677=$O$7)),"x","")</f>
        <v/>
      </c>
      <c r="P677" s="22" t="str">
        <f>IF(AND($L677=$O$7,$B677&lt;'111'!$N$11),"x","")</f>
        <v/>
      </c>
      <c r="Q677" s="22" t="str">
        <f>IF(AND($M677=$O$7,$B677&lt;'111'!$N$11),"x","")</f>
        <v/>
      </c>
      <c r="R677" s="22" t="str">
        <f>IF(ISERROR(FIND('112'!$M$9,G677,1)),"",IF((AND(FIND('112'!$M$9,G677,1)&gt;=1,$B677&gt;='112'!$N$8,$B677&lt;='112'!$O$8,OR($L677='112'!$I$6,$M677='112'!$I$6))),"x",""))</f>
        <v/>
      </c>
      <c r="S677" s="22" t="str">
        <f>IF(ISERROR(FIND('112'!$M$9,G677,1)),"",IF((AND(LEFT(G677,2)=LEFT('112'!$M$9,2),B677&lt;'112'!$N$8,$L677='112'!$I$6)),"x",""))</f>
        <v/>
      </c>
      <c r="T677" s="22" t="str">
        <f>IF(ISERROR(FIND('112'!$M$9,G677,1)),"",IF((AND(RIGHT(G677,2)=RIGHT('112'!$M$9,2),B677&lt;'112'!$N$8,$M677='112'!$I$6)),"x",""))</f>
        <v/>
      </c>
      <c r="U677" s="22" t="str">
        <f>IF(AND(B677&gt;='IN-NX'!$P$3,B677&lt;='IN-NX'!$Q$3,'IN-NX'!$D$7=D677,OR(LEFT(L677,2)="15",AND(LEFT(M677,2)&lt;&gt;"15",LEFT(M677,2)&lt;&gt;"33"))),"x","")</f>
        <v/>
      </c>
      <c r="V677" s="22" t="str">
        <f>IF(AND(OR(LEFT(TH!L677,2)="15",LEFT(TH!M677,2)="15"),'152-CT'!$J$8=TH!F677),"x","")</f>
        <v/>
      </c>
      <c r="W677" s="22" t="str">
        <f>IF(AND(OR(LEFT(TH!L677,2)="15",LEFT(TH!M677,2)="15"),TK!$E$7=TH!F677),"x","")</f>
        <v/>
      </c>
      <c r="X677" s="22" t="str">
        <f>IF(OR(TH!L677=TH!$X$7,M677=TH!$X$7),"x","")</f>
        <v/>
      </c>
      <c r="Y677" s="22" t="str">
        <f>IF(AND(B677&lt;=NKC!$N$8,B677&gt;=NKC!$M$8),"x","")</f>
        <v/>
      </c>
      <c r="Z677" s="580"/>
      <c r="AA677" s="406"/>
      <c r="AB677" s="406"/>
      <c r="AC677" s="406"/>
    </row>
    <row r="678" spans="1:31" s="130" customFormat="1" ht="15.75" customHeight="1">
      <c r="A678" s="123" t="str">
        <f>IF(B678&lt;&gt;"",IF(AND(B678&gt;=_TM1,B678&lt;=_TM2,OR(TH!L678="1111",TH!M678="1111")),TH!D678,""),"")</f>
        <v/>
      </c>
      <c r="B678" s="12">
        <f t="shared" si="25"/>
        <v>12</v>
      </c>
      <c r="C678" s="108">
        <f t="shared" si="26"/>
        <v>42719</v>
      </c>
      <c r="D678" s="108" t="s">
        <v>590</v>
      </c>
      <c r="E678" s="113">
        <v>42719</v>
      </c>
      <c r="F678" s="112" t="s">
        <v>813</v>
      </c>
      <c r="G678" s="305" t="s">
        <v>884</v>
      </c>
      <c r="H678" s="4" t="s">
        <v>814</v>
      </c>
      <c r="I678" s="139">
        <v>2400</v>
      </c>
      <c r="J678" s="139">
        <v>7500</v>
      </c>
      <c r="K678" s="13">
        <f>ROUND(I678*J678,0)</f>
        <v>18000000</v>
      </c>
      <c r="L678" s="116" t="s">
        <v>252</v>
      </c>
      <c r="M678" s="411" t="s">
        <v>169</v>
      </c>
      <c r="N678" s="22" t="str">
        <f>IF(AND('331-CT'!$E$7=TH!H678,OR(L678="331",M678="331")),"331",IF(AND(OR(L678="131",M678="131"),H678='131-CT'!$E$7),"131",""))</f>
        <v/>
      </c>
      <c r="O678" s="22" t="str">
        <f>IF(AND($B678&gt;='111'!$N$11,$B678&lt;='111'!$O$11,OR($L678=$O$7,$M678=$O$7)),"x","")</f>
        <v/>
      </c>
      <c r="P678" s="22" t="str">
        <f>IF(AND($L678=$O$7,$B678&lt;'111'!$N$11),"x","")</f>
        <v/>
      </c>
      <c r="Q678" s="22" t="str">
        <f>IF(AND($M678=$O$7,$B678&lt;'111'!$N$11),"x","")</f>
        <v/>
      </c>
      <c r="R678" s="22" t="str">
        <f>IF(ISERROR(FIND('112'!$M$9,G678,1)),"",IF((AND(FIND('112'!$M$9,G678,1)&gt;=1,$B678&gt;='112'!$N$8,$B678&lt;='112'!$O$8,OR($L678='112'!$I$6,$M678='112'!$I$6))),"x",""))</f>
        <v/>
      </c>
      <c r="S678" s="22" t="str">
        <f>IF(ISERROR(FIND('112'!$M$9,G678,1)),"",IF((AND(LEFT(G678,2)=LEFT('112'!$M$9,2),B678&lt;'112'!$N$8,$L678='112'!$I$6)),"x",""))</f>
        <v/>
      </c>
      <c r="T678" s="22" t="str">
        <f>IF(ISERROR(FIND('112'!$M$9,G678,1)),"",IF((AND(RIGHT(G678,2)=RIGHT('112'!$M$9,2),B678&lt;'112'!$N$8,$M678='112'!$I$6)),"x",""))</f>
        <v/>
      </c>
      <c r="U678" s="22" t="str">
        <f>IF(AND(B678&gt;='IN-NX'!$P$3,B678&lt;='IN-NX'!$Q$3,'IN-NX'!$D$7=D678,OR(LEFT(L678,2)="15",AND(LEFT(M678,2)&lt;&gt;"15",LEFT(M678,2)&lt;&gt;"33"))),"x","")</f>
        <v/>
      </c>
      <c r="V678" s="22" t="str">
        <f>IF(AND(OR(LEFT(TH!L678,2)="15",LEFT(TH!M678,2)="15"),'152-CT'!$J$8=TH!F678),"x","")</f>
        <v/>
      </c>
      <c r="W678" s="22" t="str">
        <f>IF(AND(OR(LEFT(TH!L678,2)="15",LEFT(TH!M678,2)="15"),TK!$E$7=TH!F678),"x","")</f>
        <v/>
      </c>
      <c r="X678" s="22" t="str">
        <f>IF(OR(TH!L678=TH!$X$7,M678=TH!$X$7),"x","")</f>
        <v/>
      </c>
      <c r="Y678" s="22" t="str">
        <f>IF(AND(B678&lt;=NKC!$N$8,B678&gt;=NKC!$M$8),"x","")</f>
        <v/>
      </c>
      <c r="Z678" s="580"/>
      <c r="AA678" s="406"/>
      <c r="AB678" s="406"/>
      <c r="AC678" s="406"/>
    </row>
    <row r="679" spans="1:31" s="406" customFormat="1" ht="15.75" customHeight="1">
      <c r="A679" s="123" t="str">
        <f>IF(B679&lt;&gt;"",IF(AND(B679&gt;=_TM1,B679&lt;=_TM2,OR(TH!L679="1111",TH!M679="1111")),TH!D679,""),"")</f>
        <v/>
      </c>
      <c r="B679" s="12">
        <f t="shared" si="25"/>
        <v>12</v>
      </c>
      <c r="C679" s="108">
        <f t="shared" si="26"/>
        <v>42719</v>
      </c>
      <c r="D679" s="108" t="s">
        <v>590</v>
      </c>
      <c r="E679" s="113">
        <v>42719</v>
      </c>
      <c r="F679" s="112" t="s">
        <v>496</v>
      </c>
      <c r="G679" s="305" t="s">
        <v>884</v>
      </c>
      <c r="H679" s="4" t="s">
        <v>814</v>
      </c>
      <c r="I679" s="139"/>
      <c r="J679" s="139"/>
      <c r="K679" s="13">
        <v>1800000</v>
      </c>
      <c r="L679" s="116" t="s">
        <v>252</v>
      </c>
      <c r="M679" s="411" t="s">
        <v>352</v>
      </c>
      <c r="N679" s="22" t="str">
        <f>IF(AND('331-CT'!$E$7=TH!H679,OR(L679="331",M679="331")),"331",IF(AND(OR(L679="131",M679="131"),H679='131-CT'!$E$7),"131",""))</f>
        <v/>
      </c>
      <c r="O679" s="22" t="str">
        <f>IF(AND($B679&gt;='111'!$N$11,$B679&lt;='111'!$O$11,OR($L679=$O$7,$M679=$O$7)),"x","")</f>
        <v/>
      </c>
      <c r="P679" s="22" t="str">
        <f>IF(AND($L679=$O$7,$B679&lt;'111'!$N$11),"x","")</f>
        <v/>
      </c>
      <c r="Q679" s="22" t="str">
        <f>IF(AND($M679=$O$7,$B679&lt;'111'!$N$11),"x","")</f>
        <v/>
      </c>
      <c r="R679" s="22" t="str">
        <f>IF(ISERROR(FIND('112'!$M$9,G679,1)),"",IF((AND(FIND('112'!$M$9,G679,1)&gt;=1,$B679&gt;='112'!$N$8,$B679&lt;='112'!$O$8,OR($L679='112'!$I$6,$M679='112'!$I$6))),"x",""))</f>
        <v/>
      </c>
      <c r="S679" s="22" t="str">
        <f>IF(ISERROR(FIND('112'!$M$9,G679,1)),"",IF((AND(LEFT(G679,2)=LEFT('112'!$M$9,2),B679&lt;'112'!$N$8,$L679='112'!$I$6)),"x",""))</f>
        <v/>
      </c>
      <c r="T679" s="22" t="str">
        <f>IF(ISERROR(FIND('112'!$M$9,G679,1)),"",IF((AND(RIGHT(G679,2)=RIGHT('112'!$M$9,2),B679&lt;'112'!$N$8,$M679='112'!$I$6)),"x",""))</f>
        <v/>
      </c>
      <c r="U679" s="22" t="str">
        <f>IF(AND(B679&gt;='IN-NX'!$P$3,B679&lt;='IN-NX'!$Q$3,'IN-NX'!$D$7=D679,OR(LEFT(L679,2)="15",AND(LEFT(M679,2)&lt;&gt;"15",LEFT(M679,2)&lt;&gt;"33"))),"x","")</f>
        <v/>
      </c>
      <c r="V679" s="22" t="str">
        <f>IF(AND(OR(LEFT(TH!L679,2)="15",LEFT(TH!M679,2)="15"),'152-CT'!$J$8=TH!F679),"x","")</f>
        <v/>
      </c>
      <c r="W679" s="22" t="str">
        <f>IF(AND(OR(LEFT(TH!L679,2)="15",LEFT(TH!M679,2)="15"),TK!$E$7=TH!F679),"x","")</f>
        <v/>
      </c>
      <c r="X679" s="22" t="str">
        <f>IF(OR(TH!L679=TH!$X$7,M679=TH!$X$7),"x","")</f>
        <v/>
      </c>
      <c r="Y679" s="22" t="str">
        <f>IF(AND(B679&lt;=NKC!$N$8,B679&gt;=NKC!$M$8),"x","")</f>
        <v/>
      </c>
      <c r="Z679" s="580"/>
      <c r="AD679" s="130"/>
      <c r="AE679" s="130"/>
    </row>
    <row r="680" spans="1:31" s="406" customFormat="1" ht="15.75" customHeight="1">
      <c r="A680" s="123" t="str">
        <f>IF(B680&lt;&gt;"",IF(AND(B680&gt;=_TM1,B680&lt;=_TM2,OR(TH!L680="1111",TH!M680="1111")),TH!D680,""),"")</f>
        <v>T33</v>
      </c>
      <c r="B680" s="12">
        <f t="shared" si="25"/>
        <v>12</v>
      </c>
      <c r="C680" s="108">
        <f t="shared" si="26"/>
        <v>42719</v>
      </c>
      <c r="D680" s="108" t="s">
        <v>1042</v>
      </c>
      <c r="E680" s="113">
        <v>42719</v>
      </c>
      <c r="F680" s="114" t="s">
        <v>484</v>
      </c>
      <c r="G680" s="305" t="s">
        <v>884</v>
      </c>
      <c r="H680" s="4" t="s">
        <v>814</v>
      </c>
      <c r="I680" s="140"/>
      <c r="J680" s="140"/>
      <c r="K680" s="13">
        <v>19800000</v>
      </c>
      <c r="L680" s="116" t="s">
        <v>46</v>
      </c>
      <c r="M680" s="411" t="s">
        <v>252</v>
      </c>
      <c r="N680" s="22" t="str">
        <f>IF(AND('331-CT'!$E$7=TH!H680,OR(L680="331",M680="331")),"331",IF(AND(OR(L680="131",M680="131"),H680='131-CT'!$E$7),"131",""))</f>
        <v/>
      </c>
      <c r="O680" s="22" t="str">
        <f>IF(AND($B680&gt;='111'!$N$11,$B680&lt;='111'!$O$11,OR($L680=$O$7,$M680=$O$7)),"x","")</f>
        <v>x</v>
      </c>
      <c r="P680" s="22" t="str">
        <f>IF(AND($L680=$O$7,$B680&lt;'111'!$N$11),"x","")</f>
        <v/>
      </c>
      <c r="Q680" s="22" t="str">
        <f>IF(AND($M680=$O$7,$B680&lt;'111'!$N$11),"x","")</f>
        <v/>
      </c>
      <c r="R680" s="22" t="str">
        <f>IF(ISERROR(FIND('112'!$M$9,G680,1)),"",IF((AND(FIND('112'!$M$9,G680,1)&gt;=1,$B680&gt;='112'!$N$8,$B680&lt;='112'!$O$8,OR($L680='112'!$I$6,$M680='112'!$I$6))),"x",""))</f>
        <v/>
      </c>
      <c r="S680" s="22" t="str">
        <f>IF(ISERROR(FIND('112'!$M$9,G680,1)),"",IF((AND(LEFT(G680,2)=LEFT('112'!$M$9,2),B680&lt;'112'!$N$8,$L680='112'!$I$6)),"x",""))</f>
        <v/>
      </c>
      <c r="T680" s="22" t="str">
        <f>IF(ISERROR(FIND('112'!$M$9,G680,1)),"",IF((AND(RIGHT(G680,2)=RIGHT('112'!$M$9,2),B680&lt;'112'!$N$8,$M680='112'!$I$6)),"x",""))</f>
        <v/>
      </c>
      <c r="U680" s="22" t="str">
        <f>IF(AND(B680&gt;='IN-NX'!$P$3,B680&lt;='IN-NX'!$Q$3,'IN-NX'!$D$7=D680,OR(LEFT(L680,2)="15",AND(LEFT(M680,2)&lt;&gt;"15",LEFT(M680,2)&lt;&gt;"33"))),"x","")</f>
        <v/>
      </c>
      <c r="V680" s="22" t="str">
        <f>IF(AND(OR(LEFT(TH!L680,2)="15",LEFT(TH!M680,2)="15"),'152-CT'!$J$8=TH!F680),"x","")</f>
        <v/>
      </c>
      <c r="W680" s="22" t="str">
        <f>IF(AND(OR(LEFT(TH!L680,2)="15",LEFT(TH!M680,2)="15"),TK!$E$7=TH!F680),"x","")</f>
        <v/>
      </c>
      <c r="X680" s="22" t="str">
        <f>IF(OR(TH!L680=TH!$X$7,M680=TH!$X$7),"x","")</f>
        <v/>
      </c>
      <c r="Y680" s="22" t="str">
        <f>IF(AND(B680&lt;=NKC!$N$8,B680&gt;=NKC!$M$8),"x","")</f>
        <v/>
      </c>
      <c r="Z680" s="580"/>
      <c r="AD680" s="130"/>
      <c r="AE680" s="130"/>
    </row>
    <row r="681" spans="1:31" s="130" customFormat="1" ht="15.75" customHeight="1">
      <c r="A681" s="123" t="str">
        <f>IF(B681&lt;&gt;"",IF(AND(B681&gt;=_TM1,B681&lt;=_TM2,OR(TH!L681="1111",TH!M681="1111")),TH!D681,""),"")</f>
        <v/>
      </c>
      <c r="B681" s="12">
        <f t="shared" si="25"/>
        <v>12</v>
      </c>
      <c r="C681" s="108">
        <f t="shared" si="26"/>
        <v>42720</v>
      </c>
      <c r="D681" s="108" t="s">
        <v>591</v>
      </c>
      <c r="E681" s="113">
        <v>42720</v>
      </c>
      <c r="F681" s="112" t="s">
        <v>813</v>
      </c>
      <c r="G681" s="305" t="s">
        <v>885</v>
      </c>
      <c r="H681" s="4" t="s">
        <v>814</v>
      </c>
      <c r="I681" s="139">
        <v>2400</v>
      </c>
      <c r="J681" s="139">
        <v>7500</v>
      </c>
      <c r="K681" s="13">
        <f>ROUND(I681*J681,0)</f>
        <v>18000000</v>
      </c>
      <c r="L681" s="116" t="s">
        <v>252</v>
      </c>
      <c r="M681" s="411" t="s">
        <v>169</v>
      </c>
      <c r="N681" s="22" t="str">
        <f>IF(AND('331-CT'!$E$7=TH!H681,OR(L681="331",M681="331")),"331",IF(AND(OR(L681="131",M681="131"),H681='131-CT'!$E$7),"131",""))</f>
        <v/>
      </c>
      <c r="O681" s="22" t="str">
        <f>IF(AND($B681&gt;='111'!$N$11,$B681&lt;='111'!$O$11,OR($L681=$O$7,$M681=$O$7)),"x","")</f>
        <v/>
      </c>
      <c r="P681" s="22" t="str">
        <f>IF(AND($L681=$O$7,$B681&lt;'111'!$N$11),"x","")</f>
        <v/>
      </c>
      <c r="Q681" s="22" t="str">
        <f>IF(AND($M681=$O$7,$B681&lt;'111'!$N$11),"x","")</f>
        <v/>
      </c>
      <c r="R681" s="22" t="str">
        <f>IF(ISERROR(FIND('112'!$M$9,G681,1)),"",IF((AND(FIND('112'!$M$9,G681,1)&gt;=1,$B681&gt;='112'!$N$8,$B681&lt;='112'!$O$8,OR($L681='112'!$I$6,$M681='112'!$I$6))),"x",""))</f>
        <v/>
      </c>
      <c r="S681" s="22" t="str">
        <f>IF(ISERROR(FIND('112'!$M$9,G681,1)),"",IF((AND(LEFT(G681,2)=LEFT('112'!$M$9,2),B681&lt;'112'!$N$8,$L681='112'!$I$6)),"x",""))</f>
        <v/>
      </c>
      <c r="T681" s="22" t="str">
        <f>IF(ISERROR(FIND('112'!$M$9,G681,1)),"",IF((AND(RIGHT(G681,2)=RIGHT('112'!$M$9,2),B681&lt;'112'!$N$8,$M681='112'!$I$6)),"x",""))</f>
        <v/>
      </c>
      <c r="U681" s="22" t="str">
        <f>IF(AND(B681&gt;='IN-NX'!$P$3,B681&lt;='IN-NX'!$Q$3,'IN-NX'!$D$7=D681,OR(LEFT(L681,2)="15",AND(LEFT(M681,2)&lt;&gt;"15",LEFT(M681,2)&lt;&gt;"33"))),"x","")</f>
        <v/>
      </c>
      <c r="V681" s="22" t="str">
        <f>IF(AND(OR(LEFT(TH!L681,2)="15",LEFT(TH!M681,2)="15"),'152-CT'!$J$8=TH!F681),"x","")</f>
        <v/>
      </c>
      <c r="W681" s="22" t="str">
        <f>IF(AND(OR(LEFT(TH!L681,2)="15",LEFT(TH!M681,2)="15"),TK!$E$7=TH!F681),"x","")</f>
        <v/>
      </c>
      <c r="X681" s="22" t="str">
        <f>IF(OR(TH!L681=TH!$X$7,M681=TH!$X$7),"x","")</f>
        <v/>
      </c>
      <c r="Y681" s="22" t="str">
        <f>IF(AND(B681&lt;=NKC!$N$8,B681&gt;=NKC!$M$8),"x","")</f>
        <v/>
      </c>
      <c r="Z681" s="580"/>
      <c r="AA681" s="406"/>
      <c r="AB681" s="406"/>
      <c r="AC681" s="406"/>
    </row>
    <row r="682" spans="1:31" s="130" customFormat="1" ht="15.75" customHeight="1">
      <c r="A682" s="123" t="str">
        <f>IF(B682&lt;&gt;"",IF(AND(B682&gt;=_TM1,B682&lt;=_TM2,OR(TH!L682="1111",TH!M682="1111")),TH!D682,""),"")</f>
        <v/>
      </c>
      <c r="B682" s="12">
        <f t="shared" si="25"/>
        <v>12</v>
      </c>
      <c r="C682" s="108">
        <f t="shared" si="26"/>
        <v>42720</v>
      </c>
      <c r="D682" s="108" t="s">
        <v>591</v>
      </c>
      <c r="E682" s="113">
        <v>42720</v>
      </c>
      <c r="F682" s="112" t="s">
        <v>496</v>
      </c>
      <c r="G682" s="305" t="s">
        <v>885</v>
      </c>
      <c r="H682" s="4" t="s">
        <v>814</v>
      </c>
      <c r="I682" s="139"/>
      <c r="J682" s="139"/>
      <c r="K682" s="13">
        <v>1800000</v>
      </c>
      <c r="L682" s="116" t="s">
        <v>252</v>
      </c>
      <c r="M682" s="411" t="s">
        <v>352</v>
      </c>
      <c r="N682" s="22" t="str">
        <f>IF(AND('331-CT'!$E$7=TH!H682,OR(L682="331",M682="331")),"331",IF(AND(OR(L682="131",M682="131"),H682='131-CT'!$E$7),"131",""))</f>
        <v/>
      </c>
      <c r="O682" s="22" t="str">
        <f>IF(AND($B682&gt;='111'!$N$11,$B682&lt;='111'!$O$11,OR($L682=$O$7,$M682=$O$7)),"x","")</f>
        <v/>
      </c>
      <c r="P682" s="22" t="str">
        <f>IF(AND($L682=$O$7,$B682&lt;'111'!$N$11),"x","")</f>
        <v/>
      </c>
      <c r="Q682" s="22" t="str">
        <f>IF(AND($M682=$O$7,$B682&lt;'111'!$N$11),"x","")</f>
        <v/>
      </c>
      <c r="R682" s="22" t="str">
        <f>IF(ISERROR(FIND('112'!$M$9,G682,1)),"",IF((AND(FIND('112'!$M$9,G682,1)&gt;=1,$B682&gt;='112'!$N$8,$B682&lt;='112'!$O$8,OR($L682='112'!$I$6,$M682='112'!$I$6))),"x",""))</f>
        <v/>
      </c>
      <c r="S682" s="22" t="str">
        <f>IF(ISERROR(FIND('112'!$M$9,G682,1)),"",IF((AND(LEFT(G682,2)=LEFT('112'!$M$9,2),B682&lt;'112'!$N$8,$L682='112'!$I$6)),"x",""))</f>
        <v/>
      </c>
      <c r="T682" s="22" t="str">
        <f>IF(ISERROR(FIND('112'!$M$9,G682,1)),"",IF((AND(RIGHT(G682,2)=RIGHT('112'!$M$9,2),B682&lt;'112'!$N$8,$M682='112'!$I$6)),"x",""))</f>
        <v/>
      </c>
      <c r="U682" s="22" t="str">
        <f>IF(AND(B682&gt;='IN-NX'!$P$3,B682&lt;='IN-NX'!$Q$3,'IN-NX'!$D$7=D682,OR(LEFT(L682,2)="15",AND(LEFT(M682,2)&lt;&gt;"15",LEFT(M682,2)&lt;&gt;"33"))),"x","")</f>
        <v/>
      </c>
      <c r="V682" s="22" t="str">
        <f>IF(AND(OR(LEFT(TH!L682,2)="15",LEFT(TH!M682,2)="15"),'152-CT'!$J$8=TH!F682),"x","")</f>
        <v/>
      </c>
      <c r="W682" s="22" t="str">
        <f>IF(AND(OR(LEFT(TH!L682,2)="15",LEFT(TH!M682,2)="15"),TK!$E$7=TH!F682),"x","")</f>
        <v/>
      </c>
      <c r="X682" s="22" t="str">
        <f>IF(OR(TH!L682=TH!$X$7,M682=TH!$X$7),"x","")</f>
        <v/>
      </c>
      <c r="Y682" s="22" t="str">
        <f>IF(AND(B682&lt;=NKC!$N$8,B682&gt;=NKC!$M$8),"x","")</f>
        <v/>
      </c>
      <c r="Z682" s="580"/>
      <c r="AA682" s="406"/>
      <c r="AB682" s="406"/>
      <c r="AC682" s="406"/>
    </row>
    <row r="683" spans="1:31" s="130" customFormat="1" ht="15.75" customHeight="1">
      <c r="A683" s="123" t="str">
        <f>IF(B683&lt;&gt;"",IF(AND(B683&gt;=_TM1,B683&lt;=_TM2,OR(TH!L683="1111",TH!M683="1111")),TH!D683,""),"")</f>
        <v>T34</v>
      </c>
      <c r="B683" s="12">
        <f t="shared" si="25"/>
        <v>12</v>
      </c>
      <c r="C683" s="108">
        <f t="shared" si="26"/>
        <v>42720</v>
      </c>
      <c r="D683" s="108" t="s">
        <v>1041</v>
      </c>
      <c r="E683" s="113">
        <v>42720</v>
      </c>
      <c r="F683" s="114" t="s">
        <v>484</v>
      </c>
      <c r="G683" s="305" t="s">
        <v>885</v>
      </c>
      <c r="H683" s="4" t="s">
        <v>814</v>
      </c>
      <c r="I683" s="140"/>
      <c r="J683" s="140"/>
      <c r="K683" s="13">
        <v>19800000</v>
      </c>
      <c r="L683" s="116" t="s">
        <v>46</v>
      </c>
      <c r="M683" s="411" t="s">
        <v>252</v>
      </c>
      <c r="N683" s="22" t="str">
        <f>IF(AND('331-CT'!$E$7=TH!H683,OR(L683="331",M683="331")),"331",IF(AND(OR(L683="131",M683="131"),H683='131-CT'!$E$7),"131",""))</f>
        <v/>
      </c>
      <c r="O683" s="22" t="str">
        <f>IF(AND($B683&gt;='111'!$N$11,$B683&lt;='111'!$O$11,OR($L683=$O$7,$M683=$O$7)),"x","")</f>
        <v>x</v>
      </c>
      <c r="P683" s="22" t="str">
        <f>IF(AND($L683=$O$7,$B683&lt;'111'!$N$11),"x","")</f>
        <v/>
      </c>
      <c r="Q683" s="22" t="str">
        <f>IF(AND($M683=$O$7,$B683&lt;'111'!$N$11),"x","")</f>
        <v/>
      </c>
      <c r="R683" s="22" t="str">
        <f>IF(ISERROR(FIND('112'!$M$9,G683,1)),"",IF((AND(FIND('112'!$M$9,G683,1)&gt;=1,$B683&gt;='112'!$N$8,$B683&lt;='112'!$O$8,OR($L683='112'!$I$6,$M683='112'!$I$6))),"x",""))</f>
        <v/>
      </c>
      <c r="S683" s="22" t="str">
        <f>IF(ISERROR(FIND('112'!$M$9,G683,1)),"",IF((AND(LEFT(G683,2)=LEFT('112'!$M$9,2),B683&lt;'112'!$N$8,$L683='112'!$I$6)),"x",""))</f>
        <v/>
      </c>
      <c r="T683" s="22" t="str">
        <f>IF(ISERROR(FIND('112'!$M$9,G683,1)),"",IF((AND(RIGHT(G683,2)=RIGHT('112'!$M$9,2),B683&lt;'112'!$N$8,$M683='112'!$I$6)),"x",""))</f>
        <v/>
      </c>
      <c r="U683" s="22" t="str">
        <f>IF(AND(B683&gt;='IN-NX'!$P$3,B683&lt;='IN-NX'!$Q$3,'IN-NX'!$D$7=D683,OR(LEFT(L683,2)="15",AND(LEFT(M683,2)&lt;&gt;"15",LEFT(M683,2)&lt;&gt;"33"))),"x","")</f>
        <v/>
      </c>
      <c r="V683" s="22" t="str">
        <f>IF(AND(OR(LEFT(TH!L683,2)="15",LEFT(TH!M683,2)="15"),'152-CT'!$J$8=TH!F683),"x","")</f>
        <v/>
      </c>
      <c r="W683" s="22" t="str">
        <f>IF(AND(OR(LEFT(TH!L683,2)="15",LEFT(TH!M683,2)="15"),TK!$E$7=TH!F683),"x","")</f>
        <v/>
      </c>
      <c r="X683" s="22" t="str">
        <f>IF(OR(TH!L683=TH!$X$7,M683=TH!$X$7),"x","")</f>
        <v/>
      </c>
      <c r="Y683" s="22" t="str">
        <f>IF(AND(B683&lt;=NKC!$N$8,B683&gt;=NKC!$M$8),"x","")</f>
        <v/>
      </c>
      <c r="Z683" s="580"/>
      <c r="AA683" s="406"/>
      <c r="AB683" s="406"/>
    </row>
    <row r="684" spans="1:31" s="130" customFormat="1" ht="15.75" customHeight="1">
      <c r="A684" s="123" t="str">
        <f>IF(B684&lt;&gt;"",IF(AND(B684&gt;=_TM1,B684&lt;=_TM2,OR(TH!L684="1111",TH!M684="1111")),TH!D684,""),"")</f>
        <v/>
      </c>
      <c r="B684" s="12">
        <f t="shared" si="25"/>
        <v>12</v>
      </c>
      <c r="C684" s="108">
        <f t="shared" si="26"/>
        <v>42721</v>
      </c>
      <c r="D684" s="108" t="s">
        <v>592</v>
      </c>
      <c r="E684" s="113">
        <v>42721</v>
      </c>
      <c r="F684" s="114" t="s">
        <v>848</v>
      </c>
      <c r="G684" s="303" t="s">
        <v>847</v>
      </c>
      <c r="H684" s="129" t="s">
        <v>846</v>
      </c>
      <c r="I684" s="139">
        <v>205</v>
      </c>
      <c r="J684" s="139">
        <v>4950</v>
      </c>
      <c r="K684" s="13">
        <f>ROUND(I684*J684,0)</f>
        <v>1014750</v>
      </c>
      <c r="L684" s="116" t="s">
        <v>252</v>
      </c>
      <c r="M684" s="411" t="s">
        <v>169</v>
      </c>
      <c r="N684" s="22" t="str">
        <f>IF(AND('331-CT'!$E$7=TH!H684,OR(L684="331",M684="331")),"331",IF(AND(OR(L684="131",M684="131"),H684='131-CT'!$E$7),"131",""))</f>
        <v/>
      </c>
      <c r="O684" s="22" t="str">
        <f>IF(AND($B684&gt;='111'!$N$11,$B684&lt;='111'!$O$11,OR($L684=$O$7,$M684=$O$7)),"x","")</f>
        <v/>
      </c>
      <c r="P684" s="22" t="str">
        <f>IF(AND($L684=$O$7,$B684&lt;'111'!$N$11),"x","")</f>
        <v/>
      </c>
      <c r="Q684" s="22" t="str">
        <f>IF(AND($M684=$O$7,$B684&lt;'111'!$N$11),"x","")</f>
        <v/>
      </c>
      <c r="R684" s="22" t="str">
        <f>IF(ISERROR(FIND('112'!$M$9,G684,1)),"",IF((AND(FIND('112'!$M$9,G684,1)&gt;=1,$B684&gt;='112'!$N$8,$B684&lt;='112'!$O$8,OR($L684='112'!$I$6,$M684='112'!$I$6))),"x",""))</f>
        <v/>
      </c>
      <c r="S684" s="22" t="str">
        <f>IF(ISERROR(FIND('112'!$M$9,G684,1)),"",IF((AND(LEFT(G684,2)=LEFT('112'!$M$9,2),B684&lt;'112'!$N$8,$L684='112'!$I$6)),"x",""))</f>
        <v/>
      </c>
      <c r="T684" s="22" t="str">
        <f>IF(ISERROR(FIND('112'!$M$9,G684,1)),"",IF((AND(RIGHT(G684,2)=RIGHT('112'!$M$9,2),B684&lt;'112'!$N$8,$M684='112'!$I$6)),"x",""))</f>
        <v/>
      </c>
      <c r="U684" s="22" t="str">
        <f>IF(AND(B684&gt;='IN-NX'!$P$3,B684&lt;='IN-NX'!$Q$3,'IN-NX'!$D$7=D684,OR(LEFT(L684,2)="15",AND(LEFT(M684,2)&lt;&gt;"15",LEFT(M684,2)&lt;&gt;"33"))),"x","")</f>
        <v/>
      </c>
      <c r="V684" s="22" t="str">
        <f>IF(AND(OR(LEFT(TH!L684,2)="15",LEFT(TH!M684,2)="15"),'152-CT'!$J$8=TH!F684),"x","")</f>
        <v/>
      </c>
      <c r="W684" s="22" t="str">
        <f>IF(AND(OR(LEFT(TH!L684,2)="15",LEFT(TH!M684,2)="15"),TK!$E$7=TH!F684),"x","")</f>
        <v/>
      </c>
      <c r="X684" s="22" t="str">
        <f>IF(OR(TH!L684=TH!$X$7,M684=TH!$X$7),"x","")</f>
        <v/>
      </c>
      <c r="Y684" s="22" t="str">
        <f>IF(AND(B684&lt;=NKC!$N$8,B684&gt;=NKC!$M$8),"x","")</f>
        <v/>
      </c>
      <c r="Z684" s="580"/>
      <c r="AA684" s="406"/>
      <c r="AB684" s="406"/>
      <c r="AC684" s="406"/>
    </row>
    <row r="685" spans="1:31" s="130" customFormat="1" ht="15.75" customHeight="1">
      <c r="A685" s="123" t="str">
        <f>IF(B685&lt;&gt;"",IF(AND(B685&gt;=_TM1,B685&lt;=_TM2,OR(TH!L685="1111",TH!M685="1111")),TH!D685,""),"")</f>
        <v/>
      </c>
      <c r="B685" s="12">
        <f t="shared" si="25"/>
        <v>12</v>
      </c>
      <c r="C685" s="108">
        <f t="shared" si="26"/>
        <v>42721</v>
      </c>
      <c r="D685" s="108" t="s">
        <v>592</v>
      </c>
      <c r="E685" s="113">
        <v>42721</v>
      </c>
      <c r="F685" s="114" t="s">
        <v>849</v>
      </c>
      <c r="G685" s="303" t="s">
        <v>847</v>
      </c>
      <c r="H685" s="129" t="s">
        <v>846</v>
      </c>
      <c r="I685" s="139">
        <v>1160</v>
      </c>
      <c r="J685" s="139">
        <v>9936</v>
      </c>
      <c r="K685" s="13">
        <f>ROUND(I685*J685,0)</f>
        <v>11525760</v>
      </c>
      <c r="L685" s="116" t="s">
        <v>252</v>
      </c>
      <c r="M685" s="411" t="s">
        <v>169</v>
      </c>
      <c r="N685" s="22" t="str">
        <f>IF(AND('331-CT'!$E$7=TH!H685,OR(L685="331",M685="331")),"331",IF(AND(OR(L685="131",M685="131"),H685='131-CT'!$E$7),"131",""))</f>
        <v/>
      </c>
      <c r="O685" s="22" t="str">
        <f>IF(AND($B685&gt;='111'!$N$11,$B685&lt;='111'!$O$11,OR($L685=$O$7,$M685=$O$7)),"x","")</f>
        <v/>
      </c>
      <c r="P685" s="22" t="str">
        <f>IF(AND($L685=$O$7,$B685&lt;'111'!$N$11),"x","")</f>
        <v/>
      </c>
      <c r="Q685" s="22" t="str">
        <f>IF(AND($M685=$O$7,$B685&lt;'111'!$N$11),"x","")</f>
        <v/>
      </c>
      <c r="R685" s="22" t="str">
        <f>IF(ISERROR(FIND('112'!$M$9,G685,1)),"",IF((AND(FIND('112'!$M$9,G685,1)&gt;=1,$B685&gt;='112'!$N$8,$B685&lt;='112'!$O$8,OR($L685='112'!$I$6,$M685='112'!$I$6))),"x",""))</f>
        <v/>
      </c>
      <c r="S685" s="22" t="str">
        <f>IF(ISERROR(FIND('112'!$M$9,G685,1)),"",IF((AND(LEFT(G685,2)=LEFT('112'!$M$9,2),B685&lt;'112'!$N$8,$L685='112'!$I$6)),"x",""))</f>
        <v/>
      </c>
      <c r="T685" s="22" t="str">
        <f>IF(ISERROR(FIND('112'!$M$9,G685,1)),"",IF((AND(RIGHT(G685,2)=RIGHT('112'!$M$9,2),B685&lt;'112'!$N$8,$M685='112'!$I$6)),"x",""))</f>
        <v/>
      </c>
      <c r="U685" s="22" t="str">
        <f>IF(AND(B685&gt;='IN-NX'!$P$3,B685&lt;='IN-NX'!$Q$3,'IN-NX'!$D$7=D685,OR(LEFT(L685,2)="15",AND(LEFT(M685,2)&lt;&gt;"15",LEFT(M685,2)&lt;&gt;"33"))),"x","")</f>
        <v/>
      </c>
      <c r="V685" s="22" t="str">
        <f>IF(AND(OR(LEFT(TH!L685,2)="15",LEFT(TH!M685,2)="15"),'152-CT'!$J$8=TH!F685),"x","")</f>
        <v/>
      </c>
      <c r="W685" s="22" t="str">
        <f>IF(AND(OR(LEFT(TH!L685,2)="15",LEFT(TH!M685,2)="15"),TK!$E$7=TH!F685),"x","")</f>
        <v/>
      </c>
      <c r="X685" s="22" t="str">
        <f>IF(OR(TH!L685=TH!$X$7,M685=TH!$X$7),"x","")</f>
        <v/>
      </c>
      <c r="Y685" s="22" t="str">
        <f>IF(AND(B685&lt;=NKC!$N$8,B685&gt;=NKC!$M$8),"x","")</f>
        <v/>
      </c>
      <c r="Z685" s="580"/>
      <c r="AA685" s="406"/>
      <c r="AB685" s="406"/>
      <c r="AC685" s="406"/>
    </row>
    <row r="686" spans="1:31" s="130" customFormat="1" ht="15.75" customHeight="1">
      <c r="A686" s="123" t="str">
        <f>IF(B686&lt;&gt;"",IF(AND(B686&gt;=_TM1,B686&lt;=_TM2,OR(TH!L686="1111",TH!M686="1111")),TH!D686,""),"")</f>
        <v/>
      </c>
      <c r="B686" s="12">
        <f t="shared" si="25"/>
        <v>12</v>
      </c>
      <c r="C686" s="108">
        <f t="shared" si="26"/>
        <v>42721</v>
      </c>
      <c r="D686" s="108" t="s">
        <v>592</v>
      </c>
      <c r="E686" s="113">
        <v>42721</v>
      </c>
      <c r="F686" s="112" t="s">
        <v>496</v>
      </c>
      <c r="G686" s="303" t="s">
        <v>847</v>
      </c>
      <c r="H686" s="129" t="s">
        <v>846</v>
      </c>
      <c r="I686" s="139"/>
      <c r="J686" s="139"/>
      <c r="K686" s="13">
        <v>1254051</v>
      </c>
      <c r="L686" s="116" t="s">
        <v>252</v>
      </c>
      <c r="M686" s="411" t="s">
        <v>352</v>
      </c>
      <c r="N686" s="22" t="str">
        <f>IF(AND('331-CT'!$E$7=TH!H686,OR(L686="331",M686="331")),"331",IF(AND(OR(L686="131",M686="131"),H686='131-CT'!$E$7),"131",""))</f>
        <v/>
      </c>
      <c r="O686" s="22" t="str">
        <f>IF(AND($B686&gt;='111'!$N$11,$B686&lt;='111'!$O$11,OR($L686=$O$7,$M686=$O$7)),"x","")</f>
        <v/>
      </c>
      <c r="P686" s="22" t="str">
        <f>IF(AND($L686=$O$7,$B686&lt;'111'!$N$11),"x","")</f>
        <v/>
      </c>
      <c r="Q686" s="22" t="str">
        <f>IF(AND($M686=$O$7,$B686&lt;'111'!$N$11),"x","")</f>
        <v/>
      </c>
      <c r="R686" s="22" t="str">
        <f>IF(ISERROR(FIND('112'!$M$9,G686,1)),"",IF((AND(FIND('112'!$M$9,G686,1)&gt;=1,$B686&gt;='112'!$N$8,$B686&lt;='112'!$O$8,OR($L686='112'!$I$6,$M686='112'!$I$6))),"x",""))</f>
        <v/>
      </c>
      <c r="S686" s="22" t="str">
        <f>IF(ISERROR(FIND('112'!$M$9,G686,1)),"",IF((AND(LEFT(G686,2)=LEFT('112'!$M$9,2),B686&lt;'112'!$N$8,$L686='112'!$I$6)),"x",""))</f>
        <v/>
      </c>
      <c r="T686" s="22" t="str">
        <f>IF(ISERROR(FIND('112'!$M$9,G686,1)),"",IF((AND(RIGHT(G686,2)=RIGHT('112'!$M$9,2),B686&lt;'112'!$N$8,$M686='112'!$I$6)),"x",""))</f>
        <v/>
      </c>
      <c r="U686" s="22" t="str">
        <f>IF(AND(B686&gt;='IN-NX'!$P$3,B686&lt;='IN-NX'!$Q$3,'IN-NX'!$D$7=D686,OR(LEFT(L686,2)="15",AND(LEFT(M686,2)&lt;&gt;"15",LEFT(M686,2)&lt;&gt;"33"))),"x","")</f>
        <v/>
      </c>
      <c r="V686" s="22" t="str">
        <f>IF(AND(OR(LEFT(TH!L686,2)="15",LEFT(TH!M686,2)="15"),'152-CT'!$J$8=TH!F686),"x","")</f>
        <v/>
      </c>
      <c r="W686" s="22" t="str">
        <f>IF(AND(OR(LEFT(TH!L686,2)="15",LEFT(TH!M686,2)="15"),TK!$E$7=TH!F686),"x","")</f>
        <v/>
      </c>
      <c r="X686" s="22" t="str">
        <f>IF(OR(TH!L686=TH!$X$7,M686=TH!$X$7),"x","")</f>
        <v/>
      </c>
      <c r="Y686" s="22" t="str">
        <f>IF(AND(B686&lt;=NKC!$N$8,B686&gt;=NKC!$M$8),"x","")</f>
        <v/>
      </c>
      <c r="Z686" s="580"/>
      <c r="AA686" s="406"/>
      <c r="AB686" s="406"/>
      <c r="AC686" s="406"/>
    </row>
    <row r="687" spans="1:31" s="130" customFormat="1" ht="15.75" customHeight="1">
      <c r="A687" s="123" t="str">
        <f>IF(B687&lt;&gt;"",IF(AND(B687&gt;=_TM1,B687&lt;=_TM2,OR(TH!L687="1111",TH!M687="1111")),TH!D687,""),"")</f>
        <v/>
      </c>
      <c r="B687" s="12">
        <f t="shared" si="25"/>
        <v>12</v>
      </c>
      <c r="C687" s="108">
        <f t="shared" si="26"/>
        <v>42721</v>
      </c>
      <c r="D687" s="108" t="s">
        <v>593</v>
      </c>
      <c r="E687" s="113">
        <v>42721</v>
      </c>
      <c r="F687" s="114" t="s">
        <v>851</v>
      </c>
      <c r="G687" s="303" t="s">
        <v>850</v>
      </c>
      <c r="H687" s="129" t="s">
        <v>846</v>
      </c>
      <c r="I687" s="139">
        <v>292</v>
      </c>
      <c r="J687" s="139">
        <v>9853</v>
      </c>
      <c r="K687" s="13">
        <f>ROUND(I687*J687,0)</f>
        <v>2877076</v>
      </c>
      <c r="L687" s="116" t="s">
        <v>252</v>
      </c>
      <c r="M687" s="411" t="s">
        <v>169</v>
      </c>
      <c r="N687" s="22" t="str">
        <f>IF(AND('331-CT'!$E$7=TH!H687,OR(L687="331",M687="331")),"331",IF(AND(OR(L687="131",M687="131"),H687='131-CT'!$E$7),"131",""))</f>
        <v/>
      </c>
      <c r="O687" s="22" t="str">
        <f>IF(AND($B687&gt;='111'!$N$11,$B687&lt;='111'!$O$11,OR($L687=$O$7,$M687=$O$7)),"x","")</f>
        <v/>
      </c>
      <c r="P687" s="22" t="str">
        <f>IF(AND($L687=$O$7,$B687&lt;'111'!$N$11),"x","")</f>
        <v/>
      </c>
      <c r="Q687" s="22" t="str">
        <f>IF(AND($M687=$O$7,$B687&lt;'111'!$N$11),"x","")</f>
        <v/>
      </c>
      <c r="R687" s="22" t="str">
        <f>IF(ISERROR(FIND('112'!$M$9,G687,1)),"",IF((AND(FIND('112'!$M$9,G687,1)&gt;=1,$B687&gt;='112'!$N$8,$B687&lt;='112'!$O$8,OR($L687='112'!$I$6,$M687='112'!$I$6))),"x",""))</f>
        <v/>
      </c>
      <c r="S687" s="22" t="str">
        <f>IF(ISERROR(FIND('112'!$M$9,G687,1)),"",IF((AND(LEFT(G687,2)=LEFT('112'!$M$9,2),B687&lt;'112'!$N$8,$L687='112'!$I$6)),"x",""))</f>
        <v/>
      </c>
      <c r="T687" s="22" t="str">
        <f>IF(ISERROR(FIND('112'!$M$9,G687,1)),"",IF((AND(RIGHT(G687,2)=RIGHT('112'!$M$9,2),B687&lt;'112'!$N$8,$M687='112'!$I$6)),"x",""))</f>
        <v/>
      </c>
      <c r="U687" s="22" t="str">
        <f>IF(AND(B687&gt;='IN-NX'!$P$3,B687&lt;='IN-NX'!$Q$3,'IN-NX'!$D$7=D687,OR(LEFT(L687,2)="15",AND(LEFT(M687,2)&lt;&gt;"15",LEFT(M687,2)&lt;&gt;"33"))),"x","")</f>
        <v/>
      </c>
      <c r="V687" s="22" t="str">
        <f>IF(AND(OR(LEFT(TH!L687,2)="15",LEFT(TH!M687,2)="15"),'152-CT'!$J$8=TH!F687),"x","")</f>
        <v/>
      </c>
      <c r="W687" s="22" t="str">
        <f>IF(AND(OR(LEFT(TH!L687,2)="15",LEFT(TH!M687,2)="15"),TK!$E$7=TH!F687),"x","")</f>
        <v/>
      </c>
      <c r="X687" s="22" t="str">
        <f>IF(OR(TH!L687=TH!$X$7,M687=TH!$X$7),"x","")</f>
        <v/>
      </c>
      <c r="Y687" s="22" t="str">
        <f>IF(AND(B687&lt;=NKC!$N$8,B687&gt;=NKC!$M$8),"x","")</f>
        <v/>
      </c>
      <c r="Z687" s="580"/>
      <c r="AA687" s="406"/>
      <c r="AB687" s="406"/>
    </row>
    <row r="688" spans="1:31" s="406" customFormat="1" ht="15.75" customHeight="1">
      <c r="A688" s="123" t="str">
        <f>IF(B688&lt;&gt;"",IF(AND(B688&gt;=_TM1,B688&lt;=_TM2,OR(TH!L688="1111",TH!M688="1111")),TH!D688,""),"")</f>
        <v/>
      </c>
      <c r="B688" s="12">
        <f t="shared" si="25"/>
        <v>12</v>
      </c>
      <c r="C688" s="108">
        <f t="shared" si="26"/>
        <v>42721</v>
      </c>
      <c r="D688" s="108" t="s">
        <v>593</v>
      </c>
      <c r="E688" s="113">
        <v>42721</v>
      </c>
      <c r="F688" s="114" t="s">
        <v>852</v>
      </c>
      <c r="G688" s="303" t="s">
        <v>850</v>
      </c>
      <c r="H688" s="129" t="s">
        <v>846</v>
      </c>
      <c r="I688" s="139">
        <v>180</v>
      </c>
      <c r="J688" s="139">
        <v>8243</v>
      </c>
      <c r="K688" s="13">
        <f>ROUND(I688*J688,0)</f>
        <v>1483740</v>
      </c>
      <c r="L688" s="116" t="s">
        <v>252</v>
      </c>
      <c r="M688" s="411" t="s">
        <v>169</v>
      </c>
      <c r="N688" s="22" t="str">
        <f>IF(AND('331-CT'!$E$7=TH!H688,OR(L688="331",M688="331")),"331",IF(AND(OR(L688="131",M688="131"),H688='131-CT'!$E$7),"131",""))</f>
        <v/>
      </c>
      <c r="O688" s="22" t="str">
        <f>IF(AND($B688&gt;='111'!$N$11,$B688&lt;='111'!$O$11,OR($L688=$O$7,$M688=$O$7)),"x","")</f>
        <v/>
      </c>
      <c r="P688" s="22" t="str">
        <f>IF(AND($L688=$O$7,$B688&lt;'111'!$N$11),"x","")</f>
        <v/>
      </c>
      <c r="Q688" s="22" t="str">
        <f>IF(AND($M688=$O$7,$B688&lt;'111'!$N$11),"x","")</f>
        <v/>
      </c>
      <c r="R688" s="22" t="str">
        <f>IF(ISERROR(FIND('112'!$M$9,G688,1)),"",IF((AND(FIND('112'!$M$9,G688,1)&gt;=1,$B688&gt;='112'!$N$8,$B688&lt;='112'!$O$8,OR($L688='112'!$I$6,$M688='112'!$I$6))),"x",""))</f>
        <v/>
      </c>
      <c r="S688" s="22" t="str">
        <f>IF(ISERROR(FIND('112'!$M$9,G688,1)),"",IF((AND(LEFT(G688,2)=LEFT('112'!$M$9,2),B688&lt;'112'!$N$8,$L688='112'!$I$6)),"x",""))</f>
        <v/>
      </c>
      <c r="T688" s="22" t="str">
        <f>IF(ISERROR(FIND('112'!$M$9,G688,1)),"",IF((AND(RIGHT(G688,2)=RIGHT('112'!$M$9,2),B688&lt;'112'!$N$8,$M688='112'!$I$6)),"x",""))</f>
        <v/>
      </c>
      <c r="U688" s="22" t="str">
        <f>IF(AND(B688&gt;='IN-NX'!$P$3,B688&lt;='IN-NX'!$Q$3,'IN-NX'!$D$7=D688,OR(LEFT(L688,2)="15",AND(LEFT(M688,2)&lt;&gt;"15",LEFT(M688,2)&lt;&gt;"33"))),"x","")</f>
        <v/>
      </c>
      <c r="V688" s="22" t="str">
        <f>IF(AND(OR(LEFT(TH!L688,2)="15",LEFT(TH!M688,2)="15"),'152-CT'!$J$8=TH!F688),"x","")</f>
        <v/>
      </c>
      <c r="W688" s="22" t="str">
        <f>IF(AND(OR(LEFT(TH!L688,2)="15",LEFT(TH!M688,2)="15"),TK!$E$7=TH!F688),"x","")</f>
        <v/>
      </c>
      <c r="X688" s="22" t="str">
        <f>IF(OR(TH!L688=TH!$X$7,M688=TH!$X$7),"x","")</f>
        <v/>
      </c>
      <c r="Y688" s="22" t="str">
        <f>IF(AND(B688&lt;=NKC!$N$8,B688&gt;=NKC!$M$8),"x","")</f>
        <v/>
      </c>
      <c r="Z688" s="580"/>
      <c r="AD688" s="130"/>
      <c r="AE688" s="130"/>
    </row>
    <row r="689" spans="1:31" s="406" customFormat="1" ht="15.75" customHeight="1">
      <c r="A689" s="123" t="str">
        <f>IF(B689&lt;&gt;"",IF(AND(B689&gt;=_TM1,B689&lt;=_TM2,OR(TH!L689="1111",TH!M689="1111")),TH!D689,""),"")</f>
        <v/>
      </c>
      <c r="B689" s="12">
        <f t="shared" si="25"/>
        <v>12</v>
      </c>
      <c r="C689" s="108">
        <f t="shared" si="26"/>
        <v>42721</v>
      </c>
      <c r="D689" s="108" t="s">
        <v>593</v>
      </c>
      <c r="E689" s="113">
        <v>42721</v>
      </c>
      <c r="F689" s="114" t="s">
        <v>853</v>
      </c>
      <c r="G689" s="303" t="s">
        <v>850</v>
      </c>
      <c r="H689" s="129" t="s">
        <v>846</v>
      </c>
      <c r="I689" s="140">
        <v>50</v>
      </c>
      <c r="J689" s="140">
        <v>6670</v>
      </c>
      <c r="K689" s="13">
        <f>ROUND(I689*J689,0)</f>
        <v>333500</v>
      </c>
      <c r="L689" s="116" t="s">
        <v>252</v>
      </c>
      <c r="M689" s="411" t="s">
        <v>169</v>
      </c>
      <c r="N689" s="22" t="str">
        <f>IF(AND('331-CT'!$E$7=TH!H689,OR(L689="331",M689="331")),"331",IF(AND(OR(L689="131",M689="131"),H689='131-CT'!$E$7),"131",""))</f>
        <v/>
      </c>
      <c r="O689" s="22" t="str">
        <f>IF(AND($B689&gt;='111'!$N$11,$B689&lt;='111'!$O$11,OR($L689=$O$7,$M689=$O$7)),"x","")</f>
        <v/>
      </c>
      <c r="P689" s="22" t="str">
        <f>IF(AND($L689=$O$7,$B689&lt;'111'!$N$11),"x","")</f>
        <v/>
      </c>
      <c r="Q689" s="22" t="str">
        <f>IF(AND($M689=$O$7,$B689&lt;'111'!$N$11),"x","")</f>
        <v/>
      </c>
      <c r="R689" s="22" t="str">
        <f>IF(ISERROR(FIND('112'!$M$9,G689,1)),"",IF((AND(FIND('112'!$M$9,G689,1)&gt;=1,$B689&gt;='112'!$N$8,$B689&lt;='112'!$O$8,OR($L689='112'!$I$6,$M689='112'!$I$6))),"x",""))</f>
        <v/>
      </c>
      <c r="S689" s="22" t="str">
        <f>IF(ISERROR(FIND('112'!$M$9,G689,1)),"",IF((AND(LEFT(G689,2)=LEFT('112'!$M$9,2),B689&lt;'112'!$N$8,$L689='112'!$I$6)),"x",""))</f>
        <v/>
      </c>
      <c r="T689" s="22" t="str">
        <f>IF(ISERROR(FIND('112'!$M$9,G689,1)),"",IF((AND(RIGHT(G689,2)=RIGHT('112'!$M$9,2),B689&lt;'112'!$N$8,$M689='112'!$I$6)),"x",""))</f>
        <v/>
      </c>
      <c r="U689" s="22" t="str">
        <f>IF(AND(B689&gt;='IN-NX'!$P$3,B689&lt;='IN-NX'!$Q$3,'IN-NX'!$D$7=D689,OR(LEFT(L689,2)="15",AND(LEFT(M689,2)&lt;&gt;"15",LEFT(M689,2)&lt;&gt;"33"))),"x","")</f>
        <v/>
      </c>
      <c r="V689" s="22" t="str">
        <f>IF(AND(OR(LEFT(TH!L689,2)="15",LEFT(TH!M689,2)="15"),'152-CT'!$J$8=TH!F689),"x","")</f>
        <v/>
      </c>
      <c r="W689" s="22" t="str">
        <f>IF(AND(OR(LEFT(TH!L689,2)="15",LEFT(TH!M689,2)="15"),TK!$E$7=TH!F689),"x","")</f>
        <v/>
      </c>
      <c r="X689" s="22" t="str">
        <f>IF(OR(TH!L689=TH!$X$7,M689=TH!$X$7),"x","")</f>
        <v/>
      </c>
      <c r="Y689" s="22" t="str">
        <f>IF(AND(B689&lt;=NKC!$N$8,B689&gt;=NKC!$M$8),"x","")</f>
        <v/>
      </c>
      <c r="Z689" s="580"/>
      <c r="AD689" s="130"/>
      <c r="AE689" s="130"/>
    </row>
    <row r="690" spans="1:31" s="130" customFormat="1" ht="15.75" customHeight="1">
      <c r="A690" s="123" t="str">
        <f>IF(B690&lt;&gt;"",IF(AND(B690&gt;=_TM1,B690&lt;=_TM2,OR(TH!L690="1111",TH!M690="1111")),TH!D690,""),"")</f>
        <v/>
      </c>
      <c r="B690" s="12">
        <f t="shared" si="25"/>
        <v>12</v>
      </c>
      <c r="C690" s="108">
        <f t="shared" si="26"/>
        <v>42721</v>
      </c>
      <c r="D690" s="108" t="s">
        <v>593</v>
      </c>
      <c r="E690" s="113">
        <v>42721</v>
      </c>
      <c r="F690" s="114" t="s">
        <v>854</v>
      </c>
      <c r="G690" s="303" t="s">
        <v>850</v>
      </c>
      <c r="H690" s="129" t="s">
        <v>846</v>
      </c>
      <c r="I690" s="140">
        <f>422+118+14</f>
        <v>554</v>
      </c>
      <c r="J690" s="140">
        <v>13276</v>
      </c>
      <c r="K690" s="13">
        <f>ROUND(I690*J690,0)</f>
        <v>7354904</v>
      </c>
      <c r="L690" s="116" t="s">
        <v>252</v>
      </c>
      <c r="M690" s="411" t="s">
        <v>169</v>
      </c>
      <c r="N690" s="22" t="str">
        <f>IF(AND('331-CT'!$E$7=TH!H690,OR(L690="331",M690="331")),"331",IF(AND(OR(L690="131",M690="131"),H690='131-CT'!$E$7),"131",""))</f>
        <v/>
      </c>
      <c r="O690" s="22" t="str">
        <f>IF(AND($B690&gt;='111'!$N$11,$B690&lt;='111'!$O$11,OR($L690=$O$7,$M690=$O$7)),"x","")</f>
        <v/>
      </c>
      <c r="P690" s="22" t="str">
        <f>IF(AND($L690=$O$7,$B690&lt;'111'!$N$11),"x","")</f>
        <v/>
      </c>
      <c r="Q690" s="22" t="str">
        <f>IF(AND($M690=$O$7,$B690&lt;'111'!$N$11),"x","")</f>
        <v/>
      </c>
      <c r="R690" s="22" t="str">
        <f>IF(ISERROR(FIND('112'!$M$9,G690,1)),"",IF((AND(FIND('112'!$M$9,G690,1)&gt;=1,$B690&gt;='112'!$N$8,$B690&lt;='112'!$O$8,OR($L690='112'!$I$6,$M690='112'!$I$6))),"x",""))</f>
        <v/>
      </c>
      <c r="S690" s="22" t="str">
        <f>IF(ISERROR(FIND('112'!$M$9,G690,1)),"",IF((AND(LEFT(G690,2)=LEFT('112'!$M$9,2),B690&lt;'112'!$N$8,$L690='112'!$I$6)),"x",""))</f>
        <v/>
      </c>
      <c r="T690" s="22" t="str">
        <f>IF(ISERROR(FIND('112'!$M$9,G690,1)),"",IF((AND(RIGHT(G690,2)=RIGHT('112'!$M$9,2),B690&lt;'112'!$N$8,$M690='112'!$I$6)),"x",""))</f>
        <v/>
      </c>
      <c r="U690" s="22" t="str">
        <f>IF(AND(B690&gt;='IN-NX'!$P$3,B690&lt;='IN-NX'!$Q$3,'IN-NX'!$D$7=D690,OR(LEFT(L690,2)="15",AND(LEFT(M690,2)&lt;&gt;"15",LEFT(M690,2)&lt;&gt;"33"))),"x","")</f>
        <v/>
      </c>
      <c r="V690" s="22" t="str">
        <f>IF(AND(OR(LEFT(TH!L690,2)="15",LEFT(TH!M690,2)="15"),'152-CT'!$J$8=TH!F690),"x","")</f>
        <v/>
      </c>
      <c r="W690" s="22" t="str">
        <f>IF(AND(OR(LEFT(TH!L690,2)="15",LEFT(TH!M690,2)="15"),TK!$E$7=TH!F690),"x","")</f>
        <v/>
      </c>
      <c r="X690" s="22" t="str">
        <f>IF(OR(TH!L690=TH!$X$7,M690=TH!$X$7),"x","")</f>
        <v/>
      </c>
      <c r="Y690" s="22" t="str">
        <f>IF(AND(B690&lt;=NKC!$N$8,B690&gt;=NKC!$M$8),"x","")</f>
        <v/>
      </c>
      <c r="Z690" s="580"/>
      <c r="AA690" s="406"/>
      <c r="AB690" s="406"/>
      <c r="AC690" s="406"/>
    </row>
    <row r="691" spans="1:31" s="130" customFormat="1" ht="15.75" customHeight="1">
      <c r="A691" s="123" t="str">
        <f>IF(B691&lt;&gt;"",IF(AND(B691&gt;=_TM1,B691&lt;=_TM2,OR(TH!L691="1111",TH!M691="1111")),TH!D691,""),"")</f>
        <v/>
      </c>
      <c r="B691" s="12">
        <f t="shared" si="25"/>
        <v>12</v>
      </c>
      <c r="C691" s="108">
        <f t="shared" si="26"/>
        <v>42721</v>
      </c>
      <c r="D691" s="108" t="s">
        <v>593</v>
      </c>
      <c r="E691" s="113">
        <v>42721</v>
      </c>
      <c r="F691" s="112" t="s">
        <v>496</v>
      </c>
      <c r="G691" s="303" t="s">
        <v>850</v>
      </c>
      <c r="H691" s="129" t="s">
        <v>846</v>
      </c>
      <c r="I691" s="139"/>
      <c r="J691" s="139"/>
      <c r="K691" s="13">
        <v>1204922</v>
      </c>
      <c r="L691" s="116" t="s">
        <v>252</v>
      </c>
      <c r="M691" s="411" t="s">
        <v>352</v>
      </c>
      <c r="N691" s="22" t="str">
        <f>IF(AND('331-CT'!$E$7=TH!H691,OR(L691="331",M691="331")),"331",IF(AND(OR(L691="131",M691="131"),H691='131-CT'!$E$7),"131",""))</f>
        <v/>
      </c>
      <c r="O691" s="22" t="str">
        <f>IF(AND($B691&gt;='111'!$N$11,$B691&lt;='111'!$O$11,OR($L691=$O$7,$M691=$O$7)),"x","")</f>
        <v/>
      </c>
      <c r="P691" s="22" t="str">
        <f>IF(AND($L691=$O$7,$B691&lt;'111'!$N$11),"x","")</f>
        <v/>
      </c>
      <c r="Q691" s="22" t="str">
        <f>IF(AND($M691=$O$7,$B691&lt;'111'!$N$11),"x","")</f>
        <v/>
      </c>
      <c r="R691" s="22" t="str">
        <f>IF(ISERROR(FIND('112'!$M$9,G691,1)),"",IF((AND(FIND('112'!$M$9,G691,1)&gt;=1,$B691&gt;='112'!$N$8,$B691&lt;='112'!$O$8,OR($L691='112'!$I$6,$M691='112'!$I$6))),"x",""))</f>
        <v/>
      </c>
      <c r="S691" s="22" t="str">
        <f>IF(ISERROR(FIND('112'!$M$9,G691,1)),"",IF((AND(LEFT(G691,2)=LEFT('112'!$M$9,2),B691&lt;'112'!$N$8,$L691='112'!$I$6)),"x",""))</f>
        <v/>
      </c>
      <c r="T691" s="22" t="str">
        <f>IF(ISERROR(FIND('112'!$M$9,G691,1)),"",IF((AND(RIGHT(G691,2)=RIGHT('112'!$M$9,2),B691&lt;'112'!$N$8,$M691='112'!$I$6)),"x",""))</f>
        <v/>
      </c>
      <c r="U691" s="22" t="str">
        <f>IF(AND(B691&gt;='IN-NX'!$P$3,B691&lt;='IN-NX'!$Q$3,'IN-NX'!$D$7=D691,OR(LEFT(L691,2)="15",AND(LEFT(M691,2)&lt;&gt;"15",LEFT(M691,2)&lt;&gt;"33"))),"x","")</f>
        <v/>
      </c>
      <c r="V691" s="22" t="str">
        <f>IF(AND(OR(LEFT(TH!L691,2)="15",LEFT(TH!M691,2)="15"),'152-CT'!$J$8=TH!F691),"x","")</f>
        <v/>
      </c>
      <c r="W691" s="22" t="str">
        <f>IF(AND(OR(LEFT(TH!L691,2)="15",LEFT(TH!M691,2)="15"),TK!$E$7=TH!F691),"x","")</f>
        <v/>
      </c>
      <c r="X691" s="22" t="str">
        <f>IF(OR(TH!L691=TH!$X$7,M691=TH!$X$7),"x","")</f>
        <v/>
      </c>
      <c r="Y691" s="22" t="str">
        <f>IF(AND(B691&lt;=NKC!$N$8,B691&gt;=NKC!$M$8),"x","")</f>
        <v/>
      </c>
      <c r="Z691" s="580"/>
      <c r="AA691" s="406"/>
      <c r="AB691" s="406"/>
      <c r="AC691" s="406"/>
    </row>
    <row r="692" spans="1:31" s="130" customFormat="1" ht="15.75" customHeight="1">
      <c r="A692" s="123" t="str">
        <f>IF(B692&lt;&gt;"",IF(AND(B692&gt;=_TM1,B692&lt;=_TM2,OR(TH!L692="1111",TH!M692="1111")),TH!D692,""),"")</f>
        <v/>
      </c>
      <c r="B692" s="12">
        <f t="shared" si="25"/>
        <v>12</v>
      </c>
      <c r="C692" s="108">
        <f t="shared" si="26"/>
        <v>42721</v>
      </c>
      <c r="D692" s="108" t="s">
        <v>594</v>
      </c>
      <c r="E692" s="113">
        <v>42721</v>
      </c>
      <c r="F692" s="114" t="s">
        <v>857</v>
      </c>
      <c r="G692" s="303" t="s">
        <v>855</v>
      </c>
      <c r="H692" s="129" t="s">
        <v>846</v>
      </c>
      <c r="I692" s="139">
        <v>584</v>
      </c>
      <c r="J692" s="139">
        <v>562</v>
      </c>
      <c r="K692" s="13">
        <f>ROUND(I692*J692,0)</f>
        <v>328208</v>
      </c>
      <c r="L692" s="116" t="s">
        <v>252</v>
      </c>
      <c r="M692" s="411" t="s">
        <v>169</v>
      </c>
      <c r="N692" s="22" t="str">
        <f>IF(AND('331-CT'!$E$7=TH!H692,OR(L692="331",M692="331")),"331",IF(AND(OR(L692="131",M692="131"),H692='131-CT'!$E$7),"131",""))</f>
        <v/>
      </c>
      <c r="O692" s="22" t="str">
        <f>IF(AND($B692&gt;='111'!$N$11,$B692&lt;='111'!$O$11,OR($L692=$O$7,$M692=$O$7)),"x","")</f>
        <v/>
      </c>
      <c r="P692" s="22" t="str">
        <f>IF(AND($L692=$O$7,$B692&lt;'111'!$N$11),"x","")</f>
        <v/>
      </c>
      <c r="Q692" s="22" t="str">
        <f>IF(AND($M692=$O$7,$B692&lt;'111'!$N$11),"x","")</f>
        <v/>
      </c>
      <c r="R692" s="22" t="str">
        <f>IF(ISERROR(FIND('112'!$M$9,G692,1)),"",IF((AND(FIND('112'!$M$9,G692,1)&gt;=1,$B692&gt;='112'!$N$8,$B692&lt;='112'!$O$8,OR($L692='112'!$I$6,$M692='112'!$I$6))),"x",""))</f>
        <v/>
      </c>
      <c r="S692" s="22" t="str">
        <f>IF(ISERROR(FIND('112'!$M$9,G692,1)),"",IF((AND(LEFT(G692,2)=LEFT('112'!$M$9,2),B692&lt;'112'!$N$8,$L692='112'!$I$6)),"x",""))</f>
        <v/>
      </c>
      <c r="T692" s="22" t="str">
        <f>IF(ISERROR(FIND('112'!$M$9,G692,1)),"",IF((AND(RIGHT(G692,2)=RIGHT('112'!$M$9,2),B692&lt;'112'!$N$8,$M692='112'!$I$6)),"x",""))</f>
        <v/>
      </c>
      <c r="U692" s="22" t="str">
        <f>IF(AND(B692&gt;='IN-NX'!$P$3,B692&lt;='IN-NX'!$Q$3,'IN-NX'!$D$7=D692,OR(LEFT(L692,2)="15",AND(LEFT(M692,2)&lt;&gt;"15",LEFT(M692,2)&lt;&gt;"33"))),"x","")</f>
        <v/>
      </c>
      <c r="V692" s="22" t="str">
        <f>IF(AND(OR(LEFT(TH!L692,2)="15",LEFT(TH!M692,2)="15"),'152-CT'!$J$8=TH!F692),"x","")</f>
        <v/>
      </c>
      <c r="W692" s="22" t="str">
        <f>IF(AND(OR(LEFT(TH!L692,2)="15",LEFT(TH!M692,2)="15"),TK!$E$7=TH!F692),"x","")</f>
        <v/>
      </c>
      <c r="X692" s="22" t="str">
        <f>IF(OR(TH!L692=TH!$X$7,M692=TH!$X$7),"x","")</f>
        <v/>
      </c>
      <c r="Y692" s="22" t="str">
        <f>IF(AND(B692&lt;=NKC!$N$8,B692&gt;=NKC!$M$8),"x","")</f>
        <v/>
      </c>
      <c r="Z692" s="580"/>
      <c r="AA692" s="406"/>
      <c r="AB692" s="406"/>
      <c r="AC692" s="406"/>
    </row>
    <row r="693" spans="1:31" s="130" customFormat="1" ht="15.75" customHeight="1">
      <c r="A693" s="123" t="str">
        <f>IF(B693&lt;&gt;"",IF(AND(B693&gt;=_TM1,B693&lt;=_TM2,OR(TH!L693="1111",TH!M693="1111")),TH!D693,""),"")</f>
        <v/>
      </c>
      <c r="B693" s="12">
        <f t="shared" si="25"/>
        <v>12</v>
      </c>
      <c r="C693" s="108">
        <f t="shared" si="26"/>
        <v>42721</v>
      </c>
      <c r="D693" s="108" t="s">
        <v>594</v>
      </c>
      <c r="E693" s="113">
        <v>42721</v>
      </c>
      <c r="F693" s="114" t="s">
        <v>858</v>
      </c>
      <c r="G693" s="303" t="s">
        <v>855</v>
      </c>
      <c r="H693" s="129" t="s">
        <v>846</v>
      </c>
      <c r="I693" s="139">
        <v>360</v>
      </c>
      <c r="J693" s="139">
        <v>475</v>
      </c>
      <c r="K693" s="13">
        <f>ROUND(I693*J693,0)</f>
        <v>171000</v>
      </c>
      <c r="L693" s="116" t="s">
        <v>252</v>
      </c>
      <c r="M693" s="411" t="s">
        <v>169</v>
      </c>
      <c r="N693" s="22" t="str">
        <f>IF(AND('331-CT'!$E$7=TH!H693,OR(L693="331",M693="331")),"331",IF(AND(OR(L693="131",M693="131"),H693='131-CT'!$E$7),"131",""))</f>
        <v/>
      </c>
      <c r="O693" s="22" t="str">
        <f>IF(AND($B693&gt;='111'!$N$11,$B693&lt;='111'!$O$11,OR($L693=$O$7,$M693=$O$7)),"x","")</f>
        <v/>
      </c>
      <c r="P693" s="22" t="str">
        <f>IF(AND($L693=$O$7,$B693&lt;'111'!$N$11),"x","")</f>
        <v/>
      </c>
      <c r="Q693" s="22" t="str">
        <f>IF(AND($M693=$O$7,$B693&lt;'111'!$N$11),"x","")</f>
        <v/>
      </c>
      <c r="R693" s="22" t="str">
        <f>IF(ISERROR(FIND('112'!$M$9,G693,1)),"",IF((AND(FIND('112'!$M$9,G693,1)&gt;=1,$B693&gt;='112'!$N$8,$B693&lt;='112'!$O$8,OR($L693='112'!$I$6,$M693='112'!$I$6))),"x",""))</f>
        <v/>
      </c>
      <c r="S693" s="22" t="str">
        <f>IF(ISERROR(FIND('112'!$M$9,G693,1)),"",IF((AND(LEFT(G693,2)=LEFT('112'!$M$9,2),B693&lt;'112'!$N$8,$L693='112'!$I$6)),"x",""))</f>
        <v/>
      </c>
      <c r="T693" s="22" t="str">
        <f>IF(ISERROR(FIND('112'!$M$9,G693,1)),"",IF((AND(RIGHT(G693,2)=RIGHT('112'!$M$9,2),B693&lt;'112'!$N$8,$M693='112'!$I$6)),"x",""))</f>
        <v/>
      </c>
      <c r="U693" s="22" t="str">
        <f>IF(AND(B693&gt;='IN-NX'!$P$3,B693&lt;='IN-NX'!$Q$3,'IN-NX'!$D$7=D693,OR(LEFT(L693,2)="15",AND(LEFT(M693,2)&lt;&gt;"15",LEFT(M693,2)&lt;&gt;"33"))),"x","")</f>
        <v/>
      </c>
      <c r="V693" s="22" t="str">
        <f>IF(AND(OR(LEFT(TH!L693,2)="15",LEFT(TH!M693,2)="15"),'152-CT'!$J$8=TH!F693),"x","")</f>
        <v/>
      </c>
      <c r="W693" s="22" t="str">
        <f>IF(AND(OR(LEFT(TH!L693,2)="15",LEFT(TH!M693,2)="15"),TK!$E$7=TH!F693),"x","")</f>
        <v/>
      </c>
      <c r="X693" s="22" t="str">
        <f>IF(OR(TH!L693=TH!$X$7,M693=TH!$X$7),"x","")</f>
        <v/>
      </c>
      <c r="Y693" s="22" t="str">
        <f>IF(AND(B693&lt;=NKC!$N$8,B693&gt;=NKC!$M$8),"x","")</f>
        <v/>
      </c>
      <c r="Z693" s="580"/>
      <c r="AA693" s="406"/>
      <c r="AB693" s="406"/>
      <c r="AC693" s="406"/>
    </row>
    <row r="694" spans="1:31" s="406" customFormat="1" ht="15.75" customHeight="1">
      <c r="A694" s="123" t="str">
        <f>IF(B694&lt;&gt;"",IF(AND(B694&gt;=_TM1,B694&lt;=_TM2,OR(TH!L694="1111",TH!M694="1111")),TH!D694,""),"")</f>
        <v/>
      </c>
      <c r="B694" s="12">
        <f t="shared" si="25"/>
        <v>12</v>
      </c>
      <c r="C694" s="108">
        <f t="shared" si="26"/>
        <v>42721</v>
      </c>
      <c r="D694" s="108" t="s">
        <v>594</v>
      </c>
      <c r="E694" s="113">
        <v>42721</v>
      </c>
      <c r="F694" s="114" t="s">
        <v>859</v>
      </c>
      <c r="G694" s="303" t="s">
        <v>855</v>
      </c>
      <c r="H694" s="129" t="s">
        <v>846</v>
      </c>
      <c r="I694" s="139">
        <v>100</v>
      </c>
      <c r="J694" s="139">
        <v>389</v>
      </c>
      <c r="K694" s="13">
        <f>ROUND(I694*J694,0)</f>
        <v>38900</v>
      </c>
      <c r="L694" s="116" t="s">
        <v>252</v>
      </c>
      <c r="M694" s="411" t="s">
        <v>169</v>
      </c>
      <c r="N694" s="22" t="str">
        <f>IF(AND('331-CT'!$E$7=TH!H694,OR(L694="331",M694="331")),"331",IF(AND(OR(L694="131",M694="131"),H694='131-CT'!$E$7),"131",""))</f>
        <v/>
      </c>
      <c r="O694" s="22" t="str">
        <f>IF(AND($B694&gt;='111'!$N$11,$B694&lt;='111'!$O$11,OR($L694=$O$7,$M694=$O$7)),"x","")</f>
        <v/>
      </c>
      <c r="P694" s="22" t="str">
        <f>IF(AND($L694=$O$7,$B694&lt;'111'!$N$11),"x","")</f>
        <v/>
      </c>
      <c r="Q694" s="22" t="str">
        <f>IF(AND($M694=$O$7,$B694&lt;'111'!$N$11),"x","")</f>
        <v/>
      </c>
      <c r="R694" s="22" t="str">
        <f>IF(ISERROR(FIND('112'!$M$9,G694,1)),"",IF((AND(FIND('112'!$M$9,G694,1)&gt;=1,$B694&gt;='112'!$N$8,$B694&lt;='112'!$O$8,OR($L694='112'!$I$6,$M694='112'!$I$6))),"x",""))</f>
        <v/>
      </c>
      <c r="S694" s="22" t="str">
        <f>IF(ISERROR(FIND('112'!$M$9,G694,1)),"",IF((AND(LEFT(G694,2)=LEFT('112'!$M$9,2),B694&lt;'112'!$N$8,$L694='112'!$I$6)),"x",""))</f>
        <v/>
      </c>
      <c r="T694" s="22" t="str">
        <f>IF(ISERROR(FIND('112'!$M$9,G694,1)),"",IF((AND(RIGHT(G694,2)=RIGHT('112'!$M$9,2),B694&lt;'112'!$N$8,$M694='112'!$I$6)),"x",""))</f>
        <v/>
      </c>
      <c r="U694" s="22" t="str">
        <f>IF(AND(B694&gt;='IN-NX'!$P$3,B694&lt;='IN-NX'!$Q$3,'IN-NX'!$D$7=D694,OR(LEFT(L694,2)="15",AND(LEFT(M694,2)&lt;&gt;"15",LEFT(M694,2)&lt;&gt;"33"))),"x","")</f>
        <v/>
      </c>
      <c r="V694" s="22" t="str">
        <f>IF(AND(OR(LEFT(TH!L694,2)="15",LEFT(TH!M694,2)="15"),'152-CT'!$J$8=TH!F694),"x","")</f>
        <v/>
      </c>
      <c r="W694" s="22" t="str">
        <f>IF(AND(OR(LEFT(TH!L694,2)="15",LEFT(TH!M694,2)="15"),TK!$E$7=TH!F694),"x","")</f>
        <v/>
      </c>
      <c r="X694" s="22" t="str">
        <f>IF(OR(TH!L694=TH!$X$7,M694=TH!$X$7),"x","")</f>
        <v/>
      </c>
      <c r="Y694" s="22" t="str">
        <f>IF(AND(B694&lt;=NKC!$N$8,B694&gt;=NKC!$M$8),"x","")</f>
        <v/>
      </c>
      <c r="Z694" s="580"/>
      <c r="AC694" s="130"/>
      <c r="AD694" s="130"/>
      <c r="AE694" s="130"/>
    </row>
    <row r="695" spans="1:31" s="406" customFormat="1" ht="15.75" customHeight="1">
      <c r="A695" s="123" t="str">
        <f>IF(B695&lt;&gt;"",IF(AND(B695&gt;=_TM1,B695&lt;=_TM2,OR(TH!L695="1111",TH!M695="1111")),TH!D695,""),"")</f>
        <v/>
      </c>
      <c r="B695" s="12">
        <f t="shared" si="25"/>
        <v>12</v>
      </c>
      <c r="C695" s="108">
        <f t="shared" si="26"/>
        <v>42721</v>
      </c>
      <c r="D695" s="108" t="s">
        <v>594</v>
      </c>
      <c r="E695" s="113">
        <v>42721</v>
      </c>
      <c r="F695" s="114" t="s">
        <v>860</v>
      </c>
      <c r="G695" s="303" t="s">
        <v>855</v>
      </c>
      <c r="H695" s="129" t="s">
        <v>846</v>
      </c>
      <c r="I695" s="139">
        <v>1108</v>
      </c>
      <c r="J695" s="139">
        <v>778</v>
      </c>
      <c r="K695" s="13">
        <f>ROUND(I695*J695,0)</f>
        <v>862024</v>
      </c>
      <c r="L695" s="116" t="s">
        <v>252</v>
      </c>
      <c r="M695" s="411" t="s">
        <v>169</v>
      </c>
      <c r="N695" s="22" t="str">
        <f>IF(AND('331-CT'!$E$7=TH!H695,OR(L695="331",M695="331")),"331",IF(AND(OR(L695="131",M695="131"),H695='131-CT'!$E$7),"131",""))</f>
        <v/>
      </c>
      <c r="O695" s="22" t="str">
        <f>IF(AND($B695&gt;='111'!$N$11,$B695&lt;='111'!$O$11,OR($L695=$O$7,$M695=$O$7)),"x","")</f>
        <v/>
      </c>
      <c r="P695" s="22" t="str">
        <f>IF(AND($L695=$O$7,$B695&lt;'111'!$N$11),"x","")</f>
        <v/>
      </c>
      <c r="Q695" s="22" t="str">
        <f>IF(AND($M695=$O$7,$B695&lt;'111'!$N$11),"x","")</f>
        <v/>
      </c>
      <c r="R695" s="22" t="str">
        <f>IF(ISERROR(FIND('112'!$M$9,G695,1)),"",IF((AND(FIND('112'!$M$9,G695,1)&gt;=1,$B695&gt;='112'!$N$8,$B695&lt;='112'!$O$8,OR($L695='112'!$I$6,$M695='112'!$I$6))),"x",""))</f>
        <v/>
      </c>
      <c r="S695" s="22" t="str">
        <f>IF(ISERROR(FIND('112'!$M$9,G695,1)),"",IF((AND(LEFT(G695,2)=LEFT('112'!$M$9,2),B695&lt;'112'!$N$8,$L695='112'!$I$6)),"x",""))</f>
        <v/>
      </c>
      <c r="T695" s="22" t="str">
        <f>IF(ISERROR(FIND('112'!$M$9,G695,1)),"",IF((AND(RIGHT(G695,2)=RIGHT('112'!$M$9,2),B695&lt;'112'!$N$8,$M695='112'!$I$6)),"x",""))</f>
        <v/>
      </c>
      <c r="U695" s="22" t="str">
        <f>IF(AND(B695&gt;='IN-NX'!$P$3,B695&lt;='IN-NX'!$Q$3,'IN-NX'!$D$7=D695,OR(LEFT(L695,2)="15",AND(LEFT(M695,2)&lt;&gt;"15",LEFT(M695,2)&lt;&gt;"33"))),"x","")</f>
        <v/>
      </c>
      <c r="V695" s="22" t="str">
        <f>IF(AND(OR(LEFT(TH!L695,2)="15",LEFT(TH!M695,2)="15"),'152-CT'!$J$8=TH!F695),"x","")</f>
        <v/>
      </c>
      <c r="W695" s="22" t="str">
        <f>IF(AND(OR(LEFT(TH!L695,2)="15",LEFT(TH!M695,2)="15"),TK!$E$7=TH!F695),"x","")</f>
        <v/>
      </c>
      <c r="X695" s="22" t="str">
        <f>IF(OR(TH!L695=TH!$X$7,M695=TH!$X$7),"x","")</f>
        <v/>
      </c>
      <c r="Y695" s="22" t="str">
        <f>IF(AND(B695&lt;=NKC!$N$8,B695&gt;=NKC!$M$8),"x","")</f>
        <v/>
      </c>
      <c r="Z695" s="580"/>
      <c r="AD695" s="130"/>
      <c r="AE695" s="130"/>
    </row>
    <row r="696" spans="1:31" s="130" customFormat="1" ht="15.75" customHeight="1">
      <c r="A696" s="123" t="str">
        <f>IF(B696&lt;&gt;"",IF(AND(B696&gt;=_TM1,B696&lt;=_TM2,OR(TH!L696="1111",TH!M696="1111")),TH!D696,""),"")</f>
        <v/>
      </c>
      <c r="B696" s="12">
        <f t="shared" si="25"/>
        <v>12</v>
      </c>
      <c r="C696" s="108">
        <f t="shared" si="26"/>
        <v>42721</v>
      </c>
      <c r="D696" s="108" t="s">
        <v>594</v>
      </c>
      <c r="E696" s="113">
        <v>42721</v>
      </c>
      <c r="F696" s="112" t="s">
        <v>856</v>
      </c>
      <c r="G696" s="303" t="s">
        <v>855</v>
      </c>
      <c r="H696" s="129" t="s">
        <v>846</v>
      </c>
      <c r="I696" s="140"/>
      <c r="J696" s="140"/>
      <c r="K696" s="13">
        <v>140013</v>
      </c>
      <c r="L696" s="116" t="s">
        <v>252</v>
      </c>
      <c r="M696" s="411" t="s">
        <v>352</v>
      </c>
      <c r="N696" s="22" t="str">
        <f>IF(AND('331-CT'!$E$7=TH!H696,OR(L696="331",M696="331")),"331",IF(AND(OR(L696="131",M696="131"),H696='131-CT'!$E$7),"131",""))</f>
        <v/>
      </c>
      <c r="O696" s="22" t="str">
        <f>IF(AND($B696&gt;='111'!$N$11,$B696&lt;='111'!$O$11,OR($L696=$O$7,$M696=$O$7)),"x","")</f>
        <v/>
      </c>
      <c r="P696" s="22" t="str">
        <f>IF(AND($L696=$O$7,$B696&lt;'111'!$N$11),"x","")</f>
        <v/>
      </c>
      <c r="Q696" s="22" t="str">
        <f>IF(AND($M696=$O$7,$B696&lt;'111'!$N$11),"x","")</f>
        <v/>
      </c>
      <c r="R696" s="22" t="str">
        <f>IF(ISERROR(FIND('112'!$M$9,G696,1)),"",IF((AND(FIND('112'!$M$9,G696,1)&gt;=1,$B696&gt;='112'!$N$8,$B696&lt;='112'!$O$8,OR($L696='112'!$I$6,$M696='112'!$I$6))),"x",""))</f>
        <v/>
      </c>
      <c r="S696" s="22" t="str">
        <f>IF(ISERROR(FIND('112'!$M$9,G696,1)),"",IF((AND(LEFT(G696,2)=LEFT('112'!$M$9,2),B696&lt;'112'!$N$8,$L696='112'!$I$6)),"x",""))</f>
        <v/>
      </c>
      <c r="T696" s="22" t="str">
        <f>IF(ISERROR(FIND('112'!$M$9,G696,1)),"",IF((AND(RIGHT(G696,2)=RIGHT('112'!$M$9,2),B696&lt;'112'!$N$8,$M696='112'!$I$6)),"x",""))</f>
        <v/>
      </c>
      <c r="U696" s="22" t="str">
        <f>IF(AND(B696&gt;='IN-NX'!$P$3,B696&lt;='IN-NX'!$Q$3,'IN-NX'!$D$7=D696,OR(LEFT(L696,2)="15",AND(LEFT(M696,2)&lt;&gt;"15",LEFT(M696,2)&lt;&gt;"33"))),"x","")</f>
        <v/>
      </c>
      <c r="V696" s="22" t="str">
        <f>IF(AND(OR(LEFT(TH!L696,2)="15",LEFT(TH!M696,2)="15"),'152-CT'!$J$8=TH!F696),"x","")</f>
        <v/>
      </c>
      <c r="W696" s="22" t="str">
        <f>IF(AND(OR(LEFT(TH!L696,2)="15",LEFT(TH!M696,2)="15"),TK!$E$7=TH!F696),"x","")</f>
        <v/>
      </c>
      <c r="X696" s="22" t="str">
        <f>IF(OR(TH!L696=TH!$X$7,M696=TH!$X$7),"x","")</f>
        <v/>
      </c>
      <c r="Y696" s="22" t="str">
        <f>IF(AND(B696&lt;=NKC!$N$8,B696&gt;=NKC!$M$8),"x","")</f>
        <v/>
      </c>
      <c r="Z696" s="580"/>
      <c r="AA696" s="406"/>
      <c r="AB696" s="406"/>
      <c r="AC696" s="406"/>
    </row>
    <row r="697" spans="1:31" s="130" customFormat="1" ht="15.75" customHeight="1">
      <c r="A697" s="123" t="str">
        <f>IF(B697&lt;&gt;"",IF(AND(B697&gt;=_TM1,B697&lt;=_TM2,OR(TH!L697="1111",TH!M697="1111")),TH!D697,""),"")</f>
        <v/>
      </c>
      <c r="B697" s="12">
        <f t="shared" si="25"/>
        <v>12</v>
      </c>
      <c r="C697" s="108">
        <f t="shared" si="26"/>
        <v>42721</v>
      </c>
      <c r="D697" s="108" t="s">
        <v>595</v>
      </c>
      <c r="E697" s="113">
        <v>42721</v>
      </c>
      <c r="F697" s="112" t="s">
        <v>813</v>
      </c>
      <c r="G697" s="303" t="s">
        <v>886</v>
      </c>
      <c r="H697" s="4" t="s">
        <v>814</v>
      </c>
      <c r="I697" s="139">
        <v>2400</v>
      </c>
      <c r="J697" s="139">
        <v>7500</v>
      </c>
      <c r="K697" s="13">
        <f>ROUND(I697*J697,0)</f>
        <v>18000000</v>
      </c>
      <c r="L697" s="116" t="s">
        <v>252</v>
      </c>
      <c r="M697" s="411" t="s">
        <v>169</v>
      </c>
      <c r="N697" s="22" t="str">
        <f>IF(AND('331-CT'!$E$7=TH!H697,OR(L697="331",M697="331")),"331",IF(AND(OR(L697="131",M697="131"),H697='131-CT'!$E$7),"131",""))</f>
        <v/>
      </c>
      <c r="O697" s="22" t="str">
        <f>IF(AND($B697&gt;='111'!$N$11,$B697&lt;='111'!$O$11,OR($L697=$O$7,$M697=$O$7)),"x","")</f>
        <v/>
      </c>
      <c r="P697" s="22" t="str">
        <f>IF(AND($L697=$O$7,$B697&lt;'111'!$N$11),"x","")</f>
        <v/>
      </c>
      <c r="Q697" s="22" t="str">
        <f>IF(AND($M697=$O$7,$B697&lt;'111'!$N$11),"x","")</f>
        <v/>
      </c>
      <c r="R697" s="22" t="str">
        <f>IF(ISERROR(FIND('112'!$M$9,G697,1)),"",IF((AND(FIND('112'!$M$9,G697,1)&gt;=1,$B697&gt;='112'!$N$8,$B697&lt;='112'!$O$8,OR($L697='112'!$I$6,$M697='112'!$I$6))),"x",""))</f>
        <v/>
      </c>
      <c r="S697" s="22" t="str">
        <f>IF(ISERROR(FIND('112'!$M$9,G697,1)),"",IF((AND(LEFT(G697,2)=LEFT('112'!$M$9,2),B697&lt;'112'!$N$8,$L697='112'!$I$6)),"x",""))</f>
        <v/>
      </c>
      <c r="T697" s="22" t="str">
        <f>IF(ISERROR(FIND('112'!$M$9,G697,1)),"",IF((AND(RIGHT(G697,2)=RIGHT('112'!$M$9,2),B697&lt;'112'!$N$8,$M697='112'!$I$6)),"x",""))</f>
        <v/>
      </c>
      <c r="U697" s="22" t="str">
        <f>IF(AND(B697&gt;='IN-NX'!$P$3,B697&lt;='IN-NX'!$Q$3,'IN-NX'!$D$7=D697,OR(LEFT(L697,2)="15",AND(LEFT(M697,2)&lt;&gt;"15",LEFT(M697,2)&lt;&gt;"33"))),"x","")</f>
        <v/>
      </c>
      <c r="V697" s="22" t="str">
        <f>IF(AND(OR(LEFT(TH!L697,2)="15",LEFT(TH!M697,2)="15"),'152-CT'!$J$8=TH!F697),"x","")</f>
        <v/>
      </c>
      <c r="W697" s="22" t="str">
        <f>IF(AND(OR(LEFT(TH!L697,2)="15",LEFT(TH!M697,2)="15"),TK!$E$7=TH!F697),"x","")</f>
        <v/>
      </c>
      <c r="X697" s="22" t="str">
        <f>IF(OR(TH!L697=TH!$X$7,M697=TH!$X$7),"x","")</f>
        <v/>
      </c>
      <c r="Y697" s="22" t="str">
        <f>IF(AND(B697&lt;=NKC!$N$8,B697&gt;=NKC!$M$8),"x","")</f>
        <v/>
      </c>
      <c r="Z697" s="580"/>
      <c r="AA697" s="406"/>
      <c r="AB697" s="406"/>
      <c r="AC697" s="406"/>
    </row>
    <row r="698" spans="1:31" s="130" customFormat="1" ht="15.75" customHeight="1">
      <c r="A698" s="123" t="str">
        <f>IF(B698&lt;&gt;"",IF(AND(B698&gt;=_TM1,B698&lt;=_TM2,OR(TH!L698="1111",TH!M698="1111")),TH!D698,""),"")</f>
        <v/>
      </c>
      <c r="B698" s="12">
        <f t="shared" si="25"/>
        <v>12</v>
      </c>
      <c r="C698" s="108">
        <f t="shared" si="26"/>
        <v>42721</v>
      </c>
      <c r="D698" s="108" t="s">
        <v>595</v>
      </c>
      <c r="E698" s="113">
        <v>42721</v>
      </c>
      <c r="F698" s="112" t="s">
        <v>496</v>
      </c>
      <c r="G698" s="303" t="s">
        <v>886</v>
      </c>
      <c r="H698" s="4" t="s">
        <v>814</v>
      </c>
      <c r="I698" s="139"/>
      <c r="J698" s="139"/>
      <c r="K698" s="13">
        <v>1800000</v>
      </c>
      <c r="L698" s="116" t="s">
        <v>252</v>
      </c>
      <c r="M698" s="411" t="s">
        <v>352</v>
      </c>
      <c r="N698" s="22" t="str">
        <f>IF(AND('331-CT'!$E$7=TH!H698,OR(L698="331",M698="331")),"331",IF(AND(OR(L698="131",M698="131"),H698='131-CT'!$E$7),"131",""))</f>
        <v/>
      </c>
      <c r="O698" s="22" t="str">
        <f>IF(AND($B698&gt;='111'!$N$11,$B698&lt;='111'!$O$11,OR($L698=$O$7,$M698=$O$7)),"x","")</f>
        <v/>
      </c>
      <c r="P698" s="22" t="str">
        <f>IF(AND($L698=$O$7,$B698&lt;'111'!$N$11),"x","")</f>
        <v/>
      </c>
      <c r="Q698" s="22" t="str">
        <f>IF(AND($M698=$O$7,$B698&lt;'111'!$N$11),"x","")</f>
        <v/>
      </c>
      <c r="R698" s="22" t="str">
        <f>IF(ISERROR(FIND('112'!$M$9,G698,1)),"",IF((AND(FIND('112'!$M$9,G698,1)&gt;=1,$B698&gt;='112'!$N$8,$B698&lt;='112'!$O$8,OR($L698='112'!$I$6,$M698='112'!$I$6))),"x",""))</f>
        <v/>
      </c>
      <c r="S698" s="22" t="str">
        <f>IF(ISERROR(FIND('112'!$M$9,G698,1)),"",IF((AND(LEFT(G698,2)=LEFT('112'!$M$9,2),B698&lt;'112'!$N$8,$L698='112'!$I$6)),"x",""))</f>
        <v/>
      </c>
      <c r="T698" s="22" t="str">
        <f>IF(ISERROR(FIND('112'!$M$9,G698,1)),"",IF((AND(RIGHT(G698,2)=RIGHT('112'!$M$9,2),B698&lt;'112'!$N$8,$M698='112'!$I$6)),"x",""))</f>
        <v/>
      </c>
      <c r="U698" s="22" t="str">
        <f>IF(AND(B698&gt;='IN-NX'!$P$3,B698&lt;='IN-NX'!$Q$3,'IN-NX'!$D$7=D698,OR(LEFT(L698,2)="15",AND(LEFT(M698,2)&lt;&gt;"15",LEFT(M698,2)&lt;&gt;"33"))),"x","")</f>
        <v/>
      </c>
      <c r="V698" s="22" t="str">
        <f>IF(AND(OR(LEFT(TH!L698,2)="15",LEFT(TH!M698,2)="15"),'152-CT'!$J$8=TH!F698),"x","")</f>
        <v/>
      </c>
      <c r="W698" s="22" t="str">
        <f>IF(AND(OR(LEFT(TH!L698,2)="15",LEFT(TH!M698,2)="15"),TK!$E$7=TH!F698),"x","")</f>
        <v/>
      </c>
      <c r="X698" s="22" t="str">
        <f>IF(OR(TH!L698=TH!$X$7,M698=TH!$X$7),"x","")</f>
        <v/>
      </c>
      <c r="Y698" s="22" t="str">
        <f>IF(AND(B698&lt;=NKC!$N$8,B698&gt;=NKC!$M$8),"x","")</f>
        <v/>
      </c>
      <c r="Z698" s="580"/>
      <c r="AA698" s="406"/>
      <c r="AB698" s="406"/>
      <c r="AC698" s="406"/>
    </row>
    <row r="699" spans="1:31" s="130" customFormat="1" ht="15.75" customHeight="1">
      <c r="A699" s="123" t="str">
        <f>IF(B699&lt;&gt;"",IF(AND(B699&gt;=_TM1,B699&lt;=_TM2,OR(TH!L699="1111",TH!M699="1111")),TH!D699,""),"")</f>
        <v>T35</v>
      </c>
      <c r="B699" s="12">
        <f t="shared" si="25"/>
        <v>12</v>
      </c>
      <c r="C699" s="108">
        <f t="shared" si="26"/>
        <v>42721</v>
      </c>
      <c r="D699" s="108" t="s">
        <v>1055</v>
      </c>
      <c r="E699" s="113">
        <v>42721</v>
      </c>
      <c r="F699" s="114" t="s">
        <v>484</v>
      </c>
      <c r="G699" s="303" t="s">
        <v>886</v>
      </c>
      <c r="H699" s="4" t="s">
        <v>814</v>
      </c>
      <c r="I699" s="140"/>
      <c r="J699" s="140"/>
      <c r="K699" s="13">
        <v>19800000</v>
      </c>
      <c r="L699" s="116" t="s">
        <v>46</v>
      </c>
      <c r="M699" s="411" t="s">
        <v>252</v>
      </c>
      <c r="N699" s="22" t="str">
        <f>IF(AND('331-CT'!$E$7=TH!H699,OR(L699="331",M699="331")),"331",IF(AND(OR(L699="131",M699="131"),H699='131-CT'!$E$7),"131",""))</f>
        <v/>
      </c>
      <c r="O699" s="22" t="str">
        <f>IF(AND($B699&gt;='111'!$N$11,$B699&lt;='111'!$O$11,OR($L699=$O$7,$M699=$O$7)),"x","")</f>
        <v>x</v>
      </c>
      <c r="P699" s="22" t="str">
        <f>IF(AND($L699=$O$7,$B699&lt;'111'!$N$11),"x","")</f>
        <v/>
      </c>
      <c r="Q699" s="22" t="str">
        <f>IF(AND($M699=$O$7,$B699&lt;'111'!$N$11),"x","")</f>
        <v/>
      </c>
      <c r="R699" s="22" t="str">
        <f>IF(ISERROR(FIND('112'!$M$9,G699,1)),"",IF((AND(FIND('112'!$M$9,G699,1)&gt;=1,$B699&gt;='112'!$N$8,$B699&lt;='112'!$O$8,OR($L699='112'!$I$6,$M699='112'!$I$6))),"x",""))</f>
        <v/>
      </c>
      <c r="S699" s="22" t="str">
        <f>IF(ISERROR(FIND('112'!$M$9,G699,1)),"",IF((AND(LEFT(G699,2)=LEFT('112'!$M$9,2),B699&lt;'112'!$N$8,$L699='112'!$I$6)),"x",""))</f>
        <v/>
      </c>
      <c r="T699" s="22" t="str">
        <f>IF(ISERROR(FIND('112'!$M$9,G699,1)),"",IF((AND(RIGHT(G699,2)=RIGHT('112'!$M$9,2),B699&lt;'112'!$N$8,$M699='112'!$I$6)),"x",""))</f>
        <v/>
      </c>
      <c r="U699" s="22" t="str">
        <f>IF(AND(B699&gt;='IN-NX'!$P$3,B699&lt;='IN-NX'!$Q$3,'IN-NX'!$D$7=D699,OR(LEFT(L699,2)="15",AND(LEFT(M699,2)&lt;&gt;"15",LEFT(M699,2)&lt;&gt;"33"))),"x","")</f>
        <v/>
      </c>
      <c r="V699" s="22" t="str">
        <f>IF(AND(OR(LEFT(TH!L699,2)="15",LEFT(TH!M699,2)="15"),'152-CT'!$J$8=TH!F699),"x","")</f>
        <v/>
      </c>
      <c r="W699" s="22" t="str">
        <f>IF(AND(OR(LEFT(TH!L699,2)="15",LEFT(TH!M699,2)="15"),TK!$E$7=TH!F699),"x","")</f>
        <v/>
      </c>
      <c r="X699" s="22" t="str">
        <f>IF(OR(TH!L699=TH!$X$7,M699=TH!$X$7),"x","")</f>
        <v/>
      </c>
      <c r="Y699" s="22" t="str">
        <f>IF(AND(B699&lt;=NKC!$N$8,B699&gt;=NKC!$M$8),"x","")</f>
        <v/>
      </c>
      <c r="Z699" s="580"/>
      <c r="AA699" s="406"/>
      <c r="AB699" s="406"/>
      <c r="AC699" s="406"/>
    </row>
    <row r="700" spans="1:31" s="406" customFormat="1" ht="15.75" customHeight="1">
      <c r="A700" s="123" t="str">
        <f>IF(B700&lt;&gt;"",IF(AND(B700&gt;=_TM1,B700&lt;=_TM2,OR(TH!L700="1111",TH!M700="1111")),TH!D700,""),"")</f>
        <v/>
      </c>
      <c r="B700" s="12">
        <f t="shared" si="25"/>
        <v>12</v>
      </c>
      <c r="C700" s="108">
        <f t="shared" si="26"/>
        <v>42722</v>
      </c>
      <c r="D700" s="108" t="s">
        <v>596</v>
      </c>
      <c r="E700" s="113">
        <v>42722</v>
      </c>
      <c r="F700" s="112" t="s">
        <v>813</v>
      </c>
      <c r="G700" s="303" t="s">
        <v>887</v>
      </c>
      <c r="H700" s="4" t="s">
        <v>814</v>
      </c>
      <c r="I700" s="139">
        <v>2400</v>
      </c>
      <c r="J700" s="139">
        <v>7500</v>
      </c>
      <c r="K700" s="13">
        <f>ROUND(I700*J700,0)</f>
        <v>18000000</v>
      </c>
      <c r="L700" s="116" t="s">
        <v>252</v>
      </c>
      <c r="M700" s="411" t="s">
        <v>169</v>
      </c>
      <c r="N700" s="22" t="str">
        <f>IF(AND('331-CT'!$E$7=TH!H700,OR(L700="331",M700="331")),"331",IF(AND(OR(L700="131",M700="131"),H700='131-CT'!$E$7),"131",""))</f>
        <v/>
      </c>
      <c r="O700" s="22" t="str">
        <f>IF(AND($B700&gt;='111'!$N$11,$B700&lt;='111'!$O$11,OR($L700=$O$7,$M700=$O$7)),"x","")</f>
        <v/>
      </c>
      <c r="P700" s="22" t="str">
        <f>IF(AND($L700=$O$7,$B700&lt;'111'!$N$11),"x","")</f>
        <v/>
      </c>
      <c r="Q700" s="22" t="str">
        <f>IF(AND($M700=$O$7,$B700&lt;'111'!$N$11),"x","")</f>
        <v/>
      </c>
      <c r="R700" s="22" t="str">
        <f>IF(ISERROR(FIND('112'!$M$9,G700,1)),"",IF((AND(FIND('112'!$M$9,G700,1)&gt;=1,$B700&gt;='112'!$N$8,$B700&lt;='112'!$O$8,OR($L700='112'!$I$6,$M700='112'!$I$6))),"x",""))</f>
        <v/>
      </c>
      <c r="S700" s="22" t="str">
        <f>IF(ISERROR(FIND('112'!$M$9,G700,1)),"",IF((AND(LEFT(G700,2)=LEFT('112'!$M$9,2),B700&lt;'112'!$N$8,$L700='112'!$I$6)),"x",""))</f>
        <v/>
      </c>
      <c r="T700" s="22" t="str">
        <f>IF(ISERROR(FIND('112'!$M$9,G700,1)),"",IF((AND(RIGHT(G700,2)=RIGHT('112'!$M$9,2),B700&lt;'112'!$N$8,$M700='112'!$I$6)),"x",""))</f>
        <v/>
      </c>
      <c r="U700" s="22" t="str">
        <f>IF(AND(B700&gt;='IN-NX'!$P$3,B700&lt;='IN-NX'!$Q$3,'IN-NX'!$D$7=D700,OR(LEFT(L700,2)="15",AND(LEFT(M700,2)&lt;&gt;"15",LEFT(M700,2)&lt;&gt;"33"))),"x","")</f>
        <v/>
      </c>
      <c r="V700" s="22" t="str">
        <f>IF(AND(OR(LEFT(TH!L700,2)="15",LEFT(TH!M700,2)="15"),'152-CT'!$J$8=TH!F700),"x","")</f>
        <v/>
      </c>
      <c r="W700" s="22" t="str">
        <f>IF(AND(OR(LEFT(TH!L700,2)="15",LEFT(TH!M700,2)="15"),TK!$E$7=TH!F700),"x","")</f>
        <v/>
      </c>
      <c r="X700" s="22" t="str">
        <f>IF(OR(TH!L700=TH!$X$7,M700=TH!$X$7),"x","")</f>
        <v/>
      </c>
      <c r="Y700" s="22" t="str">
        <f>IF(AND(B700&lt;=NKC!$N$8,B700&gt;=NKC!$M$8),"x","")</f>
        <v/>
      </c>
      <c r="Z700" s="580"/>
      <c r="AD700" s="130"/>
      <c r="AE700" s="130"/>
    </row>
    <row r="701" spans="1:31" s="406" customFormat="1" ht="15.75" customHeight="1">
      <c r="A701" s="123" t="str">
        <f>IF(B701&lt;&gt;"",IF(AND(B701&gt;=_TM1,B701&lt;=_TM2,OR(TH!L701="1111",TH!M701="1111")),TH!D701,""),"")</f>
        <v/>
      </c>
      <c r="B701" s="12">
        <f t="shared" si="25"/>
        <v>12</v>
      </c>
      <c r="C701" s="108">
        <f t="shared" si="26"/>
        <v>42722</v>
      </c>
      <c r="D701" s="108" t="s">
        <v>596</v>
      </c>
      <c r="E701" s="113">
        <v>42722</v>
      </c>
      <c r="F701" s="112" t="s">
        <v>496</v>
      </c>
      <c r="G701" s="303" t="s">
        <v>887</v>
      </c>
      <c r="H701" s="4" t="s">
        <v>814</v>
      </c>
      <c r="I701" s="139"/>
      <c r="J701" s="139"/>
      <c r="K701" s="13">
        <v>1800000</v>
      </c>
      <c r="L701" s="116" t="s">
        <v>252</v>
      </c>
      <c r="M701" s="411" t="s">
        <v>352</v>
      </c>
      <c r="N701" s="22" t="str">
        <f>IF(AND('331-CT'!$E$7=TH!H701,OR(L701="331",M701="331")),"331",IF(AND(OR(L701="131",M701="131"),H701='131-CT'!$E$7),"131",""))</f>
        <v/>
      </c>
      <c r="O701" s="22" t="str">
        <f>IF(AND($B701&gt;='111'!$N$11,$B701&lt;='111'!$O$11,OR($L701=$O$7,$M701=$O$7)),"x","")</f>
        <v/>
      </c>
      <c r="P701" s="22" t="str">
        <f>IF(AND($L701=$O$7,$B701&lt;'111'!$N$11),"x","")</f>
        <v/>
      </c>
      <c r="Q701" s="22" t="str">
        <f>IF(AND($M701=$O$7,$B701&lt;'111'!$N$11),"x","")</f>
        <v/>
      </c>
      <c r="R701" s="22" t="str">
        <f>IF(ISERROR(FIND('112'!$M$9,G701,1)),"",IF((AND(FIND('112'!$M$9,G701,1)&gt;=1,$B701&gt;='112'!$N$8,$B701&lt;='112'!$O$8,OR($L701='112'!$I$6,$M701='112'!$I$6))),"x",""))</f>
        <v/>
      </c>
      <c r="S701" s="22" t="str">
        <f>IF(ISERROR(FIND('112'!$M$9,G701,1)),"",IF((AND(LEFT(G701,2)=LEFT('112'!$M$9,2),B701&lt;'112'!$N$8,$L701='112'!$I$6)),"x",""))</f>
        <v/>
      </c>
      <c r="T701" s="22" t="str">
        <f>IF(ISERROR(FIND('112'!$M$9,G701,1)),"",IF((AND(RIGHT(G701,2)=RIGHT('112'!$M$9,2),B701&lt;'112'!$N$8,$M701='112'!$I$6)),"x",""))</f>
        <v/>
      </c>
      <c r="U701" s="22" t="str">
        <f>IF(AND(B701&gt;='IN-NX'!$P$3,B701&lt;='IN-NX'!$Q$3,'IN-NX'!$D$7=D701,OR(LEFT(L701,2)="15",AND(LEFT(M701,2)&lt;&gt;"15",LEFT(M701,2)&lt;&gt;"33"))),"x","")</f>
        <v/>
      </c>
      <c r="V701" s="22" t="str">
        <f>IF(AND(OR(LEFT(TH!L701,2)="15",LEFT(TH!M701,2)="15"),'152-CT'!$J$8=TH!F701),"x","")</f>
        <v/>
      </c>
      <c r="W701" s="22" t="str">
        <f>IF(AND(OR(LEFT(TH!L701,2)="15",LEFT(TH!M701,2)="15"),TK!$E$7=TH!F701),"x","")</f>
        <v/>
      </c>
      <c r="X701" s="22" t="str">
        <f>IF(OR(TH!L701=TH!$X$7,M701=TH!$X$7),"x","")</f>
        <v/>
      </c>
      <c r="Y701" s="22" t="str">
        <f>IF(AND(B701&lt;=NKC!$N$8,B701&gt;=NKC!$M$8),"x","")</f>
        <v/>
      </c>
      <c r="Z701" s="580"/>
      <c r="AC701" s="130"/>
      <c r="AD701" s="130"/>
      <c r="AE701" s="130"/>
    </row>
    <row r="702" spans="1:31" s="130" customFormat="1" ht="15.75" customHeight="1">
      <c r="A702" s="123" t="str">
        <f>IF(B702&lt;&gt;"",IF(AND(B702&gt;=_TM1,B702&lt;=_TM2,OR(TH!L702="1111",TH!M702="1111")),TH!D702,""),"")</f>
        <v>T36</v>
      </c>
      <c r="B702" s="12">
        <f t="shared" si="25"/>
        <v>12</v>
      </c>
      <c r="C702" s="108">
        <f t="shared" si="26"/>
        <v>42722</v>
      </c>
      <c r="D702" s="108" t="s">
        <v>1056</v>
      </c>
      <c r="E702" s="113">
        <v>42722</v>
      </c>
      <c r="F702" s="114" t="s">
        <v>484</v>
      </c>
      <c r="G702" s="303" t="s">
        <v>887</v>
      </c>
      <c r="H702" s="4" t="s">
        <v>814</v>
      </c>
      <c r="I702" s="140"/>
      <c r="J702" s="140"/>
      <c r="K702" s="13">
        <v>19800000</v>
      </c>
      <c r="L702" s="116" t="s">
        <v>46</v>
      </c>
      <c r="M702" s="411" t="s">
        <v>252</v>
      </c>
      <c r="N702" s="22" t="str">
        <f>IF(AND('331-CT'!$E$7=TH!H702,OR(L702="331",M702="331")),"331",IF(AND(OR(L702="131",M702="131"),H702='131-CT'!$E$7),"131",""))</f>
        <v/>
      </c>
      <c r="O702" s="22" t="str">
        <f>IF(AND($B702&gt;='111'!$N$11,$B702&lt;='111'!$O$11,OR($L702=$O$7,$M702=$O$7)),"x","")</f>
        <v>x</v>
      </c>
      <c r="P702" s="22" t="str">
        <f>IF(AND($L702=$O$7,$B702&lt;'111'!$N$11),"x","")</f>
        <v/>
      </c>
      <c r="Q702" s="22" t="str">
        <f>IF(AND($M702=$O$7,$B702&lt;'111'!$N$11),"x","")</f>
        <v/>
      </c>
      <c r="R702" s="22" t="str">
        <f>IF(ISERROR(FIND('112'!$M$9,G702,1)),"",IF((AND(FIND('112'!$M$9,G702,1)&gt;=1,$B702&gt;='112'!$N$8,$B702&lt;='112'!$O$8,OR($L702='112'!$I$6,$M702='112'!$I$6))),"x",""))</f>
        <v/>
      </c>
      <c r="S702" s="22" t="str">
        <f>IF(ISERROR(FIND('112'!$M$9,G702,1)),"",IF((AND(LEFT(G702,2)=LEFT('112'!$M$9,2),B702&lt;'112'!$N$8,$L702='112'!$I$6)),"x",""))</f>
        <v/>
      </c>
      <c r="T702" s="22" t="str">
        <f>IF(ISERROR(FIND('112'!$M$9,G702,1)),"",IF((AND(RIGHT(G702,2)=RIGHT('112'!$M$9,2),B702&lt;'112'!$N$8,$M702='112'!$I$6)),"x",""))</f>
        <v/>
      </c>
      <c r="U702" s="22" t="str">
        <f>IF(AND(B702&gt;='IN-NX'!$P$3,B702&lt;='IN-NX'!$Q$3,'IN-NX'!$D$7=D702,OR(LEFT(L702,2)="15",AND(LEFT(M702,2)&lt;&gt;"15",LEFT(M702,2)&lt;&gt;"33"))),"x","")</f>
        <v/>
      </c>
      <c r="V702" s="22" t="str">
        <f>IF(AND(OR(LEFT(TH!L702,2)="15",LEFT(TH!M702,2)="15"),'152-CT'!$J$8=TH!F702),"x","")</f>
        <v/>
      </c>
      <c r="W702" s="22" t="str">
        <f>IF(AND(OR(LEFT(TH!L702,2)="15",LEFT(TH!M702,2)="15"),TK!$E$7=TH!F702),"x","")</f>
        <v/>
      </c>
      <c r="X702" s="22" t="str">
        <f>IF(OR(TH!L702=TH!$X$7,M702=TH!$X$7),"x","")</f>
        <v/>
      </c>
      <c r="Y702" s="22" t="str">
        <f>IF(AND(B702&lt;=NKC!$N$8,B702&gt;=NKC!$M$8),"x","")</f>
        <v/>
      </c>
      <c r="Z702" s="580"/>
      <c r="AA702" s="406"/>
      <c r="AB702" s="406"/>
      <c r="AC702" s="406"/>
    </row>
    <row r="703" spans="1:31" s="130" customFormat="1" ht="15.75" customHeight="1">
      <c r="A703" s="123" t="str">
        <f>IF(B703&lt;&gt;"",IF(AND(B703&gt;=_TM1,B703&lt;=_TM2,OR(TH!L703="1111",TH!M703="1111")),TH!D703,""),"")</f>
        <v/>
      </c>
      <c r="B703" s="12">
        <f t="shared" si="25"/>
        <v>12</v>
      </c>
      <c r="C703" s="108">
        <f t="shared" si="26"/>
        <v>42723</v>
      </c>
      <c r="D703" s="113" t="s">
        <v>950</v>
      </c>
      <c r="E703" s="108">
        <v>42723</v>
      </c>
      <c r="F703" s="112" t="s">
        <v>444</v>
      </c>
      <c r="G703" s="303" t="s">
        <v>942</v>
      </c>
      <c r="H703" s="115" t="s">
        <v>442</v>
      </c>
      <c r="I703" s="139">
        <v>6950</v>
      </c>
      <c r="J703" s="139">
        <v>800</v>
      </c>
      <c r="K703" s="13">
        <f>ROUND(I703*J703,0)</f>
        <v>5560000</v>
      </c>
      <c r="L703" s="116" t="s">
        <v>156</v>
      </c>
      <c r="M703" s="116" t="s">
        <v>8</v>
      </c>
      <c r="N703" s="22" t="str">
        <f>IF(AND('331-CT'!$E$7=TH!H703,OR(L703="331",M703="331")),"331",IF(AND(OR(L703="131",M703="131"),H703='131-CT'!$E$7),"131",""))</f>
        <v>331</v>
      </c>
      <c r="O703" s="22" t="str">
        <f>IF(AND($B703&gt;='111'!$N$11,$B703&lt;='111'!$O$11,OR($L703=$O$7,$M703=$O$7)),"x","")</f>
        <v/>
      </c>
      <c r="P703" s="22" t="str">
        <f>IF(AND($L703=$O$7,$B703&lt;'111'!$N$11),"x","")</f>
        <v/>
      </c>
      <c r="Q703" s="22" t="str">
        <f>IF(AND($M703=$O$7,$B703&lt;'111'!$N$11),"x","")</f>
        <v/>
      </c>
      <c r="R703" s="22" t="str">
        <f>IF(ISERROR(FIND('112'!$M$9,G703,1)),"",IF((AND(FIND('112'!$M$9,G703,1)&gt;=1,$B703&gt;='112'!$N$8,$B703&lt;='112'!$O$8,OR($L703='112'!$I$6,$M703='112'!$I$6))),"x",""))</f>
        <v/>
      </c>
      <c r="S703" s="22" t="str">
        <f>IF(ISERROR(FIND('112'!$M$9,G703,1)),"",IF((AND(LEFT(G703,2)=LEFT('112'!$M$9,2),B703&lt;'112'!$N$8,$L703='112'!$I$6)),"x",""))</f>
        <v/>
      </c>
      <c r="T703" s="22" t="str">
        <f>IF(ISERROR(FIND('112'!$M$9,G703,1)),"",IF((AND(RIGHT(G703,2)=RIGHT('112'!$M$9,2),B703&lt;'112'!$N$8,$M703='112'!$I$6)),"x",""))</f>
        <v/>
      </c>
      <c r="U703" s="22" t="str">
        <f>IF(AND(B703&gt;='IN-NX'!$P$3,B703&lt;='IN-NX'!$Q$3,'IN-NX'!$D$7=D703,OR(LEFT(L703,2)="15",AND(LEFT(M703,2)&lt;&gt;"15",LEFT(M703,2)&lt;&gt;"33"))),"x","")</f>
        <v/>
      </c>
      <c r="V703" s="22" t="str">
        <f>IF(AND(OR(LEFT(TH!L703,2)="15",LEFT(TH!M703,2)="15"),'152-CT'!$J$8=TH!F703),"x","")</f>
        <v/>
      </c>
      <c r="W703" s="22" t="str">
        <f>IF(AND(OR(LEFT(TH!L703,2)="15",LEFT(TH!M703,2)="15"),TK!$E$7=TH!F703),"x","")</f>
        <v>x</v>
      </c>
      <c r="X703" s="22" t="str">
        <f>IF(OR(TH!L703=TH!$X$7,M703=TH!$X$7),"x","")</f>
        <v/>
      </c>
      <c r="Y703" s="22" t="str">
        <f>IF(AND(B703&lt;=NKC!$N$8,B703&gt;=NKC!$M$8),"x","")</f>
        <v/>
      </c>
      <c r="Z703" s="580">
        <v>4</v>
      </c>
      <c r="AA703" s="406"/>
      <c r="AB703" s="406"/>
      <c r="AC703" s="406"/>
      <c r="AD703" s="406"/>
      <c r="AE703" s="406"/>
    </row>
    <row r="704" spans="1:31" s="130" customFormat="1" ht="15.75" customHeight="1">
      <c r="A704" s="123" t="str">
        <f>IF(B704&lt;&gt;"",IF(AND(B704&gt;=_TM1,B704&lt;=_TM2,OR(TH!L704="1111",TH!M704="1111")),TH!D704,""),"")</f>
        <v/>
      </c>
      <c r="B704" s="12">
        <f t="shared" si="25"/>
        <v>12</v>
      </c>
      <c r="C704" s="108">
        <f t="shared" si="26"/>
        <v>42723</v>
      </c>
      <c r="D704" s="113" t="s">
        <v>950</v>
      </c>
      <c r="E704" s="108">
        <v>42723</v>
      </c>
      <c r="F704" s="112" t="s">
        <v>445</v>
      </c>
      <c r="G704" s="303" t="s">
        <v>942</v>
      </c>
      <c r="H704" s="115" t="s">
        <v>442</v>
      </c>
      <c r="I704" s="139"/>
      <c r="J704" s="139"/>
      <c r="K704" s="410">
        <v>556000</v>
      </c>
      <c r="L704" s="116" t="s">
        <v>9</v>
      </c>
      <c r="M704" s="116" t="s">
        <v>8</v>
      </c>
      <c r="N704" s="22" t="str">
        <f>IF(AND('331-CT'!$E$7=TH!H704,OR(L704="331",M704="331")),"331",IF(AND(OR(L704="131",M704="131"),H704='131-CT'!$E$7),"131",""))</f>
        <v>331</v>
      </c>
      <c r="O704" s="22" t="str">
        <f>IF(AND($B704&gt;='111'!$N$11,$B704&lt;='111'!$O$11,OR($L704=$O$7,$M704=$O$7)),"x","")</f>
        <v/>
      </c>
      <c r="P704" s="22" t="str">
        <f>IF(AND($L704=$O$7,$B704&lt;'111'!$N$11),"x","")</f>
        <v/>
      </c>
      <c r="Q704" s="22" t="str">
        <f>IF(AND($M704=$O$7,$B704&lt;'111'!$N$11),"x","")</f>
        <v/>
      </c>
      <c r="R704" s="22" t="str">
        <f>IF(ISERROR(FIND('112'!$M$9,G704,1)),"",IF((AND(FIND('112'!$M$9,G704,1)&gt;=1,$B704&gt;='112'!$N$8,$B704&lt;='112'!$O$8,OR($L704='112'!$I$6,$M704='112'!$I$6))),"x",""))</f>
        <v/>
      </c>
      <c r="S704" s="22" t="str">
        <f>IF(ISERROR(FIND('112'!$M$9,G704,1)),"",IF((AND(LEFT(G704,2)=LEFT('112'!$M$9,2),B704&lt;'112'!$N$8,$L704='112'!$I$6)),"x",""))</f>
        <v/>
      </c>
      <c r="T704" s="22" t="str">
        <f>IF(ISERROR(FIND('112'!$M$9,G704,1)),"",IF((AND(RIGHT(G704,2)=RIGHT('112'!$M$9,2),B704&lt;'112'!$N$8,$M704='112'!$I$6)),"x",""))</f>
        <v/>
      </c>
      <c r="U704" s="22" t="str">
        <f>IF(AND(B704&gt;='IN-NX'!$P$3,B704&lt;='IN-NX'!$Q$3,'IN-NX'!$D$7=D704,OR(LEFT(L704,2)="15",AND(LEFT(M704,2)&lt;&gt;"15",LEFT(M704,2)&lt;&gt;"33"))),"x","")</f>
        <v/>
      </c>
      <c r="V704" s="22" t="str">
        <f>IF(AND(OR(LEFT(TH!L704,2)="15",LEFT(TH!M704,2)="15"),'152-CT'!$J$8=TH!F704),"x","")</f>
        <v/>
      </c>
      <c r="W704" s="22" t="str">
        <f>IF(AND(OR(LEFT(TH!L704,2)="15",LEFT(TH!M704,2)="15"),TK!$E$7=TH!F704),"x","")</f>
        <v/>
      </c>
      <c r="X704" s="22" t="str">
        <f>IF(OR(TH!L704=TH!$X$7,M704=TH!$X$7),"x","")</f>
        <v/>
      </c>
      <c r="Y704" s="22" t="str">
        <f>IF(AND(B704&lt;=NKC!$N$8,B704&gt;=NKC!$M$8),"x","")</f>
        <v/>
      </c>
      <c r="Z704" s="580">
        <v>4</v>
      </c>
      <c r="AA704" s="406"/>
      <c r="AB704" s="406"/>
      <c r="AC704" s="406"/>
      <c r="AD704" s="406"/>
      <c r="AE704" s="406"/>
    </row>
    <row r="705" spans="1:31" s="130" customFormat="1" ht="15.75" customHeight="1">
      <c r="A705" s="123" t="str">
        <f>IF(B705&lt;&gt;"",IF(AND(B705&gt;=_TM1,B705&lt;=_TM2,OR(TH!L705="1111",TH!M705="1111")),TH!D705,""),"")</f>
        <v>C27</v>
      </c>
      <c r="B705" s="12">
        <f t="shared" si="25"/>
        <v>12</v>
      </c>
      <c r="C705" s="108">
        <f t="shared" si="26"/>
        <v>42723</v>
      </c>
      <c r="D705" s="113" t="s">
        <v>1043</v>
      </c>
      <c r="E705" s="108">
        <v>42723</v>
      </c>
      <c r="F705" s="112" t="s">
        <v>465</v>
      </c>
      <c r="G705" s="303" t="s">
        <v>942</v>
      </c>
      <c r="H705" s="115" t="s">
        <v>442</v>
      </c>
      <c r="I705" s="139"/>
      <c r="J705" s="139"/>
      <c r="K705" s="410">
        <v>6116000</v>
      </c>
      <c r="L705" s="116" t="s">
        <v>8</v>
      </c>
      <c r="M705" s="116" t="s">
        <v>46</v>
      </c>
      <c r="N705" s="22" t="str">
        <f>IF(AND('331-CT'!$E$7=TH!H705,OR(L705="331",M705="331")),"331",IF(AND(OR(L705="131",M705="131"),H705='131-CT'!$E$7),"131",""))</f>
        <v>331</v>
      </c>
      <c r="O705" s="22" t="str">
        <f>IF(AND($B705&gt;='111'!$N$11,$B705&lt;='111'!$O$11,OR($L705=$O$7,$M705=$O$7)),"x","")</f>
        <v>x</v>
      </c>
      <c r="P705" s="22" t="str">
        <f>IF(AND($L705=$O$7,$B705&lt;'111'!$N$11),"x","")</f>
        <v/>
      </c>
      <c r="Q705" s="22" t="str">
        <f>IF(AND($M705=$O$7,$B705&lt;'111'!$N$11),"x","")</f>
        <v/>
      </c>
      <c r="R705" s="22" t="str">
        <f>IF(ISERROR(FIND('112'!$M$9,G705,1)),"",IF((AND(FIND('112'!$M$9,G705,1)&gt;=1,$B705&gt;='112'!$N$8,$B705&lt;='112'!$O$8,OR($L705='112'!$I$6,$M705='112'!$I$6))),"x",""))</f>
        <v/>
      </c>
      <c r="S705" s="22" t="str">
        <f>IF(ISERROR(FIND('112'!$M$9,G705,1)),"",IF((AND(LEFT(G705,2)=LEFT('112'!$M$9,2),B705&lt;'112'!$N$8,$L705='112'!$I$6)),"x",""))</f>
        <v/>
      </c>
      <c r="T705" s="22" t="str">
        <f>IF(ISERROR(FIND('112'!$M$9,G705,1)),"",IF((AND(RIGHT(G705,2)=RIGHT('112'!$M$9,2),B705&lt;'112'!$N$8,$M705='112'!$I$6)),"x",""))</f>
        <v/>
      </c>
      <c r="U705" s="22" t="str">
        <f>IF(AND(B705&gt;='IN-NX'!$P$3,B705&lt;='IN-NX'!$Q$3,'IN-NX'!$D$7=D705,OR(LEFT(L705,2)="15",AND(LEFT(M705,2)&lt;&gt;"15",LEFT(M705,2)&lt;&gt;"33"))),"x","")</f>
        <v/>
      </c>
      <c r="V705" s="22" t="str">
        <f>IF(AND(OR(LEFT(TH!L705,2)="15",LEFT(TH!M705,2)="15"),'152-CT'!$J$8=TH!F705),"x","")</f>
        <v/>
      </c>
      <c r="W705" s="22" t="str">
        <f>IF(AND(OR(LEFT(TH!L705,2)="15",LEFT(TH!M705,2)="15"),TK!$E$7=TH!F705),"x","")</f>
        <v/>
      </c>
      <c r="X705" s="22" t="str">
        <f>IF(OR(TH!L705=TH!$X$7,M705=TH!$X$7),"x","")</f>
        <v/>
      </c>
      <c r="Y705" s="22" t="str">
        <f>IF(AND(B705&lt;=NKC!$N$8,B705&gt;=NKC!$M$8),"x","")</f>
        <v/>
      </c>
      <c r="Z705" s="580"/>
      <c r="AA705" s="406"/>
      <c r="AB705" s="406"/>
      <c r="AC705" s="406"/>
      <c r="AD705" s="406"/>
      <c r="AE705" s="406"/>
    </row>
    <row r="706" spans="1:31" s="130" customFormat="1" ht="15.75" customHeight="1">
      <c r="A706" s="123" t="str">
        <f>IF(B706&lt;&gt;"",IF(AND(B706&gt;=_TM1,B706&lt;=_TM2,OR(TH!L706="1111",TH!M706="1111")),TH!D706,""),"")</f>
        <v>C28</v>
      </c>
      <c r="B706" s="12">
        <f t="shared" si="25"/>
        <v>12</v>
      </c>
      <c r="C706" s="108">
        <f t="shared" si="26"/>
        <v>42723</v>
      </c>
      <c r="D706" s="113" t="s">
        <v>1044</v>
      </c>
      <c r="E706" s="113">
        <v>42723</v>
      </c>
      <c r="F706" s="112" t="s">
        <v>471</v>
      </c>
      <c r="G706" s="114" t="s">
        <v>474</v>
      </c>
      <c r="H706" s="115" t="s">
        <v>488</v>
      </c>
      <c r="I706" s="139"/>
      <c r="J706" s="141"/>
      <c r="K706" s="13">
        <v>11400000</v>
      </c>
      <c r="L706" s="116" t="s">
        <v>24</v>
      </c>
      <c r="M706" s="411" t="s">
        <v>46</v>
      </c>
      <c r="N706" s="22" t="str">
        <f>IF(AND('331-CT'!$E$7=TH!H706,OR(L706="331",M706="331")),"331",IF(AND(OR(L706="131",M706="131"),H706='131-CT'!$E$7),"131",""))</f>
        <v/>
      </c>
      <c r="O706" s="22" t="str">
        <f>IF(AND($B706&gt;='111'!$N$11,$B706&lt;='111'!$O$11,OR($L706=$O$7,$M706=$O$7)),"x","")</f>
        <v>x</v>
      </c>
      <c r="P706" s="22" t="str">
        <f>IF(AND($L706=$O$7,$B706&lt;'111'!$N$11),"x","")</f>
        <v/>
      </c>
      <c r="Q706" s="22" t="str">
        <f>IF(AND($M706=$O$7,$B706&lt;'111'!$N$11),"x","")</f>
        <v/>
      </c>
      <c r="R706" s="22" t="str">
        <f>IF(ISERROR(FIND('112'!$M$9,G706,1)),"",IF((AND(FIND('112'!$M$9,G706,1)&gt;=1,$B706&gt;='112'!$N$8,$B706&lt;='112'!$O$8,OR($L706='112'!$I$6,$M706='112'!$I$6))),"x",""))</f>
        <v>x</v>
      </c>
      <c r="S706" s="22" t="str">
        <f>IF(ISERROR(FIND('112'!$M$9,G706,1)),"",IF((AND(LEFT(G706,2)=LEFT('112'!$M$9,2),B706&lt;'112'!$N$8,$L706='112'!$I$6)),"x",""))</f>
        <v/>
      </c>
      <c r="T706" s="22" t="str">
        <f>IF(ISERROR(FIND('112'!$M$9,G706,1)),"",IF((AND(RIGHT(G706,2)=RIGHT('112'!$M$9,2),B706&lt;'112'!$N$8,$M706='112'!$I$6)),"x",""))</f>
        <v/>
      </c>
      <c r="U706" s="22" t="str">
        <f>IF(AND(B706&gt;='IN-NX'!$P$3,B706&lt;='IN-NX'!$Q$3,'IN-NX'!$D$7=D706,OR(LEFT(L706,2)="15",AND(LEFT(M706,2)&lt;&gt;"15",LEFT(M706,2)&lt;&gt;"33"))),"x","")</f>
        <v/>
      </c>
      <c r="V706" s="22" t="str">
        <f>IF(AND(OR(LEFT(TH!L706,2)="15",LEFT(TH!M706,2)="15"),'152-CT'!$J$8=TH!F706),"x","")</f>
        <v/>
      </c>
      <c r="W706" s="22" t="str">
        <f>IF(AND(OR(LEFT(TH!L706,2)="15",LEFT(TH!M706,2)="15"),TK!$E$7=TH!F706),"x","")</f>
        <v/>
      </c>
      <c r="X706" s="22" t="str">
        <f>IF(OR(TH!L706=TH!$X$7,M706=TH!$X$7),"x","")</f>
        <v/>
      </c>
      <c r="Y706" s="22" t="str">
        <f>IF(AND(B706&lt;=NKC!$N$8,B706&gt;=NKC!$M$8),"x","")</f>
        <v/>
      </c>
      <c r="Z706" s="580"/>
      <c r="AA706" s="406"/>
      <c r="AB706" s="406"/>
      <c r="AC706" s="406"/>
    </row>
    <row r="707" spans="1:31" s="406" customFormat="1" ht="15.75" customHeight="1">
      <c r="A707" s="123" t="str">
        <f>IF(B707&lt;&gt;"",IF(AND(B707&gt;=_TM1,B707&lt;=_TM2,OR(TH!L707="1111",TH!M707="1111")),TH!D707,""),"")</f>
        <v/>
      </c>
      <c r="B707" s="12">
        <f t="shared" si="25"/>
        <v>12</v>
      </c>
      <c r="C707" s="108">
        <f t="shared" si="26"/>
        <v>42723</v>
      </c>
      <c r="D707" s="108" t="s">
        <v>470</v>
      </c>
      <c r="E707" s="113">
        <v>42723</v>
      </c>
      <c r="F707" s="114" t="s">
        <v>974</v>
      </c>
      <c r="G707" s="114" t="s">
        <v>474</v>
      </c>
      <c r="H707" s="115" t="s">
        <v>624</v>
      </c>
      <c r="I707" s="139"/>
      <c r="J707" s="141"/>
      <c r="K707" s="13">
        <v>11286770</v>
      </c>
      <c r="L707" s="116" t="s">
        <v>55</v>
      </c>
      <c r="M707" s="411" t="s">
        <v>24</v>
      </c>
      <c r="N707" s="22" t="str">
        <f>IF(AND('331-CT'!$E$7=TH!H707,OR(L707="331",M707="331")),"331",IF(AND(OR(L707="131",M707="131"),H707='131-CT'!$E$7),"131",""))</f>
        <v/>
      </c>
      <c r="O707" s="22" t="str">
        <f>IF(AND($B707&gt;='111'!$N$11,$B707&lt;='111'!$O$11,OR($L707=$O$7,$M707=$O$7)),"x","")</f>
        <v/>
      </c>
      <c r="P707" s="22" t="str">
        <f>IF(AND($L707=$O$7,$B707&lt;'111'!$N$11),"x","")</f>
        <v/>
      </c>
      <c r="Q707" s="22" t="str">
        <f>IF(AND($M707=$O$7,$B707&lt;'111'!$N$11),"x","")</f>
        <v/>
      </c>
      <c r="R707" s="22" t="str">
        <f>IF(ISERROR(FIND('112'!$M$9,G707,1)),"",IF((AND(FIND('112'!$M$9,G707,1)&gt;=1,$B707&gt;='112'!$N$8,$B707&lt;='112'!$O$8,OR($L707='112'!$I$6,$M707='112'!$I$6))),"x",""))</f>
        <v>x</v>
      </c>
      <c r="S707" s="22" t="str">
        <f>IF(ISERROR(FIND('112'!$M$9,G707,1)),"",IF((AND(LEFT(G707,2)=LEFT('112'!$M$9,2),B707&lt;'112'!$N$8,$L707='112'!$I$6)),"x",""))</f>
        <v/>
      </c>
      <c r="T707" s="22" t="str">
        <f>IF(ISERROR(FIND('112'!$M$9,G707,1)),"",IF((AND(RIGHT(G707,2)=RIGHT('112'!$M$9,2),B707&lt;'112'!$N$8,$M707='112'!$I$6)),"x",""))</f>
        <v/>
      </c>
      <c r="U707" s="22" t="str">
        <f>IF(AND(B707&gt;='IN-NX'!$P$3,B707&lt;='IN-NX'!$Q$3,'IN-NX'!$D$7=D707,OR(LEFT(L707,2)="15",AND(LEFT(M707,2)&lt;&gt;"15",LEFT(M707,2)&lt;&gt;"33"))),"x","")</f>
        <v/>
      </c>
      <c r="V707" s="22" t="str">
        <f>IF(AND(OR(LEFT(TH!L707,2)="15",LEFT(TH!M707,2)="15"),'152-CT'!$J$8=TH!F707),"x","")</f>
        <v/>
      </c>
      <c r="W707" s="22" t="str">
        <f>IF(AND(OR(LEFT(TH!L707,2)="15",LEFT(TH!M707,2)="15"),TK!$E$7=TH!F707),"x","")</f>
        <v/>
      </c>
      <c r="X707" s="22" t="str">
        <f>IF(OR(TH!L707=TH!$X$7,M707=TH!$X$7),"x","")</f>
        <v/>
      </c>
      <c r="Y707" s="22" t="str">
        <f>IF(AND(B707&lt;=NKC!$N$8,B707&gt;=NKC!$M$8),"x","")</f>
        <v/>
      </c>
      <c r="Z707" s="580"/>
      <c r="AD707" s="130"/>
      <c r="AE707" s="130"/>
    </row>
    <row r="708" spans="1:31" s="406" customFormat="1" ht="15.75" customHeight="1">
      <c r="A708" s="123" t="str">
        <f>IF(B708&lt;&gt;"",IF(AND(B708&gt;=_TM1,B708&lt;=_TM2,OR(TH!L708="1111",TH!M708="1111")),TH!D708,""),"")</f>
        <v/>
      </c>
      <c r="B708" s="12">
        <f t="shared" si="25"/>
        <v>12</v>
      </c>
      <c r="C708" s="108">
        <f t="shared" si="26"/>
        <v>42723</v>
      </c>
      <c r="D708" s="108" t="s">
        <v>470</v>
      </c>
      <c r="E708" s="113">
        <v>42723</v>
      </c>
      <c r="F708" s="114" t="s">
        <v>486</v>
      </c>
      <c r="G708" s="114" t="s">
        <v>474</v>
      </c>
      <c r="H708" s="115"/>
      <c r="I708" s="139"/>
      <c r="J708" s="141"/>
      <c r="K708" s="13">
        <v>20000</v>
      </c>
      <c r="L708" s="116" t="s">
        <v>82</v>
      </c>
      <c r="M708" s="411" t="s">
        <v>24</v>
      </c>
      <c r="N708" s="22" t="str">
        <f>IF(AND('331-CT'!$E$7=TH!H708,OR(L708="331",M708="331")),"331",IF(AND(OR(L708="131",M708="131"),H708='131-CT'!$E$7),"131",""))</f>
        <v/>
      </c>
      <c r="O708" s="22" t="str">
        <f>IF(AND($B708&gt;='111'!$N$11,$B708&lt;='111'!$O$11,OR($L708=$O$7,$M708=$O$7)),"x","")</f>
        <v/>
      </c>
      <c r="P708" s="22" t="str">
        <f>IF(AND($L708=$O$7,$B708&lt;'111'!$N$11),"x","")</f>
        <v/>
      </c>
      <c r="Q708" s="22" t="str">
        <f>IF(AND($M708=$O$7,$B708&lt;'111'!$N$11),"x","")</f>
        <v/>
      </c>
      <c r="R708" s="22" t="str">
        <f>IF(ISERROR(FIND('112'!$M$9,G708,1)),"",IF((AND(FIND('112'!$M$9,G708,1)&gt;=1,$B708&gt;='112'!$N$8,$B708&lt;='112'!$O$8,OR($L708='112'!$I$6,$M708='112'!$I$6))),"x",""))</f>
        <v>x</v>
      </c>
      <c r="S708" s="22" t="str">
        <f>IF(ISERROR(FIND('112'!$M$9,G708,1)),"",IF((AND(LEFT(G708,2)=LEFT('112'!$M$9,2),B708&lt;'112'!$N$8,$L708='112'!$I$6)),"x",""))</f>
        <v/>
      </c>
      <c r="T708" s="22" t="str">
        <f>IF(ISERROR(FIND('112'!$M$9,G708,1)),"",IF((AND(RIGHT(G708,2)=RIGHT('112'!$M$9,2),B708&lt;'112'!$N$8,$M708='112'!$I$6)),"x",""))</f>
        <v/>
      </c>
      <c r="U708" s="22" t="str">
        <f>IF(AND(B708&gt;='IN-NX'!$P$3,B708&lt;='IN-NX'!$Q$3,'IN-NX'!$D$7=D708,OR(LEFT(L708,2)="15",AND(LEFT(M708,2)&lt;&gt;"15",LEFT(M708,2)&lt;&gt;"33"))),"x","")</f>
        <v/>
      </c>
      <c r="V708" s="22" t="str">
        <f>IF(AND(OR(LEFT(TH!L708,2)="15",LEFT(TH!M708,2)="15"),'152-CT'!$J$8=TH!F708),"x","")</f>
        <v/>
      </c>
      <c r="W708" s="22" t="str">
        <f>IF(AND(OR(LEFT(TH!L708,2)="15",LEFT(TH!M708,2)="15"),TK!$E$7=TH!F708),"x","")</f>
        <v/>
      </c>
      <c r="X708" s="22" t="str">
        <f>IF(OR(TH!L708=TH!$X$7,M708=TH!$X$7),"x","")</f>
        <v>x</v>
      </c>
      <c r="Y708" s="22" t="str">
        <f>IF(AND(B708&lt;=NKC!$N$8,B708&gt;=NKC!$M$8),"x","")</f>
        <v/>
      </c>
      <c r="Z708" s="580">
        <v>4</v>
      </c>
      <c r="AD708" s="130"/>
      <c r="AE708" s="130"/>
    </row>
    <row r="709" spans="1:31" s="406" customFormat="1" ht="15.75" customHeight="1">
      <c r="A709" s="123" t="str">
        <f>IF(B709&lt;&gt;"",IF(AND(B709&gt;=_TM1,B709&lt;=_TM2,OR(TH!L709="1111",TH!M709="1111")),TH!D709,""),"")</f>
        <v/>
      </c>
      <c r="B709" s="12">
        <f t="shared" si="25"/>
        <v>12</v>
      </c>
      <c r="C709" s="108">
        <f t="shared" si="26"/>
        <v>42723</v>
      </c>
      <c r="D709" s="108" t="s">
        <v>470</v>
      </c>
      <c r="E709" s="113">
        <v>42723</v>
      </c>
      <c r="F709" s="114" t="s">
        <v>487</v>
      </c>
      <c r="G709" s="114" t="s">
        <v>474</v>
      </c>
      <c r="H709" s="115"/>
      <c r="I709" s="139"/>
      <c r="J709" s="141"/>
      <c r="K709" s="13">
        <v>2000</v>
      </c>
      <c r="L709" s="116" t="s">
        <v>9</v>
      </c>
      <c r="M709" s="411" t="s">
        <v>24</v>
      </c>
      <c r="N709" s="22" t="str">
        <f>IF(AND('331-CT'!$E$7=TH!H709,OR(L709="331",M709="331")),"331",IF(AND(OR(L709="131",M709="131"),H709='131-CT'!$E$7),"131",""))</f>
        <v/>
      </c>
      <c r="O709" s="22" t="str">
        <f>IF(AND($B709&gt;='111'!$N$11,$B709&lt;='111'!$O$11,OR($L709=$O$7,$M709=$O$7)),"x","")</f>
        <v/>
      </c>
      <c r="P709" s="22" t="str">
        <f>IF(AND($L709=$O$7,$B709&lt;'111'!$N$11),"x","")</f>
        <v/>
      </c>
      <c r="Q709" s="22" t="str">
        <f>IF(AND($M709=$O$7,$B709&lt;'111'!$N$11),"x","")</f>
        <v/>
      </c>
      <c r="R709" s="22" t="str">
        <f>IF(ISERROR(FIND('112'!$M$9,G709,1)),"",IF((AND(FIND('112'!$M$9,G709,1)&gt;=1,$B709&gt;='112'!$N$8,$B709&lt;='112'!$O$8,OR($L709='112'!$I$6,$M709='112'!$I$6))),"x",""))</f>
        <v>x</v>
      </c>
      <c r="S709" s="22" t="str">
        <f>IF(ISERROR(FIND('112'!$M$9,G709,1)),"",IF((AND(LEFT(G709,2)=LEFT('112'!$M$9,2),B709&lt;'112'!$N$8,$L709='112'!$I$6)),"x",""))</f>
        <v/>
      </c>
      <c r="T709" s="22" t="str">
        <f>IF(ISERROR(FIND('112'!$M$9,G709,1)),"",IF((AND(RIGHT(G709,2)=RIGHT('112'!$M$9,2),B709&lt;'112'!$N$8,$M709='112'!$I$6)),"x",""))</f>
        <v/>
      </c>
      <c r="U709" s="22" t="str">
        <f>IF(AND(B709&gt;='IN-NX'!$P$3,B709&lt;='IN-NX'!$Q$3,'IN-NX'!$D$7=D709,OR(LEFT(L709,2)="15",AND(LEFT(M709,2)&lt;&gt;"15",LEFT(M709,2)&lt;&gt;"33"))),"x","")</f>
        <v/>
      </c>
      <c r="V709" s="22" t="str">
        <f>IF(AND(OR(LEFT(TH!L709,2)="15",LEFT(TH!M709,2)="15"),'152-CT'!$J$8=TH!F709),"x","")</f>
        <v/>
      </c>
      <c r="W709" s="22" t="str">
        <f>IF(AND(OR(LEFT(TH!L709,2)="15",LEFT(TH!M709,2)="15"),TK!$E$7=TH!F709),"x","")</f>
        <v/>
      </c>
      <c r="X709" s="22" t="str">
        <f>IF(OR(TH!L709=TH!$X$7,M709=TH!$X$7),"x","")</f>
        <v/>
      </c>
      <c r="Y709" s="22" t="str">
        <f>IF(AND(B709&lt;=NKC!$N$8,B709&gt;=NKC!$M$8),"x","")</f>
        <v/>
      </c>
      <c r="Z709" s="580">
        <v>4</v>
      </c>
      <c r="AD709" s="130"/>
      <c r="AE709" s="130"/>
    </row>
    <row r="710" spans="1:31" s="130" customFormat="1" ht="15.75" customHeight="1">
      <c r="A710" s="123" t="str">
        <f>IF(B710&lt;&gt;"",IF(AND(B710&gt;=_TM1,B710&lt;=_TM2,OR(TH!L710="1111",TH!M710="1111")),TH!D710,""),"")</f>
        <v/>
      </c>
      <c r="B710" s="12">
        <f t="shared" si="25"/>
        <v>12</v>
      </c>
      <c r="C710" s="108">
        <f t="shared" si="26"/>
        <v>42723</v>
      </c>
      <c r="D710" s="108" t="s">
        <v>597</v>
      </c>
      <c r="E710" s="113">
        <v>42723</v>
      </c>
      <c r="F710" s="112" t="s">
        <v>813</v>
      </c>
      <c r="G710" s="303" t="s">
        <v>888</v>
      </c>
      <c r="H710" s="4" t="s">
        <v>814</v>
      </c>
      <c r="I710" s="139">
        <v>2400</v>
      </c>
      <c r="J710" s="139">
        <v>7500</v>
      </c>
      <c r="K710" s="13">
        <f>ROUND(I710*J710,0)</f>
        <v>18000000</v>
      </c>
      <c r="L710" s="116" t="s">
        <v>252</v>
      </c>
      <c r="M710" s="411" t="s">
        <v>169</v>
      </c>
      <c r="N710" s="22" t="str">
        <f>IF(AND('331-CT'!$E$7=TH!H710,OR(L710="331",M710="331")),"331",IF(AND(OR(L710="131",M710="131"),H710='131-CT'!$E$7),"131",""))</f>
        <v/>
      </c>
      <c r="O710" s="22" t="str">
        <f>IF(AND($B710&gt;='111'!$N$11,$B710&lt;='111'!$O$11,OR($L710=$O$7,$M710=$O$7)),"x","")</f>
        <v/>
      </c>
      <c r="P710" s="22" t="str">
        <f>IF(AND($L710=$O$7,$B710&lt;'111'!$N$11),"x","")</f>
        <v/>
      </c>
      <c r="Q710" s="22" t="str">
        <f>IF(AND($M710=$O$7,$B710&lt;'111'!$N$11),"x","")</f>
        <v/>
      </c>
      <c r="R710" s="22" t="str">
        <f>IF(ISERROR(FIND('112'!$M$9,G710,1)),"",IF((AND(FIND('112'!$M$9,G710,1)&gt;=1,$B710&gt;='112'!$N$8,$B710&lt;='112'!$O$8,OR($L710='112'!$I$6,$M710='112'!$I$6))),"x",""))</f>
        <v/>
      </c>
      <c r="S710" s="22" t="str">
        <f>IF(ISERROR(FIND('112'!$M$9,G710,1)),"",IF((AND(LEFT(G710,2)=LEFT('112'!$M$9,2),B710&lt;'112'!$N$8,$L710='112'!$I$6)),"x",""))</f>
        <v/>
      </c>
      <c r="T710" s="22" t="str">
        <f>IF(ISERROR(FIND('112'!$M$9,G710,1)),"",IF((AND(RIGHT(G710,2)=RIGHT('112'!$M$9,2),B710&lt;'112'!$N$8,$M710='112'!$I$6)),"x",""))</f>
        <v/>
      </c>
      <c r="U710" s="22" t="str">
        <f>IF(AND(B710&gt;='IN-NX'!$P$3,B710&lt;='IN-NX'!$Q$3,'IN-NX'!$D$7=D710,OR(LEFT(L710,2)="15",AND(LEFT(M710,2)&lt;&gt;"15",LEFT(M710,2)&lt;&gt;"33"))),"x","")</f>
        <v/>
      </c>
      <c r="V710" s="22" t="str">
        <f>IF(AND(OR(LEFT(TH!L710,2)="15",LEFT(TH!M710,2)="15"),'152-CT'!$J$8=TH!F710),"x","")</f>
        <v/>
      </c>
      <c r="W710" s="22" t="str">
        <f>IF(AND(OR(LEFT(TH!L710,2)="15",LEFT(TH!M710,2)="15"),TK!$E$7=TH!F710),"x","")</f>
        <v/>
      </c>
      <c r="X710" s="22" t="str">
        <f>IF(OR(TH!L710=TH!$X$7,M710=TH!$X$7),"x","")</f>
        <v/>
      </c>
      <c r="Y710" s="22" t="str">
        <f>IF(AND(B710&lt;=NKC!$N$8,B710&gt;=NKC!$M$8),"x","")</f>
        <v/>
      </c>
      <c r="Z710" s="580"/>
      <c r="AA710" s="406"/>
      <c r="AB710" s="406"/>
      <c r="AC710" s="406"/>
    </row>
    <row r="711" spans="1:31" s="130" customFormat="1" ht="15.75" customHeight="1">
      <c r="A711" s="123" t="str">
        <f>IF(B711&lt;&gt;"",IF(AND(B711&gt;=_TM1,B711&lt;=_TM2,OR(TH!L711="1111",TH!M711="1111")),TH!D711,""),"")</f>
        <v/>
      </c>
      <c r="B711" s="12">
        <f t="shared" si="25"/>
        <v>12</v>
      </c>
      <c r="C711" s="108">
        <f t="shared" si="26"/>
        <v>42723</v>
      </c>
      <c r="D711" s="108" t="s">
        <v>597</v>
      </c>
      <c r="E711" s="113">
        <v>42723</v>
      </c>
      <c r="F711" s="112" t="s">
        <v>496</v>
      </c>
      <c r="G711" s="303" t="s">
        <v>888</v>
      </c>
      <c r="H711" s="4" t="s">
        <v>814</v>
      </c>
      <c r="I711" s="139"/>
      <c r="J711" s="139"/>
      <c r="K711" s="13">
        <v>1800000</v>
      </c>
      <c r="L711" s="116" t="s">
        <v>252</v>
      </c>
      <c r="M711" s="411" t="s">
        <v>352</v>
      </c>
      <c r="N711" s="22" t="str">
        <f>IF(AND('331-CT'!$E$7=TH!H711,OR(L711="331",M711="331")),"331",IF(AND(OR(L711="131",M711="131"),H711='131-CT'!$E$7),"131",""))</f>
        <v/>
      </c>
      <c r="O711" s="22" t="str">
        <f>IF(AND($B711&gt;='111'!$N$11,$B711&lt;='111'!$O$11,OR($L711=$O$7,$M711=$O$7)),"x","")</f>
        <v/>
      </c>
      <c r="P711" s="22" t="str">
        <f>IF(AND($L711=$O$7,$B711&lt;'111'!$N$11),"x","")</f>
        <v/>
      </c>
      <c r="Q711" s="22" t="str">
        <f>IF(AND($M711=$O$7,$B711&lt;'111'!$N$11),"x","")</f>
        <v/>
      </c>
      <c r="R711" s="22" t="str">
        <f>IF(ISERROR(FIND('112'!$M$9,G711,1)),"",IF((AND(FIND('112'!$M$9,G711,1)&gt;=1,$B711&gt;='112'!$N$8,$B711&lt;='112'!$O$8,OR($L711='112'!$I$6,$M711='112'!$I$6))),"x",""))</f>
        <v/>
      </c>
      <c r="S711" s="22" t="str">
        <f>IF(ISERROR(FIND('112'!$M$9,G711,1)),"",IF((AND(LEFT(G711,2)=LEFT('112'!$M$9,2),B711&lt;'112'!$N$8,$L711='112'!$I$6)),"x",""))</f>
        <v/>
      </c>
      <c r="T711" s="22" t="str">
        <f>IF(ISERROR(FIND('112'!$M$9,G711,1)),"",IF((AND(RIGHT(G711,2)=RIGHT('112'!$M$9,2),B711&lt;'112'!$N$8,$M711='112'!$I$6)),"x",""))</f>
        <v/>
      </c>
      <c r="U711" s="22" t="str">
        <f>IF(AND(B711&gt;='IN-NX'!$P$3,B711&lt;='IN-NX'!$Q$3,'IN-NX'!$D$7=D711,OR(LEFT(L711,2)="15",AND(LEFT(M711,2)&lt;&gt;"15",LEFT(M711,2)&lt;&gt;"33"))),"x","")</f>
        <v/>
      </c>
      <c r="V711" s="22" t="str">
        <f>IF(AND(OR(LEFT(TH!L711,2)="15",LEFT(TH!M711,2)="15"),'152-CT'!$J$8=TH!F711),"x","")</f>
        <v/>
      </c>
      <c r="W711" s="22" t="str">
        <f>IF(AND(OR(LEFT(TH!L711,2)="15",LEFT(TH!M711,2)="15"),TK!$E$7=TH!F711),"x","")</f>
        <v/>
      </c>
      <c r="X711" s="22" t="str">
        <f>IF(OR(TH!L711=TH!$X$7,M711=TH!$X$7),"x","")</f>
        <v/>
      </c>
      <c r="Y711" s="22" t="str">
        <f>IF(AND(B711&lt;=NKC!$N$8,B711&gt;=NKC!$M$8),"x","")</f>
        <v/>
      </c>
      <c r="Z711" s="580"/>
      <c r="AA711" s="406"/>
      <c r="AB711" s="406"/>
      <c r="AC711" s="406"/>
    </row>
    <row r="712" spans="1:31" s="130" customFormat="1" ht="15.75" customHeight="1">
      <c r="A712" s="123" t="str">
        <f>IF(B712&lt;&gt;"",IF(AND(B712&gt;=_TM1,B712&lt;=_TM2,OR(TH!L712="1111",TH!M712="1111")),TH!D712,""),"")</f>
        <v>T37</v>
      </c>
      <c r="B712" s="12">
        <f t="shared" si="25"/>
        <v>12</v>
      </c>
      <c r="C712" s="108">
        <f t="shared" si="26"/>
        <v>42723</v>
      </c>
      <c r="D712" s="108" t="s">
        <v>1057</v>
      </c>
      <c r="E712" s="113">
        <v>42723</v>
      </c>
      <c r="F712" s="114" t="s">
        <v>484</v>
      </c>
      <c r="G712" s="303" t="s">
        <v>888</v>
      </c>
      <c r="H712" s="4" t="s">
        <v>814</v>
      </c>
      <c r="I712" s="140"/>
      <c r="J712" s="140"/>
      <c r="K712" s="13">
        <v>19800000</v>
      </c>
      <c r="L712" s="116" t="s">
        <v>46</v>
      </c>
      <c r="M712" s="411" t="s">
        <v>252</v>
      </c>
      <c r="N712" s="22" t="str">
        <f>IF(AND('331-CT'!$E$7=TH!H712,OR(L712="331",M712="331")),"331",IF(AND(OR(L712="131",M712="131"),H712='131-CT'!$E$7),"131",""))</f>
        <v/>
      </c>
      <c r="O712" s="22" t="str">
        <f>IF(AND($B712&gt;='111'!$N$11,$B712&lt;='111'!$O$11,OR($L712=$O$7,$M712=$O$7)),"x","")</f>
        <v>x</v>
      </c>
      <c r="P712" s="22" t="str">
        <f>IF(AND($L712=$O$7,$B712&lt;'111'!$N$11),"x","")</f>
        <v/>
      </c>
      <c r="Q712" s="22" t="str">
        <f>IF(AND($M712=$O$7,$B712&lt;'111'!$N$11),"x","")</f>
        <v/>
      </c>
      <c r="R712" s="22" t="str">
        <f>IF(ISERROR(FIND('112'!$M$9,G712,1)),"",IF((AND(FIND('112'!$M$9,G712,1)&gt;=1,$B712&gt;='112'!$N$8,$B712&lt;='112'!$O$8,OR($L712='112'!$I$6,$M712='112'!$I$6))),"x",""))</f>
        <v/>
      </c>
      <c r="S712" s="22" t="str">
        <f>IF(ISERROR(FIND('112'!$M$9,G712,1)),"",IF((AND(LEFT(G712,2)=LEFT('112'!$M$9,2),B712&lt;'112'!$N$8,$L712='112'!$I$6)),"x",""))</f>
        <v/>
      </c>
      <c r="T712" s="22" t="str">
        <f>IF(ISERROR(FIND('112'!$M$9,G712,1)),"",IF((AND(RIGHT(G712,2)=RIGHT('112'!$M$9,2),B712&lt;'112'!$N$8,$M712='112'!$I$6)),"x",""))</f>
        <v/>
      </c>
      <c r="U712" s="22" t="str">
        <f>IF(AND(B712&gt;='IN-NX'!$P$3,B712&lt;='IN-NX'!$Q$3,'IN-NX'!$D$7=D712,OR(LEFT(L712,2)="15",AND(LEFT(M712,2)&lt;&gt;"15",LEFT(M712,2)&lt;&gt;"33"))),"x","")</f>
        <v/>
      </c>
      <c r="V712" s="22" t="str">
        <f>IF(AND(OR(LEFT(TH!L712,2)="15",LEFT(TH!M712,2)="15"),'152-CT'!$J$8=TH!F712),"x","")</f>
        <v/>
      </c>
      <c r="W712" s="22" t="str">
        <f>IF(AND(OR(LEFT(TH!L712,2)="15",LEFT(TH!M712,2)="15"),TK!$E$7=TH!F712),"x","")</f>
        <v/>
      </c>
      <c r="X712" s="22" t="str">
        <f>IF(OR(TH!L712=TH!$X$7,M712=TH!$X$7),"x","")</f>
        <v/>
      </c>
      <c r="Y712" s="22" t="str">
        <f>IF(AND(B712&lt;=NKC!$N$8,B712&gt;=NKC!$M$8),"x","")</f>
        <v/>
      </c>
      <c r="Z712" s="580"/>
      <c r="AA712" s="406"/>
      <c r="AB712" s="406"/>
      <c r="AC712" s="406"/>
    </row>
    <row r="713" spans="1:31" s="406" customFormat="1" ht="15.75" customHeight="1">
      <c r="A713" s="123" t="str">
        <f>IF(B713&lt;&gt;"",IF(AND(B713&gt;=_TM1,B713&lt;=_TM2,OR(TH!L713="1111",TH!M713="1111")),TH!D713,""),"")</f>
        <v>C29</v>
      </c>
      <c r="B713" s="12">
        <f t="shared" si="25"/>
        <v>12</v>
      </c>
      <c r="C713" s="108">
        <f t="shared" si="26"/>
        <v>42724</v>
      </c>
      <c r="D713" s="108" t="s">
        <v>1045</v>
      </c>
      <c r="E713" s="113">
        <v>42724</v>
      </c>
      <c r="F713" s="112" t="s">
        <v>471</v>
      </c>
      <c r="G713" s="114" t="s">
        <v>474</v>
      </c>
      <c r="H713" s="115" t="s">
        <v>488</v>
      </c>
      <c r="I713" s="139"/>
      <c r="J713" s="141"/>
      <c r="K713" s="13">
        <v>30000000</v>
      </c>
      <c r="L713" s="116" t="s">
        <v>24</v>
      </c>
      <c r="M713" s="411" t="s">
        <v>46</v>
      </c>
      <c r="N713" s="22" t="str">
        <f>IF(AND('331-CT'!$E$7=TH!H713,OR(L713="331",M713="331")),"331",IF(AND(OR(L713="131",M713="131"),H713='131-CT'!$E$7),"131",""))</f>
        <v/>
      </c>
      <c r="O713" s="22" t="str">
        <f>IF(AND($B713&gt;='111'!$N$11,$B713&lt;='111'!$O$11,OR($L713=$O$7,$M713=$O$7)),"x","")</f>
        <v>x</v>
      </c>
      <c r="P713" s="22" t="str">
        <f>IF(AND($L713=$O$7,$B713&lt;'111'!$N$11),"x","")</f>
        <v/>
      </c>
      <c r="Q713" s="22" t="str">
        <f>IF(AND($M713=$O$7,$B713&lt;'111'!$N$11),"x","")</f>
        <v/>
      </c>
      <c r="R713" s="22" t="str">
        <f>IF(ISERROR(FIND('112'!$M$9,G713,1)),"",IF((AND(FIND('112'!$M$9,G713,1)&gt;=1,$B713&gt;='112'!$N$8,$B713&lt;='112'!$O$8,OR($L713='112'!$I$6,$M713='112'!$I$6))),"x",""))</f>
        <v>x</v>
      </c>
      <c r="S713" s="22" t="str">
        <f>IF(ISERROR(FIND('112'!$M$9,G713,1)),"",IF((AND(LEFT(G713,2)=LEFT('112'!$M$9,2),B713&lt;'112'!$N$8,$L713='112'!$I$6)),"x",""))</f>
        <v/>
      </c>
      <c r="T713" s="22" t="str">
        <f>IF(ISERROR(FIND('112'!$M$9,G713,1)),"",IF((AND(RIGHT(G713,2)=RIGHT('112'!$M$9,2),B713&lt;'112'!$N$8,$M713='112'!$I$6)),"x",""))</f>
        <v/>
      </c>
      <c r="U713" s="22" t="str">
        <f>IF(AND(B713&gt;='IN-NX'!$P$3,B713&lt;='IN-NX'!$Q$3,'IN-NX'!$D$7=D713,OR(LEFT(L713,2)="15",AND(LEFT(M713,2)&lt;&gt;"15",LEFT(M713,2)&lt;&gt;"33"))),"x","")</f>
        <v/>
      </c>
      <c r="V713" s="22" t="str">
        <f>IF(AND(OR(LEFT(TH!L713,2)="15",LEFT(TH!M713,2)="15"),'152-CT'!$J$8=TH!F713),"x","")</f>
        <v/>
      </c>
      <c r="W713" s="22" t="str">
        <f>IF(AND(OR(LEFT(TH!L713,2)="15",LEFT(TH!M713,2)="15"),TK!$E$7=TH!F713),"x","")</f>
        <v/>
      </c>
      <c r="X713" s="22" t="str">
        <f>IF(OR(TH!L713=TH!$X$7,M713=TH!$X$7),"x","")</f>
        <v/>
      </c>
      <c r="Y713" s="22" t="str">
        <f>IF(AND(B713&lt;=NKC!$N$8,B713&gt;=NKC!$M$8),"x","")</f>
        <v/>
      </c>
      <c r="Z713" s="580"/>
      <c r="AD713" s="130"/>
      <c r="AE713" s="130"/>
    </row>
    <row r="714" spans="1:31" s="406" customFormat="1" ht="15.75" customHeight="1">
      <c r="A714" s="123" t="str">
        <f>IF(B714&lt;&gt;"",IF(AND(B714&gt;=_TM1,B714&lt;=_TM2,OR(TH!L714="1111",TH!M714="1111")),TH!D714,""),"")</f>
        <v/>
      </c>
      <c r="B714" s="12">
        <f t="shared" si="25"/>
        <v>12</v>
      </c>
      <c r="C714" s="108">
        <f t="shared" si="26"/>
        <v>42724</v>
      </c>
      <c r="D714" s="108" t="s">
        <v>470</v>
      </c>
      <c r="E714" s="113">
        <v>42724</v>
      </c>
      <c r="F714" s="114" t="s">
        <v>465</v>
      </c>
      <c r="G714" s="114" t="s">
        <v>474</v>
      </c>
      <c r="H714" s="115"/>
      <c r="I714" s="139"/>
      <c r="J714" s="141"/>
      <c r="K714" s="13">
        <v>30000000</v>
      </c>
      <c r="L714" s="116" t="s">
        <v>8</v>
      </c>
      <c r="M714" s="411" t="s">
        <v>24</v>
      </c>
      <c r="N714" s="22" t="str">
        <f>IF(AND('331-CT'!$E$7=TH!H714,OR(L714="331",M714="331")),"331",IF(AND(OR(L714="131",M714="131"),H714='131-CT'!$E$7),"131",""))</f>
        <v/>
      </c>
      <c r="O714" s="22" t="str">
        <f>IF(AND($B714&gt;='111'!$N$11,$B714&lt;='111'!$O$11,OR($L714=$O$7,$M714=$O$7)),"x","")</f>
        <v/>
      </c>
      <c r="P714" s="22" t="str">
        <f>IF(AND($L714=$O$7,$B714&lt;'111'!$N$11),"x","")</f>
        <v/>
      </c>
      <c r="Q714" s="22" t="str">
        <f>IF(AND($M714=$O$7,$B714&lt;'111'!$N$11),"x","")</f>
        <v/>
      </c>
      <c r="R714" s="22" t="str">
        <f>IF(ISERROR(FIND('112'!$M$9,G714,1)),"",IF((AND(FIND('112'!$M$9,G714,1)&gt;=1,$B714&gt;='112'!$N$8,$B714&lt;='112'!$O$8,OR($L714='112'!$I$6,$M714='112'!$I$6))),"x",""))</f>
        <v>x</v>
      </c>
      <c r="S714" s="22" t="str">
        <f>IF(ISERROR(FIND('112'!$M$9,G714,1)),"",IF((AND(LEFT(G714,2)=LEFT('112'!$M$9,2),B714&lt;'112'!$N$8,$L714='112'!$I$6)),"x",""))</f>
        <v/>
      </c>
      <c r="T714" s="22" t="str">
        <f>IF(ISERROR(FIND('112'!$M$9,G714,1)),"",IF((AND(RIGHT(G714,2)=RIGHT('112'!$M$9,2),B714&lt;'112'!$N$8,$M714='112'!$I$6)),"x",""))</f>
        <v/>
      </c>
      <c r="U714" s="22" t="str">
        <f>IF(AND(B714&gt;='IN-NX'!$P$3,B714&lt;='IN-NX'!$Q$3,'IN-NX'!$D$7=D714,OR(LEFT(L714,2)="15",AND(LEFT(M714,2)&lt;&gt;"15",LEFT(M714,2)&lt;&gt;"33"))),"x","")</f>
        <v/>
      </c>
      <c r="V714" s="22" t="str">
        <f>IF(AND(OR(LEFT(TH!L714,2)="15",LEFT(TH!M714,2)="15"),'152-CT'!$J$8=TH!F714),"x","")</f>
        <v/>
      </c>
      <c r="W714" s="22" t="str">
        <f>IF(AND(OR(LEFT(TH!L714,2)="15",LEFT(TH!M714,2)="15"),TK!$E$7=TH!F714),"x","")</f>
        <v/>
      </c>
      <c r="X714" s="22" t="str">
        <f>IF(OR(TH!L714=TH!$X$7,M714=TH!$X$7),"x","")</f>
        <v/>
      </c>
      <c r="Y714" s="22" t="str">
        <f>IF(AND(B714&lt;=NKC!$N$8,B714&gt;=NKC!$M$8),"x","")</f>
        <v/>
      </c>
      <c r="Z714" s="580"/>
      <c r="AD714" s="130"/>
      <c r="AE714" s="130"/>
    </row>
    <row r="715" spans="1:31" s="130" customFormat="1" ht="15.75" customHeight="1">
      <c r="A715" s="123" t="str">
        <f>IF(B715&lt;&gt;"",IF(AND(B715&gt;=_TM1,B715&lt;=_TM2,OR(TH!L715="1111",TH!M715="1111")),TH!D715,""),"")</f>
        <v/>
      </c>
      <c r="B715" s="12">
        <f t="shared" si="25"/>
        <v>12</v>
      </c>
      <c r="C715" s="108">
        <f t="shared" si="26"/>
        <v>42724</v>
      </c>
      <c r="D715" s="108" t="s">
        <v>470</v>
      </c>
      <c r="E715" s="113">
        <v>42724</v>
      </c>
      <c r="F715" s="114" t="s">
        <v>480</v>
      </c>
      <c r="G715" s="114" t="s">
        <v>474</v>
      </c>
      <c r="H715" s="115"/>
      <c r="I715" s="139"/>
      <c r="J715" s="141"/>
      <c r="K715" s="13">
        <v>20000</v>
      </c>
      <c r="L715" s="116" t="s">
        <v>82</v>
      </c>
      <c r="M715" s="411" t="s">
        <v>24</v>
      </c>
      <c r="N715" s="22" t="str">
        <f>IF(AND('331-CT'!$E$7=TH!H715,OR(L715="331",M715="331")),"331",IF(AND(OR(L715="131",M715="131"),H715='131-CT'!$E$7),"131",""))</f>
        <v/>
      </c>
      <c r="O715" s="22" t="str">
        <f>IF(AND($B715&gt;='111'!$N$11,$B715&lt;='111'!$O$11,OR($L715=$O$7,$M715=$O$7)),"x","")</f>
        <v/>
      </c>
      <c r="P715" s="22" t="str">
        <f>IF(AND($L715=$O$7,$B715&lt;'111'!$N$11),"x","")</f>
        <v/>
      </c>
      <c r="Q715" s="22" t="str">
        <f>IF(AND($M715=$O$7,$B715&lt;'111'!$N$11),"x","")</f>
        <v/>
      </c>
      <c r="R715" s="22" t="str">
        <f>IF(ISERROR(FIND('112'!$M$9,G715,1)),"",IF((AND(FIND('112'!$M$9,G715,1)&gt;=1,$B715&gt;='112'!$N$8,$B715&lt;='112'!$O$8,OR($L715='112'!$I$6,$M715='112'!$I$6))),"x",""))</f>
        <v>x</v>
      </c>
      <c r="S715" s="22" t="str">
        <f>IF(ISERROR(FIND('112'!$M$9,G715,1)),"",IF((AND(LEFT(G715,2)=LEFT('112'!$M$9,2),B715&lt;'112'!$N$8,$L715='112'!$I$6)),"x",""))</f>
        <v/>
      </c>
      <c r="T715" s="22" t="str">
        <f>IF(ISERROR(FIND('112'!$M$9,G715,1)),"",IF((AND(RIGHT(G715,2)=RIGHT('112'!$M$9,2),B715&lt;'112'!$N$8,$M715='112'!$I$6)),"x",""))</f>
        <v/>
      </c>
      <c r="U715" s="22" t="str">
        <f>IF(AND(B715&gt;='IN-NX'!$P$3,B715&lt;='IN-NX'!$Q$3,'IN-NX'!$D$7=D715,OR(LEFT(L715,2)="15",AND(LEFT(M715,2)&lt;&gt;"15",LEFT(M715,2)&lt;&gt;"33"))),"x","")</f>
        <v/>
      </c>
      <c r="V715" s="22" t="str">
        <f>IF(AND(OR(LEFT(TH!L715,2)="15",LEFT(TH!M715,2)="15"),'152-CT'!$J$8=TH!F715),"x","")</f>
        <v/>
      </c>
      <c r="W715" s="22" t="str">
        <f>IF(AND(OR(LEFT(TH!L715,2)="15",LEFT(TH!M715,2)="15"),TK!$E$7=TH!F715),"x","")</f>
        <v/>
      </c>
      <c r="X715" s="22" t="str">
        <f>IF(OR(TH!L715=TH!$X$7,M715=TH!$X$7),"x","")</f>
        <v>x</v>
      </c>
      <c r="Y715" s="22" t="str">
        <f>IF(AND(B715&lt;=NKC!$N$8,B715&gt;=NKC!$M$8),"x","")</f>
        <v/>
      </c>
      <c r="Z715" s="580">
        <v>4</v>
      </c>
      <c r="AA715" s="406"/>
      <c r="AB715" s="406"/>
      <c r="AC715" s="406"/>
    </row>
    <row r="716" spans="1:31" s="130" customFormat="1" ht="15.75" customHeight="1">
      <c r="A716" s="123" t="str">
        <f>IF(B716&lt;&gt;"",IF(AND(B716&gt;=_TM1,B716&lt;=_TM2,OR(TH!L716="1111",TH!M716="1111")),TH!D716,""),"")</f>
        <v/>
      </c>
      <c r="B716" s="12">
        <f t="shared" si="25"/>
        <v>12</v>
      </c>
      <c r="C716" s="108">
        <f t="shared" si="26"/>
        <v>42724</v>
      </c>
      <c r="D716" s="108" t="s">
        <v>470</v>
      </c>
      <c r="E716" s="113">
        <v>42724</v>
      </c>
      <c r="F716" s="114" t="s">
        <v>481</v>
      </c>
      <c r="G716" s="114" t="s">
        <v>474</v>
      </c>
      <c r="H716" s="115"/>
      <c r="I716" s="139"/>
      <c r="J716" s="141"/>
      <c r="K716" s="13">
        <v>2000</v>
      </c>
      <c r="L716" s="116" t="s">
        <v>9</v>
      </c>
      <c r="M716" s="411" t="s">
        <v>24</v>
      </c>
      <c r="N716" s="22" t="str">
        <f>IF(AND('331-CT'!$E$7=TH!H716,OR(L716="331",M716="331")),"331",IF(AND(OR(L716="131",M716="131"),H716='131-CT'!$E$7),"131",""))</f>
        <v/>
      </c>
      <c r="O716" s="22" t="str">
        <f>IF(AND($B716&gt;='111'!$N$11,$B716&lt;='111'!$O$11,OR($L716=$O$7,$M716=$O$7)),"x","")</f>
        <v/>
      </c>
      <c r="P716" s="22" t="str">
        <f>IF(AND($L716=$O$7,$B716&lt;'111'!$N$11),"x","")</f>
        <v/>
      </c>
      <c r="Q716" s="22" t="str">
        <f>IF(AND($M716=$O$7,$B716&lt;'111'!$N$11),"x","")</f>
        <v/>
      </c>
      <c r="R716" s="22" t="str">
        <f>IF(ISERROR(FIND('112'!$M$9,G716,1)),"",IF((AND(FIND('112'!$M$9,G716,1)&gt;=1,$B716&gt;='112'!$N$8,$B716&lt;='112'!$O$8,OR($L716='112'!$I$6,$M716='112'!$I$6))),"x",""))</f>
        <v>x</v>
      </c>
      <c r="S716" s="22" t="str">
        <f>IF(ISERROR(FIND('112'!$M$9,G716,1)),"",IF((AND(LEFT(G716,2)=LEFT('112'!$M$9,2),B716&lt;'112'!$N$8,$L716='112'!$I$6)),"x",""))</f>
        <v/>
      </c>
      <c r="T716" s="22" t="str">
        <f>IF(ISERROR(FIND('112'!$M$9,G716,1)),"",IF((AND(RIGHT(G716,2)=RIGHT('112'!$M$9,2),B716&lt;'112'!$N$8,$M716='112'!$I$6)),"x",""))</f>
        <v/>
      </c>
      <c r="U716" s="22" t="str">
        <f>IF(AND(B716&gt;='IN-NX'!$P$3,B716&lt;='IN-NX'!$Q$3,'IN-NX'!$D$7=D716,OR(LEFT(L716,2)="15",AND(LEFT(M716,2)&lt;&gt;"15",LEFT(M716,2)&lt;&gt;"33"))),"x","")</f>
        <v/>
      </c>
      <c r="V716" s="22" t="str">
        <f>IF(AND(OR(LEFT(TH!L716,2)="15",LEFT(TH!M716,2)="15"),'152-CT'!$J$8=TH!F716),"x","")</f>
        <v/>
      </c>
      <c r="W716" s="22" t="str">
        <f>IF(AND(OR(LEFT(TH!L716,2)="15",LEFT(TH!M716,2)="15"),TK!$E$7=TH!F716),"x","")</f>
        <v/>
      </c>
      <c r="X716" s="22" t="str">
        <f>IF(OR(TH!L716=TH!$X$7,M716=TH!$X$7),"x","")</f>
        <v/>
      </c>
      <c r="Y716" s="22" t="str">
        <f>IF(AND(B716&lt;=NKC!$N$8,B716&gt;=NKC!$M$8),"x","")</f>
        <v/>
      </c>
      <c r="Z716" s="580">
        <v>4</v>
      </c>
      <c r="AA716" s="406"/>
      <c r="AB716" s="406"/>
      <c r="AC716" s="406"/>
    </row>
    <row r="717" spans="1:31" s="130" customFormat="1" ht="15.75" customHeight="1">
      <c r="A717" s="123" t="str">
        <f>IF(B717&lt;&gt;"",IF(AND(B717&gt;=_TM1,B717&lt;=_TM2,OR(TH!L717="1111",TH!M717="1111")),TH!D717,""),"")</f>
        <v/>
      </c>
      <c r="B717" s="12">
        <f t="shared" si="25"/>
        <v>12</v>
      </c>
      <c r="C717" s="108">
        <f t="shared" si="26"/>
        <v>42724</v>
      </c>
      <c r="D717" s="108" t="s">
        <v>470</v>
      </c>
      <c r="E717" s="113">
        <v>42724</v>
      </c>
      <c r="F717" s="114" t="s">
        <v>486</v>
      </c>
      <c r="G717" s="114" t="s">
        <v>474</v>
      </c>
      <c r="H717" s="115"/>
      <c r="I717" s="139"/>
      <c r="J717" s="141"/>
      <c r="K717" s="13">
        <v>20000</v>
      </c>
      <c r="L717" s="116" t="s">
        <v>82</v>
      </c>
      <c r="M717" s="411" t="s">
        <v>24</v>
      </c>
      <c r="N717" s="22" t="str">
        <f>IF(AND('331-CT'!$E$7=TH!H717,OR(L717="331",M717="331")),"331",IF(AND(OR(L717="131",M717="131"),H717='131-CT'!$E$7),"131",""))</f>
        <v/>
      </c>
      <c r="O717" s="22" t="str">
        <f>IF(AND($B717&gt;='111'!$N$11,$B717&lt;='111'!$O$11,OR($L717=$O$7,$M717=$O$7)),"x","")</f>
        <v/>
      </c>
      <c r="P717" s="22" t="str">
        <f>IF(AND($L717=$O$7,$B717&lt;'111'!$N$11),"x","")</f>
        <v/>
      </c>
      <c r="Q717" s="22" t="str">
        <f>IF(AND($M717=$O$7,$B717&lt;'111'!$N$11),"x","")</f>
        <v/>
      </c>
      <c r="R717" s="22" t="str">
        <f>IF(ISERROR(FIND('112'!$M$9,G717,1)),"",IF((AND(FIND('112'!$M$9,G717,1)&gt;=1,$B717&gt;='112'!$N$8,$B717&lt;='112'!$O$8,OR($L717='112'!$I$6,$M717='112'!$I$6))),"x",""))</f>
        <v>x</v>
      </c>
      <c r="S717" s="22" t="str">
        <f>IF(ISERROR(FIND('112'!$M$9,G717,1)),"",IF((AND(LEFT(G717,2)=LEFT('112'!$M$9,2),B717&lt;'112'!$N$8,$L717='112'!$I$6)),"x",""))</f>
        <v/>
      </c>
      <c r="T717" s="22" t="str">
        <f>IF(ISERROR(FIND('112'!$M$9,G717,1)),"",IF((AND(RIGHT(G717,2)=RIGHT('112'!$M$9,2),B717&lt;'112'!$N$8,$M717='112'!$I$6)),"x",""))</f>
        <v/>
      </c>
      <c r="U717" s="22" t="str">
        <f>IF(AND(B717&gt;='IN-NX'!$P$3,B717&lt;='IN-NX'!$Q$3,'IN-NX'!$D$7=D717,OR(LEFT(L717,2)="15",AND(LEFT(M717,2)&lt;&gt;"15",LEFT(M717,2)&lt;&gt;"33"))),"x","")</f>
        <v/>
      </c>
      <c r="V717" s="22" t="str">
        <f>IF(AND(OR(LEFT(TH!L717,2)="15",LEFT(TH!M717,2)="15"),'152-CT'!$J$8=TH!F717),"x","")</f>
        <v/>
      </c>
      <c r="W717" s="22" t="str">
        <f>IF(AND(OR(LEFT(TH!L717,2)="15",LEFT(TH!M717,2)="15"),TK!$E$7=TH!F717),"x","")</f>
        <v/>
      </c>
      <c r="X717" s="22" t="str">
        <f>IF(OR(TH!L717=TH!$X$7,M717=TH!$X$7),"x","")</f>
        <v>x</v>
      </c>
      <c r="Y717" s="22" t="str">
        <f>IF(AND(B717&lt;=NKC!$N$8,B717&gt;=NKC!$M$8),"x","")</f>
        <v/>
      </c>
      <c r="Z717" s="580">
        <v>4</v>
      </c>
      <c r="AA717" s="406"/>
      <c r="AB717" s="406"/>
      <c r="AC717" s="406"/>
    </row>
    <row r="718" spans="1:31" s="130" customFormat="1" ht="15.75" customHeight="1">
      <c r="A718" s="123" t="str">
        <f>IF(B718&lt;&gt;"",IF(AND(B718&gt;=_TM1,B718&lt;=_TM2,OR(TH!L718="1111",TH!M718="1111")),TH!D718,""),"")</f>
        <v/>
      </c>
      <c r="B718" s="12">
        <f t="shared" si="25"/>
        <v>12</v>
      </c>
      <c r="C718" s="108">
        <f t="shared" si="26"/>
        <v>42724</v>
      </c>
      <c r="D718" s="108" t="s">
        <v>470</v>
      </c>
      <c r="E718" s="113">
        <v>42724</v>
      </c>
      <c r="F718" s="114" t="s">
        <v>487</v>
      </c>
      <c r="G718" s="114" t="s">
        <v>474</v>
      </c>
      <c r="H718" s="115"/>
      <c r="I718" s="139"/>
      <c r="J718" s="141"/>
      <c r="K718" s="13">
        <v>2000</v>
      </c>
      <c r="L718" s="116" t="s">
        <v>9</v>
      </c>
      <c r="M718" s="411" t="s">
        <v>24</v>
      </c>
      <c r="N718" s="22" t="str">
        <f>IF(AND('331-CT'!$E$7=TH!H718,OR(L718="331",M718="331")),"331",IF(AND(OR(L718="131",M718="131"),H718='131-CT'!$E$7),"131",""))</f>
        <v/>
      </c>
      <c r="O718" s="22" t="str">
        <f>IF(AND($B718&gt;='111'!$N$11,$B718&lt;='111'!$O$11,OR($L718=$O$7,$M718=$O$7)),"x","")</f>
        <v/>
      </c>
      <c r="P718" s="22" t="str">
        <f>IF(AND($L718=$O$7,$B718&lt;'111'!$N$11),"x","")</f>
        <v/>
      </c>
      <c r="Q718" s="22" t="str">
        <f>IF(AND($M718=$O$7,$B718&lt;'111'!$N$11),"x","")</f>
        <v/>
      </c>
      <c r="R718" s="22" t="str">
        <f>IF(ISERROR(FIND('112'!$M$9,G718,1)),"",IF((AND(FIND('112'!$M$9,G718,1)&gt;=1,$B718&gt;='112'!$N$8,$B718&lt;='112'!$O$8,OR($L718='112'!$I$6,$M718='112'!$I$6))),"x",""))</f>
        <v>x</v>
      </c>
      <c r="S718" s="22" t="str">
        <f>IF(ISERROR(FIND('112'!$M$9,G718,1)),"",IF((AND(LEFT(G718,2)=LEFT('112'!$M$9,2),B718&lt;'112'!$N$8,$L718='112'!$I$6)),"x",""))</f>
        <v/>
      </c>
      <c r="T718" s="22" t="str">
        <f>IF(ISERROR(FIND('112'!$M$9,G718,1)),"",IF((AND(RIGHT(G718,2)=RIGHT('112'!$M$9,2),B718&lt;'112'!$N$8,$M718='112'!$I$6)),"x",""))</f>
        <v/>
      </c>
      <c r="U718" s="22" t="str">
        <f>IF(AND(B718&gt;='IN-NX'!$P$3,B718&lt;='IN-NX'!$Q$3,'IN-NX'!$D$7=D718,OR(LEFT(L718,2)="15",AND(LEFT(M718,2)&lt;&gt;"15",LEFT(M718,2)&lt;&gt;"33"))),"x","")</f>
        <v/>
      </c>
      <c r="V718" s="22" t="str">
        <f>IF(AND(OR(LEFT(TH!L718,2)="15",LEFT(TH!M718,2)="15"),'152-CT'!$J$8=TH!F718),"x","")</f>
        <v/>
      </c>
      <c r="W718" s="22" t="str">
        <f>IF(AND(OR(LEFT(TH!L718,2)="15",LEFT(TH!M718,2)="15"),TK!$E$7=TH!F718),"x","")</f>
        <v/>
      </c>
      <c r="X718" s="22" t="str">
        <f>IF(OR(TH!L718=TH!$X$7,M718=TH!$X$7),"x","")</f>
        <v/>
      </c>
      <c r="Y718" s="22" t="str">
        <f>IF(AND(B718&lt;=NKC!$N$8,B718&gt;=NKC!$M$8),"x","")</f>
        <v/>
      </c>
      <c r="Z718" s="580">
        <v>4</v>
      </c>
      <c r="AA718" s="406"/>
      <c r="AB718" s="406"/>
      <c r="AC718" s="406"/>
    </row>
    <row r="719" spans="1:31" s="130" customFormat="1" ht="15.75" customHeight="1">
      <c r="A719" s="123" t="str">
        <f>IF(B719&lt;&gt;"",IF(AND(B719&gt;=_TM1,B719&lt;=_TM2,OR(TH!L719="1111",TH!M719="1111")),TH!D719,""),"")</f>
        <v/>
      </c>
      <c r="B719" s="12">
        <f t="shared" si="25"/>
        <v>12</v>
      </c>
      <c r="C719" s="108">
        <f t="shared" si="26"/>
        <v>42724</v>
      </c>
      <c r="D719" s="108" t="s">
        <v>598</v>
      </c>
      <c r="E719" s="113">
        <v>42724</v>
      </c>
      <c r="F719" s="114" t="s">
        <v>691</v>
      </c>
      <c r="G719" s="303" t="s">
        <v>889</v>
      </c>
      <c r="H719" s="4" t="s">
        <v>690</v>
      </c>
      <c r="I719" s="139">
        <f>310+562</f>
        <v>872</v>
      </c>
      <c r="J719" s="139">
        <v>5900</v>
      </c>
      <c r="K719" s="13">
        <f>ROUND(I719*J719,0)</f>
        <v>5144800</v>
      </c>
      <c r="L719" s="116" t="s">
        <v>252</v>
      </c>
      <c r="M719" s="411" t="s">
        <v>169</v>
      </c>
      <c r="N719" s="22" t="str">
        <f>IF(AND('331-CT'!$E$7=TH!H719,OR(L719="331",M719="331")),"331",IF(AND(OR(L719="131",M719="131"),H719='131-CT'!$E$7),"131",""))</f>
        <v/>
      </c>
      <c r="O719" s="22" t="str">
        <f>IF(AND($B719&gt;='111'!$N$11,$B719&lt;='111'!$O$11,OR($L719=$O$7,$M719=$O$7)),"x","")</f>
        <v/>
      </c>
      <c r="P719" s="22" t="str">
        <f>IF(AND($L719=$O$7,$B719&lt;'111'!$N$11),"x","")</f>
        <v/>
      </c>
      <c r="Q719" s="22" t="str">
        <f>IF(AND($M719=$O$7,$B719&lt;'111'!$N$11),"x","")</f>
        <v/>
      </c>
      <c r="R719" s="22" t="str">
        <f>IF(ISERROR(FIND('112'!$M$9,G719,1)),"",IF((AND(FIND('112'!$M$9,G719,1)&gt;=1,$B719&gt;='112'!$N$8,$B719&lt;='112'!$O$8,OR($L719='112'!$I$6,$M719='112'!$I$6))),"x",""))</f>
        <v/>
      </c>
      <c r="S719" s="22" t="str">
        <f>IF(ISERROR(FIND('112'!$M$9,G719,1)),"",IF((AND(LEFT(G719,2)=LEFT('112'!$M$9,2),B719&lt;'112'!$N$8,$L719='112'!$I$6)),"x",""))</f>
        <v/>
      </c>
      <c r="T719" s="22" t="str">
        <f>IF(ISERROR(FIND('112'!$M$9,G719,1)),"",IF((AND(RIGHT(G719,2)=RIGHT('112'!$M$9,2),B719&lt;'112'!$N$8,$M719='112'!$I$6)),"x",""))</f>
        <v/>
      </c>
      <c r="U719" s="22" t="str">
        <f>IF(AND(B719&gt;='IN-NX'!$P$3,B719&lt;='IN-NX'!$Q$3,'IN-NX'!$D$7=D719,OR(LEFT(L719,2)="15",AND(LEFT(M719,2)&lt;&gt;"15",LEFT(M719,2)&lt;&gt;"33"))),"x","")</f>
        <v/>
      </c>
      <c r="V719" s="22" t="str">
        <f>IF(AND(OR(LEFT(TH!L719,2)="15",LEFT(TH!M719,2)="15"),'152-CT'!$J$8=TH!F719),"x","")</f>
        <v/>
      </c>
      <c r="W719" s="22" t="str">
        <f>IF(AND(OR(LEFT(TH!L719,2)="15",LEFT(TH!M719,2)="15"),TK!$E$7=TH!F719),"x","")</f>
        <v/>
      </c>
      <c r="X719" s="22" t="str">
        <f>IF(OR(TH!L719=TH!$X$7,M719=TH!$X$7),"x","")</f>
        <v/>
      </c>
      <c r="Y719" s="22" t="str">
        <f>IF(AND(B719&lt;=NKC!$N$8,B719&gt;=NKC!$M$8),"x","")</f>
        <v/>
      </c>
      <c r="Z719" s="580"/>
      <c r="AA719" s="406"/>
      <c r="AB719" s="406"/>
    </row>
    <row r="720" spans="1:31" s="406" customFormat="1" ht="15.75" customHeight="1">
      <c r="A720" s="123" t="str">
        <f>IF(B720&lt;&gt;"",IF(AND(B720&gt;=_TM1,B720&lt;=_TM2,OR(TH!L720="1111",TH!M720="1111")),TH!D720,""),"")</f>
        <v/>
      </c>
      <c r="B720" s="12">
        <f t="shared" si="25"/>
        <v>12</v>
      </c>
      <c r="C720" s="108">
        <f t="shared" si="26"/>
        <v>42724</v>
      </c>
      <c r="D720" s="108" t="s">
        <v>598</v>
      </c>
      <c r="E720" s="113">
        <v>42724</v>
      </c>
      <c r="F720" s="112" t="s">
        <v>496</v>
      </c>
      <c r="G720" s="303" t="s">
        <v>889</v>
      </c>
      <c r="H720" s="4" t="s">
        <v>690</v>
      </c>
      <c r="I720" s="140"/>
      <c r="J720" s="140"/>
      <c r="K720" s="13">
        <v>514480</v>
      </c>
      <c r="L720" s="116" t="s">
        <v>252</v>
      </c>
      <c r="M720" s="411" t="s">
        <v>352</v>
      </c>
      <c r="N720" s="22" t="str">
        <f>IF(AND('331-CT'!$E$7=TH!H720,OR(L720="331",M720="331")),"331",IF(AND(OR(L720="131",M720="131"),H720='131-CT'!$E$7),"131",""))</f>
        <v/>
      </c>
      <c r="O720" s="22" t="str">
        <f>IF(AND($B720&gt;='111'!$N$11,$B720&lt;='111'!$O$11,OR($L720=$O$7,$M720=$O$7)),"x","")</f>
        <v/>
      </c>
      <c r="P720" s="22" t="str">
        <f>IF(AND($L720=$O$7,$B720&lt;'111'!$N$11),"x","")</f>
        <v/>
      </c>
      <c r="Q720" s="22" t="str">
        <f>IF(AND($M720=$O$7,$B720&lt;'111'!$N$11),"x","")</f>
        <v/>
      </c>
      <c r="R720" s="22" t="str">
        <f>IF(ISERROR(FIND('112'!$M$9,G720,1)),"",IF((AND(FIND('112'!$M$9,G720,1)&gt;=1,$B720&gt;='112'!$N$8,$B720&lt;='112'!$O$8,OR($L720='112'!$I$6,$M720='112'!$I$6))),"x",""))</f>
        <v/>
      </c>
      <c r="S720" s="22" t="str">
        <f>IF(ISERROR(FIND('112'!$M$9,G720,1)),"",IF((AND(LEFT(G720,2)=LEFT('112'!$M$9,2),B720&lt;'112'!$N$8,$L720='112'!$I$6)),"x",""))</f>
        <v/>
      </c>
      <c r="T720" s="22" t="str">
        <f>IF(ISERROR(FIND('112'!$M$9,G720,1)),"",IF((AND(RIGHT(G720,2)=RIGHT('112'!$M$9,2),B720&lt;'112'!$N$8,$M720='112'!$I$6)),"x",""))</f>
        <v/>
      </c>
      <c r="U720" s="22" t="str">
        <f>IF(AND(B720&gt;='IN-NX'!$P$3,B720&lt;='IN-NX'!$Q$3,'IN-NX'!$D$7=D720,OR(LEFT(L720,2)="15",AND(LEFT(M720,2)&lt;&gt;"15",LEFT(M720,2)&lt;&gt;"33"))),"x","")</f>
        <v/>
      </c>
      <c r="V720" s="22" t="str">
        <f>IF(AND(OR(LEFT(TH!L720,2)="15",LEFT(TH!M720,2)="15"),'152-CT'!$J$8=TH!F720),"x","")</f>
        <v/>
      </c>
      <c r="W720" s="22" t="str">
        <f>IF(AND(OR(LEFT(TH!L720,2)="15",LEFT(TH!M720,2)="15"),TK!$E$7=TH!F720),"x","")</f>
        <v/>
      </c>
      <c r="X720" s="22" t="str">
        <f>IF(OR(TH!L720=TH!$X$7,M720=TH!$X$7),"x","")</f>
        <v/>
      </c>
      <c r="Y720" s="22" t="str">
        <f>IF(AND(B720&lt;=NKC!$N$8,B720&gt;=NKC!$M$8),"x","")</f>
        <v/>
      </c>
      <c r="Z720" s="580"/>
      <c r="AD720" s="130"/>
      <c r="AE720" s="130"/>
    </row>
    <row r="721" spans="1:31" s="406" customFormat="1" ht="15.75" customHeight="1">
      <c r="A721" s="123" t="str">
        <f>IF(B721&lt;&gt;"",IF(AND(B721&gt;=_TM1,B721&lt;=_TM2,OR(TH!L721="1111",TH!M721="1111")),TH!D721,""),"")</f>
        <v/>
      </c>
      <c r="B721" s="12">
        <f t="shared" ref="B721:B784" si="27">IF(C721&lt;&gt;"",MONTH(C721),"")</f>
        <v>12</v>
      </c>
      <c r="C721" s="108">
        <f t="shared" si="26"/>
        <v>42724</v>
      </c>
      <c r="D721" s="108" t="s">
        <v>599</v>
      </c>
      <c r="E721" s="113">
        <v>42724</v>
      </c>
      <c r="F721" s="112" t="s">
        <v>532</v>
      </c>
      <c r="G721" s="303" t="s">
        <v>890</v>
      </c>
      <c r="H721" s="4" t="s">
        <v>617</v>
      </c>
      <c r="I721" s="139">
        <v>243</v>
      </c>
      <c r="J721" s="139">
        <v>9300</v>
      </c>
      <c r="K721" s="13">
        <f>ROUND(I721*J721,0)</f>
        <v>2259900</v>
      </c>
      <c r="L721" s="116" t="s">
        <v>252</v>
      </c>
      <c r="M721" s="411" t="s">
        <v>169</v>
      </c>
      <c r="N721" s="22" t="str">
        <f>IF(AND('331-CT'!$E$7=TH!H721,OR(L721="331",M721="331")),"331",IF(AND(OR(L721="131",M721="131"),H721='131-CT'!$E$7),"131",""))</f>
        <v/>
      </c>
      <c r="O721" s="22" t="str">
        <f>IF(AND($B721&gt;='111'!$N$11,$B721&lt;='111'!$O$11,OR($L721=$O$7,$M721=$O$7)),"x","")</f>
        <v/>
      </c>
      <c r="P721" s="22" t="str">
        <f>IF(AND($L721=$O$7,$B721&lt;'111'!$N$11),"x","")</f>
        <v/>
      </c>
      <c r="Q721" s="22" t="str">
        <f>IF(AND($M721=$O$7,$B721&lt;'111'!$N$11),"x","")</f>
        <v/>
      </c>
      <c r="R721" s="22" t="str">
        <f>IF(ISERROR(FIND('112'!$M$9,G721,1)),"",IF((AND(FIND('112'!$M$9,G721,1)&gt;=1,$B721&gt;='112'!$N$8,$B721&lt;='112'!$O$8,OR($L721='112'!$I$6,$M721='112'!$I$6))),"x",""))</f>
        <v/>
      </c>
      <c r="S721" s="22" t="str">
        <f>IF(ISERROR(FIND('112'!$M$9,G721,1)),"",IF((AND(LEFT(G721,2)=LEFT('112'!$M$9,2),B721&lt;'112'!$N$8,$L721='112'!$I$6)),"x",""))</f>
        <v/>
      </c>
      <c r="T721" s="22" t="str">
        <f>IF(ISERROR(FIND('112'!$M$9,G721,1)),"",IF((AND(RIGHT(G721,2)=RIGHT('112'!$M$9,2),B721&lt;'112'!$N$8,$M721='112'!$I$6)),"x",""))</f>
        <v/>
      </c>
      <c r="U721" s="22" t="str">
        <f>IF(AND(B721&gt;='IN-NX'!$P$3,B721&lt;='IN-NX'!$Q$3,'IN-NX'!$D$7=D721,OR(LEFT(L721,2)="15",AND(LEFT(M721,2)&lt;&gt;"15",LEFT(M721,2)&lt;&gt;"33"))),"x","")</f>
        <v/>
      </c>
      <c r="V721" s="22" t="str">
        <f>IF(AND(OR(LEFT(TH!L721,2)="15",LEFT(TH!M721,2)="15"),'152-CT'!$J$8=TH!F721),"x","")</f>
        <v/>
      </c>
      <c r="W721" s="22" t="str">
        <f>IF(AND(OR(LEFT(TH!L721,2)="15",LEFT(TH!M721,2)="15"),TK!$E$7=TH!F721),"x","")</f>
        <v/>
      </c>
      <c r="X721" s="22" t="str">
        <f>IF(OR(TH!L721=TH!$X$7,M721=TH!$X$7),"x","")</f>
        <v/>
      </c>
      <c r="Y721" s="22" t="str">
        <f>IF(AND(B721&lt;=NKC!$N$8,B721&gt;=NKC!$M$8),"x","")</f>
        <v/>
      </c>
      <c r="Z721" s="580"/>
      <c r="AD721" s="130"/>
      <c r="AE721" s="130"/>
    </row>
    <row r="722" spans="1:31" s="406" customFormat="1" ht="15.75" customHeight="1">
      <c r="A722" s="123" t="str">
        <f>IF(B722&lt;&gt;"",IF(AND(B722&gt;=_TM1,B722&lt;=_TM2,OR(TH!L722="1111",TH!M722="1111")),TH!D722,""),"")</f>
        <v/>
      </c>
      <c r="B722" s="12">
        <f t="shared" si="27"/>
        <v>12</v>
      </c>
      <c r="C722" s="108">
        <f t="shared" si="26"/>
        <v>42724</v>
      </c>
      <c r="D722" s="108" t="s">
        <v>599</v>
      </c>
      <c r="E722" s="113">
        <v>42724</v>
      </c>
      <c r="F722" s="112" t="s">
        <v>891</v>
      </c>
      <c r="G722" s="303" t="s">
        <v>890</v>
      </c>
      <c r="H722" s="4" t="s">
        <v>617</v>
      </c>
      <c r="I722" s="139"/>
      <c r="J722" s="139"/>
      <c r="K722" s="13">
        <v>225990</v>
      </c>
      <c r="L722" s="116" t="s">
        <v>252</v>
      </c>
      <c r="M722" s="411" t="s">
        <v>352</v>
      </c>
      <c r="N722" s="22" t="str">
        <f>IF(AND('331-CT'!$E$7=TH!H722,OR(L722="331",M722="331")),"331",IF(AND(OR(L722="131",M722="131"),H722='131-CT'!$E$7),"131",""))</f>
        <v/>
      </c>
      <c r="O722" s="22" t="str">
        <f>IF(AND($B722&gt;='111'!$N$11,$B722&lt;='111'!$O$11,OR($L722=$O$7,$M722=$O$7)),"x","")</f>
        <v/>
      </c>
      <c r="P722" s="22" t="str">
        <f>IF(AND($L722=$O$7,$B722&lt;'111'!$N$11),"x","")</f>
        <v/>
      </c>
      <c r="Q722" s="22" t="str">
        <f>IF(AND($M722=$O$7,$B722&lt;'111'!$N$11),"x","")</f>
        <v/>
      </c>
      <c r="R722" s="22" t="str">
        <f>IF(ISERROR(FIND('112'!$M$9,G722,1)),"",IF((AND(FIND('112'!$M$9,G722,1)&gt;=1,$B722&gt;='112'!$N$8,$B722&lt;='112'!$O$8,OR($L722='112'!$I$6,$M722='112'!$I$6))),"x",""))</f>
        <v/>
      </c>
      <c r="S722" s="22" t="str">
        <f>IF(ISERROR(FIND('112'!$M$9,G722,1)),"",IF((AND(LEFT(G722,2)=LEFT('112'!$M$9,2),B722&lt;'112'!$N$8,$L722='112'!$I$6)),"x",""))</f>
        <v/>
      </c>
      <c r="T722" s="22" t="str">
        <f>IF(ISERROR(FIND('112'!$M$9,G722,1)),"",IF((AND(RIGHT(G722,2)=RIGHT('112'!$M$9,2),B722&lt;'112'!$N$8,$M722='112'!$I$6)),"x",""))</f>
        <v/>
      </c>
      <c r="U722" s="22" t="str">
        <f>IF(AND(B722&gt;='IN-NX'!$P$3,B722&lt;='IN-NX'!$Q$3,'IN-NX'!$D$7=D722,OR(LEFT(L722,2)="15",AND(LEFT(M722,2)&lt;&gt;"15",LEFT(M722,2)&lt;&gt;"33"))),"x","")</f>
        <v/>
      </c>
      <c r="V722" s="22" t="str">
        <f>IF(AND(OR(LEFT(TH!L722,2)="15",LEFT(TH!M722,2)="15"),'152-CT'!$J$8=TH!F722),"x","")</f>
        <v/>
      </c>
      <c r="W722" s="22" t="str">
        <f>IF(AND(OR(LEFT(TH!L722,2)="15",LEFT(TH!M722,2)="15"),TK!$E$7=TH!F722),"x","")</f>
        <v/>
      </c>
      <c r="X722" s="22" t="str">
        <f>IF(OR(TH!L722=TH!$X$7,M722=TH!$X$7),"x","")</f>
        <v/>
      </c>
      <c r="Y722" s="22" t="str">
        <f>IF(AND(B722&lt;=NKC!$N$8,B722&gt;=NKC!$M$8),"x","")</f>
        <v/>
      </c>
      <c r="Z722" s="580"/>
      <c r="AD722" s="130"/>
      <c r="AE722" s="130"/>
    </row>
    <row r="723" spans="1:31" s="406" customFormat="1" ht="15.75" customHeight="1">
      <c r="A723" s="123" t="str">
        <f>IF(B723&lt;&gt;"",IF(AND(B723&gt;=_TM1,B723&lt;=_TM2,OR(TH!L723="1111",TH!M723="1111")),TH!D723,""),"")</f>
        <v/>
      </c>
      <c r="B723" s="12">
        <f t="shared" si="27"/>
        <v>12</v>
      </c>
      <c r="C723" s="108">
        <f t="shared" si="26"/>
        <v>42724</v>
      </c>
      <c r="D723" s="108" t="s">
        <v>600</v>
      </c>
      <c r="E723" s="113">
        <v>42724</v>
      </c>
      <c r="F723" s="114" t="s">
        <v>893</v>
      </c>
      <c r="G723" s="303" t="s">
        <v>892</v>
      </c>
      <c r="H723" s="4" t="s">
        <v>894</v>
      </c>
      <c r="I723" s="139">
        <v>70</v>
      </c>
      <c r="J723" s="139">
        <v>24700</v>
      </c>
      <c r="K723" s="13">
        <f>ROUND(I723*J723,0)</f>
        <v>1729000</v>
      </c>
      <c r="L723" s="116" t="s">
        <v>252</v>
      </c>
      <c r="M723" s="411" t="s">
        <v>169</v>
      </c>
      <c r="N723" s="22" t="str">
        <f>IF(AND('331-CT'!$E$7=TH!H723,OR(L723="331",M723="331")),"331",IF(AND(OR(L723="131",M723="131"),H723='131-CT'!$E$7),"131",""))</f>
        <v/>
      </c>
      <c r="O723" s="22" t="str">
        <f>IF(AND($B723&gt;='111'!$N$11,$B723&lt;='111'!$O$11,OR($L723=$O$7,$M723=$O$7)),"x","")</f>
        <v/>
      </c>
      <c r="P723" s="22" t="str">
        <f>IF(AND($L723=$O$7,$B723&lt;'111'!$N$11),"x","")</f>
        <v/>
      </c>
      <c r="Q723" s="22" t="str">
        <f>IF(AND($M723=$O$7,$B723&lt;'111'!$N$11),"x","")</f>
        <v/>
      </c>
      <c r="R723" s="22" t="str">
        <f>IF(ISERROR(FIND('112'!$M$9,G723,1)),"",IF((AND(FIND('112'!$M$9,G723,1)&gt;=1,$B723&gt;='112'!$N$8,$B723&lt;='112'!$O$8,OR($L723='112'!$I$6,$M723='112'!$I$6))),"x",""))</f>
        <v/>
      </c>
      <c r="S723" s="22" t="str">
        <f>IF(ISERROR(FIND('112'!$M$9,G723,1)),"",IF((AND(LEFT(G723,2)=LEFT('112'!$M$9,2),B723&lt;'112'!$N$8,$L723='112'!$I$6)),"x",""))</f>
        <v/>
      </c>
      <c r="T723" s="22" t="str">
        <f>IF(ISERROR(FIND('112'!$M$9,G723,1)),"",IF((AND(RIGHT(G723,2)=RIGHT('112'!$M$9,2),B723&lt;'112'!$N$8,$M723='112'!$I$6)),"x",""))</f>
        <v/>
      </c>
      <c r="U723" s="22" t="str">
        <f>IF(AND(B723&gt;='IN-NX'!$P$3,B723&lt;='IN-NX'!$Q$3,'IN-NX'!$D$7=D723,OR(LEFT(L723,2)="15",AND(LEFT(M723,2)&lt;&gt;"15",LEFT(M723,2)&lt;&gt;"33"))),"x","")</f>
        <v/>
      </c>
      <c r="V723" s="22" t="str">
        <f>IF(AND(OR(LEFT(TH!L723,2)="15",LEFT(TH!M723,2)="15"),'152-CT'!$J$8=TH!F723),"x","")</f>
        <v/>
      </c>
      <c r="W723" s="22" t="str">
        <f>IF(AND(OR(LEFT(TH!L723,2)="15",LEFT(TH!M723,2)="15"),TK!$E$7=TH!F723),"x","")</f>
        <v/>
      </c>
      <c r="X723" s="22" t="str">
        <f>IF(OR(TH!L723=TH!$X$7,M723=TH!$X$7),"x","")</f>
        <v/>
      </c>
      <c r="Y723" s="22" t="str">
        <f>IF(AND(B723&lt;=NKC!$N$8,B723&gt;=NKC!$M$8),"x","")</f>
        <v/>
      </c>
      <c r="Z723" s="580"/>
      <c r="AC723" s="130"/>
      <c r="AD723" s="130"/>
      <c r="AE723" s="130"/>
    </row>
    <row r="724" spans="1:31" s="406" customFormat="1" ht="15.75" customHeight="1">
      <c r="A724" s="123" t="str">
        <f>IF(B724&lt;&gt;"",IF(AND(B724&gt;=_TM1,B724&lt;=_TM2,OR(TH!L724="1111",TH!M724="1111")),TH!D724,""),"")</f>
        <v/>
      </c>
      <c r="B724" s="12">
        <f t="shared" si="27"/>
        <v>12</v>
      </c>
      <c r="C724" s="108">
        <f t="shared" si="26"/>
        <v>42724</v>
      </c>
      <c r="D724" s="108" t="s">
        <v>600</v>
      </c>
      <c r="E724" s="113">
        <v>42724</v>
      </c>
      <c r="F724" s="112" t="s">
        <v>496</v>
      </c>
      <c r="G724" s="303" t="s">
        <v>892</v>
      </c>
      <c r="H724" s="4" t="s">
        <v>894</v>
      </c>
      <c r="I724" s="139"/>
      <c r="J724" s="139"/>
      <c r="K724" s="13">
        <v>172900</v>
      </c>
      <c r="L724" s="116" t="s">
        <v>252</v>
      </c>
      <c r="M724" s="411" t="s">
        <v>352</v>
      </c>
      <c r="N724" s="22" t="str">
        <f>IF(AND('331-CT'!$E$7=TH!H724,OR(L724="331",M724="331")),"331",IF(AND(OR(L724="131",M724="131"),H724='131-CT'!$E$7),"131",""))</f>
        <v/>
      </c>
      <c r="O724" s="22" t="str">
        <f>IF(AND($B724&gt;='111'!$N$11,$B724&lt;='111'!$O$11,OR($L724=$O$7,$M724=$O$7)),"x","")</f>
        <v/>
      </c>
      <c r="P724" s="22" t="str">
        <f>IF(AND($L724=$O$7,$B724&lt;'111'!$N$11),"x","")</f>
        <v/>
      </c>
      <c r="Q724" s="22" t="str">
        <f>IF(AND($M724=$O$7,$B724&lt;'111'!$N$11),"x","")</f>
        <v/>
      </c>
      <c r="R724" s="22" t="str">
        <f>IF(ISERROR(FIND('112'!$M$9,G724,1)),"",IF((AND(FIND('112'!$M$9,G724,1)&gt;=1,$B724&gt;='112'!$N$8,$B724&lt;='112'!$O$8,OR($L724='112'!$I$6,$M724='112'!$I$6))),"x",""))</f>
        <v/>
      </c>
      <c r="S724" s="22" t="str">
        <f>IF(ISERROR(FIND('112'!$M$9,G724,1)),"",IF((AND(LEFT(G724,2)=LEFT('112'!$M$9,2),B724&lt;'112'!$N$8,$L724='112'!$I$6)),"x",""))</f>
        <v/>
      </c>
      <c r="T724" s="22" t="str">
        <f>IF(ISERROR(FIND('112'!$M$9,G724,1)),"",IF((AND(RIGHT(G724,2)=RIGHT('112'!$M$9,2),B724&lt;'112'!$N$8,$M724='112'!$I$6)),"x",""))</f>
        <v/>
      </c>
      <c r="U724" s="22" t="str">
        <f>IF(AND(B724&gt;='IN-NX'!$P$3,B724&lt;='IN-NX'!$Q$3,'IN-NX'!$D$7=D724,OR(LEFT(L724,2)="15",AND(LEFT(M724,2)&lt;&gt;"15",LEFT(M724,2)&lt;&gt;"33"))),"x","")</f>
        <v/>
      </c>
      <c r="V724" s="22" t="str">
        <f>IF(AND(OR(LEFT(TH!L724,2)="15",LEFT(TH!M724,2)="15"),'152-CT'!$J$8=TH!F724),"x","")</f>
        <v/>
      </c>
      <c r="W724" s="22" t="str">
        <f>IF(AND(OR(LEFT(TH!L724,2)="15",LEFT(TH!M724,2)="15"),TK!$E$7=TH!F724),"x","")</f>
        <v/>
      </c>
      <c r="X724" s="22" t="str">
        <f>IF(OR(TH!L724=TH!$X$7,M724=TH!$X$7),"x","")</f>
        <v/>
      </c>
      <c r="Y724" s="22" t="str">
        <f>IF(AND(B724&lt;=NKC!$N$8,B724&gt;=NKC!$M$8),"x","")</f>
        <v/>
      </c>
      <c r="Z724" s="580"/>
      <c r="AD724" s="130"/>
      <c r="AE724" s="130"/>
    </row>
    <row r="725" spans="1:31" s="130" customFormat="1" ht="15.75" customHeight="1">
      <c r="A725" s="123" t="str">
        <f>IF(B725&lt;&gt;"",IF(AND(B725&gt;=_TM1,B725&lt;=_TM2,OR(TH!L725="1111",TH!M725="1111")),TH!D725,""),"")</f>
        <v/>
      </c>
      <c r="B725" s="12">
        <f t="shared" si="27"/>
        <v>12</v>
      </c>
      <c r="C725" s="108">
        <f t="shared" ref="C725:C788" si="28">E725</f>
        <v>42724</v>
      </c>
      <c r="D725" s="108" t="s">
        <v>601</v>
      </c>
      <c r="E725" s="113">
        <v>42724</v>
      </c>
      <c r="F725" s="114" t="s">
        <v>896</v>
      </c>
      <c r="G725" s="303" t="s">
        <v>895</v>
      </c>
      <c r="H725" s="129" t="s">
        <v>898</v>
      </c>
      <c r="I725" s="140">
        <v>126</v>
      </c>
      <c r="J725" s="140">
        <v>21900</v>
      </c>
      <c r="K725" s="13">
        <f>ROUND(I725*J725,0)</f>
        <v>2759400</v>
      </c>
      <c r="L725" s="116" t="s">
        <v>252</v>
      </c>
      <c r="M725" s="411" t="s">
        <v>169</v>
      </c>
      <c r="N725" s="22" t="str">
        <f>IF(AND('331-CT'!$E$7=TH!H725,OR(L725="331",M725="331")),"331",IF(AND(OR(L725="131",M725="131"),H725='131-CT'!$E$7),"131",""))</f>
        <v/>
      </c>
      <c r="O725" s="22" t="str">
        <f>IF(AND($B725&gt;='111'!$N$11,$B725&lt;='111'!$O$11,OR($L725=$O$7,$M725=$O$7)),"x","")</f>
        <v/>
      </c>
      <c r="P725" s="22" t="str">
        <f>IF(AND($L725=$O$7,$B725&lt;'111'!$N$11),"x","")</f>
        <v/>
      </c>
      <c r="Q725" s="22" t="str">
        <f>IF(AND($M725=$O$7,$B725&lt;'111'!$N$11),"x","")</f>
        <v/>
      </c>
      <c r="R725" s="22" t="str">
        <f>IF(ISERROR(FIND('112'!$M$9,G725,1)),"",IF((AND(FIND('112'!$M$9,G725,1)&gt;=1,$B725&gt;='112'!$N$8,$B725&lt;='112'!$O$8,OR($L725='112'!$I$6,$M725='112'!$I$6))),"x",""))</f>
        <v/>
      </c>
      <c r="S725" s="22" t="str">
        <f>IF(ISERROR(FIND('112'!$M$9,G725,1)),"",IF((AND(LEFT(G725,2)=LEFT('112'!$M$9,2),B725&lt;'112'!$N$8,$L725='112'!$I$6)),"x",""))</f>
        <v/>
      </c>
      <c r="T725" s="22" t="str">
        <f>IF(ISERROR(FIND('112'!$M$9,G725,1)),"",IF((AND(RIGHT(G725,2)=RIGHT('112'!$M$9,2),B725&lt;'112'!$N$8,$M725='112'!$I$6)),"x",""))</f>
        <v/>
      </c>
      <c r="U725" s="22" t="str">
        <f>IF(AND(B725&gt;='IN-NX'!$P$3,B725&lt;='IN-NX'!$Q$3,'IN-NX'!$D$7=D725,OR(LEFT(L725,2)="15",AND(LEFT(M725,2)&lt;&gt;"15",LEFT(M725,2)&lt;&gt;"33"))),"x","")</f>
        <v/>
      </c>
      <c r="V725" s="22" t="str">
        <f>IF(AND(OR(LEFT(TH!L725,2)="15",LEFT(TH!M725,2)="15"),'152-CT'!$J$8=TH!F725),"x","")</f>
        <v/>
      </c>
      <c r="W725" s="22" t="str">
        <f>IF(AND(OR(LEFT(TH!L725,2)="15",LEFT(TH!M725,2)="15"),TK!$E$7=TH!F725),"x","")</f>
        <v/>
      </c>
      <c r="X725" s="22" t="str">
        <f>IF(OR(TH!L725=TH!$X$7,M725=TH!$X$7),"x","")</f>
        <v/>
      </c>
      <c r="Y725" s="22" t="str">
        <f>IF(AND(B725&lt;=NKC!$N$8,B725&gt;=NKC!$M$8),"x","")</f>
        <v/>
      </c>
      <c r="Z725" s="580"/>
      <c r="AA725" s="406"/>
      <c r="AB725" s="406"/>
      <c r="AC725" s="406"/>
    </row>
    <row r="726" spans="1:31" s="130" customFormat="1" ht="15.75" customHeight="1">
      <c r="A726" s="123" t="str">
        <f>IF(B726&lt;&gt;"",IF(AND(B726&gt;=_TM1,B726&lt;=_TM2,OR(TH!L726="1111",TH!M726="1111")),TH!D726,""),"")</f>
        <v/>
      </c>
      <c r="B726" s="12">
        <f t="shared" si="27"/>
        <v>12</v>
      </c>
      <c r="C726" s="108">
        <f t="shared" si="28"/>
        <v>42724</v>
      </c>
      <c r="D726" s="108" t="s">
        <v>601</v>
      </c>
      <c r="E726" s="113">
        <v>42724</v>
      </c>
      <c r="F726" s="114" t="s">
        <v>897</v>
      </c>
      <c r="G726" s="303" t="s">
        <v>895</v>
      </c>
      <c r="H726" s="129" t="s">
        <v>898</v>
      </c>
      <c r="I726" s="139">
        <v>126</v>
      </c>
      <c r="J726" s="139">
        <v>800</v>
      </c>
      <c r="K726" s="13">
        <f>ROUND(I726*J726,0)</f>
        <v>100800</v>
      </c>
      <c r="L726" s="116" t="s">
        <v>252</v>
      </c>
      <c r="M726" s="411" t="s">
        <v>169</v>
      </c>
      <c r="N726" s="22" t="str">
        <f>IF(AND('331-CT'!$E$7=TH!H726,OR(L726="331",M726="331")),"331",IF(AND(OR(L726="131",M726="131"),H726='131-CT'!$E$7),"131",""))</f>
        <v/>
      </c>
      <c r="O726" s="22" t="str">
        <f>IF(AND($B726&gt;='111'!$N$11,$B726&lt;='111'!$O$11,OR($L726=$O$7,$M726=$O$7)),"x","")</f>
        <v/>
      </c>
      <c r="P726" s="22" t="str">
        <f>IF(AND($L726=$O$7,$B726&lt;'111'!$N$11),"x","")</f>
        <v/>
      </c>
      <c r="Q726" s="22" t="str">
        <f>IF(AND($M726=$O$7,$B726&lt;'111'!$N$11),"x","")</f>
        <v/>
      </c>
      <c r="R726" s="22" t="str">
        <f>IF(ISERROR(FIND('112'!$M$9,G726,1)),"",IF((AND(FIND('112'!$M$9,G726,1)&gt;=1,$B726&gt;='112'!$N$8,$B726&lt;='112'!$O$8,OR($L726='112'!$I$6,$M726='112'!$I$6))),"x",""))</f>
        <v/>
      </c>
      <c r="S726" s="22" t="str">
        <f>IF(ISERROR(FIND('112'!$M$9,G726,1)),"",IF((AND(LEFT(G726,2)=LEFT('112'!$M$9,2),B726&lt;'112'!$N$8,$L726='112'!$I$6)),"x",""))</f>
        <v/>
      </c>
      <c r="T726" s="22" t="str">
        <f>IF(ISERROR(FIND('112'!$M$9,G726,1)),"",IF((AND(RIGHT(G726,2)=RIGHT('112'!$M$9,2),B726&lt;'112'!$N$8,$M726='112'!$I$6)),"x",""))</f>
        <v/>
      </c>
      <c r="U726" s="22" t="str">
        <f>IF(AND(B726&gt;='IN-NX'!$P$3,B726&lt;='IN-NX'!$Q$3,'IN-NX'!$D$7=D726,OR(LEFT(L726,2)="15",AND(LEFT(M726,2)&lt;&gt;"15",LEFT(M726,2)&lt;&gt;"33"))),"x","")</f>
        <v/>
      </c>
      <c r="V726" s="22" t="str">
        <f>IF(AND(OR(LEFT(TH!L726,2)="15",LEFT(TH!M726,2)="15"),'152-CT'!$J$8=TH!F726),"x","")</f>
        <v/>
      </c>
      <c r="W726" s="22" t="str">
        <f>IF(AND(OR(LEFT(TH!L726,2)="15",LEFT(TH!M726,2)="15"),TK!$E$7=TH!F726),"x","")</f>
        <v/>
      </c>
      <c r="X726" s="22" t="str">
        <f>IF(OR(TH!L726=TH!$X$7,M726=TH!$X$7),"x","")</f>
        <v/>
      </c>
      <c r="Y726" s="22" t="str">
        <f>IF(AND(B726&lt;=NKC!$N$8,B726&gt;=NKC!$M$8),"x","")</f>
        <v/>
      </c>
      <c r="Z726" s="580"/>
      <c r="AA726" s="406"/>
      <c r="AB726" s="406"/>
      <c r="AC726" s="406"/>
    </row>
    <row r="727" spans="1:31" s="130" customFormat="1" ht="15.75" customHeight="1">
      <c r="A727" s="123" t="str">
        <f>IF(B727&lt;&gt;"",IF(AND(B727&gt;=_TM1,B727&lt;=_TM2,OR(TH!L727="1111",TH!M727="1111")),TH!D727,""),"")</f>
        <v/>
      </c>
      <c r="B727" s="12">
        <f t="shared" si="27"/>
        <v>12</v>
      </c>
      <c r="C727" s="108">
        <f t="shared" si="28"/>
        <v>42724</v>
      </c>
      <c r="D727" s="108" t="s">
        <v>601</v>
      </c>
      <c r="E727" s="113">
        <v>42724</v>
      </c>
      <c r="F727" s="112" t="s">
        <v>496</v>
      </c>
      <c r="G727" s="303" t="s">
        <v>895</v>
      </c>
      <c r="H727" s="129" t="s">
        <v>898</v>
      </c>
      <c r="I727" s="139"/>
      <c r="J727" s="139"/>
      <c r="K727" s="13">
        <v>286020</v>
      </c>
      <c r="L727" s="116" t="s">
        <v>252</v>
      </c>
      <c r="M727" s="411" t="s">
        <v>352</v>
      </c>
      <c r="N727" s="22" t="str">
        <f>IF(AND('331-CT'!$E$7=TH!H727,OR(L727="331",M727="331")),"331",IF(AND(OR(L727="131",M727="131"),H727='131-CT'!$E$7),"131",""))</f>
        <v/>
      </c>
      <c r="O727" s="22" t="str">
        <f>IF(AND($B727&gt;='111'!$N$11,$B727&lt;='111'!$O$11,OR($L727=$O$7,$M727=$O$7)),"x","")</f>
        <v/>
      </c>
      <c r="P727" s="22" t="str">
        <f>IF(AND($L727=$O$7,$B727&lt;'111'!$N$11),"x","")</f>
        <v/>
      </c>
      <c r="Q727" s="22" t="str">
        <f>IF(AND($M727=$O$7,$B727&lt;'111'!$N$11),"x","")</f>
        <v/>
      </c>
      <c r="R727" s="22" t="str">
        <f>IF(ISERROR(FIND('112'!$M$9,G727,1)),"",IF((AND(FIND('112'!$M$9,G727,1)&gt;=1,$B727&gt;='112'!$N$8,$B727&lt;='112'!$O$8,OR($L727='112'!$I$6,$M727='112'!$I$6))),"x",""))</f>
        <v/>
      </c>
      <c r="S727" s="22" t="str">
        <f>IF(ISERROR(FIND('112'!$M$9,G727,1)),"",IF((AND(LEFT(G727,2)=LEFT('112'!$M$9,2),B727&lt;'112'!$N$8,$L727='112'!$I$6)),"x",""))</f>
        <v/>
      </c>
      <c r="T727" s="22" t="str">
        <f>IF(ISERROR(FIND('112'!$M$9,G727,1)),"",IF((AND(RIGHT(G727,2)=RIGHT('112'!$M$9,2),B727&lt;'112'!$N$8,$M727='112'!$I$6)),"x",""))</f>
        <v/>
      </c>
      <c r="U727" s="22" t="str">
        <f>IF(AND(B727&gt;='IN-NX'!$P$3,B727&lt;='IN-NX'!$Q$3,'IN-NX'!$D$7=D727,OR(LEFT(L727,2)="15",AND(LEFT(M727,2)&lt;&gt;"15",LEFT(M727,2)&lt;&gt;"33"))),"x","")</f>
        <v/>
      </c>
      <c r="V727" s="22" t="str">
        <f>IF(AND(OR(LEFT(TH!L727,2)="15",LEFT(TH!M727,2)="15"),'152-CT'!$J$8=TH!F727),"x","")</f>
        <v/>
      </c>
      <c r="W727" s="22" t="str">
        <f>IF(AND(OR(LEFT(TH!L727,2)="15",LEFT(TH!M727,2)="15"),TK!$E$7=TH!F727),"x","")</f>
        <v/>
      </c>
      <c r="X727" s="22" t="str">
        <f>IF(OR(TH!L727=TH!$X$7,M727=TH!$X$7),"x","")</f>
        <v/>
      </c>
      <c r="Y727" s="22" t="str">
        <f>IF(AND(B727&lt;=NKC!$N$8,B727&gt;=NKC!$M$8),"x","")</f>
        <v/>
      </c>
      <c r="Z727" s="580"/>
      <c r="AA727" s="406"/>
      <c r="AB727" s="406"/>
      <c r="AC727" s="406"/>
    </row>
    <row r="728" spans="1:31" s="406" customFormat="1" ht="15.75" customHeight="1">
      <c r="A728" s="123" t="str">
        <f>IF(B728&lt;&gt;"",IF(AND(B728&gt;=_TM1,B728&lt;=_TM2,OR(TH!L728="1111",TH!M728="1111")),TH!D728,""),"")</f>
        <v/>
      </c>
      <c r="B728" s="12">
        <f t="shared" si="27"/>
        <v>12</v>
      </c>
      <c r="C728" s="108">
        <f t="shared" si="28"/>
        <v>42724</v>
      </c>
      <c r="D728" s="108" t="s">
        <v>602</v>
      </c>
      <c r="E728" s="113">
        <v>42724</v>
      </c>
      <c r="F728" s="112" t="s">
        <v>813</v>
      </c>
      <c r="G728" s="303" t="s">
        <v>899</v>
      </c>
      <c r="H728" s="4" t="s">
        <v>814</v>
      </c>
      <c r="I728" s="139">
        <v>2400</v>
      </c>
      <c r="J728" s="139">
        <v>7500</v>
      </c>
      <c r="K728" s="13">
        <f>ROUND(I728*J728,0)</f>
        <v>18000000</v>
      </c>
      <c r="L728" s="116" t="s">
        <v>252</v>
      </c>
      <c r="M728" s="411" t="s">
        <v>169</v>
      </c>
      <c r="N728" s="22" t="str">
        <f>IF(AND('331-CT'!$E$7=TH!H728,OR(L728="331",M728="331")),"331",IF(AND(OR(L728="131",M728="131"),H728='131-CT'!$E$7),"131",""))</f>
        <v/>
      </c>
      <c r="O728" s="22" t="str">
        <f>IF(AND($B728&gt;='111'!$N$11,$B728&lt;='111'!$O$11,OR($L728=$O$7,$M728=$O$7)),"x","")</f>
        <v/>
      </c>
      <c r="P728" s="22" t="str">
        <f>IF(AND($L728=$O$7,$B728&lt;'111'!$N$11),"x","")</f>
        <v/>
      </c>
      <c r="Q728" s="22" t="str">
        <f>IF(AND($M728=$O$7,$B728&lt;'111'!$N$11),"x","")</f>
        <v/>
      </c>
      <c r="R728" s="22" t="str">
        <f>IF(ISERROR(FIND('112'!$M$9,G728,1)),"",IF((AND(FIND('112'!$M$9,G728,1)&gt;=1,$B728&gt;='112'!$N$8,$B728&lt;='112'!$O$8,OR($L728='112'!$I$6,$M728='112'!$I$6))),"x",""))</f>
        <v/>
      </c>
      <c r="S728" s="22" t="str">
        <f>IF(ISERROR(FIND('112'!$M$9,G728,1)),"",IF((AND(LEFT(G728,2)=LEFT('112'!$M$9,2),B728&lt;'112'!$N$8,$L728='112'!$I$6)),"x",""))</f>
        <v/>
      </c>
      <c r="T728" s="22" t="str">
        <f>IF(ISERROR(FIND('112'!$M$9,G728,1)),"",IF((AND(RIGHT(G728,2)=RIGHT('112'!$M$9,2),B728&lt;'112'!$N$8,$M728='112'!$I$6)),"x",""))</f>
        <v/>
      </c>
      <c r="U728" s="22" t="str">
        <f>IF(AND(B728&gt;='IN-NX'!$P$3,B728&lt;='IN-NX'!$Q$3,'IN-NX'!$D$7=D728,OR(LEFT(L728,2)="15",AND(LEFT(M728,2)&lt;&gt;"15",LEFT(M728,2)&lt;&gt;"33"))),"x","")</f>
        <v/>
      </c>
      <c r="V728" s="22" t="str">
        <f>IF(AND(OR(LEFT(TH!L728,2)="15",LEFT(TH!M728,2)="15"),'152-CT'!$J$8=TH!F728),"x","")</f>
        <v/>
      </c>
      <c r="W728" s="22" t="str">
        <f>IF(AND(OR(LEFT(TH!L728,2)="15",LEFT(TH!M728,2)="15"),TK!$E$7=TH!F728),"x","")</f>
        <v/>
      </c>
      <c r="X728" s="22" t="str">
        <f>IF(OR(TH!L728=TH!$X$7,M728=TH!$X$7),"x","")</f>
        <v/>
      </c>
      <c r="Y728" s="22" t="str">
        <f>IF(AND(B728&lt;=NKC!$N$8,B728&gt;=NKC!$M$8),"x","")</f>
        <v/>
      </c>
      <c r="Z728" s="580"/>
      <c r="AC728" s="130"/>
      <c r="AD728" s="130"/>
      <c r="AE728" s="130"/>
    </row>
    <row r="729" spans="1:31" s="130" customFormat="1" ht="15.75" customHeight="1">
      <c r="A729" s="123" t="str">
        <f>IF(B729&lt;&gt;"",IF(AND(B729&gt;=_TM1,B729&lt;=_TM2,OR(TH!L729="1111",TH!M729="1111")),TH!D729,""),"")</f>
        <v/>
      </c>
      <c r="B729" s="12">
        <f t="shared" si="27"/>
        <v>12</v>
      </c>
      <c r="C729" s="108">
        <f t="shared" si="28"/>
        <v>42724</v>
      </c>
      <c r="D729" s="108" t="s">
        <v>602</v>
      </c>
      <c r="E729" s="113">
        <v>42724</v>
      </c>
      <c r="F729" s="112" t="s">
        <v>496</v>
      </c>
      <c r="G729" s="303" t="s">
        <v>899</v>
      </c>
      <c r="H729" s="4" t="s">
        <v>814</v>
      </c>
      <c r="I729" s="139"/>
      <c r="J729" s="139"/>
      <c r="K729" s="13">
        <v>1800000</v>
      </c>
      <c r="L729" s="116" t="s">
        <v>252</v>
      </c>
      <c r="M729" s="411" t="s">
        <v>352</v>
      </c>
      <c r="N729" s="22" t="str">
        <f>IF(AND('331-CT'!$E$7=TH!H729,OR(L729="331",M729="331")),"331",IF(AND(OR(L729="131",M729="131"),H729='131-CT'!$E$7),"131",""))</f>
        <v/>
      </c>
      <c r="O729" s="22" t="str">
        <f>IF(AND($B729&gt;='111'!$N$11,$B729&lt;='111'!$O$11,OR($L729=$O$7,$M729=$O$7)),"x","")</f>
        <v/>
      </c>
      <c r="P729" s="22" t="str">
        <f>IF(AND($L729=$O$7,$B729&lt;'111'!$N$11),"x","")</f>
        <v/>
      </c>
      <c r="Q729" s="22" t="str">
        <f>IF(AND($M729=$O$7,$B729&lt;'111'!$N$11),"x","")</f>
        <v/>
      </c>
      <c r="R729" s="22" t="str">
        <f>IF(ISERROR(FIND('112'!$M$9,G729,1)),"",IF((AND(FIND('112'!$M$9,G729,1)&gt;=1,$B729&gt;='112'!$N$8,$B729&lt;='112'!$O$8,OR($L729='112'!$I$6,$M729='112'!$I$6))),"x",""))</f>
        <v/>
      </c>
      <c r="S729" s="22" t="str">
        <f>IF(ISERROR(FIND('112'!$M$9,G729,1)),"",IF((AND(LEFT(G729,2)=LEFT('112'!$M$9,2),B729&lt;'112'!$N$8,$L729='112'!$I$6)),"x",""))</f>
        <v/>
      </c>
      <c r="T729" s="22" t="str">
        <f>IF(ISERROR(FIND('112'!$M$9,G729,1)),"",IF((AND(RIGHT(G729,2)=RIGHT('112'!$M$9,2),B729&lt;'112'!$N$8,$M729='112'!$I$6)),"x",""))</f>
        <v/>
      </c>
      <c r="U729" s="22" t="str">
        <f>IF(AND(B729&gt;='IN-NX'!$P$3,B729&lt;='IN-NX'!$Q$3,'IN-NX'!$D$7=D729,OR(LEFT(L729,2)="15",AND(LEFT(M729,2)&lt;&gt;"15",LEFT(M729,2)&lt;&gt;"33"))),"x","")</f>
        <v/>
      </c>
      <c r="V729" s="22" t="str">
        <f>IF(AND(OR(LEFT(TH!L729,2)="15",LEFT(TH!M729,2)="15"),'152-CT'!$J$8=TH!F729),"x","")</f>
        <v/>
      </c>
      <c r="W729" s="22" t="str">
        <f>IF(AND(OR(LEFT(TH!L729,2)="15",LEFT(TH!M729,2)="15"),TK!$E$7=TH!F729),"x","")</f>
        <v/>
      </c>
      <c r="X729" s="22" t="str">
        <f>IF(OR(TH!L729=TH!$X$7,M729=TH!$X$7),"x","")</f>
        <v/>
      </c>
      <c r="Y729" s="22" t="str">
        <f>IF(AND(B729&lt;=NKC!$N$8,B729&gt;=NKC!$M$8),"x","")</f>
        <v/>
      </c>
      <c r="Z729" s="580"/>
      <c r="AA729" s="406"/>
      <c r="AB729" s="406"/>
      <c r="AC729" s="406"/>
    </row>
    <row r="730" spans="1:31" s="130" customFormat="1" ht="15.75" customHeight="1">
      <c r="A730" s="123" t="str">
        <f>IF(B730&lt;&gt;"",IF(AND(B730&gt;=_TM1,B730&lt;=_TM2,OR(TH!L730="1111",TH!M730="1111")),TH!D730,""),"")</f>
        <v>T38</v>
      </c>
      <c r="B730" s="12">
        <f t="shared" si="27"/>
        <v>12</v>
      </c>
      <c r="C730" s="108">
        <f t="shared" si="28"/>
        <v>42724</v>
      </c>
      <c r="D730" s="108" t="s">
        <v>1058</v>
      </c>
      <c r="E730" s="113">
        <v>42724</v>
      </c>
      <c r="F730" s="114" t="s">
        <v>484</v>
      </c>
      <c r="G730" s="303" t="s">
        <v>899</v>
      </c>
      <c r="H730" s="4" t="s">
        <v>814</v>
      </c>
      <c r="I730" s="140"/>
      <c r="J730" s="140"/>
      <c r="K730" s="13">
        <v>19800000</v>
      </c>
      <c r="L730" s="116" t="s">
        <v>46</v>
      </c>
      <c r="M730" s="411" t="s">
        <v>252</v>
      </c>
      <c r="N730" s="22" t="str">
        <f>IF(AND('331-CT'!$E$7=TH!H730,OR(L730="331",M730="331")),"331",IF(AND(OR(L730="131",M730="131"),H730='131-CT'!$E$7),"131",""))</f>
        <v/>
      </c>
      <c r="O730" s="22" t="str">
        <f>IF(AND($B730&gt;='111'!$N$11,$B730&lt;='111'!$O$11,OR($L730=$O$7,$M730=$O$7)),"x","")</f>
        <v>x</v>
      </c>
      <c r="P730" s="22" t="str">
        <f>IF(AND($L730=$O$7,$B730&lt;'111'!$N$11),"x","")</f>
        <v/>
      </c>
      <c r="Q730" s="22" t="str">
        <f>IF(AND($M730=$O$7,$B730&lt;'111'!$N$11),"x","")</f>
        <v/>
      </c>
      <c r="R730" s="22" t="str">
        <f>IF(ISERROR(FIND('112'!$M$9,G730,1)),"",IF((AND(FIND('112'!$M$9,G730,1)&gt;=1,$B730&gt;='112'!$N$8,$B730&lt;='112'!$O$8,OR($L730='112'!$I$6,$M730='112'!$I$6))),"x",""))</f>
        <v/>
      </c>
      <c r="S730" s="22" t="str">
        <f>IF(ISERROR(FIND('112'!$M$9,G730,1)),"",IF((AND(LEFT(G730,2)=LEFT('112'!$M$9,2),B730&lt;'112'!$N$8,$L730='112'!$I$6)),"x",""))</f>
        <v/>
      </c>
      <c r="T730" s="22" t="str">
        <f>IF(ISERROR(FIND('112'!$M$9,G730,1)),"",IF((AND(RIGHT(G730,2)=RIGHT('112'!$M$9,2),B730&lt;'112'!$N$8,$M730='112'!$I$6)),"x",""))</f>
        <v/>
      </c>
      <c r="U730" s="22" t="str">
        <f>IF(AND(B730&gt;='IN-NX'!$P$3,B730&lt;='IN-NX'!$Q$3,'IN-NX'!$D$7=D730,OR(LEFT(L730,2)="15",AND(LEFT(M730,2)&lt;&gt;"15",LEFT(M730,2)&lt;&gt;"33"))),"x","")</f>
        <v/>
      </c>
      <c r="V730" s="22" t="str">
        <f>IF(AND(OR(LEFT(TH!L730,2)="15",LEFT(TH!M730,2)="15"),'152-CT'!$J$8=TH!F730),"x","")</f>
        <v/>
      </c>
      <c r="W730" s="22" t="str">
        <f>IF(AND(OR(LEFT(TH!L730,2)="15",LEFT(TH!M730,2)="15"),TK!$E$7=TH!F730),"x","")</f>
        <v/>
      </c>
      <c r="X730" s="22" t="str">
        <f>IF(OR(TH!L730=TH!$X$7,M730=TH!$X$7),"x","")</f>
        <v/>
      </c>
      <c r="Y730" s="22" t="str">
        <f>IF(AND(B730&lt;=NKC!$N$8,B730&gt;=NKC!$M$8),"x","")</f>
        <v/>
      </c>
      <c r="Z730" s="580"/>
      <c r="AA730" s="406"/>
      <c r="AB730" s="406"/>
      <c r="AC730" s="406"/>
    </row>
    <row r="731" spans="1:31" s="130" customFormat="1" ht="15.75" customHeight="1">
      <c r="A731" s="123" t="str">
        <f>IF(B731&lt;&gt;"",IF(AND(B731&gt;=_TM1,B731&lt;=_TM2,OR(TH!L731="1111",TH!M731="1111")),TH!D731,""),"")</f>
        <v/>
      </c>
      <c r="B731" s="12">
        <f t="shared" si="27"/>
        <v>12</v>
      </c>
      <c r="C731" s="108">
        <f t="shared" si="28"/>
        <v>42725</v>
      </c>
      <c r="D731" s="108" t="s">
        <v>603</v>
      </c>
      <c r="E731" s="113">
        <v>42725</v>
      </c>
      <c r="F731" s="112" t="s">
        <v>813</v>
      </c>
      <c r="G731" s="303" t="s">
        <v>900</v>
      </c>
      <c r="H731" s="4" t="s">
        <v>814</v>
      </c>
      <c r="I731" s="139">
        <v>2400</v>
      </c>
      <c r="J731" s="139">
        <v>7500</v>
      </c>
      <c r="K731" s="13">
        <f>ROUND(I731*J731,0)</f>
        <v>18000000</v>
      </c>
      <c r="L731" s="116" t="s">
        <v>252</v>
      </c>
      <c r="M731" s="411" t="s">
        <v>169</v>
      </c>
      <c r="N731" s="22" t="str">
        <f>IF(AND('331-CT'!$E$7=TH!H731,OR(L731="331",M731="331")),"331",IF(AND(OR(L731="131",M731="131"),H731='131-CT'!$E$7),"131",""))</f>
        <v/>
      </c>
      <c r="O731" s="22" t="str">
        <f>IF(AND($B731&gt;='111'!$N$11,$B731&lt;='111'!$O$11,OR($L731=$O$7,$M731=$O$7)),"x","")</f>
        <v/>
      </c>
      <c r="P731" s="22" t="str">
        <f>IF(AND($L731=$O$7,$B731&lt;'111'!$N$11),"x","")</f>
        <v/>
      </c>
      <c r="Q731" s="22" t="str">
        <f>IF(AND($M731=$O$7,$B731&lt;'111'!$N$11),"x","")</f>
        <v/>
      </c>
      <c r="R731" s="22" t="str">
        <f>IF(ISERROR(FIND('112'!$M$9,G731,1)),"",IF((AND(FIND('112'!$M$9,G731,1)&gt;=1,$B731&gt;='112'!$N$8,$B731&lt;='112'!$O$8,OR($L731='112'!$I$6,$M731='112'!$I$6))),"x",""))</f>
        <v/>
      </c>
      <c r="S731" s="22" t="str">
        <f>IF(ISERROR(FIND('112'!$M$9,G731,1)),"",IF((AND(LEFT(G731,2)=LEFT('112'!$M$9,2),B731&lt;'112'!$N$8,$L731='112'!$I$6)),"x",""))</f>
        <v/>
      </c>
      <c r="T731" s="22" t="str">
        <f>IF(ISERROR(FIND('112'!$M$9,G731,1)),"",IF((AND(RIGHT(G731,2)=RIGHT('112'!$M$9,2),B731&lt;'112'!$N$8,$M731='112'!$I$6)),"x",""))</f>
        <v/>
      </c>
      <c r="U731" s="22" t="str">
        <f>IF(AND(B731&gt;='IN-NX'!$P$3,B731&lt;='IN-NX'!$Q$3,'IN-NX'!$D$7=D731,OR(LEFT(L731,2)="15",AND(LEFT(M731,2)&lt;&gt;"15",LEFT(M731,2)&lt;&gt;"33"))),"x","")</f>
        <v/>
      </c>
      <c r="V731" s="22" t="str">
        <f>IF(AND(OR(LEFT(TH!L731,2)="15",LEFT(TH!M731,2)="15"),'152-CT'!$J$8=TH!F731),"x","")</f>
        <v/>
      </c>
      <c r="W731" s="22" t="str">
        <f>IF(AND(OR(LEFT(TH!L731,2)="15",LEFT(TH!M731,2)="15"),TK!$E$7=TH!F731),"x","")</f>
        <v/>
      </c>
      <c r="X731" s="22" t="str">
        <f>IF(OR(TH!L731=TH!$X$7,M731=TH!$X$7),"x","")</f>
        <v/>
      </c>
      <c r="Y731" s="22" t="str">
        <f>IF(AND(B731&lt;=NKC!$N$8,B731&gt;=NKC!$M$8),"x","")</f>
        <v/>
      </c>
      <c r="Z731" s="580"/>
      <c r="AA731" s="406"/>
      <c r="AB731" s="406"/>
      <c r="AC731" s="406"/>
    </row>
    <row r="732" spans="1:31" s="130" customFormat="1" ht="15.75" customHeight="1">
      <c r="A732" s="123" t="str">
        <f>IF(B732&lt;&gt;"",IF(AND(B732&gt;=_TM1,B732&lt;=_TM2,OR(TH!L732="1111",TH!M732="1111")),TH!D732,""),"")</f>
        <v/>
      </c>
      <c r="B732" s="12">
        <f t="shared" si="27"/>
        <v>12</v>
      </c>
      <c r="C732" s="108">
        <f t="shared" si="28"/>
        <v>42725</v>
      </c>
      <c r="D732" s="108" t="s">
        <v>603</v>
      </c>
      <c r="E732" s="113">
        <v>42725</v>
      </c>
      <c r="F732" s="112" t="s">
        <v>496</v>
      </c>
      <c r="G732" s="303" t="s">
        <v>900</v>
      </c>
      <c r="H732" s="4" t="s">
        <v>814</v>
      </c>
      <c r="I732" s="139"/>
      <c r="J732" s="139"/>
      <c r="K732" s="13">
        <v>1800000</v>
      </c>
      <c r="L732" s="116" t="s">
        <v>252</v>
      </c>
      <c r="M732" s="411" t="s">
        <v>352</v>
      </c>
      <c r="N732" s="22" t="str">
        <f>IF(AND('331-CT'!$E$7=TH!H732,OR(L732="331",M732="331")),"331",IF(AND(OR(L732="131",M732="131"),H732='131-CT'!$E$7),"131",""))</f>
        <v/>
      </c>
      <c r="O732" s="22" t="str">
        <f>IF(AND($B732&gt;='111'!$N$11,$B732&lt;='111'!$O$11,OR($L732=$O$7,$M732=$O$7)),"x","")</f>
        <v/>
      </c>
      <c r="P732" s="22" t="str">
        <f>IF(AND($L732=$O$7,$B732&lt;'111'!$N$11),"x","")</f>
        <v/>
      </c>
      <c r="Q732" s="22" t="str">
        <f>IF(AND($M732=$O$7,$B732&lt;'111'!$N$11),"x","")</f>
        <v/>
      </c>
      <c r="R732" s="22" t="str">
        <f>IF(ISERROR(FIND('112'!$M$9,G732,1)),"",IF((AND(FIND('112'!$M$9,G732,1)&gt;=1,$B732&gt;='112'!$N$8,$B732&lt;='112'!$O$8,OR($L732='112'!$I$6,$M732='112'!$I$6))),"x",""))</f>
        <v/>
      </c>
      <c r="S732" s="22" t="str">
        <f>IF(ISERROR(FIND('112'!$M$9,G732,1)),"",IF((AND(LEFT(G732,2)=LEFT('112'!$M$9,2),B732&lt;'112'!$N$8,$L732='112'!$I$6)),"x",""))</f>
        <v/>
      </c>
      <c r="T732" s="22" t="str">
        <f>IF(ISERROR(FIND('112'!$M$9,G732,1)),"",IF((AND(RIGHT(G732,2)=RIGHT('112'!$M$9,2),B732&lt;'112'!$N$8,$M732='112'!$I$6)),"x",""))</f>
        <v/>
      </c>
      <c r="U732" s="22" t="str">
        <f>IF(AND(B732&gt;='IN-NX'!$P$3,B732&lt;='IN-NX'!$Q$3,'IN-NX'!$D$7=D732,OR(LEFT(L732,2)="15",AND(LEFT(M732,2)&lt;&gt;"15",LEFT(M732,2)&lt;&gt;"33"))),"x","")</f>
        <v/>
      </c>
      <c r="V732" s="22" t="str">
        <f>IF(AND(OR(LEFT(TH!L732,2)="15",LEFT(TH!M732,2)="15"),'152-CT'!$J$8=TH!F732),"x","")</f>
        <v/>
      </c>
      <c r="W732" s="22" t="str">
        <f>IF(AND(OR(LEFT(TH!L732,2)="15",LEFT(TH!M732,2)="15"),TK!$E$7=TH!F732),"x","")</f>
        <v/>
      </c>
      <c r="X732" s="22" t="str">
        <f>IF(OR(TH!L732=TH!$X$7,M732=TH!$X$7),"x","")</f>
        <v/>
      </c>
      <c r="Y732" s="22" t="str">
        <f>IF(AND(B732&lt;=NKC!$N$8,B732&gt;=NKC!$M$8),"x","")</f>
        <v/>
      </c>
      <c r="Z732" s="580"/>
      <c r="AA732" s="406"/>
      <c r="AB732" s="406"/>
      <c r="AC732" s="406"/>
    </row>
    <row r="733" spans="1:31" s="406" customFormat="1" ht="15.75" customHeight="1">
      <c r="A733" s="123" t="str">
        <f>IF(B733&lt;&gt;"",IF(AND(B733&gt;=_TM1,B733&lt;=_TM2,OR(TH!L733="1111",TH!M733="1111")),TH!D733,""),"")</f>
        <v>T39</v>
      </c>
      <c r="B733" s="12">
        <f t="shared" si="27"/>
        <v>12</v>
      </c>
      <c r="C733" s="108">
        <f t="shared" si="28"/>
        <v>42725</v>
      </c>
      <c r="D733" s="108" t="s">
        <v>1059</v>
      </c>
      <c r="E733" s="113">
        <v>42725</v>
      </c>
      <c r="F733" s="114" t="s">
        <v>484</v>
      </c>
      <c r="G733" s="303" t="s">
        <v>900</v>
      </c>
      <c r="H733" s="4" t="s">
        <v>814</v>
      </c>
      <c r="I733" s="140"/>
      <c r="J733" s="140"/>
      <c r="K733" s="13">
        <v>19800000</v>
      </c>
      <c r="L733" s="116" t="s">
        <v>46</v>
      </c>
      <c r="M733" s="411" t="s">
        <v>252</v>
      </c>
      <c r="N733" s="22" t="str">
        <f>IF(AND('331-CT'!$E$7=TH!H733,OR(L733="331",M733="331")),"331",IF(AND(OR(L733="131",M733="131"),H733='131-CT'!$E$7),"131",""))</f>
        <v/>
      </c>
      <c r="O733" s="22" t="str">
        <f>IF(AND($B733&gt;='111'!$N$11,$B733&lt;='111'!$O$11,OR($L733=$O$7,$M733=$O$7)),"x","")</f>
        <v>x</v>
      </c>
      <c r="P733" s="22" t="str">
        <f>IF(AND($L733=$O$7,$B733&lt;'111'!$N$11),"x","")</f>
        <v/>
      </c>
      <c r="Q733" s="22" t="str">
        <f>IF(AND($M733=$O$7,$B733&lt;'111'!$N$11),"x","")</f>
        <v/>
      </c>
      <c r="R733" s="22" t="str">
        <f>IF(ISERROR(FIND('112'!$M$9,G733,1)),"",IF((AND(FIND('112'!$M$9,G733,1)&gt;=1,$B733&gt;='112'!$N$8,$B733&lt;='112'!$O$8,OR($L733='112'!$I$6,$M733='112'!$I$6))),"x",""))</f>
        <v/>
      </c>
      <c r="S733" s="22" t="str">
        <f>IF(ISERROR(FIND('112'!$M$9,G733,1)),"",IF((AND(LEFT(G733,2)=LEFT('112'!$M$9,2),B733&lt;'112'!$N$8,$L733='112'!$I$6)),"x",""))</f>
        <v/>
      </c>
      <c r="T733" s="22" t="str">
        <f>IF(ISERROR(FIND('112'!$M$9,G733,1)),"",IF((AND(RIGHT(G733,2)=RIGHT('112'!$M$9,2),B733&lt;'112'!$N$8,$M733='112'!$I$6)),"x",""))</f>
        <v/>
      </c>
      <c r="U733" s="22" t="str">
        <f>IF(AND(B733&gt;='IN-NX'!$P$3,B733&lt;='IN-NX'!$Q$3,'IN-NX'!$D$7=D733,OR(LEFT(L733,2)="15",AND(LEFT(M733,2)&lt;&gt;"15",LEFT(M733,2)&lt;&gt;"33"))),"x","")</f>
        <v/>
      </c>
      <c r="V733" s="22" t="str">
        <f>IF(AND(OR(LEFT(TH!L733,2)="15",LEFT(TH!M733,2)="15"),'152-CT'!$J$8=TH!F733),"x","")</f>
        <v/>
      </c>
      <c r="W733" s="22" t="str">
        <f>IF(AND(OR(LEFT(TH!L733,2)="15",LEFT(TH!M733,2)="15"),TK!$E$7=TH!F733),"x","")</f>
        <v/>
      </c>
      <c r="X733" s="22" t="str">
        <f>IF(OR(TH!L733=TH!$X$7,M733=TH!$X$7),"x","")</f>
        <v/>
      </c>
      <c r="Y733" s="22" t="str">
        <f>IF(AND(B733&lt;=NKC!$N$8,B733&gt;=NKC!$M$8),"x","")</f>
        <v/>
      </c>
      <c r="Z733" s="580"/>
      <c r="AC733" s="130"/>
      <c r="AD733" s="130"/>
      <c r="AE733" s="130"/>
    </row>
    <row r="734" spans="1:31" s="406" customFormat="1" ht="15.75" customHeight="1">
      <c r="A734" s="123" t="str">
        <f>IF(B734&lt;&gt;"",IF(AND(B734&gt;=_TM1,B734&lt;=_TM2,OR(TH!L734="1111",TH!M734="1111")),TH!D734,""),"")</f>
        <v/>
      </c>
      <c r="B734" s="12">
        <f t="shared" si="27"/>
        <v>12</v>
      </c>
      <c r="C734" s="108">
        <f t="shared" si="28"/>
        <v>42726</v>
      </c>
      <c r="D734" s="108" t="s">
        <v>469</v>
      </c>
      <c r="E734" s="113">
        <v>42726</v>
      </c>
      <c r="F734" s="112" t="s">
        <v>973</v>
      </c>
      <c r="G734" s="114" t="s">
        <v>474</v>
      </c>
      <c r="H734" s="115"/>
      <c r="I734" s="139"/>
      <c r="J734" s="141"/>
      <c r="K734" s="13">
        <v>11286770</v>
      </c>
      <c r="L734" s="116" t="s">
        <v>24</v>
      </c>
      <c r="M734" s="411" t="s">
        <v>55</v>
      </c>
      <c r="N734" s="22" t="str">
        <f>IF(AND('331-CT'!$E$7=TH!H734,OR(L734="331",M734="331")),"331",IF(AND(OR(L734="131",M734="131"),H734='131-CT'!$E$7),"131",""))</f>
        <v/>
      </c>
      <c r="O734" s="22" t="str">
        <f>IF(AND($B734&gt;='111'!$N$11,$B734&lt;='111'!$O$11,OR($L734=$O$7,$M734=$O$7)),"x","")</f>
        <v/>
      </c>
      <c r="P734" s="22" t="str">
        <f>IF(AND($L734=$O$7,$B734&lt;'111'!$N$11),"x","")</f>
        <v/>
      </c>
      <c r="Q734" s="22" t="str">
        <f>IF(AND($M734=$O$7,$B734&lt;'111'!$N$11),"x","")</f>
        <v/>
      </c>
      <c r="R734" s="22" t="str">
        <f>IF(ISERROR(FIND('112'!$M$9,G734,1)),"",IF((AND(FIND('112'!$M$9,G734,1)&gt;=1,$B734&gt;='112'!$N$8,$B734&lt;='112'!$O$8,OR($L734='112'!$I$6,$M734='112'!$I$6))),"x",""))</f>
        <v>x</v>
      </c>
      <c r="S734" s="22" t="str">
        <f>IF(ISERROR(FIND('112'!$M$9,G734,1)),"",IF((AND(LEFT(G734,2)=LEFT('112'!$M$9,2),B734&lt;'112'!$N$8,$L734='112'!$I$6)),"x",""))</f>
        <v/>
      </c>
      <c r="T734" s="22" t="str">
        <f>IF(ISERROR(FIND('112'!$M$9,G734,1)),"",IF((AND(RIGHT(G734,2)=RIGHT('112'!$M$9,2),B734&lt;'112'!$N$8,$M734='112'!$I$6)),"x",""))</f>
        <v/>
      </c>
      <c r="U734" s="22" t="str">
        <f>IF(AND(B734&gt;='IN-NX'!$P$3,B734&lt;='IN-NX'!$Q$3,'IN-NX'!$D$7=D734,OR(LEFT(L734,2)="15",AND(LEFT(M734,2)&lt;&gt;"15",LEFT(M734,2)&lt;&gt;"33"))),"x","")</f>
        <v/>
      </c>
      <c r="V734" s="22" t="str">
        <f>IF(AND(OR(LEFT(TH!L734,2)="15",LEFT(TH!M734,2)="15"),'152-CT'!$J$8=TH!F734),"x","")</f>
        <v/>
      </c>
      <c r="W734" s="22" t="str">
        <f>IF(AND(OR(LEFT(TH!L734,2)="15",LEFT(TH!M734,2)="15"),TK!$E$7=TH!F734),"x","")</f>
        <v/>
      </c>
      <c r="X734" s="22" t="str">
        <f>IF(OR(TH!L734=TH!$X$7,M734=TH!$X$7),"x","")</f>
        <v/>
      </c>
      <c r="Y734" s="22" t="str">
        <f>IF(AND(B734&lt;=NKC!$N$8,B734&gt;=NKC!$M$8),"x","")</f>
        <v/>
      </c>
      <c r="Z734" s="580"/>
      <c r="AD734" s="130"/>
      <c r="AE734" s="130"/>
    </row>
    <row r="735" spans="1:31" s="406" customFormat="1" ht="15.75" customHeight="1">
      <c r="A735" s="123" t="str">
        <f>IF(B735&lt;&gt;"",IF(AND(B735&gt;=_TM1,B735&lt;=_TM2,OR(TH!L735="1111",TH!M735="1111")),TH!D735,""),"")</f>
        <v>T40</v>
      </c>
      <c r="B735" s="12">
        <f t="shared" si="27"/>
        <v>12</v>
      </c>
      <c r="C735" s="108">
        <f t="shared" si="28"/>
        <v>42726</v>
      </c>
      <c r="D735" s="108" t="s">
        <v>1060</v>
      </c>
      <c r="E735" s="113">
        <v>42726</v>
      </c>
      <c r="F735" s="114" t="s">
        <v>485</v>
      </c>
      <c r="G735" s="114" t="s">
        <v>474</v>
      </c>
      <c r="H735" s="115" t="s">
        <v>488</v>
      </c>
      <c r="I735" s="139"/>
      <c r="J735" s="141"/>
      <c r="K735" s="13">
        <v>11300000</v>
      </c>
      <c r="L735" s="116" t="s">
        <v>46</v>
      </c>
      <c r="M735" s="411" t="s">
        <v>24</v>
      </c>
      <c r="N735" s="22" t="str">
        <f>IF(AND('331-CT'!$E$7=TH!H735,OR(L735="331",M735="331")),"331",IF(AND(OR(L735="131",M735="131"),H735='131-CT'!$E$7),"131",""))</f>
        <v/>
      </c>
      <c r="O735" s="22" t="str">
        <f>IF(AND($B735&gt;='111'!$N$11,$B735&lt;='111'!$O$11,OR($L735=$O$7,$M735=$O$7)),"x","")</f>
        <v>x</v>
      </c>
      <c r="P735" s="22" t="str">
        <f>IF(AND($L735=$O$7,$B735&lt;'111'!$N$11),"x","")</f>
        <v/>
      </c>
      <c r="Q735" s="22" t="str">
        <f>IF(AND($M735=$O$7,$B735&lt;'111'!$N$11),"x","")</f>
        <v/>
      </c>
      <c r="R735" s="22" t="str">
        <f>IF(ISERROR(FIND('112'!$M$9,G735,1)),"",IF((AND(FIND('112'!$M$9,G735,1)&gt;=1,$B735&gt;='112'!$N$8,$B735&lt;='112'!$O$8,OR($L735='112'!$I$6,$M735='112'!$I$6))),"x",""))</f>
        <v>x</v>
      </c>
      <c r="S735" s="22" t="str">
        <f>IF(ISERROR(FIND('112'!$M$9,G735,1)),"",IF((AND(LEFT(G735,2)=LEFT('112'!$M$9,2),B735&lt;'112'!$N$8,$L735='112'!$I$6)),"x",""))</f>
        <v/>
      </c>
      <c r="T735" s="22" t="str">
        <f>IF(ISERROR(FIND('112'!$M$9,G735,1)),"",IF((AND(RIGHT(G735,2)=RIGHT('112'!$M$9,2),B735&lt;'112'!$N$8,$M735='112'!$I$6)),"x",""))</f>
        <v/>
      </c>
      <c r="U735" s="22" t="str">
        <f>IF(AND(B735&gt;='IN-NX'!$P$3,B735&lt;='IN-NX'!$Q$3,'IN-NX'!$D$7=D735,OR(LEFT(L735,2)="15",AND(LEFT(M735,2)&lt;&gt;"15",LEFT(M735,2)&lt;&gt;"33"))),"x","")</f>
        <v/>
      </c>
      <c r="V735" s="22" t="str">
        <f>IF(AND(OR(LEFT(TH!L735,2)="15",LEFT(TH!M735,2)="15"),'152-CT'!$J$8=TH!F735),"x","")</f>
        <v/>
      </c>
      <c r="W735" s="22" t="str">
        <f>IF(AND(OR(LEFT(TH!L735,2)="15",LEFT(TH!M735,2)="15"),TK!$E$7=TH!F735),"x","")</f>
        <v/>
      </c>
      <c r="X735" s="22" t="str">
        <f>IF(OR(TH!L735=TH!$X$7,M735=TH!$X$7),"x","")</f>
        <v/>
      </c>
      <c r="Y735" s="22" t="str">
        <f>IF(AND(B735&lt;=NKC!$N$8,B735&gt;=NKC!$M$8),"x","")</f>
        <v/>
      </c>
      <c r="Z735" s="580"/>
      <c r="AD735" s="130"/>
      <c r="AE735" s="130"/>
    </row>
    <row r="736" spans="1:31" s="130" customFormat="1" ht="15.75" customHeight="1">
      <c r="A736" s="123" t="str">
        <f>IF(B736&lt;&gt;"",IF(AND(B736&gt;=_TM1,B736&lt;=_TM2,OR(TH!L736="1111",TH!M736="1111")),TH!D736,""),"")</f>
        <v/>
      </c>
      <c r="B736" s="12">
        <f t="shared" si="27"/>
        <v>12</v>
      </c>
      <c r="C736" s="108">
        <f t="shared" si="28"/>
        <v>42726</v>
      </c>
      <c r="D736" s="108" t="s">
        <v>604</v>
      </c>
      <c r="E736" s="113">
        <v>42726</v>
      </c>
      <c r="F736" s="114" t="s">
        <v>902</v>
      </c>
      <c r="G736" s="303" t="s">
        <v>901</v>
      </c>
      <c r="H736" s="4" t="s">
        <v>371</v>
      </c>
      <c r="I736" s="139">
        <f>230+55</f>
        <v>285</v>
      </c>
      <c r="J736" s="139">
        <v>10100</v>
      </c>
      <c r="K736" s="13">
        <f>ROUND(I736*J736,0)</f>
        <v>2878500</v>
      </c>
      <c r="L736" s="116" t="s">
        <v>252</v>
      </c>
      <c r="M736" s="411" t="s">
        <v>169</v>
      </c>
      <c r="N736" s="22" t="str">
        <f>IF(AND('331-CT'!$E$7=TH!H736,OR(L736="331",M736="331")),"331",IF(AND(OR(L736="131",M736="131"),H736='131-CT'!$E$7),"131",""))</f>
        <v/>
      </c>
      <c r="O736" s="22" t="str">
        <f>IF(AND($B736&gt;='111'!$N$11,$B736&lt;='111'!$O$11,OR($L736=$O$7,$M736=$O$7)),"x","")</f>
        <v/>
      </c>
      <c r="P736" s="22" t="str">
        <f>IF(AND($L736=$O$7,$B736&lt;'111'!$N$11),"x","")</f>
        <v/>
      </c>
      <c r="Q736" s="22" t="str">
        <f>IF(AND($M736=$O$7,$B736&lt;'111'!$N$11),"x","")</f>
        <v/>
      </c>
      <c r="R736" s="22" t="str">
        <f>IF(ISERROR(FIND('112'!$M$9,G736,1)),"",IF((AND(FIND('112'!$M$9,G736,1)&gt;=1,$B736&gt;='112'!$N$8,$B736&lt;='112'!$O$8,OR($L736='112'!$I$6,$M736='112'!$I$6))),"x",""))</f>
        <v/>
      </c>
      <c r="S736" s="22" t="str">
        <f>IF(ISERROR(FIND('112'!$M$9,G736,1)),"",IF((AND(LEFT(G736,2)=LEFT('112'!$M$9,2),B736&lt;'112'!$N$8,$L736='112'!$I$6)),"x",""))</f>
        <v/>
      </c>
      <c r="T736" s="22" t="str">
        <f>IF(ISERROR(FIND('112'!$M$9,G736,1)),"",IF((AND(RIGHT(G736,2)=RIGHT('112'!$M$9,2),B736&lt;'112'!$N$8,$M736='112'!$I$6)),"x",""))</f>
        <v/>
      </c>
      <c r="U736" s="22" t="str">
        <f>IF(AND(B736&gt;='IN-NX'!$P$3,B736&lt;='IN-NX'!$Q$3,'IN-NX'!$D$7=D736,OR(LEFT(L736,2)="15",AND(LEFT(M736,2)&lt;&gt;"15",LEFT(M736,2)&lt;&gt;"33"))),"x","")</f>
        <v/>
      </c>
      <c r="V736" s="22" t="str">
        <f>IF(AND(OR(LEFT(TH!L736,2)="15",LEFT(TH!M736,2)="15"),'152-CT'!$J$8=TH!F736),"x","")</f>
        <v/>
      </c>
      <c r="W736" s="22" t="str">
        <f>IF(AND(OR(LEFT(TH!L736,2)="15",LEFT(TH!M736,2)="15"),TK!$E$7=TH!F736),"x","")</f>
        <v/>
      </c>
      <c r="X736" s="22" t="str">
        <f>IF(OR(TH!L736=TH!$X$7,M736=TH!$X$7),"x","")</f>
        <v/>
      </c>
      <c r="Y736" s="22" t="str">
        <f>IF(AND(B736&lt;=NKC!$N$8,B736&gt;=NKC!$M$8),"x","")</f>
        <v/>
      </c>
      <c r="Z736" s="580"/>
      <c r="AA736" s="406"/>
      <c r="AB736" s="406"/>
      <c r="AC736" s="406"/>
    </row>
    <row r="737" spans="1:31" s="130" customFormat="1" ht="15.75" customHeight="1">
      <c r="A737" s="123" t="str">
        <f>IF(B737&lt;&gt;"",IF(AND(B737&gt;=_TM1,B737&lt;=_TM2,OR(TH!L737="1111",TH!M737="1111")),TH!D737,""),"")</f>
        <v/>
      </c>
      <c r="B737" s="12">
        <f t="shared" si="27"/>
        <v>12</v>
      </c>
      <c r="C737" s="108">
        <f t="shared" si="28"/>
        <v>42726</v>
      </c>
      <c r="D737" s="108" t="s">
        <v>604</v>
      </c>
      <c r="E737" s="113">
        <v>42726</v>
      </c>
      <c r="F737" s="114" t="s">
        <v>903</v>
      </c>
      <c r="G737" s="303" t="s">
        <v>901</v>
      </c>
      <c r="H737" s="4" t="s">
        <v>371</v>
      </c>
      <c r="I737" s="140">
        <v>110</v>
      </c>
      <c r="J737" s="140">
        <v>9640</v>
      </c>
      <c r="K737" s="13">
        <f>ROUND(I737*J737,0)</f>
        <v>1060400</v>
      </c>
      <c r="L737" s="116" t="s">
        <v>252</v>
      </c>
      <c r="M737" s="411" t="s">
        <v>169</v>
      </c>
      <c r="N737" s="22" t="str">
        <f>IF(AND('331-CT'!$E$7=TH!H737,OR(L737="331",M737="331")),"331",IF(AND(OR(L737="131",M737="131"),H737='131-CT'!$E$7),"131",""))</f>
        <v/>
      </c>
      <c r="O737" s="22" t="str">
        <f>IF(AND($B737&gt;='111'!$N$11,$B737&lt;='111'!$O$11,OR($L737=$O$7,$M737=$O$7)),"x","")</f>
        <v/>
      </c>
      <c r="P737" s="22" t="str">
        <f>IF(AND($L737=$O$7,$B737&lt;'111'!$N$11),"x","")</f>
        <v/>
      </c>
      <c r="Q737" s="22" t="str">
        <f>IF(AND($M737=$O$7,$B737&lt;'111'!$N$11),"x","")</f>
        <v/>
      </c>
      <c r="R737" s="22" t="str">
        <f>IF(ISERROR(FIND('112'!$M$9,G737,1)),"",IF((AND(FIND('112'!$M$9,G737,1)&gt;=1,$B737&gt;='112'!$N$8,$B737&lt;='112'!$O$8,OR($L737='112'!$I$6,$M737='112'!$I$6))),"x",""))</f>
        <v/>
      </c>
      <c r="S737" s="22" t="str">
        <f>IF(ISERROR(FIND('112'!$M$9,G737,1)),"",IF((AND(LEFT(G737,2)=LEFT('112'!$M$9,2),B737&lt;'112'!$N$8,$L737='112'!$I$6)),"x",""))</f>
        <v/>
      </c>
      <c r="T737" s="22" t="str">
        <f>IF(ISERROR(FIND('112'!$M$9,G737,1)),"",IF((AND(RIGHT(G737,2)=RIGHT('112'!$M$9,2),B737&lt;'112'!$N$8,$M737='112'!$I$6)),"x",""))</f>
        <v/>
      </c>
      <c r="U737" s="22" t="str">
        <f>IF(AND(B737&gt;='IN-NX'!$P$3,B737&lt;='IN-NX'!$Q$3,'IN-NX'!$D$7=D737,OR(LEFT(L737,2)="15",AND(LEFT(M737,2)&lt;&gt;"15",LEFT(M737,2)&lt;&gt;"33"))),"x","")</f>
        <v/>
      </c>
      <c r="V737" s="22" t="str">
        <f>IF(AND(OR(LEFT(TH!L737,2)="15",LEFT(TH!M737,2)="15"),'152-CT'!$J$8=TH!F737),"x","")</f>
        <v/>
      </c>
      <c r="W737" s="22" t="str">
        <f>IF(AND(OR(LEFT(TH!L737,2)="15",LEFT(TH!M737,2)="15"),TK!$E$7=TH!F737),"x","")</f>
        <v/>
      </c>
      <c r="X737" s="22" t="str">
        <f>IF(OR(TH!L737=TH!$X$7,M737=TH!$X$7),"x","")</f>
        <v/>
      </c>
      <c r="Y737" s="22" t="str">
        <f>IF(AND(B737&lt;=NKC!$N$8,B737&gt;=NKC!$M$8),"x","")</f>
        <v/>
      </c>
      <c r="Z737" s="580"/>
      <c r="AA737" s="406"/>
      <c r="AB737" s="406"/>
      <c r="AC737" s="406"/>
    </row>
    <row r="738" spans="1:31" s="130" customFormat="1" ht="15.75" customHeight="1">
      <c r="A738" s="123" t="str">
        <f>IF(B738&lt;&gt;"",IF(AND(B738&gt;=_TM1,B738&lt;=_TM2,OR(TH!L738="1111",TH!M738="1111")),TH!D738,""),"")</f>
        <v/>
      </c>
      <c r="B738" s="12">
        <f t="shared" si="27"/>
        <v>12</v>
      </c>
      <c r="C738" s="108">
        <f t="shared" si="28"/>
        <v>42726</v>
      </c>
      <c r="D738" s="108" t="s">
        <v>604</v>
      </c>
      <c r="E738" s="113">
        <v>42726</v>
      </c>
      <c r="F738" s="114" t="s">
        <v>904</v>
      </c>
      <c r="G738" s="303" t="s">
        <v>901</v>
      </c>
      <c r="H738" s="4" t="s">
        <v>371</v>
      </c>
      <c r="I738" s="140">
        <v>160</v>
      </c>
      <c r="J738" s="140">
        <v>9940</v>
      </c>
      <c r="K738" s="13">
        <f>ROUND(I738*J738,0)</f>
        <v>1590400</v>
      </c>
      <c r="L738" s="116" t="s">
        <v>252</v>
      </c>
      <c r="M738" s="411" t="s">
        <v>169</v>
      </c>
      <c r="N738" s="22" t="str">
        <f>IF(AND('331-CT'!$E$7=TH!H738,OR(L738="331",M738="331")),"331",IF(AND(OR(L738="131",M738="131"),H738='131-CT'!$E$7),"131",""))</f>
        <v/>
      </c>
      <c r="O738" s="22" t="str">
        <f>IF(AND($B738&gt;='111'!$N$11,$B738&lt;='111'!$O$11,OR($L738=$O$7,$M738=$O$7)),"x","")</f>
        <v/>
      </c>
      <c r="P738" s="22" t="str">
        <f>IF(AND($L738=$O$7,$B738&lt;'111'!$N$11),"x","")</f>
        <v/>
      </c>
      <c r="Q738" s="22" t="str">
        <f>IF(AND($M738=$O$7,$B738&lt;'111'!$N$11),"x","")</f>
        <v/>
      </c>
      <c r="R738" s="22" t="str">
        <f>IF(ISERROR(FIND('112'!$M$9,G738,1)),"",IF((AND(FIND('112'!$M$9,G738,1)&gt;=1,$B738&gt;='112'!$N$8,$B738&lt;='112'!$O$8,OR($L738='112'!$I$6,$M738='112'!$I$6))),"x",""))</f>
        <v/>
      </c>
      <c r="S738" s="22" t="str">
        <f>IF(ISERROR(FIND('112'!$M$9,G738,1)),"",IF((AND(LEFT(G738,2)=LEFT('112'!$M$9,2),B738&lt;'112'!$N$8,$L738='112'!$I$6)),"x",""))</f>
        <v/>
      </c>
      <c r="T738" s="22" t="str">
        <f>IF(ISERROR(FIND('112'!$M$9,G738,1)),"",IF((AND(RIGHT(G738,2)=RIGHT('112'!$M$9,2),B738&lt;'112'!$N$8,$M738='112'!$I$6)),"x",""))</f>
        <v/>
      </c>
      <c r="U738" s="22" t="str">
        <f>IF(AND(B738&gt;='IN-NX'!$P$3,B738&lt;='IN-NX'!$Q$3,'IN-NX'!$D$7=D738,OR(LEFT(L738,2)="15",AND(LEFT(M738,2)&lt;&gt;"15",LEFT(M738,2)&lt;&gt;"33"))),"x","")</f>
        <v/>
      </c>
      <c r="V738" s="22" t="str">
        <f>IF(AND(OR(LEFT(TH!L738,2)="15",LEFT(TH!M738,2)="15"),'152-CT'!$J$8=TH!F738),"x","")</f>
        <v/>
      </c>
      <c r="W738" s="22" t="str">
        <f>IF(AND(OR(LEFT(TH!L738,2)="15",LEFT(TH!M738,2)="15"),TK!$E$7=TH!F738),"x","")</f>
        <v/>
      </c>
      <c r="X738" s="22" t="str">
        <f>IF(OR(TH!L738=TH!$X$7,M738=TH!$X$7),"x","")</f>
        <v/>
      </c>
      <c r="Y738" s="22" t="str">
        <f>IF(AND(B738&lt;=NKC!$N$8,B738&gt;=NKC!$M$8),"x","")</f>
        <v/>
      </c>
      <c r="Z738" s="580"/>
      <c r="AA738" s="406"/>
      <c r="AB738" s="406"/>
      <c r="AC738" s="406"/>
    </row>
    <row r="739" spans="1:31" s="130" customFormat="1" ht="15.75" customHeight="1">
      <c r="A739" s="123" t="str">
        <f>IF(B739&lt;&gt;"",IF(AND(B739&gt;=_TM1,B739&lt;=_TM2,OR(TH!L739="1111",TH!M739="1111")),TH!D739,""),"")</f>
        <v/>
      </c>
      <c r="B739" s="12">
        <f t="shared" si="27"/>
        <v>12</v>
      </c>
      <c r="C739" s="108">
        <f t="shared" si="28"/>
        <v>42726</v>
      </c>
      <c r="D739" s="108" t="s">
        <v>604</v>
      </c>
      <c r="E739" s="113">
        <v>42726</v>
      </c>
      <c r="F739" s="114" t="s">
        <v>501</v>
      </c>
      <c r="G739" s="303" t="s">
        <v>901</v>
      </c>
      <c r="H739" s="4" t="s">
        <v>371</v>
      </c>
      <c r="I739" s="139">
        <f>220+165+165</f>
        <v>550</v>
      </c>
      <c r="J739" s="139">
        <v>14500</v>
      </c>
      <c r="K739" s="13">
        <f>ROUND(I739*J739,0)</f>
        <v>7975000</v>
      </c>
      <c r="L739" s="116" t="s">
        <v>252</v>
      </c>
      <c r="M739" s="411" t="s">
        <v>169</v>
      </c>
      <c r="N739" s="22" t="str">
        <f>IF(AND('331-CT'!$E$7=TH!H739,OR(L739="331",M739="331")),"331",IF(AND(OR(L739="131",M739="131"),H739='131-CT'!$E$7),"131",""))</f>
        <v/>
      </c>
      <c r="O739" s="22" t="str">
        <f>IF(AND($B739&gt;='111'!$N$11,$B739&lt;='111'!$O$11,OR($L739=$O$7,$M739=$O$7)),"x","")</f>
        <v/>
      </c>
      <c r="P739" s="22" t="str">
        <f>IF(AND($L739=$O$7,$B739&lt;'111'!$N$11),"x","")</f>
        <v/>
      </c>
      <c r="Q739" s="22" t="str">
        <f>IF(AND($M739=$O$7,$B739&lt;'111'!$N$11),"x","")</f>
        <v/>
      </c>
      <c r="R739" s="22" t="str">
        <f>IF(ISERROR(FIND('112'!$M$9,G739,1)),"",IF((AND(FIND('112'!$M$9,G739,1)&gt;=1,$B739&gt;='112'!$N$8,$B739&lt;='112'!$O$8,OR($L739='112'!$I$6,$M739='112'!$I$6))),"x",""))</f>
        <v/>
      </c>
      <c r="S739" s="22" t="str">
        <f>IF(ISERROR(FIND('112'!$M$9,G739,1)),"",IF((AND(LEFT(G739,2)=LEFT('112'!$M$9,2),B739&lt;'112'!$N$8,$L739='112'!$I$6)),"x",""))</f>
        <v/>
      </c>
      <c r="T739" s="22" t="str">
        <f>IF(ISERROR(FIND('112'!$M$9,G739,1)),"",IF((AND(RIGHT(G739,2)=RIGHT('112'!$M$9,2),B739&lt;'112'!$N$8,$M739='112'!$I$6)),"x",""))</f>
        <v/>
      </c>
      <c r="U739" s="22" t="str">
        <f>IF(AND(B739&gt;='IN-NX'!$P$3,B739&lt;='IN-NX'!$Q$3,'IN-NX'!$D$7=D739,OR(LEFT(L739,2)="15",AND(LEFT(M739,2)&lt;&gt;"15",LEFT(M739,2)&lt;&gt;"33"))),"x","")</f>
        <v/>
      </c>
      <c r="V739" s="22" t="str">
        <f>IF(AND(OR(LEFT(TH!L739,2)="15",LEFT(TH!M739,2)="15"),'152-CT'!$J$8=TH!F739),"x","")</f>
        <v/>
      </c>
      <c r="W739" s="22" t="str">
        <f>IF(AND(OR(LEFT(TH!L739,2)="15",LEFT(TH!M739,2)="15"),TK!$E$7=TH!F739),"x","")</f>
        <v/>
      </c>
      <c r="X739" s="22" t="str">
        <f>IF(OR(TH!L739=TH!$X$7,M739=TH!$X$7),"x","")</f>
        <v/>
      </c>
      <c r="Y739" s="22" t="str">
        <f>IF(AND(B739&lt;=NKC!$N$8,B739&gt;=NKC!$M$8),"x","")</f>
        <v/>
      </c>
      <c r="Z739" s="580"/>
      <c r="AA739" s="406"/>
      <c r="AB739" s="406"/>
      <c r="AC739" s="406"/>
    </row>
    <row r="740" spans="1:31" s="406" customFormat="1" ht="15.75" customHeight="1">
      <c r="A740" s="123" t="str">
        <f>IF(B740&lt;&gt;"",IF(AND(B740&gt;=_TM1,B740&lt;=_TM2,OR(TH!L740="1111",TH!M740="1111")),TH!D740,""),"")</f>
        <v/>
      </c>
      <c r="B740" s="12">
        <f t="shared" si="27"/>
        <v>12</v>
      </c>
      <c r="C740" s="108">
        <f t="shared" si="28"/>
        <v>42726</v>
      </c>
      <c r="D740" s="108" t="s">
        <v>604</v>
      </c>
      <c r="E740" s="113">
        <v>42726</v>
      </c>
      <c r="F740" s="112" t="s">
        <v>496</v>
      </c>
      <c r="G740" s="303" t="s">
        <v>901</v>
      </c>
      <c r="H740" s="4" t="s">
        <v>371</v>
      </c>
      <c r="I740" s="139"/>
      <c r="J740" s="139"/>
      <c r="K740" s="13">
        <v>1350430</v>
      </c>
      <c r="L740" s="116" t="s">
        <v>252</v>
      </c>
      <c r="M740" s="411" t="s">
        <v>352</v>
      </c>
      <c r="N740" s="22" t="str">
        <f>IF(AND('331-CT'!$E$7=TH!H740,OR(L740="331",M740="331")),"331",IF(AND(OR(L740="131",M740="131"),H740='131-CT'!$E$7),"131",""))</f>
        <v/>
      </c>
      <c r="O740" s="22" t="str">
        <f>IF(AND($B740&gt;='111'!$N$11,$B740&lt;='111'!$O$11,OR($L740=$O$7,$M740=$O$7)),"x","")</f>
        <v/>
      </c>
      <c r="P740" s="22" t="str">
        <f>IF(AND($L740=$O$7,$B740&lt;'111'!$N$11),"x","")</f>
        <v/>
      </c>
      <c r="Q740" s="22" t="str">
        <f>IF(AND($M740=$O$7,$B740&lt;'111'!$N$11),"x","")</f>
        <v/>
      </c>
      <c r="R740" s="22" t="str">
        <f>IF(ISERROR(FIND('112'!$M$9,G740,1)),"",IF((AND(FIND('112'!$M$9,G740,1)&gt;=1,$B740&gt;='112'!$N$8,$B740&lt;='112'!$O$8,OR($L740='112'!$I$6,$M740='112'!$I$6))),"x",""))</f>
        <v/>
      </c>
      <c r="S740" s="22" t="str">
        <f>IF(ISERROR(FIND('112'!$M$9,G740,1)),"",IF((AND(LEFT(G740,2)=LEFT('112'!$M$9,2),B740&lt;'112'!$N$8,$L740='112'!$I$6)),"x",""))</f>
        <v/>
      </c>
      <c r="T740" s="22" t="str">
        <f>IF(ISERROR(FIND('112'!$M$9,G740,1)),"",IF((AND(RIGHT(G740,2)=RIGHT('112'!$M$9,2),B740&lt;'112'!$N$8,$M740='112'!$I$6)),"x",""))</f>
        <v/>
      </c>
      <c r="U740" s="22" t="str">
        <f>IF(AND(B740&gt;='IN-NX'!$P$3,B740&lt;='IN-NX'!$Q$3,'IN-NX'!$D$7=D740,OR(LEFT(L740,2)="15",AND(LEFT(M740,2)&lt;&gt;"15",LEFT(M740,2)&lt;&gt;"33"))),"x","")</f>
        <v/>
      </c>
      <c r="V740" s="22" t="str">
        <f>IF(AND(OR(LEFT(TH!L740,2)="15",LEFT(TH!M740,2)="15"),'152-CT'!$J$8=TH!F740),"x","")</f>
        <v/>
      </c>
      <c r="W740" s="22" t="str">
        <f>IF(AND(OR(LEFT(TH!L740,2)="15",LEFT(TH!M740,2)="15"),TK!$E$7=TH!F740),"x","")</f>
        <v/>
      </c>
      <c r="X740" s="22" t="str">
        <f>IF(OR(TH!L740=TH!$X$7,M740=TH!$X$7),"x","")</f>
        <v/>
      </c>
      <c r="Y740" s="22" t="str">
        <f>IF(AND(B740&lt;=NKC!$N$8,B740&gt;=NKC!$M$8),"x","")</f>
        <v/>
      </c>
      <c r="Z740" s="580"/>
      <c r="AD740" s="130"/>
      <c r="AE740" s="130"/>
    </row>
    <row r="741" spans="1:31" s="130" customFormat="1" ht="15.75" customHeight="1">
      <c r="A741" s="123" t="str">
        <f>IF(B741&lt;&gt;"",IF(AND(B741&gt;=_TM1,B741&lt;=_TM2,OR(TH!L741="1111",TH!M741="1111")),TH!D741,""),"")</f>
        <v/>
      </c>
      <c r="B741" s="12">
        <f t="shared" si="27"/>
        <v>12</v>
      </c>
      <c r="C741" s="108">
        <f t="shared" si="28"/>
        <v>42726</v>
      </c>
      <c r="D741" s="108" t="s">
        <v>605</v>
      </c>
      <c r="E741" s="113">
        <v>42726</v>
      </c>
      <c r="F741" s="114" t="s">
        <v>906</v>
      </c>
      <c r="G741" s="303" t="s">
        <v>905</v>
      </c>
      <c r="H741" s="4" t="s">
        <v>371</v>
      </c>
      <c r="I741" s="139">
        <v>275</v>
      </c>
      <c r="J741" s="139">
        <v>18800</v>
      </c>
      <c r="K741" s="13">
        <f>ROUND(I741*J741,0)</f>
        <v>5170000</v>
      </c>
      <c r="L741" s="116" t="s">
        <v>252</v>
      </c>
      <c r="M741" s="411" t="s">
        <v>169</v>
      </c>
      <c r="N741" s="22" t="str">
        <f>IF(AND('331-CT'!$E$7=TH!H741,OR(L741="331",M741="331")),"331",IF(AND(OR(L741="131",M741="131"),H741='131-CT'!$E$7),"131",""))</f>
        <v/>
      </c>
      <c r="O741" s="22" t="str">
        <f>IF(AND($B741&gt;='111'!$N$11,$B741&lt;='111'!$O$11,OR($L741=$O$7,$M741=$O$7)),"x","")</f>
        <v/>
      </c>
      <c r="P741" s="22" t="str">
        <f>IF(AND($L741=$O$7,$B741&lt;'111'!$N$11),"x","")</f>
        <v/>
      </c>
      <c r="Q741" s="22" t="str">
        <f>IF(AND($M741=$O$7,$B741&lt;'111'!$N$11),"x","")</f>
        <v/>
      </c>
      <c r="R741" s="22" t="str">
        <f>IF(ISERROR(FIND('112'!$M$9,G741,1)),"",IF((AND(FIND('112'!$M$9,G741,1)&gt;=1,$B741&gt;='112'!$N$8,$B741&lt;='112'!$O$8,OR($L741='112'!$I$6,$M741='112'!$I$6))),"x",""))</f>
        <v/>
      </c>
      <c r="S741" s="22" t="str">
        <f>IF(ISERROR(FIND('112'!$M$9,G741,1)),"",IF((AND(LEFT(G741,2)=LEFT('112'!$M$9,2),B741&lt;'112'!$N$8,$L741='112'!$I$6)),"x",""))</f>
        <v/>
      </c>
      <c r="T741" s="22" t="str">
        <f>IF(ISERROR(FIND('112'!$M$9,G741,1)),"",IF((AND(RIGHT(G741,2)=RIGHT('112'!$M$9,2),B741&lt;'112'!$N$8,$M741='112'!$I$6)),"x",""))</f>
        <v/>
      </c>
      <c r="U741" s="22" t="str">
        <f>IF(AND(B741&gt;='IN-NX'!$P$3,B741&lt;='IN-NX'!$Q$3,'IN-NX'!$D$7=D741,OR(LEFT(L741,2)="15",AND(LEFT(M741,2)&lt;&gt;"15",LEFT(M741,2)&lt;&gt;"33"))),"x","")</f>
        <v/>
      </c>
      <c r="V741" s="22" t="str">
        <f>IF(AND(OR(LEFT(TH!L741,2)="15",LEFT(TH!M741,2)="15"),'152-CT'!$J$8=TH!F741),"x","")</f>
        <v/>
      </c>
      <c r="W741" s="22" t="str">
        <f>IF(AND(OR(LEFT(TH!L741,2)="15",LEFT(TH!M741,2)="15"),TK!$E$7=TH!F741),"x","")</f>
        <v/>
      </c>
      <c r="X741" s="22" t="str">
        <f>IF(OR(TH!L741=TH!$X$7,M741=TH!$X$7),"x","")</f>
        <v/>
      </c>
      <c r="Y741" s="22" t="str">
        <f>IF(AND(B741&lt;=NKC!$N$8,B741&gt;=NKC!$M$8),"x","")</f>
        <v/>
      </c>
      <c r="Z741" s="580"/>
      <c r="AA741" s="406"/>
      <c r="AB741" s="406"/>
      <c r="AC741" s="406"/>
    </row>
    <row r="742" spans="1:31" s="406" customFormat="1" ht="15.75" customHeight="1">
      <c r="A742" s="123" t="str">
        <f>IF(B742&lt;&gt;"",IF(AND(B742&gt;=_TM1,B742&lt;=_TM2,OR(TH!L742="1111",TH!M742="1111")),TH!D742,""),"")</f>
        <v/>
      </c>
      <c r="B742" s="12">
        <f t="shared" si="27"/>
        <v>12</v>
      </c>
      <c r="C742" s="108">
        <f t="shared" si="28"/>
        <v>42726</v>
      </c>
      <c r="D742" s="108" t="s">
        <v>605</v>
      </c>
      <c r="E742" s="113">
        <v>42726</v>
      </c>
      <c r="F742" s="114" t="s">
        <v>907</v>
      </c>
      <c r="G742" s="303" t="s">
        <v>905</v>
      </c>
      <c r="H742" s="4" t="s">
        <v>371</v>
      </c>
      <c r="I742" s="139">
        <v>66</v>
      </c>
      <c r="J742" s="139">
        <v>18000</v>
      </c>
      <c r="K742" s="13">
        <f>ROUND(I742*J742,0)</f>
        <v>1188000</v>
      </c>
      <c r="L742" s="116" t="s">
        <v>252</v>
      </c>
      <c r="M742" s="411" t="s">
        <v>169</v>
      </c>
      <c r="N742" s="22" t="str">
        <f>IF(AND('331-CT'!$E$7=TH!H742,OR(L742="331",M742="331")),"331",IF(AND(OR(L742="131",M742="131"),H742='131-CT'!$E$7),"131",""))</f>
        <v/>
      </c>
      <c r="O742" s="22" t="str">
        <f>IF(AND($B742&gt;='111'!$N$11,$B742&lt;='111'!$O$11,OR($L742=$O$7,$M742=$O$7)),"x","")</f>
        <v/>
      </c>
      <c r="P742" s="22" t="str">
        <f>IF(AND($L742=$O$7,$B742&lt;'111'!$N$11),"x","")</f>
        <v/>
      </c>
      <c r="Q742" s="22" t="str">
        <f>IF(AND($M742=$O$7,$B742&lt;'111'!$N$11),"x","")</f>
        <v/>
      </c>
      <c r="R742" s="22" t="str">
        <f>IF(ISERROR(FIND('112'!$M$9,G742,1)),"",IF((AND(FIND('112'!$M$9,G742,1)&gt;=1,$B742&gt;='112'!$N$8,$B742&lt;='112'!$O$8,OR($L742='112'!$I$6,$M742='112'!$I$6))),"x",""))</f>
        <v/>
      </c>
      <c r="S742" s="22" t="str">
        <f>IF(ISERROR(FIND('112'!$M$9,G742,1)),"",IF((AND(LEFT(G742,2)=LEFT('112'!$M$9,2),B742&lt;'112'!$N$8,$L742='112'!$I$6)),"x",""))</f>
        <v/>
      </c>
      <c r="T742" s="22" t="str">
        <f>IF(ISERROR(FIND('112'!$M$9,G742,1)),"",IF((AND(RIGHT(G742,2)=RIGHT('112'!$M$9,2),B742&lt;'112'!$N$8,$M742='112'!$I$6)),"x",""))</f>
        <v/>
      </c>
      <c r="U742" s="22" t="str">
        <f>IF(AND(B742&gt;='IN-NX'!$P$3,B742&lt;='IN-NX'!$Q$3,'IN-NX'!$D$7=D742,OR(LEFT(L742,2)="15",AND(LEFT(M742,2)&lt;&gt;"15",LEFT(M742,2)&lt;&gt;"33"))),"x","")</f>
        <v/>
      </c>
      <c r="V742" s="22" t="str">
        <f>IF(AND(OR(LEFT(TH!L742,2)="15",LEFT(TH!M742,2)="15"),'152-CT'!$J$8=TH!F742),"x","")</f>
        <v/>
      </c>
      <c r="W742" s="22" t="str">
        <f>IF(AND(OR(LEFT(TH!L742,2)="15",LEFT(TH!M742,2)="15"),TK!$E$7=TH!F742),"x","")</f>
        <v/>
      </c>
      <c r="X742" s="22" t="str">
        <f>IF(OR(TH!L742=TH!$X$7,M742=TH!$X$7),"x","")</f>
        <v/>
      </c>
      <c r="Y742" s="22" t="str">
        <f>IF(AND(B742&lt;=NKC!$N$8,B742&gt;=NKC!$M$8),"x","")</f>
        <v/>
      </c>
      <c r="Z742" s="580"/>
      <c r="AC742" s="130"/>
      <c r="AD742" s="130"/>
      <c r="AE742" s="130"/>
    </row>
    <row r="743" spans="1:31" s="130" customFormat="1" ht="15.75" customHeight="1">
      <c r="A743" s="123" t="str">
        <f>IF(B743&lt;&gt;"",IF(AND(B743&gt;=_TM1,B743&lt;=_TM2,OR(TH!L743="1111",TH!M743="1111")),TH!D743,""),"")</f>
        <v/>
      </c>
      <c r="B743" s="12">
        <f t="shared" si="27"/>
        <v>12</v>
      </c>
      <c r="C743" s="108">
        <f t="shared" si="28"/>
        <v>42726</v>
      </c>
      <c r="D743" s="108" t="s">
        <v>605</v>
      </c>
      <c r="E743" s="113">
        <v>42726</v>
      </c>
      <c r="F743" s="114" t="s">
        <v>501</v>
      </c>
      <c r="G743" s="303" t="s">
        <v>905</v>
      </c>
      <c r="H743" s="4" t="s">
        <v>371</v>
      </c>
      <c r="I743" s="139">
        <v>165</v>
      </c>
      <c r="J743" s="139">
        <v>14500</v>
      </c>
      <c r="K743" s="13">
        <f>ROUND(I743*J743,0)</f>
        <v>2392500</v>
      </c>
      <c r="L743" s="116" t="s">
        <v>252</v>
      </c>
      <c r="M743" s="411" t="s">
        <v>169</v>
      </c>
      <c r="N743" s="22" t="str">
        <f>IF(AND('331-CT'!$E$7=TH!H743,OR(L743="331",M743="331")),"331",IF(AND(OR(L743="131",M743="131"),H743='131-CT'!$E$7),"131",""))</f>
        <v/>
      </c>
      <c r="O743" s="22" t="str">
        <f>IF(AND($B743&gt;='111'!$N$11,$B743&lt;='111'!$O$11,OR($L743=$O$7,$M743=$O$7)),"x","")</f>
        <v/>
      </c>
      <c r="P743" s="22" t="str">
        <f>IF(AND($L743=$O$7,$B743&lt;'111'!$N$11),"x","")</f>
        <v/>
      </c>
      <c r="Q743" s="22" t="str">
        <f>IF(AND($M743=$O$7,$B743&lt;'111'!$N$11),"x","")</f>
        <v/>
      </c>
      <c r="R743" s="22" t="str">
        <f>IF(ISERROR(FIND('112'!$M$9,G743,1)),"",IF((AND(FIND('112'!$M$9,G743,1)&gt;=1,$B743&gt;='112'!$N$8,$B743&lt;='112'!$O$8,OR($L743='112'!$I$6,$M743='112'!$I$6))),"x",""))</f>
        <v/>
      </c>
      <c r="S743" s="22" t="str">
        <f>IF(ISERROR(FIND('112'!$M$9,G743,1)),"",IF((AND(LEFT(G743,2)=LEFT('112'!$M$9,2),B743&lt;'112'!$N$8,$L743='112'!$I$6)),"x",""))</f>
        <v/>
      </c>
      <c r="T743" s="22" t="str">
        <f>IF(ISERROR(FIND('112'!$M$9,G743,1)),"",IF((AND(RIGHT(G743,2)=RIGHT('112'!$M$9,2),B743&lt;'112'!$N$8,$M743='112'!$I$6)),"x",""))</f>
        <v/>
      </c>
      <c r="U743" s="22" t="str">
        <f>IF(AND(B743&gt;='IN-NX'!$P$3,B743&lt;='IN-NX'!$Q$3,'IN-NX'!$D$7=D743,OR(LEFT(L743,2)="15",AND(LEFT(M743,2)&lt;&gt;"15",LEFT(M743,2)&lt;&gt;"33"))),"x","")</f>
        <v/>
      </c>
      <c r="V743" s="22" t="str">
        <f>IF(AND(OR(LEFT(TH!L743,2)="15",LEFT(TH!M743,2)="15"),'152-CT'!$J$8=TH!F743),"x","")</f>
        <v/>
      </c>
      <c r="W743" s="22" t="str">
        <f>IF(AND(OR(LEFT(TH!L743,2)="15",LEFT(TH!M743,2)="15"),TK!$E$7=TH!F743),"x","")</f>
        <v/>
      </c>
      <c r="X743" s="22" t="str">
        <f>IF(OR(TH!L743=TH!$X$7,M743=TH!$X$7),"x","")</f>
        <v/>
      </c>
      <c r="Y743" s="22" t="str">
        <f>IF(AND(B743&lt;=NKC!$N$8,B743&gt;=NKC!$M$8),"x","")</f>
        <v/>
      </c>
      <c r="Z743" s="580"/>
      <c r="AA743" s="406"/>
      <c r="AB743" s="406"/>
      <c r="AC743" s="406"/>
    </row>
    <row r="744" spans="1:31" s="130" customFormat="1" ht="15.75" customHeight="1">
      <c r="A744" s="123" t="str">
        <f>IF(B744&lt;&gt;"",IF(AND(B744&gt;=_TM1,B744&lt;=_TM2,OR(TH!L744="1111",TH!M744="1111")),TH!D744,""),"")</f>
        <v/>
      </c>
      <c r="B744" s="12">
        <f t="shared" si="27"/>
        <v>12</v>
      </c>
      <c r="C744" s="108">
        <f t="shared" si="28"/>
        <v>42726</v>
      </c>
      <c r="D744" s="108" t="s">
        <v>605</v>
      </c>
      <c r="E744" s="113">
        <v>42726</v>
      </c>
      <c r="F744" s="114" t="s">
        <v>509</v>
      </c>
      <c r="G744" s="303" t="s">
        <v>905</v>
      </c>
      <c r="H744" s="4" t="s">
        <v>371</v>
      </c>
      <c r="I744" s="140">
        <v>550</v>
      </c>
      <c r="J744" s="140">
        <v>1230</v>
      </c>
      <c r="K744" s="13">
        <f>ROUND(I744*J744,0)</f>
        <v>676500</v>
      </c>
      <c r="L744" s="116" t="s">
        <v>252</v>
      </c>
      <c r="M744" s="411" t="s">
        <v>169</v>
      </c>
      <c r="N744" s="22" t="str">
        <f>IF(AND('331-CT'!$E$7=TH!H744,OR(L744="331",M744="331")),"331",IF(AND(OR(L744="131",M744="131"),H744='131-CT'!$E$7),"131",""))</f>
        <v/>
      </c>
      <c r="O744" s="22" t="str">
        <f>IF(AND($B744&gt;='111'!$N$11,$B744&lt;='111'!$O$11,OR($L744=$O$7,$M744=$O$7)),"x","")</f>
        <v/>
      </c>
      <c r="P744" s="22" t="str">
        <f>IF(AND($L744=$O$7,$B744&lt;'111'!$N$11),"x","")</f>
        <v/>
      </c>
      <c r="Q744" s="22" t="str">
        <f>IF(AND($M744=$O$7,$B744&lt;'111'!$N$11),"x","")</f>
        <v/>
      </c>
      <c r="R744" s="22" t="str">
        <f>IF(ISERROR(FIND('112'!$M$9,G744,1)),"",IF((AND(FIND('112'!$M$9,G744,1)&gt;=1,$B744&gt;='112'!$N$8,$B744&lt;='112'!$O$8,OR($L744='112'!$I$6,$M744='112'!$I$6))),"x",""))</f>
        <v/>
      </c>
      <c r="S744" s="22" t="str">
        <f>IF(ISERROR(FIND('112'!$M$9,G744,1)),"",IF((AND(LEFT(G744,2)=LEFT('112'!$M$9,2),B744&lt;'112'!$N$8,$L744='112'!$I$6)),"x",""))</f>
        <v/>
      </c>
      <c r="T744" s="22" t="str">
        <f>IF(ISERROR(FIND('112'!$M$9,G744,1)),"",IF((AND(RIGHT(G744,2)=RIGHT('112'!$M$9,2),B744&lt;'112'!$N$8,$M744='112'!$I$6)),"x",""))</f>
        <v/>
      </c>
      <c r="U744" s="22" t="str">
        <f>IF(AND(B744&gt;='IN-NX'!$P$3,B744&lt;='IN-NX'!$Q$3,'IN-NX'!$D$7=D744,OR(LEFT(L744,2)="15",AND(LEFT(M744,2)&lt;&gt;"15",LEFT(M744,2)&lt;&gt;"33"))),"x","")</f>
        <v/>
      </c>
      <c r="V744" s="22" t="str">
        <f>IF(AND(OR(LEFT(TH!L744,2)="15",LEFT(TH!M744,2)="15"),'152-CT'!$J$8=TH!F744),"x","")</f>
        <v/>
      </c>
      <c r="W744" s="22" t="str">
        <f>IF(AND(OR(LEFT(TH!L744,2)="15",LEFT(TH!M744,2)="15"),TK!$E$7=TH!F744),"x","")</f>
        <v/>
      </c>
      <c r="X744" s="22" t="str">
        <f>IF(OR(TH!L744=TH!$X$7,M744=TH!$X$7),"x","")</f>
        <v/>
      </c>
      <c r="Y744" s="22" t="str">
        <f>IF(AND(B744&lt;=NKC!$N$8,B744&gt;=NKC!$M$8),"x","")</f>
        <v/>
      </c>
      <c r="Z744" s="580"/>
      <c r="AA744" s="406"/>
      <c r="AB744" s="406"/>
      <c r="AC744" s="406"/>
    </row>
    <row r="745" spans="1:31" s="130" customFormat="1" ht="15.75" customHeight="1">
      <c r="A745" s="123" t="str">
        <f>IF(B745&lt;&gt;"",IF(AND(B745&gt;=_TM1,B745&lt;=_TM2,OR(TH!L745="1111",TH!M745="1111")),TH!D745,""),"")</f>
        <v/>
      </c>
      <c r="B745" s="12">
        <f t="shared" si="27"/>
        <v>12</v>
      </c>
      <c r="C745" s="108">
        <f t="shared" si="28"/>
        <v>42726</v>
      </c>
      <c r="D745" s="108" t="s">
        <v>605</v>
      </c>
      <c r="E745" s="113">
        <v>42726</v>
      </c>
      <c r="F745" s="114" t="s">
        <v>908</v>
      </c>
      <c r="G745" s="303" t="s">
        <v>905</v>
      </c>
      <c r="H745" s="4" t="s">
        <v>371</v>
      </c>
      <c r="I745" s="139">
        <v>132</v>
      </c>
      <c r="J745" s="139">
        <v>1100</v>
      </c>
      <c r="K745" s="13">
        <f>ROUND(I745*J745,0)</f>
        <v>145200</v>
      </c>
      <c r="L745" s="116" t="s">
        <v>252</v>
      </c>
      <c r="M745" s="411" t="s">
        <v>169</v>
      </c>
      <c r="N745" s="22" t="str">
        <f>IF(AND('331-CT'!$E$7=TH!H745,OR(L745="331",M745="331")),"331",IF(AND(OR(L745="131",M745="131"),H745='131-CT'!$E$7),"131",""))</f>
        <v/>
      </c>
      <c r="O745" s="22" t="str">
        <f>IF(AND($B745&gt;='111'!$N$11,$B745&lt;='111'!$O$11,OR($L745=$O$7,$M745=$O$7)),"x","")</f>
        <v/>
      </c>
      <c r="P745" s="22" t="str">
        <f>IF(AND($L745=$O$7,$B745&lt;'111'!$N$11),"x","")</f>
        <v/>
      </c>
      <c r="Q745" s="22" t="str">
        <f>IF(AND($M745=$O$7,$B745&lt;'111'!$N$11),"x","")</f>
        <v/>
      </c>
      <c r="R745" s="22" t="str">
        <f>IF(ISERROR(FIND('112'!$M$9,G745,1)),"",IF((AND(FIND('112'!$M$9,G745,1)&gt;=1,$B745&gt;='112'!$N$8,$B745&lt;='112'!$O$8,OR($L745='112'!$I$6,$M745='112'!$I$6))),"x",""))</f>
        <v/>
      </c>
      <c r="S745" s="22" t="str">
        <f>IF(ISERROR(FIND('112'!$M$9,G745,1)),"",IF((AND(LEFT(G745,2)=LEFT('112'!$M$9,2),B745&lt;'112'!$N$8,$L745='112'!$I$6)),"x",""))</f>
        <v/>
      </c>
      <c r="T745" s="22" t="str">
        <f>IF(ISERROR(FIND('112'!$M$9,G745,1)),"",IF((AND(RIGHT(G745,2)=RIGHT('112'!$M$9,2),B745&lt;'112'!$N$8,$M745='112'!$I$6)),"x",""))</f>
        <v/>
      </c>
      <c r="U745" s="22" t="str">
        <f>IF(AND(B745&gt;='IN-NX'!$P$3,B745&lt;='IN-NX'!$Q$3,'IN-NX'!$D$7=D745,OR(LEFT(L745,2)="15",AND(LEFT(M745,2)&lt;&gt;"15",LEFT(M745,2)&lt;&gt;"33"))),"x","")</f>
        <v/>
      </c>
      <c r="V745" s="22" t="str">
        <f>IF(AND(OR(LEFT(TH!L745,2)="15",LEFT(TH!M745,2)="15"),'152-CT'!$J$8=TH!F745),"x","")</f>
        <v/>
      </c>
      <c r="W745" s="22" t="str">
        <f>IF(AND(OR(LEFT(TH!L745,2)="15",LEFT(TH!M745,2)="15"),TK!$E$7=TH!F745),"x","")</f>
        <v/>
      </c>
      <c r="X745" s="22" t="str">
        <f>IF(OR(TH!L745=TH!$X$7,M745=TH!$X$7),"x","")</f>
        <v/>
      </c>
      <c r="Y745" s="22" t="str">
        <f>IF(AND(B745&lt;=NKC!$N$8,B745&gt;=NKC!$M$8),"x","")</f>
        <v/>
      </c>
      <c r="Z745" s="580"/>
      <c r="AA745" s="406"/>
      <c r="AB745" s="406"/>
      <c r="AC745" s="406"/>
    </row>
    <row r="746" spans="1:31" s="130" customFormat="1" ht="15.75" customHeight="1">
      <c r="A746" s="123" t="str">
        <f>IF(B746&lt;&gt;"",IF(AND(B746&gt;=_TM1,B746&lt;=_TM2,OR(TH!L746="1111",TH!M746="1111")),TH!D746,""),"")</f>
        <v/>
      </c>
      <c r="B746" s="12">
        <f t="shared" si="27"/>
        <v>12</v>
      </c>
      <c r="C746" s="108">
        <f t="shared" si="28"/>
        <v>42726</v>
      </c>
      <c r="D746" s="108" t="s">
        <v>605</v>
      </c>
      <c r="E746" s="113">
        <v>42726</v>
      </c>
      <c r="F746" s="112" t="s">
        <v>496</v>
      </c>
      <c r="G746" s="303" t="s">
        <v>905</v>
      </c>
      <c r="H746" s="4" t="s">
        <v>371</v>
      </c>
      <c r="I746" s="140"/>
      <c r="J746" s="140"/>
      <c r="K746" s="13">
        <v>957220</v>
      </c>
      <c r="L746" s="116" t="s">
        <v>252</v>
      </c>
      <c r="M746" s="411" t="s">
        <v>352</v>
      </c>
      <c r="N746" s="22" t="str">
        <f>IF(AND('331-CT'!$E$7=TH!H746,OR(L746="331",M746="331")),"331",IF(AND(OR(L746="131",M746="131"),H746='131-CT'!$E$7),"131",""))</f>
        <v/>
      </c>
      <c r="O746" s="22" t="str">
        <f>IF(AND($B746&gt;='111'!$N$11,$B746&lt;='111'!$O$11,OR($L746=$O$7,$M746=$O$7)),"x","")</f>
        <v/>
      </c>
      <c r="P746" s="22" t="str">
        <f>IF(AND($L746=$O$7,$B746&lt;'111'!$N$11),"x","")</f>
        <v/>
      </c>
      <c r="Q746" s="22" t="str">
        <f>IF(AND($M746=$O$7,$B746&lt;'111'!$N$11),"x","")</f>
        <v/>
      </c>
      <c r="R746" s="22" t="str">
        <f>IF(ISERROR(FIND('112'!$M$9,G746,1)),"",IF((AND(FIND('112'!$M$9,G746,1)&gt;=1,$B746&gt;='112'!$N$8,$B746&lt;='112'!$O$8,OR($L746='112'!$I$6,$M746='112'!$I$6))),"x",""))</f>
        <v/>
      </c>
      <c r="S746" s="22" t="str">
        <f>IF(ISERROR(FIND('112'!$M$9,G746,1)),"",IF((AND(LEFT(G746,2)=LEFT('112'!$M$9,2),B746&lt;'112'!$N$8,$L746='112'!$I$6)),"x",""))</f>
        <v/>
      </c>
      <c r="T746" s="22" t="str">
        <f>IF(ISERROR(FIND('112'!$M$9,G746,1)),"",IF((AND(RIGHT(G746,2)=RIGHT('112'!$M$9,2),B746&lt;'112'!$N$8,$M746='112'!$I$6)),"x",""))</f>
        <v/>
      </c>
      <c r="U746" s="22" t="str">
        <f>IF(AND(B746&gt;='IN-NX'!$P$3,B746&lt;='IN-NX'!$Q$3,'IN-NX'!$D$7=D746,OR(LEFT(L746,2)="15",AND(LEFT(M746,2)&lt;&gt;"15",LEFT(M746,2)&lt;&gt;"33"))),"x","")</f>
        <v/>
      </c>
      <c r="V746" s="22" t="str">
        <f>IF(AND(OR(LEFT(TH!L746,2)="15",LEFT(TH!M746,2)="15"),'152-CT'!$J$8=TH!F746),"x","")</f>
        <v/>
      </c>
      <c r="W746" s="22" t="str">
        <f>IF(AND(OR(LEFT(TH!L746,2)="15",LEFT(TH!M746,2)="15"),TK!$E$7=TH!F746),"x","")</f>
        <v/>
      </c>
      <c r="X746" s="22" t="str">
        <f>IF(OR(TH!L746=TH!$X$7,M746=TH!$X$7),"x","")</f>
        <v/>
      </c>
      <c r="Y746" s="22" t="str">
        <f>IF(AND(B746&lt;=NKC!$N$8,B746&gt;=NKC!$M$8),"x","")</f>
        <v/>
      </c>
      <c r="Z746" s="580"/>
      <c r="AA746" s="406"/>
      <c r="AB746" s="406"/>
      <c r="AC746" s="406"/>
    </row>
    <row r="747" spans="1:31" s="406" customFormat="1" ht="15.75" customHeight="1">
      <c r="A747" s="123" t="str">
        <f>IF(B747&lt;&gt;"",IF(AND(B747&gt;=_TM1,B747&lt;=_TM2,OR(TH!L747="1111",TH!M747="1111")),TH!D747,""),"")</f>
        <v/>
      </c>
      <c r="B747" s="12">
        <f t="shared" si="27"/>
        <v>12</v>
      </c>
      <c r="C747" s="108">
        <f t="shared" si="28"/>
        <v>42726</v>
      </c>
      <c r="D747" s="108" t="s">
        <v>606</v>
      </c>
      <c r="E747" s="113">
        <v>42726</v>
      </c>
      <c r="F747" s="114" t="s">
        <v>500</v>
      </c>
      <c r="G747" s="303" t="s">
        <v>909</v>
      </c>
      <c r="H747" s="4" t="s">
        <v>371</v>
      </c>
      <c r="I747" s="139">
        <f>110+55+55+51+61+51+51+51+86</f>
        <v>571</v>
      </c>
      <c r="J747" s="139">
        <v>9530</v>
      </c>
      <c r="K747" s="13">
        <f>ROUND(I747*J747,0)</f>
        <v>5441630</v>
      </c>
      <c r="L747" s="116" t="s">
        <v>252</v>
      </c>
      <c r="M747" s="411" t="s">
        <v>169</v>
      </c>
      <c r="N747" s="22" t="str">
        <f>IF(AND('331-CT'!$E$7=TH!H747,OR(L747="331",M747="331")),"331",IF(AND(OR(L747="131",M747="131"),H747='131-CT'!$E$7),"131",""))</f>
        <v/>
      </c>
      <c r="O747" s="22" t="str">
        <f>IF(AND($B747&gt;='111'!$N$11,$B747&lt;='111'!$O$11,OR($L747=$O$7,$M747=$O$7)),"x","")</f>
        <v/>
      </c>
      <c r="P747" s="22" t="str">
        <f>IF(AND($L747=$O$7,$B747&lt;'111'!$N$11),"x","")</f>
        <v/>
      </c>
      <c r="Q747" s="22" t="str">
        <f>IF(AND($M747=$O$7,$B747&lt;'111'!$N$11),"x","")</f>
        <v/>
      </c>
      <c r="R747" s="22" t="str">
        <f>IF(ISERROR(FIND('112'!$M$9,G747,1)),"",IF((AND(FIND('112'!$M$9,G747,1)&gt;=1,$B747&gt;='112'!$N$8,$B747&lt;='112'!$O$8,OR($L747='112'!$I$6,$M747='112'!$I$6))),"x",""))</f>
        <v/>
      </c>
      <c r="S747" s="22" t="str">
        <f>IF(ISERROR(FIND('112'!$M$9,G747,1)),"",IF((AND(LEFT(G747,2)=LEFT('112'!$M$9,2),B747&lt;'112'!$N$8,$L747='112'!$I$6)),"x",""))</f>
        <v/>
      </c>
      <c r="T747" s="22" t="str">
        <f>IF(ISERROR(FIND('112'!$M$9,G747,1)),"",IF((AND(RIGHT(G747,2)=RIGHT('112'!$M$9,2),B747&lt;'112'!$N$8,$M747='112'!$I$6)),"x",""))</f>
        <v/>
      </c>
      <c r="U747" s="22" t="str">
        <f>IF(AND(B747&gt;='IN-NX'!$P$3,B747&lt;='IN-NX'!$Q$3,'IN-NX'!$D$7=D747,OR(LEFT(L747,2)="15",AND(LEFT(M747,2)&lt;&gt;"15",LEFT(M747,2)&lt;&gt;"33"))),"x","")</f>
        <v/>
      </c>
      <c r="V747" s="22" t="str">
        <f>IF(AND(OR(LEFT(TH!L747,2)="15",LEFT(TH!M747,2)="15"),'152-CT'!$J$8=TH!F747),"x","")</f>
        <v/>
      </c>
      <c r="W747" s="22" t="str">
        <f>IF(AND(OR(LEFT(TH!L747,2)="15",LEFT(TH!M747,2)="15"),TK!$E$7=TH!F747),"x","")</f>
        <v/>
      </c>
      <c r="X747" s="22" t="str">
        <f>IF(OR(TH!L747=TH!$X$7,M747=TH!$X$7),"x","")</f>
        <v/>
      </c>
      <c r="Y747" s="22" t="str">
        <f>IF(AND(B747&lt;=NKC!$N$8,B747&gt;=NKC!$M$8),"x","")</f>
        <v/>
      </c>
      <c r="Z747" s="580"/>
      <c r="AD747" s="130"/>
      <c r="AE747" s="130"/>
    </row>
    <row r="748" spans="1:31" s="130" customFormat="1" ht="15.75" customHeight="1">
      <c r="A748" s="123" t="str">
        <f>IF(B748&lt;&gt;"",IF(AND(B748&gt;=_TM1,B748&lt;=_TM2,OR(TH!L748="1111",TH!M748="1111")),TH!D748,""),"")</f>
        <v/>
      </c>
      <c r="B748" s="12">
        <f t="shared" si="27"/>
        <v>12</v>
      </c>
      <c r="C748" s="108">
        <f t="shared" si="28"/>
        <v>42726</v>
      </c>
      <c r="D748" s="108" t="s">
        <v>606</v>
      </c>
      <c r="E748" s="113">
        <v>42726</v>
      </c>
      <c r="F748" s="112" t="s">
        <v>496</v>
      </c>
      <c r="G748" s="303" t="s">
        <v>909</v>
      </c>
      <c r="H748" s="4" t="s">
        <v>371</v>
      </c>
      <c r="I748" s="139"/>
      <c r="J748" s="139"/>
      <c r="K748" s="13">
        <v>544163</v>
      </c>
      <c r="L748" s="116" t="s">
        <v>252</v>
      </c>
      <c r="M748" s="411" t="s">
        <v>352</v>
      </c>
      <c r="N748" s="22" t="str">
        <f>IF(AND('331-CT'!$E$7=TH!H748,OR(L748="331",M748="331")),"331",IF(AND(OR(L748="131",M748="131"),H748='131-CT'!$E$7),"131",""))</f>
        <v/>
      </c>
      <c r="O748" s="22" t="str">
        <f>IF(AND($B748&gt;='111'!$N$11,$B748&lt;='111'!$O$11,OR($L748=$O$7,$M748=$O$7)),"x","")</f>
        <v/>
      </c>
      <c r="P748" s="22" t="str">
        <f>IF(AND($L748=$O$7,$B748&lt;'111'!$N$11),"x","")</f>
        <v/>
      </c>
      <c r="Q748" s="22" t="str">
        <f>IF(AND($M748=$O$7,$B748&lt;'111'!$N$11),"x","")</f>
        <v/>
      </c>
      <c r="R748" s="22" t="str">
        <f>IF(ISERROR(FIND('112'!$M$9,G748,1)),"",IF((AND(FIND('112'!$M$9,G748,1)&gt;=1,$B748&gt;='112'!$N$8,$B748&lt;='112'!$O$8,OR($L748='112'!$I$6,$M748='112'!$I$6))),"x",""))</f>
        <v/>
      </c>
      <c r="S748" s="22" t="str">
        <f>IF(ISERROR(FIND('112'!$M$9,G748,1)),"",IF((AND(LEFT(G748,2)=LEFT('112'!$M$9,2),B748&lt;'112'!$N$8,$L748='112'!$I$6)),"x",""))</f>
        <v/>
      </c>
      <c r="T748" s="22" t="str">
        <f>IF(ISERROR(FIND('112'!$M$9,G748,1)),"",IF((AND(RIGHT(G748,2)=RIGHT('112'!$M$9,2),B748&lt;'112'!$N$8,$M748='112'!$I$6)),"x",""))</f>
        <v/>
      </c>
      <c r="U748" s="22" t="str">
        <f>IF(AND(B748&gt;='IN-NX'!$P$3,B748&lt;='IN-NX'!$Q$3,'IN-NX'!$D$7=D748,OR(LEFT(L748,2)="15",AND(LEFT(M748,2)&lt;&gt;"15",LEFT(M748,2)&lt;&gt;"33"))),"x","")</f>
        <v/>
      </c>
      <c r="V748" s="22" t="str">
        <f>IF(AND(OR(LEFT(TH!L748,2)="15",LEFT(TH!M748,2)="15"),'152-CT'!$J$8=TH!F748),"x","")</f>
        <v/>
      </c>
      <c r="W748" s="22" t="str">
        <f>IF(AND(OR(LEFT(TH!L748,2)="15",LEFT(TH!M748,2)="15"),TK!$E$7=TH!F748),"x","")</f>
        <v/>
      </c>
      <c r="X748" s="22" t="str">
        <f>IF(OR(TH!L748=TH!$X$7,M748=TH!$X$7),"x","")</f>
        <v/>
      </c>
      <c r="Y748" s="22" t="str">
        <f>IF(AND(B748&lt;=NKC!$N$8,B748&gt;=NKC!$M$8),"x","")</f>
        <v/>
      </c>
      <c r="Z748" s="580"/>
      <c r="AA748" s="406"/>
      <c r="AB748" s="406"/>
      <c r="AC748" s="406"/>
    </row>
    <row r="749" spans="1:31" s="130" customFormat="1" ht="15.75" customHeight="1">
      <c r="A749" s="123" t="str">
        <f>IF(B749&lt;&gt;"",IF(AND(B749&gt;=_TM1,B749&lt;=_TM2,OR(TH!L749="1111",TH!M749="1111")),TH!D749,""),"")</f>
        <v/>
      </c>
      <c r="B749" s="12">
        <f t="shared" si="27"/>
        <v>12</v>
      </c>
      <c r="C749" s="108">
        <f t="shared" si="28"/>
        <v>42726</v>
      </c>
      <c r="D749" s="108" t="s">
        <v>607</v>
      </c>
      <c r="E749" s="113">
        <v>42726</v>
      </c>
      <c r="F749" s="114" t="s">
        <v>500</v>
      </c>
      <c r="G749" s="303" t="s">
        <v>910</v>
      </c>
      <c r="H749" s="4" t="s">
        <v>371</v>
      </c>
      <c r="I749" s="139">
        <f>51+51+76+101+151+51+101+51</f>
        <v>633</v>
      </c>
      <c r="J749" s="139">
        <v>9530</v>
      </c>
      <c r="K749" s="13">
        <f>ROUND(I749*J749,0)</f>
        <v>6032490</v>
      </c>
      <c r="L749" s="116" t="s">
        <v>252</v>
      </c>
      <c r="M749" s="411" t="s">
        <v>169</v>
      </c>
      <c r="N749" s="22" t="str">
        <f>IF(AND('331-CT'!$E$7=TH!H749,OR(L749="331",M749="331")),"331",IF(AND(OR(L749="131",M749="131"),H749='131-CT'!$E$7),"131",""))</f>
        <v/>
      </c>
      <c r="O749" s="22" t="str">
        <f>IF(AND($B749&gt;='111'!$N$11,$B749&lt;='111'!$O$11,OR($L749=$O$7,$M749=$O$7)),"x","")</f>
        <v/>
      </c>
      <c r="P749" s="22" t="str">
        <f>IF(AND($L749=$O$7,$B749&lt;'111'!$N$11),"x","")</f>
        <v/>
      </c>
      <c r="Q749" s="22" t="str">
        <f>IF(AND($M749=$O$7,$B749&lt;'111'!$N$11),"x","")</f>
        <v/>
      </c>
      <c r="R749" s="22" t="str">
        <f>IF(ISERROR(FIND('112'!$M$9,G749,1)),"",IF((AND(FIND('112'!$M$9,G749,1)&gt;=1,$B749&gt;='112'!$N$8,$B749&lt;='112'!$O$8,OR($L749='112'!$I$6,$M749='112'!$I$6))),"x",""))</f>
        <v/>
      </c>
      <c r="S749" s="22" t="str">
        <f>IF(ISERROR(FIND('112'!$M$9,G749,1)),"",IF((AND(LEFT(G749,2)=LEFT('112'!$M$9,2),B749&lt;'112'!$N$8,$L749='112'!$I$6)),"x",""))</f>
        <v/>
      </c>
      <c r="T749" s="22" t="str">
        <f>IF(ISERROR(FIND('112'!$M$9,G749,1)),"",IF((AND(RIGHT(G749,2)=RIGHT('112'!$M$9,2),B749&lt;'112'!$N$8,$M749='112'!$I$6)),"x",""))</f>
        <v/>
      </c>
      <c r="U749" s="22" t="str">
        <f>IF(AND(B749&gt;='IN-NX'!$P$3,B749&lt;='IN-NX'!$Q$3,'IN-NX'!$D$7=D749,OR(LEFT(L749,2)="15",AND(LEFT(M749,2)&lt;&gt;"15",LEFT(M749,2)&lt;&gt;"33"))),"x","")</f>
        <v/>
      </c>
      <c r="V749" s="22" t="str">
        <f>IF(AND(OR(LEFT(TH!L749,2)="15",LEFT(TH!M749,2)="15"),'152-CT'!$J$8=TH!F749),"x","")</f>
        <v/>
      </c>
      <c r="W749" s="22" t="str">
        <f>IF(AND(OR(LEFT(TH!L749,2)="15",LEFT(TH!M749,2)="15"),TK!$E$7=TH!F749),"x","")</f>
        <v/>
      </c>
      <c r="X749" s="22" t="str">
        <f>IF(OR(TH!L749=TH!$X$7,M749=TH!$X$7),"x","")</f>
        <v/>
      </c>
      <c r="Y749" s="22" t="str">
        <f>IF(AND(B749&lt;=NKC!$N$8,B749&gt;=NKC!$M$8),"x","")</f>
        <v/>
      </c>
      <c r="Z749" s="580"/>
      <c r="AA749" s="406"/>
      <c r="AB749" s="406"/>
    </row>
    <row r="750" spans="1:31" s="130" customFormat="1" ht="15.75" customHeight="1">
      <c r="A750" s="123" t="str">
        <f>IF(B750&lt;&gt;"",IF(AND(B750&gt;=_TM1,B750&lt;=_TM2,OR(TH!L750="1111",TH!M750="1111")),TH!D750,""),"")</f>
        <v/>
      </c>
      <c r="B750" s="12">
        <f t="shared" si="27"/>
        <v>12</v>
      </c>
      <c r="C750" s="108">
        <f t="shared" si="28"/>
        <v>42726</v>
      </c>
      <c r="D750" s="108" t="s">
        <v>607</v>
      </c>
      <c r="E750" s="113">
        <v>42726</v>
      </c>
      <c r="F750" s="112" t="s">
        <v>496</v>
      </c>
      <c r="G750" s="303" t="s">
        <v>910</v>
      </c>
      <c r="H750" s="4" t="s">
        <v>371</v>
      </c>
      <c r="I750" s="139"/>
      <c r="J750" s="139"/>
      <c r="K750" s="13">
        <v>603249</v>
      </c>
      <c r="L750" s="116" t="s">
        <v>252</v>
      </c>
      <c r="M750" s="411" t="s">
        <v>352</v>
      </c>
      <c r="N750" s="22" t="str">
        <f>IF(AND('331-CT'!$E$7=TH!H750,OR(L750="331",M750="331")),"331",IF(AND(OR(L750="131",M750="131"),H750='131-CT'!$E$7),"131",""))</f>
        <v/>
      </c>
      <c r="O750" s="22" t="str">
        <f>IF(AND($B750&gt;='111'!$N$11,$B750&lt;='111'!$O$11,OR($L750=$O$7,$M750=$O$7)),"x","")</f>
        <v/>
      </c>
      <c r="P750" s="22" t="str">
        <f>IF(AND($L750=$O$7,$B750&lt;'111'!$N$11),"x","")</f>
        <v/>
      </c>
      <c r="Q750" s="22" t="str">
        <f>IF(AND($M750=$O$7,$B750&lt;'111'!$N$11),"x","")</f>
        <v/>
      </c>
      <c r="R750" s="22" t="str">
        <f>IF(ISERROR(FIND('112'!$M$9,G750,1)),"",IF((AND(FIND('112'!$M$9,G750,1)&gt;=1,$B750&gt;='112'!$N$8,$B750&lt;='112'!$O$8,OR($L750='112'!$I$6,$M750='112'!$I$6))),"x",""))</f>
        <v/>
      </c>
      <c r="S750" s="22" t="str">
        <f>IF(ISERROR(FIND('112'!$M$9,G750,1)),"",IF((AND(LEFT(G750,2)=LEFT('112'!$M$9,2),B750&lt;'112'!$N$8,$L750='112'!$I$6)),"x",""))</f>
        <v/>
      </c>
      <c r="T750" s="22" t="str">
        <f>IF(ISERROR(FIND('112'!$M$9,G750,1)),"",IF((AND(RIGHT(G750,2)=RIGHT('112'!$M$9,2),B750&lt;'112'!$N$8,$M750='112'!$I$6)),"x",""))</f>
        <v/>
      </c>
      <c r="U750" s="22" t="str">
        <f>IF(AND(B750&gt;='IN-NX'!$P$3,B750&lt;='IN-NX'!$Q$3,'IN-NX'!$D$7=D750,OR(LEFT(L750,2)="15",AND(LEFT(M750,2)&lt;&gt;"15",LEFT(M750,2)&lt;&gt;"33"))),"x","")</f>
        <v/>
      </c>
      <c r="V750" s="22" t="str">
        <f>IF(AND(OR(LEFT(TH!L750,2)="15",LEFT(TH!M750,2)="15"),'152-CT'!$J$8=TH!F750),"x","")</f>
        <v/>
      </c>
      <c r="W750" s="22" t="str">
        <f>IF(AND(OR(LEFT(TH!L750,2)="15",LEFT(TH!M750,2)="15"),TK!$E$7=TH!F750),"x","")</f>
        <v/>
      </c>
      <c r="X750" s="22" t="str">
        <f>IF(OR(TH!L750=TH!$X$7,M750=TH!$X$7),"x","")</f>
        <v/>
      </c>
      <c r="Y750" s="22" t="str">
        <f>IF(AND(B750&lt;=NKC!$N$8,B750&gt;=NKC!$M$8),"x","")</f>
        <v/>
      </c>
      <c r="Z750" s="580"/>
      <c r="AA750" s="406"/>
      <c r="AB750" s="406"/>
      <c r="AC750" s="406"/>
    </row>
    <row r="751" spans="1:31" s="406" customFormat="1" ht="15.75" customHeight="1">
      <c r="A751" s="123" t="str">
        <f>IF(B751&lt;&gt;"",IF(AND(B751&gt;=_TM1,B751&lt;=_TM2,OR(TH!L751="1111",TH!M751="1111")),TH!D751,""),"")</f>
        <v/>
      </c>
      <c r="B751" s="12">
        <f t="shared" si="27"/>
        <v>12</v>
      </c>
      <c r="C751" s="108">
        <f t="shared" si="28"/>
        <v>42726</v>
      </c>
      <c r="D751" s="108" t="s">
        <v>608</v>
      </c>
      <c r="E751" s="113">
        <v>42726</v>
      </c>
      <c r="F751" s="114" t="s">
        <v>529</v>
      </c>
      <c r="G751" s="303" t="s">
        <v>911</v>
      </c>
      <c r="H751" s="4" t="s">
        <v>369</v>
      </c>
      <c r="I751" s="140">
        <v>288</v>
      </c>
      <c r="J751" s="140">
        <v>47449</v>
      </c>
      <c r="K751" s="13">
        <f>ROUND(I751*J751,0)</f>
        <v>13665312</v>
      </c>
      <c r="L751" s="116" t="s">
        <v>252</v>
      </c>
      <c r="M751" s="411" t="s">
        <v>169</v>
      </c>
      <c r="N751" s="22" t="str">
        <f>IF(AND('331-CT'!$E$7=TH!H751,OR(L751="331",M751="331")),"331",IF(AND(OR(L751="131",M751="131"),H751='131-CT'!$E$7),"131",""))</f>
        <v>131</v>
      </c>
      <c r="O751" s="22" t="str">
        <f>IF(AND($B751&gt;='111'!$N$11,$B751&lt;='111'!$O$11,OR($L751=$O$7,$M751=$O$7)),"x","")</f>
        <v/>
      </c>
      <c r="P751" s="22" t="str">
        <f>IF(AND($L751=$O$7,$B751&lt;'111'!$N$11),"x","")</f>
        <v/>
      </c>
      <c r="Q751" s="22" t="str">
        <f>IF(AND($M751=$O$7,$B751&lt;'111'!$N$11),"x","")</f>
        <v/>
      </c>
      <c r="R751" s="22" t="str">
        <f>IF(ISERROR(FIND('112'!$M$9,G751,1)),"",IF((AND(FIND('112'!$M$9,G751,1)&gt;=1,$B751&gt;='112'!$N$8,$B751&lt;='112'!$O$8,OR($L751='112'!$I$6,$M751='112'!$I$6))),"x",""))</f>
        <v/>
      </c>
      <c r="S751" s="22" t="str">
        <f>IF(ISERROR(FIND('112'!$M$9,G751,1)),"",IF((AND(LEFT(G751,2)=LEFT('112'!$M$9,2),B751&lt;'112'!$N$8,$L751='112'!$I$6)),"x",""))</f>
        <v/>
      </c>
      <c r="T751" s="22" t="str">
        <f>IF(ISERROR(FIND('112'!$M$9,G751,1)),"",IF((AND(RIGHT(G751,2)=RIGHT('112'!$M$9,2),B751&lt;'112'!$N$8,$M751='112'!$I$6)),"x",""))</f>
        <v/>
      </c>
      <c r="U751" s="22" t="str">
        <f>IF(AND(B751&gt;='IN-NX'!$P$3,B751&lt;='IN-NX'!$Q$3,'IN-NX'!$D$7=D751,OR(LEFT(L751,2)="15",AND(LEFT(M751,2)&lt;&gt;"15",LEFT(M751,2)&lt;&gt;"33"))),"x","")</f>
        <v/>
      </c>
      <c r="V751" s="22" t="str">
        <f>IF(AND(OR(LEFT(TH!L751,2)="15",LEFT(TH!M751,2)="15"),'152-CT'!$J$8=TH!F751),"x","")</f>
        <v/>
      </c>
      <c r="W751" s="22" t="str">
        <f>IF(AND(OR(LEFT(TH!L751,2)="15",LEFT(TH!M751,2)="15"),TK!$E$7=TH!F751),"x","")</f>
        <v/>
      </c>
      <c r="X751" s="22" t="str">
        <f>IF(OR(TH!L751=TH!$X$7,M751=TH!$X$7),"x","")</f>
        <v/>
      </c>
      <c r="Y751" s="22" t="str">
        <f>IF(AND(B751&lt;=NKC!$N$8,B751&gt;=NKC!$M$8),"x","")</f>
        <v/>
      </c>
      <c r="Z751" s="580"/>
      <c r="AD751" s="130"/>
      <c r="AE751" s="130"/>
    </row>
    <row r="752" spans="1:31" s="130" customFormat="1" ht="15.75" customHeight="1">
      <c r="A752" s="123" t="str">
        <f>IF(B752&lt;&gt;"",IF(AND(B752&gt;=_TM1,B752&lt;=_TM2,OR(TH!L752="1111",TH!M752="1111")),TH!D752,""),"")</f>
        <v/>
      </c>
      <c r="B752" s="12">
        <f t="shared" si="27"/>
        <v>12</v>
      </c>
      <c r="C752" s="108">
        <f t="shared" si="28"/>
        <v>42726</v>
      </c>
      <c r="D752" s="108" t="s">
        <v>608</v>
      </c>
      <c r="E752" s="113">
        <v>42726</v>
      </c>
      <c r="F752" s="114" t="s">
        <v>912</v>
      </c>
      <c r="G752" s="303" t="s">
        <v>911</v>
      </c>
      <c r="H752" s="4" t="s">
        <v>369</v>
      </c>
      <c r="I752" s="139">
        <v>24</v>
      </c>
      <c r="J752" s="139">
        <v>35000</v>
      </c>
      <c r="K752" s="13">
        <f>ROUND(I752*J752,0)</f>
        <v>840000</v>
      </c>
      <c r="L752" s="116" t="s">
        <v>252</v>
      </c>
      <c r="M752" s="411" t="s">
        <v>169</v>
      </c>
      <c r="N752" s="22" t="str">
        <f>IF(AND('331-CT'!$E$7=TH!H752,OR(L752="331",M752="331")),"331",IF(AND(OR(L752="131",M752="131"),H752='131-CT'!$E$7),"131",""))</f>
        <v>131</v>
      </c>
      <c r="O752" s="22" t="str">
        <f>IF(AND($B752&gt;='111'!$N$11,$B752&lt;='111'!$O$11,OR($L752=$O$7,$M752=$O$7)),"x","")</f>
        <v/>
      </c>
      <c r="P752" s="22" t="str">
        <f>IF(AND($L752=$O$7,$B752&lt;'111'!$N$11),"x","")</f>
        <v/>
      </c>
      <c r="Q752" s="22" t="str">
        <f>IF(AND($M752=$O$7,$B752&lt;'111'!$N$11),"x","")</f>
        <v/>
      </c>
      <c r="R752" s="22" t="str">
        <f>IF(ISERROR(FIND('112'!$M$9,G752,1)),"",IF((AND(FIND('112'!$M$9,G752,1)&gt;=1,$B752&gt;='112'!$N$8,$B752&lt;='112'!$O$8,OR($L752='112'!$I$6,$M752='112'!$I$6))),"x",""))</f>
        <v/>
      </c>
      <c r="S752" s="22" t="str">
        <f>IF(ISERROR(FIND('112'!$M$9,G752,1)),"",IF((AND(LEFT(G752,2)=LEFT('112'!$M$9,2),B752&lt;'112'!$N$8,$L752='112'!$I$6)),"x",""))</f>
        <v/>
      </c>
      <c r="T752" s="22" t="str">
        <f>IF(ISERROR(FIND('112'!$M$9,G752,1)),"",IF((AND(RIGHT(G752,2)=RIGHT('112'!$M$9,2),B752&lt;'112'!$N$8,$M752='112'!$I$6)),"x",""))</f>
        <v/>
      </c>
      <c r="U752" s="22" t="str">
        <f>IF(AND(B752&gt;='IN-NX'!$P$3,B752&lt;='IN-NX'!$Q$3,'IN-NX'!$D$7=D752,OR(LEFT(L752,2)="15",AND(LEFT(M752,2)&lt;&gt;"15",LEFT(M752,2)&lt;&gt;"33"))),"x","")</f>
        <v/>
      </c>
      <c r="V752" s="22" t="str">
        <f>IF(AND(OR(LEFT(TH!L752,2)="15",LEFT(TH!M752,2)="15"),'152-CT'!$J$8=TH!F752),"x","")</f>
        <v/>
      </c>
      <c r="W752" s="22" t="str">
        <f>IF(AND(OR(LEFT(TH!L752,2)="15",LEFT(TH!M752,2)="15"),TK!$E$7=TH!F752),"x","")</f>
        <v/>
      </c>
      <c r="X752" s="22" t="str">
        <f>IF(OR(TH!L752=TH!$X$7,M752=TH!$X$7),"x","")</f>
        <v/>
      </c>
      <c r="Y752" s="22" t="str">
        <f>IF(AND(B752&lt;=NKC!$N$8,B752&gt;=NKC!$M$8),"x","")</f>
        <v/>
      </c>
      <c r="Z752" s="580"/>
      <c r="AA752" s="406"/>
      <c r="AB752" s="406"/>
      <c r="AC752" s="406"/>
    </row>
    <row r="753" spans="1:31" s="130" customFormat="1" ht="15.75" customHeight="1">
      <c r="A753" s="123" t="str">
        <f>IF(B753&lt;&gt;"",IF(AND(B753&gt;=_TM1,B753&lt;=_TM2,OR(TH!L753="1111",TH!M753="1111")),TH!D753,""),"")</f>
        <v/>
      </c>
      <c r="B753" s="12">
        <f t="shared" si="27"/>
        <v>12</v>
      </c>
      <c r="C753" s="108">
        <f t="shared" si="28"/>
        <v>42726</v>
      </c>
      <c r="D753" s="108" t="s">
        <v>608</v>
      </c>
      <c r="E753" s="113">
        <v>42726</v>
      </c>
      <c r="F753" s="112" t="s">
        <v>496</v>
      </c>
      <c r="G753" s="303" t="s">
        <v>911</v>
      </c>
      <c r="H753" s="4" t="s">
        <v>369</v>
      </c>
      <c r="I753" s="139"/>
      <c r="J753" s="139"/>
      <c r="K753" s="13">
        <v>1450531</v>
      </c>
      <c r="L753" s="116" t="s">
        <v>252</v>
      </c>
      <c r="M753" s="411" t="s">
        <v>352</v>
      </c>
      <c r="N753" s="22" t="str">
        <f>IF(AND('331-CT'!$E$7=TH!H753,OR(L753="331",M753="331")),"331",IF(AND(OR(L753="131",M753="131"),H753='131-CT'!$E$7),"131",""))</f>
        <v>131</v>
      </c>
      <c r="O753" s="22" t="str">
        <f>IF(AND($B753&gt;='111'!$N$11,$B753&lt;='111'!$O$11,OR($L753=$O$7,$M753=$O$7)),"x","")</f>
        <v/>
      </c>
      <c r="P753" s="22" t="str">
        <f>IF(AND($L753=$O$7,$B753&lt;'111'!$N$11),"x","")</f>
        <v/>
      </c>
      <c r="Q753" s="22" t="str">
        <f>IF(AND($M753=$O$7,$B753&lt;'111'!$N$11),"x","")</f>
        <v/>
      </c>
      <c r="R753" s="22" t="str">
        <f>IF(ISERROR(FIND('112'!$M$9,G753,1)),"",IF((AND(FIND('112'!$M$9,G753,1)&gt;=1,$B753&gt;='112'!$N$8,$B753&lt;='112'!$O$8,OR($L753='112'!$I$6,$M753='112'!$I$6))),"x",""))</f>
        <v/>
      </c>
      <c r="S753" s="22" t="str">
        <f>IF(ISERROR(FIND('112'!$M$9,G753,1)),"",IF((AND(LEFT(G753,2)=LEFT('112'!$M$9,2),B753&lt;'112'!$N$8,$L753='112'!$I$6)),"x",""))</f>
        <v/>
      </c>
      <c r="T753" s="22" t="str">
        <f>IF(ISERROR(FIND('112'!$M$9,G753,1)),"",IF((AND(RIGHT(G753,2)=RIGHT('112'!$M$9,2),B753&lt;'112'!$N$8,$M753='112'!$I$6)),"x",""))</f>
        <v/>
      </c>
      <c r="U753" s="22" t="str">
        <f>IF(AND(B753&gt;='IN-NX'!$P$3,B753&lt;='IN-NX'!$Q$3,'IN-NX'!$D$7=D753,OR(LEFT(L753,2)="15",AND(LEFT(M753,2)&lt;&gt;"15",LEFT(M753,2)&lt;&gt;"33"))),"x","")</f>
        <v/>
      </c>
      <c r="V753" s="22" t="str">
        <f>IF(AND(OR(LEFT(TH!L753,2)="15",LEFT(TH!M753,2)="15"),'152-CT'!$J$8=TH!F753),"x","")</f>
        <v/>
      </c>
      <c r="W753" s="22" t="str">
        <f>IF(AND(OR(LEFT(TH!L753,2)="15",LEFT(TH!M753,2)="15"),TK!$E$7=TH!F753),"x","")</f>
        <v/>
      </c>
      <c r="X753" s="22" t="str">
        <f>IF(OR(TH!L753=TH!$X$7,M753=TH!$X$7),"x","")</f>
        <v/>
      </c>
      <c r="Y753" s="22" t="str">
        <f>IF(AND(B753&lt;=NKC!$N$8,B753&gt;=NKC!$M$8),"x","")</f>
        <v/>
      </c>
      <c r="Z753" s="580"/>
      <c r="AA753" s="406"/>
      <c r="AB753" s="406"/>
      <c r="AC753" s="406"/>
    </row>
    <row r="754" spans="1:31" s="130" customFormat="1" ht="15.75" customHeight="1">
      <c r="A754" s="123" t="str">
        <f>IF(B754&lt;&gt;"",IF(AND(B754&gt;=_TM1,B754&lt;=_TM2,OR(TH!L754="1111",TH!M754="1111")),TH!D754,""),"")</f>
        <v/>
      </c>
      <c r="B754" s="12">
        <f t="shared" si="27"/>
        <v>12</v>
      </c>
      <c r="C754" s="108">
        <f t="shared" si="28"/>
        <v>42726</v>
      </c>
      <c r="D754" s="108" t="s">
        <v>609</v>
      </c>
      <c r="E754" s="113">
        <v>42726</v>
      </c>
      <c r="F754" s="112" t="s">
        <v>813</v>
      </c>
      <c r="G754" s="303" t="s">
        <v>913</v>
      </c>
      <c r="H754" s="4" t="s">
        <v>814</v>
      </c>
      <c r="I754" s="139">
        <v>550</v>
      </c>
      <c r="J754" s="139">
        <v>7500</v>
      </c>
      <c r="K754" s="13">
        <f>ROUND(I754*J754,0)</f>
        <v>4125000</v>
      </c>
      <c r="L754" s="116" t="s">
        <v>252</v>
      </c>
      <c r="M754" s="411" t="s">
        <v>169</v>
      </c>
      <c r="N754" s="22" t="str">
        <f>IF(AND('331-CT'!$E$7=TH!H754,OR(L754="331",M754="331")),"331",IF(AND(OR(L754="131",M754="131"),H754='131-CT'!$E$7),"131",""))</f>
        <v/>
      </c>
      <c r="O754" s="22" t="str">
        <f>IF(AND($B754&gt;='111'!$N$11,$B754&lt;='111'!$O$11,OR($L754=$O$7,$M754=$O$7)),"x","")</f>
        <v/>
      </c>
      <c r="P754" s="22" t="str">
        <f>IF(AND($L754=$O$7,$B754&lt;'111'!$N$11),"x","")</f>
        <v/>
      </c>
      <c r="Q754" s="22" t="str">
        <f>IF(AND($M754=$O$7,$B754&lt;'111'!$N$11),"x","")</f>
        <v/>
      </c>
      <c r="R754" s="22" t="str">
        <f>IF(ISERROR(FIND('112'!$M$9,G754,1)),"",IF((AND(FIND('112'!$M$9,G754,1)&gt;=1,$B754&gt;='112'!$N$8,$B754&lt;='112'!$O$8,OR($L754='112'!$I$6,$M754='112'!$I$6))),"x",""))</f>
        <v/>
      </c>
      <c r="S754" s="22" t="str">
        <f>IF(ISERROR(FIND('112'!$M$9,G754,1)),"",IF((AND(LEFT(G754,2)=LEFT('112'!$M$9,2),B754&lt;'112'!$N$8,$L754='112'!$I$6)),"x",""))</f>
        <v/>
      </c>
      <c r="T754" s="22" t="str">
        <f>IF(ISERROR(FIND('112'!$M$9,G754,1)),"",IF((AND(RIGHT(G754,2)=RIGHT('112'!$M$9,2),B754&lt;'112'!$N$8,$M754='112'!$I$6)),"x",""))</f>
        <v/>
      </c>
      <c r="U754" s="22" t="str">
        <f>IF(AND(B754&gt;='IN-NX'!$P$3,B754&lt;='IN-NX'!$Q$3,'IN-NX'!$D$7=D754,OR(LEFT(L754,2)="15",AND(LEFT(M754,2)&lt;&gt;"15",LEFT(M754,2)&lt;&gt;"33"))),"x","")</f>
        <v/>
      </c>
      <c r="V754" s="22" t="str">
        <f>IF(AND(OR(LEFT(TH!L754,2)="15",LEFT(TH!M754,2)="15"),'152-CT'!$J$8=TH!F754),"x","")</f>
        <v/>
      </c>
      <c r="W754" s="22" t="str">
        <f>IF(AND(OR(LEFT(TH!L754,2)="15",LEFT(TH!M754,2)="15"),TK!$E$7=TH!F754),"x","")</f>
        <v/>
      </c>
      <c r="X754" s="22" t="str">
        <f>IF(OR(TH!L754=TH!$X$7,M754=TH!$X$7),"x","")</f>
        <v/>
      </c>
      <c r="Y754" s="22" t="str">
        <f>IF(AND(B754&lt;=NKC!$N$8,B754&gt;=NKC!$M$8),"x","")</f>
        <v/>
      </c>
      <c r="Z754" s="580"/>
      <c r="AA754" s="406"/>
      <c r="AB754" s="406"/>
    </row>
    <row r="755" spans="1:31" s="130" customFormat="1" ht="15.75" customHeight="1">
      <c r="A755" s="123" t="str">
        <f>IF(B755&lt;&gt;"",IF(AND(B755&gt;=_TM1,B755&lt;=_TM2,OR(TH!L755="1111",TH!M755="1111")),TH!D755,""),"")</f>
        <v/>
      </c>
      <c r="B755" s="12">
        <f t="shared" si="27"/>
        <v>12</v>
      </c>
      <c r="C755" s="108">
        <f t="shared" si="28"/>
        <v>42726</v>
      </c>
      <c r="D755" s="108" t="s">
        <v>609</v>
      </c>
      <c r="E755" s="113">
        <v>42726</v>
      </c>
      <c r="F755" s="112" t="s">
        <v>496</v>
      </c>
      <c r="G755" s="303" t="s">
        <v>913</v>
      </c>
      <c r="H755" s="4" t="s">
        <v>814</v>
      </c>
      <c r="I755" s="139"/>
      <c r="J755" s="139"/>
      <c r="K755" s="13">
        <v>412500</v>
      </c>
      <c r="L755" s="116" t="s">
        <v>252</v>
      </c>
      <c r="M755" s="411" t="s">
        <v>352</v>
      </c>
      <c r="N755" s="22" t="str">
        <f>IF(AND('331-CT'!$E$7=TH!H755,OR(L755="331",M755="331")),"331",IF(AND(OR(L755="131",M755="131"),H755='131-CT'!$E$7),"131",""))</f>
        <v/>
      </c>
      <c r="O755" s="22" t="str">
        <f>IF(AND($B755&gt;='111'!$N$11,$B755&lt;='111'!$O$11,OR($L755=$O$7,$M755=$O$7)),"x","")</f>
        <v/>
      </c>
      <c r="P755" s="22" t="str">
        <f>IF(AND($L755=$O$7,$B755&lt;'111'!$N$11),"x","")</f>
        <v/>
      </c>
      <c r="Q755" s="22" t="str">
        <f>IF(AND($M755=$O$7,$B755&lt;'111'!$N$11),"x","")</f>
        <v/>
      </c>
      <c r="R755" s="22" t="str">
        <f>IF(ISERROR(FIND('112'!$M$9,G755,1)),"",IF((AND(FIND('112'!$M$9,G755,1)&gt;=1,$B755&gt;='112'!$N$8,$B755&lt;='112'!$O$8,OR($L755='112'!$I$6,$M755='112'!$I$6))),"x",""))</f>
        <v/>
      </c>
      <c r="S755" s="22" t="str">
        <f>IF(ISERROR(FIND('112'!$M$9,G755,1)),"",IF((AND(LEFT(G755,2)=LEFT('112'!$M$9,2),B755&lt;'112'!$N$8,$L755='112'!$I$6)),"x",""))</f>
        <v/>
      </c>
      <c r="T755" s="22" t="str">
        <f>IF(ISERROR(FIND('112'!$M$9,G755,1)),"",IF((AND(RIGHT(G755,2)=RIGHT('112'!$M$9,2),B755&lt;'112'!$N$8,$M755='112'!$I$6)),"x",""))</f>
        <v/>
      </c>
      <c r="U755" s="22" t="str">
        <f>IF(AND(B755&gt;='IN-NX'!$P$3,B755&lt;='IN-NX'!$Q$3,'IN-NX'!$D$7=D755,OR(LEFT(L755,2)="15",AND(LEFT(M755,2)&lt;&gt;"15",LEFT(M755,2)&lt;&gt;"33"))),"x","")</f>
        <v/>
      </c>
      <c r="V755" s="22" t="str">
        <f>IF(AND(OR(LEFT(TH!L755,2)="15",LEFT(TH!M755,2)="15"),'152-CT'!$J$8=TH!F755),"x","")</f>
        <v/>
      </c>
      <c r="W755" s="22" t="str">
        <f>IF(AND(OR(LEFT(TH!L755,2)="15",LEFT(TH!M755,2)="15"),TK!$E$7=TH!F755),"x","")</f>
        <v/>
      </c>
      <c r="X755" s="22" t="str">
        <f>IF(OR(TH!L755=TH!$X$7,M755=TH!$X$7),"x","")</f>
        <v/>
      </c>
      <c r="Y755" s="22" t="str">
        <f>IF(AND(B755&lt;=NKC!$N$8,B755&gt;=NKC!$M$8),"x","")</f>
        <v/>
      </c>
      <c r="Z755" s="580"/>
      <c r="AA755" s="406"/>
      <c r="AB755" s="406"/>
      <c r="AC755" s="406"/>
    </row>
    <row r="756" spans="1:31" s="406" customFormat="1" ht="15.75" customHeight="1">
      <c r="A756" s="123" t="str">
        <f>IF(B756&lt;&gt;"",IF(AND(B756&gt;=_TM1,B756&lt;=_TM2,OR(TH!L756="1111",TH!M756="1111")),TH!D756,""),"")</f>
        <v>T41</v>
      </c>
      <c r="B756" s="12">
        <f t="shared" si="27"/>
        <v>12</v>
      </c>
      <c r="C756" s="108">
        <f t="shared" si="28"/>
        <v>42726</v>
      </c>
      <c r="D756" s="108" t="s">
        <v>1061</v>
      </c>
      <c r="E756" s="113">
        <v>42726</v>
      </c>
      <c r="F756" s="114" t="s">
        <v>484</v>
      </c>
      <c r="G756" s="303" t="s">
        <v>913</v>
      </c>
      <c r="H756" s="4" t="s">
        <v>814</v>
      </c>
      <c r="I756" s="140"/>
      <c r="J756" s="140"/>
      <c r="K756" s="13">
        <v>4537500</v>
      </c>
      <c r="L756" s="116" t="s">
        <v>46</v>
      </c>
      <c r="M756" s="411" t="s">
        <v>252</v>
      </c>
      <c r="N756" s="22" t="str">
        <f>IF(AND('331-CT'!$E$7=TH!H756,OR(L756="331",M756="331")),"331",IF(AND(OR(L756="131",M756="131"),H756='131-CT'!$E$7),"131",""))</f>
        <v/>
      </c>
      <c r="O756" s="22" t="str">
        <f>IF(AND($B756&gt;='111'!$N$11,$B756&lt;='111'!$O$11,OR($L756=$O$7,$M756=$O$7)),"x","")</f>
        <v>x</v>
      </c>
      <c r="P756" s="22" t="str">
        <f>IF(AND($L756=$O$7,$B756&lt;'111'!$N$11),"x","")</f>
        <v/>
      </c>
      <c r="Q756" s="22" t="str">
        <f>IF(AND($M756=$O$7,$B756&lt;'111'!$N$11),"x","")</f>
        <v/>
      </c>
      <c r="R756" s="22" t="str">
        <f>IF(ISERROR(FIND('112'!$M$9,G756,1)),"",IF((AND(FIND('112'!$M$9,G756,1)&gt;=1,$B756&gt;='112'!$N$8,$B756&lt;='112'!$O$8,OR($L756='112'!$I$6,$M756='112'!$I$6))),"x",""))</f>
        <v/>
      </c>
      <c r="S756" s="22" t="str">
        <f>IF(ISERROR(FIND('112'!$M$9,G756,1)),"",IF((AND(LEFT(G756,2)=LEFT('112'!$M$9,2),B756&lt;'112'!$N$8,$L756='112'!$I$6)),"x",""))</f>
        <v/>
      </c>
      <c r="T756" s="22" t="str">
        <f>IF(ISERROR(FIND('112'!$M$9,G756,1)),"",IF((AND(RIGHT(G756,2)=RIGHT('112'!$M$9,2),B756&lt;'112'!$N$8,$M756='112'!$I$6)),"x",""))</f>
        <v/>
      </c>
      <c r="U756" s="22" t="str">
        <f>IF(AND(B756&gt;='IN-NX'!$P$3,B756&lt;='IN-NX'!$Q$3,'IN-NX'!$D$7=D756,OR(LEFT(L756,2)="15",AND(LEFT(M756,2)&lt;&gt;"15",LEFT(M756,2)&lt;&gt;"33"))),"x","")</f>
        <v/>
      </c>
      <c r="V756" s="22" t="str">
        <f>IF(AND(OR(LEFT(TH!L756,2)="15",LEFT(TH!M756,2)="15"),'152-CT'!$J$8=TH!F756),"x","")</f>
        <v/>
      </c>
      <c r="W756" s="22" t="str">
        <f>IF(AND(OR(LEFT(TH!L756,2)="15",LEFT(TH!M756,2)="15"),TK!$E$7=TH!F756),"x","")</f>
        <v/>
      </c>
      <c r="X756" s="22" t="str">
        <f>IF(OR(TH!L756=TH!$X$7,M756=TH!$X$7),"x","")</f>
        <v/>
      </c>
      <c r="Y756" s="22" t="str">
        <f>IF(AND(B756&lt;=NKC!$N$8,B756&gt;=NKC!$M$8),"x","")</f>
        <v/>
      </c>
      <c r="Z756" s="580"/>
      <c r="AD756" s="130"/>
      <c r="AE756" s="130"/>
    </row>
    <row r="757" spans="1:31" s="130" customFormat="1" ht="15.75" customHeight="1">
      <c r="A757" s="123" t="str">
        <f>IF(B757&lt;&gt;"",IF(AND(B757&gt;=_TM1,B757&lt;=_TM2,OR(TH!L757="1111",TH!M757="1111")),TH!D757,""),"")</f>
        <v/>
      </c>
      <c r="B757" s="12">
        <f t="shared" si="27"/>
        <v>12</v>
      </c>
      <c r="C757" s="108">
        <f t="shared" si="28"/>
        <v>42727</v>
      </c>
      <c r="D757" s="108" t="s">
        <v>610</v>
      </c>
      <c r="E757" s="113">
        <v>42727</v>
      </c>
      <c r="F757" s="112" t="s">
        <v>813</v>
      </c>
      <c r="G757" s="303" t="s">
        <v>914</v>
      </c>
      <c r="H757" s="4" t="s">
        <v>814</v>
      </c>
      <c r="I757" s="139">
        <v>2400</v>
      </c>
      <c r="J757" s="139">
        <v>7500</v>
      </c>
      <c r="K757" s="13">
        <f>ROUND(I757*J757,0)</f>
        <v>18000000</v>
      </c>
      <c r="L757" s="116" t="s">
        <v>252</v>
      </c>
      <c r="M757" s="411" t="s">
        <v>169</v>
      </c>
      <c r="N757" s="22" t="str">
        <f>IF(AND('331-CT'!$E$7=TH!H757,OR(L757="331",M757="331")),"331",IF(AND(OR(L757="131",M757="131"),H757='131-CT'!$E$7),"131",""))</f>
        <v/>
      </c>
      <c r="O757" s="22" t="str">
        <f>IF(AND($B757&gt;='111'!$N$11,$B757&lt;='111'!$O$11,OR($L757=$O$7,$M757=$O$7)),"x","")</f>
        <v/>
      </c>
      <c r="P757" s="22" t="str">
        <f>IF(AND($L757=$O$7,$B757&lt;'111'!$N$11),"x","")</f>
        <v/>
      </c>
      <c r="Q757" s="22" t="str">
        <f>IF(AND($M757=$O$7,$B757&lt;'111'!$N$11),"x","")</f>
        <v/>
      </c>
      <c r="R757" s="22" t="str">
        <f>IF(ISERROR(FIND('112'!$M$9,G757,1)),"",IF((AND(FIND('112'!$M$9,G757,1)&gt;=1,$B757&gt;='112'!$N$8,$B757&lt;='112'!$O$8,OR($L757='112'!$I$6,$M757='112'!$I$6))),"x",""))</f>
        <v/>
      </c>
      <c r="S757" s="22" t="str">
        <f>IF(ISERROR(FIND('112'!$M$9,G757,1)),"",IF((AND(LEFT(G757,2)=LEFT('112'!$M$9,2),B757&lt;'112'!$N$8,$L757='112'!$I$6)),"x",""))</f>
        <v/>
      </c>
      <c r="T757" s="22" t="str">
        <f>IF(ISERROR(FIND('112'!$M$9,G757,1)),"",IF((AND(RIGHT(G757,2)=RIGHT('112'!$M$9,2),B757&lt;'112'!$N$8,$M757='112'!$I$6)),"x",""))</f>
        <v/>
      </c>
      <c r="U757" s="22" t="str">
        <f>IF(AND(B757&gt;='IN-NX'!$P$3,B757&lt;='IN-NX'!$Q$3,'IN-NX'!$D$7=D757,OR(LEFT(L757,2)="15",AND(LEFT(M757,2)&lt;&gt;"15",LEFT(M757,2)&lt;&gt;"33"))),"x","")</f>
        <v/>
      </c>
      <c r="V757" s="22" t="str">
        <f>IF(AND(OR(LEFT(TH!L757,2)="15",LEFT(TH!M757,2)="15"),'152-CT'!$J$8=TH!F757),"x","")</f>
        <v/>
      </c>
      <c r="W757" s="22" t="str">
        <f>IF(AND(OR(LEFT(TH!L757,2)="15",LEFT(TH!M757,2)="15"),TK!$E$7=TH!F757),"x","")</f>
        <v/>
      </c>
      <c r="X757" s="22" t="str">
        <f>IF(OR(TH!L757=TH!$X$7,M757=TH!$X$7),"x","")</f>
        <v/>
      </c>
      <c r="Y757" s="22" t="str">
        <f>IF(AND(B757&lt;=NKC!$N$8,B757&gt;=NKC!$M$8),"x","")</f>
        <v/>
      </c>
      <c r="Z757" s="580"/>
      <c r="AA757" s="406"/>
      <c r="AB757" s="406"/>
      <c r="AC757" s="406"/>
    </row>
    <row r="758" spans="1:31" s="130" customFormat="1" ht="15.75" customHeight="1">
      <c r="A758" s="123" t="str">
        <f>IF(B758&lt;&gt;"",IF(AND(B758&gt;=_TM1,B758&lt;=_TM2,OR(TH!L758="1111",TH!M758="1111")),TH!D758,""),"")</f>
        <v/>
      </c>
      <c r="B758" s="12">
        <f t="shared" si="27"/>
        <v>12</v>
      </c>
      <c r="C758" s="108">
        <f t="shared" si="28"/>
        <v>42727</v>
      </c>
      <c r="D758" s="108" t="s">
        <v>610</v>
      </c>
      <c r="E758" s="113">
        <v>42727</v>
      </c>
      <c r="F758" s="112" t="s">
        <v>496</v>
      </c>
      <c r="G758" s="303" t="s">
        <v>914</v>
      </c>
      <c r="H758" s="4" t="s">
        <v>814</v>
      </c>
      <c r="I758" s="139"/>
      <c r="J758" s="139"/>
      <c r="K758" s="13">
        <v>1800000</v>
      </c>
      <c r="L758" s="116" t="s">
        <v>252</v>
      </c>
      <c r="M758" s="411" t="s">
        <v>352</v>
      </c>
      <c r="N758" s="22" t="str">
        <f>IF(AND('331-CT'!$E$7=TH!H758,OR(L758="331",M758="331")),"331",IF(AND(OR(L758="131",M758="131"),H758='131-CT'!$E$7),"131",""))</f>
        <v/>
      </c>
      <c r="O758" s="22" t="str">
        <f>IF(AND($B758&gt;='111'!$N$11,$B758&lt;='111'!$O$11,OR($L758=$O$7,$M758=$O$7)),"x","")</f>
        <v/>
      </c>
      <c r="P758" s="22" t="str">
        <f>IF(AND($L758=$O$7,$B758&lt;'111'!$N$11),"x","")</f>
        <v/>
      </c>
      <c r="Q758" s="22" t="str">
        <f>IF(AND($M758=$O$7,$B758&lt;'111'!$N$11),"x","")</f>
        <v/>
      </c>
      <c r="R758" s="22" t="str">
        <f>IF(ISERROR(FIND('112'!$M$9,G758,1)),"",IF((AND(FIND('112'!$M$9,G758,1)&gt;=1,$B758&gt;='112'!$N$8,$B758&lt;='112'!$O$8,OR($L758='112'!$I$6,$M758='112'!$I$6))),"x",""))</f>
        <v/>
      </c>
      <c r="S758" s="22" t="str">
        <f>IF(ISERROR(FIND('112'!$M$9,G758,1)),"",IF((AND(LEFT(G758,2)=LEFT('112'!$M$9,2),B758&lt;'112'!$N$8,$L758='112'!$I$6)),"x",""))</f>
        <v/>
      </c>
      <c r="T758" s="22" t="str">
        <f>IF(ISERROR(FIND('112'!$M$9,G758,1)),"",IF((AND(RIGHT(G758,2)=RIGHT('112'!$M$9,2),B758&lt;'112'!$N$8,$M758='112'!$I$6)),"x",""))</f>
        <v/>
      </c>
      <c r="U758" s="22" t="str">
        <f>IF(AND(B758&gt;='IN-NX'!$P$3,B758&lt;='IN-NX'!$Q$3,'IN-NX'!$D$7=D758,OR(LEFT(L758,2)="15",AND(LEFT(M758,2)&lt;&gt;"15",LEFT(M758,2)&lt;&gt;"33"))),"x","")</f>
        <v/>
      </c>
      <c r="V758" s="22" t="str">
        <f>IF(AND(OR(LEFT(TH!L758,2)="15",LEFT(TH!M758,2)="15"),'152-CT'!$J$8=TH!F758),"x","")</f>
        <v/>
      </c>
      <c r="W758" s="22" t="str">
        <f>IF(AND(OR(LEFT(TH!L758,2)="15",LEFT(TH!M758,2)="15"),TK!$E$7=TH!F758),"x","")</f>
        <v/>
      </c>
      <c r="X758" s="22" t="str">
        <f>IF(OR(TH!L758=TH!$X$7,M758=TH!$X$7),"x","")</f>
        <v/>
      </c>
      <c r="Y758" s="22" t="str">
        <f>IF(AND(B758&lt;=NKC!$N$8,B758&gt;=NKC!$M$8),"x","")</f>
        <v/>
      </c>
      <c r="Z758" s="580"/>
      <c r="AA758" s="406"/>
      <c r="AB758" s="406"/>
      <c r="AC758" s="406"/>
    </row>
    <row r="759" spans="1:31" s="130" customFormat="1" ht="15.75" customHeight="1">
      <c r="A759" s="123" t="str">
        <f>IF(B759&lt;&gt;"",IF(AND(B759&gt;=_TM1,B759&lt;=_TM2,OR(TH!L759="1111",TH!M759="1111")),TH!D759,""),"")</f>
        <v>T42</v>
      </c>
      <c r="B759" s="12">
        <f t="shared" si="27"/>
        <v>12</v>
      </c>
      <c r="C759" s="108">
        <f t="shared" si="28"/>
        <v>42727</v>
      </c>
      <c r="D759" s="108" t="s">
        <v>1062</v>
      </c>
      <c r="E759" s="113">
        <v>42727</v>
      </c>
      <c r="F759" s="114" t="s">
        <v>484</v>
      </c>
      <c r="G759" s="303" t="s">
        <v>914</v>
      </c>
      <c r="H759" s="4" t="s">
        <v>814</v>
      </c>
      <c r="I759" s="140"/>
      <c r="J759" s="140"/>
      <c r="K759" s="13">
        <v>19800000</v>
      </c>
      <c r="L759" s="116" t="s">
        <v>46</v>
      </c>
      <c r="M759" s="411" t="s">
        <v>252</v>
      </c>
      <c r="N759" s="22" t="str">
        <f>IF(AND('331-CT'!$E$7=TH!H759,OR(L759="331",M759="331")),"331",IF(AND(OR(L759="131",M759="131"),H759='131-CT'!$E$7),"131",""))</f>
        <v/>
      </c>
      <c r="O759" s="22" t="str">
        <f>IF(AND($B759&gt;='111'!$N$11,$B759&lt;='111'!$O$11,OR($L759=$O$7,$M759=$O$7)),"x","")</f>
        <v>x</v>
      </c>
      <c r="P759" s="22" t="str">
        <f>IF(AND($L759=$O$7,$B759&lt;'111'!$N$11),"x","")</f>
        <v/>
      </c>
      <c r="Q759" s="22" t="str">
        <f>IF(AND($M759=$O$7,$B759&lt;'111'!$N$11),"x","")</f>
        <v/>
      </c>
      <c r="R759" s="22" t="str">
        <f>IF(ISERROR(FIND('112'!$M$9,G759,1)),"",IF((AND(FIND('112'!$M$9,G759,1)&gt;=1,$B759&gt;='112'!$N$8,$B759&lt;='112'!$O$8,OR($L759='112'!$I$6,$M759='112'!$I$6))),"x",""))</f>
        <v/>
      </c>
      <c r="S759" s="22" t="str">
        <f>IF(ISERROR(FIND('112'!$M$9,G759,1)),"",IF((AND(LEFT(G759,2)=LEFT('112'!$M$9,2),B759&lt;'112'!$N$8,$L759='112'!$I$6)),"x",""))</f>
        <v/>
      </c>
      <c r="T759" s="22" t="str">
        <f>IF(ISERROR(FIND('112'!$M$9,G759,1)),"",IF((AND(RIGHT(G759,2)=RIGHT('112'!$M$9,2),B759&lt;'112'!$N$8,$M759='112'!$I$6)),"x",""))</f>
        <v/>
      </c>
      <c r="U759" s="22" t="str">
        <f>IF(AND(B759&gt;='IN-NX'!$P$3,B759&lt;='IN-NX'!$Q$3,'IN-NX'!$D$7=D759,OR(LEFT(L759,2)="15",AND(LEFT(M759,2)&lt;&gt;"15",LEFT(M759,2)&lt;&gt;"33"))),"x","")</f>
        <v/>
      </c>
      <c r="V759" s="22" t="str">
        <f>IF(AND(OR(LEFT(TH!L759,2)="15",LEFT(TH!M759,2)="15"),'152-CT'!$J$8=TH!F759),"x","")</f>
        <v/>
      </c>
      <c r="W759" s="22" t="str">
        <f>IF(AND(OR(LEFT(TH!L759,2)="15",LEFT(TH!M759,2)="15"),TK!$E$7=TH!F759),"x","")</f>
        <v/>
      </c>
      <c r="X759" s="22" t="str">
        <f>IF(OR(TH!L759=TH!$X$7,M759=TH!$X$7),"x","")</f>
        <v/>
      </c>
      <c r="Y759" s="22" t="str">
        <f>IF(AND(B759&lt;=NKC!$N$8,B759&gt;=NKC!$M$8),"x","")</f>
        <v/>
      </c>
      <c r="Z759" s="580"/>
      <c r="AA759" s="406"/>
      <c r="AB759" s="406"/>
      <c r="AC759" s="406"/>
    </row>
    <row r="760" spans="1:31" s="130" customFormat="1" ht="15.75" customHeight="1">
      <c r="A760" s="123" t="str">
        <f>IF(B760&lt;&gt;"",IF(AND(B760&gt;=_TM1,B760&lt;=_TM2,OR(TH!L760="1111",TH!M760="1111")),TH!D760,""),"")</f>
        <v/>
      </c>
      <c r="B760" s="12">
        <f t="shared" si="27"/>
        <v>12</v>
      </c>
      <c r="C760" s="108">
        <f t="shared" si="28"/>
        <v>42728</v>
      </c>
      <c r="D760" s="108" t="s">
        <v>611</v>
      </c>
      <c r="E760" s="113">
        <v>42728</v>
      </c>
      <c r="F760" s="114" t="s">
        <v>916</v>
      </c>
      <c r="G760" s="303" t="s">
        <v>915</v>
      </c>
      <c r="H760" s="115" t="s">
        <v>683</v>
      </c>
      <c r="I760" s="139">
        <v>1010</v>
      </c>
      <c r="J760" s="139">
        <v>12700</v>
      </c>
      <c r="K760" s="13">
        <f>ROUND(I760*J760,0)</f>
        <v>12827000</v>
      </c>
      <c r="L760" s="116" t="s">
        <v>252</v>
      </c>
      <c r="M760" s="411" t="s">
        <v>169</v>
      </c>
      <c r="N760" s="22" t="str">
        <f>IF(AND('331-CT'!$E$7=TH!H760,OR(L760="331",M760="331")),"331",IF(AND(OR(L760="131",M760="131"),H760='131-CT'!$E$7),"131",""))</f>
        <v/>
      </c>
      <c r="O760" s="22" t="str">
        <f>IF(AND($B760&gt;='111'!$N$11,$B760&lt;='111'!$O$11,OR($L760=$O$7,$M760=$O$7)),"x","")</f>
        <v/>
      </c>
      <c r="P760" s="22" t="str">
        <f>IF(AND($L760=$O$7,$B760&lt;'111'!$N$11),"x","")</f>
        <v/>
      </c>
      <c r="Q760" s="22" t="str">
        <f>IF(AND($M760=$O$7,$B760&lt;'111'!$N$11),"x","")</f>
        <v/>
      </c>
      <c r="R760" s="22" t="str">
        <f>IF(ISERROR(FIND('112'!$M$9,G760,1)),"",IF((AND(FIND('112'!$M$9,G760,1)&gt;=1,$B760&gt;='112'!$N$8,$B760&lt;='112'!$O$8,OR($L760='112'!$I$6,$M760='112'!$I$6))),"x",""))</f>
        <v/>
      </c>
      <c r="S760" s="22" t="str">
        <f>IF(ISERROR(FIND('112'!$M$9,G760,1)),"",IF((AND(LEFT(G760,2)=LEFT('112'!$M$9,2),B760&lt;'112'!$N$8,$L760='112'!$I$6)),"x",""))</f>
        <v/>
      </c>
      <c r="T760" s="22" t="str">
        <f>IF(ISERROR(FIND('112'!$M$9,G760,1)),"",IF((AND(RIGHT(G760,2)=RIGHT('112'!$M$9,2),B760&lt;'112'!$N$8,$M760='112'!$I$6)),"x",""))</f>
        <v/>
      </c>
      <c r="U760" s="22" t="str">
        <f>IF(AND(B760&gt;='IN-NX'!$P$3,B760&lt;='IN-NX'!$Q$3,'IN-NX'!$D$7=D760,OR(LEFT(L760,2)="15",AND(LEFT(M760,2)&lt;&gt;"15",LEFT(M760,2)&lt;&gt;"33"))),"x","")</f>
        <v/>
      </c>
      <c r="V760" s="22" t="str">
        <f>IF(AND(OR(LEFT(TH!L760,2)="15",LEFT(TH!M760,2)="15"),'152-CT'!$J$8=TH!F760),"x","")</f>
        <v/>
      </c>
      <c r="W760" s="22" t="str">
        <f>IF(AND(OR(LEFT(TH!L760,2)="15",LEFT(TH!M760,2)="15"),TK!$E$7=TH!F760),"x","")</f>
        <v/>
      </c>
      <c r="X760" s="22" t="str">
        <f>IF(OR(TH!L760=TH!$X$7,M760=TH!$X$7),"x","")</f>
        <v/>
      </c>
      <c r="Y760" s="22" t="str">
        <f>IF(AND(B760&lt;=NKC!$N$8,B760&gt;=NKC!$M$8),"x","")</f>
        <v/>
      </c>
      <c r="Z760" s="580"/>
      <c r="AA760" s="406"/>
      <c r="AB760" s="406"/>
      <c r="AC760" s="406"/>
    </row>
    <row r="761" spans="1:31" s="406" customFormat="1" ht="15.75" customHeight="1">
      <c r="A761" s="123" t="str">
        <f>IF(B761&lt;&gt;"",IF(AND(B761&gt;=_TM1,B761&lt;=_TM2,OR(TH!L761="1111",TH!M761="1111")),TH!D761,""),"")</f>
        <v/>
      </c>
      <c r="B761" s="12">
        <f t="shared" si="27"/>
        <v>12</v>
      </c>
      <c r="C761" s="108">
        <f t="shared" si="28"/>
        <v>42728</v>
      </c>
      <c r="D761" s="108" t="s">
        <v>611</v>
      </c>
      <c r="E761" s="113">
        <v>42728</v>
      </c>
      <c r="F761" s="114" t="s">
        <v>917</v>
      </c>
      <c r="G761" s="303" t="s">
        <v>915</v>
      </c>
      <c r="H761" s="115" t="s">
        <v>683</v>
      </c>
      <c r="I761" s="139">
        <v>1006</v>
      </c>
      <c r="J761" s="139">
        <v>10900</v>
      </c>
      <c r="K761" s="13">
        <f>ROUND(I761*J761,0)</f>
        <v>10965400</v>
      </c>
      <c r="L761" s="116" t="s">
        <v>252</v>
      </c>
      <c r="M761" s="411" t="s">
        <v>169</v>
      </c>
      <c r="N761" s="22" t="str">
        <f>IF(AND('331-CT'!$E$7=TH!H761,OR(L761="331",M761="331")),"331",IF(AND(OR(L761="131",M761="131"),H761='131-CT'!$E$7),"131",""))</f>
        <v/>
      </c>
      <c r="O761" s="22" t="str">
        <f>IF(AND($B761&gt;='111'!$N$11,$B761&lt;='111'!$O$11,OR($L761=$O$7,$M761=$O$7)),"x","")</f>
        <v/>
      </c>
      <c r="P761" s="22" t="str">
        <f>IF(AND($L761=$O$7,$B761&lt;'111'!$N$11),"x","")</f>
        <v/>
      </c>
      <c r="Q761" s="22" t="str">
        <f>IF(AND($M761=$O$7,$B761&lt;'111'!$N$11),"x","")</f>
        <v/>
      </c>
      <c r="R761" s="22" t="str">
        <f>IF(ISERROR(FIND('112'!$M$9,G761,1)),"",IF((AND(FIND('112'!$M$9,G761,1)&gt;=1,$B761&gt;='112'!$N$8,$B761&lt;='112'!$O$8,OR($L761='112'!$I$6,$M761='112'!$I$6))),"x",""))</f>
        <v/>
      </c>
      <c r="S761" s="22" t="str">
        <f>IF(ISERROR(FIND('112'!$M$9,G761,1)),"",IF((AND(LEFT(G761,2)=LEFT('112'!$M$9,2),B761&lt;'112'!$N$8,$L761='112'!$I$6)),"x",""))</f>
        <v/>
      </c>
      <c r="T761" s="22" t="str">
        <f>IF(ISERROR(FIND('112'!$M$9,G761,1)),"",IF((AND(RIGHT(G761,2)=RIGHT('112'!$M$9,2),B761&lt;'112'!$N$8,$M761='112'!$I$6)),"x",""))</f>
        <v/>
      </c>
      <c r="U761" s="22" t="str">
        <f>IF(AND(B761&gt;='IN-NX'!$P$3,B761&lt;='IN-NX'!$Q$3,'IN-NX'!$D$7=D761,OR(LEFT(L761,2)="15",AND(LEFT(M761,2)&lt;&gt;"15",LEFT(M761,2)&lt;&gt;"33"))),"x","")</f>
        <v/>
      </c>
      <c r="V761" s="22" t="str">
        <f>IF(AND(OR(LEFT(TH!L761,2)="15",LEFT(TH!M761,2)="15"),'152-CT'!$J$8=TH!F761),"x","")</f>
        <v/>
      </c>
      <c r="W761" s="22" t="str">
        <f>IF(AND(OR(LEFT(TH!L761,2)="15",LEFT(TH!M761,2)="15"),TK!$E$7=TH!F761),"x","")</f>
        <v/>
      </c>
      <c r="X761" s="22" t="str">
        <f>IF(OR(TH!L761=TH!$X$7,M761=TH!$X$7),"x","")</f>
        <v/>
      </c>
      <c r="Y761" s="22" t="str">
        <f>IF(AND(B761&lt;=NKC!$N$8,B761&gt;=NKC!$M$8),"x","")</f>
        <v/>
      </c>
      <c r="Z761" s="580"/>
      <c r="AC761" s="130"/>
      <c r="AD761" s="130"/>
      <c r="AE761" s="130"/>
    </row>
    <row r="762" spans="1:31" s="130" customFormat="1" ht="15.75" customHeight="1">
      <c r="A762" s="123" t="str">
        <f>IF(B762&lt;&gt;"",IF(AND(B762&gt;=_TM1,B762&lt;=_TM2,OR(TH!L762="1111",TH!M762="1111")),TH!D762,""),"")</f>
        <v/>
      </c>
      <c r="B762" s="12">
        <f t="shared" si="27"/>
        <v>12</v>
      </c>
      <c r="C762" s="108">
        <f t="shared" si="28"/>
        <v>42728</v>
      </c>
      <c r="D762" s="108" t="s">
        <v>611</v>
      </c>
      <c r="E762" s="113">
        <v>42728</v>
      </c>
      <c r="F762" s="112" t="s">
        <v>496</v>
      </c>
      <c r="G762" s="303" t="s">
        <v>915</v>
      </c>
      <c r="H762" s="115" t="s">
        <v>683</v>
      </c>
      <c r="I762" s="139"/>
      <c r="J762" s="139"/>
      <c r="K762" s="13">
        <v>2379240</v>
      </c>
      <c r="L762" s="116" t="s">
        <v>252</v>
      </c>
      <c r="M762" s="411" t="s">
        <v>352</v>
      </c>
      <c r="N762" s="22" t="str">
        <f>IF(AND('331-CT'!$E$7=TH!H762,OR(L762="331",M762="331")),"331",IF(AND(OR(L762="131",M762="131"),H762='131-CT'!$E$7),"131",""))</f>
        <v/>
      </c>
      <c r="O762" s="22" t="str">
        <f>IF(AND($B762&gt;='111'!$N$11,$B762&lt;='111'!$O$11,OR($L762=$O$7,$M762=$O$7)),"x","")</f>
        <v/>
      </c>
      <c r="P762" s="22" t="str">
        <f>IF(AND($L762=$O$7,$B762&lt;'111'!$N$11),"x","")</f>
        <v/>
      </c>
      <c r="Q762" s="22" t="str">
        <f>IF(AND($M762=$O$7,$B762&lt;'111'!$N$11),"x","")</f>
        <v/>
      </c>
      <c r="R762" s="22" t="str">
        <f>IF(ISERROR(FIND('112'!$M$9,G762,1)),"",IF((AND(FIND('112'!$M$9,G762,1)&gt;=1,$B762&gt;='112'!$N$8,$B762&lt;='112'!$O$8,OR($L762='112'!$I$6,$M762='112'!$I$6))),"x",""))</f>
        <v/>
      </c>
      <c r="S762" s="22" t="str">
        <f>IF(ISERROR(FIND('112'!$M$9,G762,1)),"",IF((AND(LEFT(G762,2)=LEFT('112'!$M$9,2),B762&lt;'112'!$N$8,$L762='112'!$I$6)),"x",""))</f>
        <v/>
      </c>
      <c r="T762" s="22" t="str">
        <f>IF(ISERROR(FIND('112'!$M$9,G762,1)),"",IF((AND(RIGHT(G762,2)=RIGHT('112'!$M$9,2),B762&lt;'112'!$N$8,$M762='112'!$I$6)),"x",""))</f>
        <v/>
      </c>
      <c r="U762" s="22" t="str">
        <f>IF(AND(B762&gt;='IN-NX'!$P$3,B762&lt;='IN-NX'!$Q$3,'IN-NX'!$D$7=D762,OR(LEFT(L762,2)="15",AND(LEFT(M762,2)&lt;&gt;"15",LEFT(M762,2)&lt;&gt;"33"))),"x","")</f>
        <v/>
      </c>
      <c r="V762" s="22" t="str">
        <f>IF(AND(OR(LEFT(TH!L762,2)="15",LEFT(TH!M762,2)="15"),'152-CT'!$J$8=TH!F762),"x","")</f>
        <v/>
      </c>
      <c r="W762" s="22" t="str">
        <f>IF(AND(OR(LEFT(TH!L762,2)="15",LEFT(TH!M762,2)="15"),TK!$E$7=TH!F762),"x","")</f>
        <v/>
      </c>
      <c r="X762" s="22" t="str">
        <f>IF(OR(TH!L762=TH!$X$7,M762=TH!$X$7),"x","")</f>
        <v/>
      </c>
      <c r="Y762" s="22" t="str">
        <f>IF(AND(B762&lt;=NKC!$N$8,B762&gt;=NKC!$M$8),"x","")</f>
        <v/>
      </c>
      <c r="Z762" s="580"/>
      <c r="AA762" s="406"/>
      <c r="AB762" s="406"/>
      <c r="AC762" s="406"/>
    </row>
    <row r="763" spans="1:31" s="130" customFormat="1" ht="15.75" customHeight="1">
      <c r="A763" s="123" t="str">
        <f>IF(B763&lt;&gt;"",IF(AND(B763&gt;=_TM1,B763&lt;=_TM2,OR(TH!L763="1111",TH!M763="1111")),TH!D763,""),"")</f>
        <v/>
      </c>
      <c r="B763" s="12">
        <f t="shared" si="27"/>
        <v>12</v>
      </c>
      <c r="C763" s="108">
        <f t="shared" si="28"/>
        <v>42728</v>
      </c>
      <c r="D763" s="108" t="s">
        <v>612</v>
      </c>
      <c r="E763" s="113">
        <v>42728</v>
      </c>
      <c r="F763" s="112" t="s">
        <v>813</v>
      </c>
      <c r="G763" s="303" t="s">
        <v>918</v>
      </c>
      <c r="H763" s="4" t="s">
        <v>814</v>
      </c>
      <c r="I763" s="139">
        <v>2400</v>
      </c>
      <c r="J763" s="139">
        <v>7500</v>
      </c>
      <c r="K763" s="13">
        <f>ROUND(I763*J763,0)</f>
        <v>18000000</v>
      </c>
      <c r="L763" s="116" t="s">
        <v>252</v>
      </c>
      <c r="M763" s="411" t="s">
        <v>169</v>
      </c>
      <c r="N763" s="22" t="str">
        <f>IF(AND('331-CT'!$E$7=TH!H763,OR(L763="331",M763="331")),"331",IF(AND(OR(L763="131",M763="131"),H763='131-CT'!$E$7),"131",""))</f>
        <v/>
      </c>
      <c r="O763" s="22" t="str">
        <f>IF(AND($B763&gt;='111'!$N$11,$B763&lt;='111'!$O$11,OR($L763=$O$7,$M763=$O$7)),"x","")</f>
        <v/>
      </c>
      <c r="P763" s="22" t="str">
        <f>IF(AND($L763=$O$7,$B763&lt;'111'!$N$11),"x","")</f>
        <v/>
      </c>
      <c r="Q763" s="22" t="str">
        <f>IF(AND($M763=$O$7,$B763&lt;'111'!$N$11),"x","")</f>
        <v/>
      </c>
      <c r="R763" s="22" t="str">
        <f>IF(ISERROR(FIND('112'!$M$9,G763,1)),"",IF((AND(FIND('112'!$M$9,G763,1)&gt;=1,$B763&gt;='112'!$N$8,$B763&lt;='112'!$O$8,OR($L763='112'!$I$6,$M763='112'!$I$6))),"x",""))</f>
        <v/>
      </c>
      <c r="S763" s="22" t="str">
        <f>IF(ISERROR(FIND('112'!$M$9,G763,1)),"",IF((AND(LEFT(G763,2)=LEFT('112'!$M$9,2),B763&lt;'112'!$N$8,$L763='112'!$I$6)),"x",""))</f>
        <v/>
      </c>
      <c r="T763" s="22" t="str">
        <f>IF(ISERROR(FIND('112'!$M$9,G763,1)),"",IF((AND(RIGHT(G763,2)=RIGHT('112'!$M$9,2),B763&lt;'112'!$N$8,$M763='112'!$I$6)),"x",""))</f>
        <v/>
      </c>
      <c r="U763" s="22" t="str">
        <f>IF(AND(B763&gt;='IN-NX'!$P$3,B763&lt;='IN-NX'!$Q$3,'IN-NX'!$D$7=D763,OR(LEFT(L763,2)="15",AND(LEFT(M763,2)&lt;&gt;"15",LEFT(M763,2)&lt;&gt;"33"))),"x","")</f>
        <v/>
      </c>
      <c r="V763" s="22" t="str">
        <f>IF(AND(OR(LEFT(TH!L763,2)="15",LEFT(TH!M763,2)="15"),'152-CT'!$J$8=TH!F763),"x","")</f>
        <v/>
      </c>
      <c r="W763" s="22" t="str">
        <f>IF(AND(OR(LEFT(TH!L763,2)="15",LEFT(TH!M763,2)="15"),TK!$E$7=TH!F763),"x","")</f>
        <v/>
      </c>
      <c r="X763" s="22" t="str">
        <f>IF(OR(TH!L763=TH!$X$7,M763=TH!$X$7),"x","")</f>
        <v/>
      </c>
      <c r="Y763" s="22" t="str">
        <f>IF(AND(B763&lt;=NKC!$N$8,B763&gt;=NKC!$M$8),"x","")</f>
        <v/>
      </c>
      <c r="Z763" s="580"/>
      <c r="AA763" s="406"/>
      <c r="AB763" s="406"/>
      <c r="AC763" s="406"/>
    </row>
    <row r="764" spans="1:31" s="130" customFormat="1" ht="15.75" customHeight="1">
      <c r="A764" s="123" t="str">
        <f>IF(B764&lt;&gt;"",IF(AND(B764&gt;=_TM1,B764&lt;=_TM2,OR(TH!L764="1111",TH!M764="1111")),TH!D764,""),"")</f>
        <v/>
      </c>
      <c r="B764" s="12">
        <f t="shared" si="27"/>
        <v>12</v>
      </c>
      <c r="C764" s="108">
        <f t="shared" si="28"/>
        <v>42728</v>
      </c>
      <c r="D764" s="108" t="s">
        <v>612</v>
      </c>
      <c r="E764" s="113">
        <v>42728</v>
      </c>
      <c r="F764" s="112" t="s">
        <v>496</v>
      </c>
      <c r="G764" s="303" t="s">
        <v>918</v>
      </c>
      <c r="H764" s="4" t="s">
        <v>814</v>
      </c>
      <c r="I764" s="139"/>
      <c r="J764" s="139"/>
      <c r="K764" s="13">
        <v>1800000</v>
      </c>
      <c r="L764" s="116" t="s">
        <v>252</v>
      </c>
      <c r="M764" s="411" t="s">
        <v>352</v>
      </c>
      <c r="N764" s="22" t="str">
        <f>IF(AND('331-CT'!$E$7=TH!H764,OR(L764="331",M764="331")),"331",IF(AND(OR(L764="131",M764="131"),H764='131-CT'!$E$7),"131",""))</f>
        <v/>
      </c>
      <c r="O764" s="22" t="str">
        <f>IF(AND($B764&gt;='111'!$N$11,$B764&lt;='111'!$O$11,OR($L764=$O$7,$M764=$O$7)),"x","")</f>
        <v/>
      </c>
      <c r="P764" s="22" t="str">
        <f>IF(AND($L764=$O$7,$B764&lt;'111'!$N$11),"x","")</f>
        <v/>
      </c>
      <c r="Q764" s="22" t="str">
        <f>IF(AND($M764=$O$7,$B764&lt;'111'!$N$11),"x","")</f>
        <v/>
      </c>
      <c r="R764" s="22" t="str">
        <f>IF(ISERROR(FIND('112'!$M$9,G764,1)),"",IF((AND(FIND('112'!$M$9,G764,1)&gt;=1,$B764&gt;='112'!$N$8,$B764&lt;='112'!$O$8,OR($L764='112'!$I$6,$M764='112'!$I$6))),"x",""))</f>
        <v/>
      </c>
      <c r="S764" s="22" t="str">
        <f>IF(ISERROR(FIND('112'!$M$9,G764,1)),"",IF((AND(LEFT(G764,2)=LEFT('112'!$M$9,2),B764&lt;'112'!$N$8,$L764='112'!$I$6)),"x",""))</f>
        <v/>
      </c>
      <c r="T764" s="22" t="str">
        <f>IF(ISERROR(FIND('112'!$M$9,G764,1)),"",IF((AND(RIGHT(G764,2)=RIGHT('112'!$M$9,2),B764&lt;'112'!$N$8,$M764='112'!$I$6)),"x",""))</f>
        <v/>
      </c>
      <c r="U764" s="22" t="str">
        <f>IF(AND(B764&gt;='IN-NX'!$P$3,B764&lt;='IN-NX'!$Q$3,'IN-NX'!$D$7=D764,OR(LEFT(L764,2)="15",AND(LEFT(M764,2)&lt;&gt;"15",LEFT(M764,2)&lt;&gt;"33"))),"x","")</f>
        <v/>
      </c>
      <c r="V764" s="22" t="str">
        <f>IF(AND(OR(LEFT(TH!L764,2)="15",LEFT(TH!M764,2)="15"),'152-CT'!$J$8=TH!F764),"x","")</f>
        <v/>
      </c>
      <c r="W764" s="22" t="str">
        <f>IF(AND(OR(LEFT(TH!L764,2)="15",LEFT(TH!M764,2)="15"),TK!$E$7=TH!F764),"x","")</f>
        <v/>
      </c>
      <c r="X764" s="22" t="str">
        <f>IF(OR(TH!L764=TH!$X$7,M764=TH!$X$7),"x","")</f>
        <v/>
      </c>
      <c r="Y764" s="22" t="str">
        <f>IF(AND(B764&lt;=NKC!$N$8,B764&gt;=NKC!$M$8),"x","")</f>
        <v/>
      </c>
      <c r="Z764" s="580"/>
      <c r="AA764" s="406"/>
      <c r="AB764" s="406"/>
      <c r="AC764" s="406"/>
    </row>
    <row r="765" spans="1:31" s="130" customFormat="1" ht="15.75" customHeight="1">
      <c r="A765" s="123" t="str">
        <f>IF(B765&lt;&gt;"",IF(AND(B765&gt;=_TM1,B765&lt;=_TM2,OR(TH!L765="1111",TH!M765="1111")),TH!D765,""),"")</f>
        <v>T43</v>
      </c>
      <c r="B765" s="12">
        <f t="shared" si="27"/>
        <v>12</v>
      </c>
      <c r="C765" s="108">
        <f t="shared" si="28"/>
        <v>42728</v>
      </c>
      <c r="D765" s="108" t="s">
        <v>1063</v>
      </c>
      <c r="E765" s="113">
        <v>42728</v>
      </c>
      <c r="F765" s="114" t="s">
        <v>484</v>
      </c>
      <c r="G765" s="303" t="s">
        <v>918</v>
      </c>
      <c r="H765" s="4" t="s">
        <v>814</v>
      </c>
      <c r="I765" s="140"/>
      <c r="J765" s="140"/>
      <c r="K765" s="13">
        <v>19800000</v>
      </c>
      <c r="L765" s="116" t="s">
        <v>46</v>
      </c>
      <c r="M765" s="411" t="s">
        <v>252</v>
      </c>
      <c r="N765" s="22" t="str">
        <f>IF(AND('331-CT'!$E$7=TH!H765,OR(L765="331",M765="331")),"331",IF(AND(OR(L765="131",M765="131"),H765='131-CT'!$E$7),"131",""))</f>
        <v/>
      </c>
      <c r="O765" s="22" t="str">
        <f>IF(AND($B765&gt;='111'!$N$11,$B765&lt;='111'!$O$11,OR($L765=$O$7,$M765=$O$7)),"x","")</f>
        <v>x</v>
      </c>
      <c r="P765" s="22" t="str">
        <f>IF(AND($L765=$O$7,$B765&lt;'111'!$N$11),"x","")</f>
        <v/>
      </c>
      <c r="Q765" s="22" t="str">
        <f>IF(AND($M765=$O$7,$B765&lt;'111'!$N$11),"x","")</f>
        <v/>
      </c>
      <c r="R765" s="22" t="str">
        <f>IF(ISERROR(FIND('112'!$M$9,G765,1)),"",IF((AND(FIND('112'!$M$9,G765,1)&gt;=1,$B765&gt;='112'!$N$8,$B765&lt;='112'!$O$8,OR($L765='112'!$I$6,$M765='112'!$I$6))),"x",""))</f>
        <v/>
      </c>
      <c r="S765" s="22" t="str">
        <f>IF(ISERROR(FIND('112'!$M$9,G765,1)),"",IF((AND(LEFT(G765,2)=LEFT('112'!$M$9,2),B765&lt;'112'!$N$8,$L765='112'!$I$6)),"x",""))</f>
        <v/>
      </c>
      <c r="T765" s="22" t="str">
        <f>IF(ISERROR(FIND('112'!$M$9,G765,1)),"",IF((AND(RIGHT(G765,2)=RIGHT('112'!$M$9,2),B765&lt;'112'!$N$8,$M765='112'!$I$6)),"x",""))</f>
        <v/>
      </c>
      <c r="U765" s="22" t="str">
        <f>IF(AND(B765&gt;='IN-NX'!$P$3,B765&lt;='IN-NX'!$Q$3,'IN-NX'!$D$7=D765,OR(LEFT(L765,2)="15",AND(LEFT(M765,2)&lt;&gt;"15",LEFT(M765,2)&lt;&gt;"33"))),"x","")</f>
        <v/>
      </c>
      <c r="V765" s="22" t="str">
        <f>IF(AND(OR(LEFT(TH!L765,2)="15",LEFT(TH!M765,2)="15"),'152-CT'!$J$8=TH!F765),"x","")</f>
        <v/>
      </c>
      <c r="W765" s="22" t="str">
        <f>IF(AND(OR(LEFT(TH!L765,2)="15",LEFT(TH!M765,2)="15"),TK!$E$7=TH!F765),"x","")</f>
        <v/>
      </c>
      <c r="X765" s="22" t="str">
        <f>IF(OR(TH!L765=TH!$X$7,M765=TH!$X$7),"x","")</f>
        <v/>
      </c>
      <c r="Y765" s="22" t="str">
        <f>IF(AND(B765&lt;=NKC!$N$8,B765&gt;=NKC!$M$8),"x","")</f>
        <v/>
      </c>
      <c r="Z765" s="580"/>
      <c r="AA765" s="406"/>
      <c r="AB765" s="406"/>
      <c r="AC765" s="406"/>
    </row>
    <row r="766" spans="1:31" s="406" customFormat="1" ht="15.75" customHeight="1">
      <c r="A766" s="123" t="str">
        <f>IF(B766&lt;&gt;"",IF(AND(B766&gt;=_TM1,B766&lt;=_TM2,OR(TH!L766="1111",TH!M766="1111")),TH!D766,""),"")</f>
        <v/>
      </c>
      <c r="B766" s="12">
        <f t="shared" si="27"/>
        <v>12</v>
      </c>
      <c r="C766" s="108">
        <f t="shared" si="28"/>
        <v>42729</v>
      </c>
      <c r="D766" s="108" t="s">
        <v>613</v>
      </c>
      <c r="E766" s="113">
        <v>42729</v>
      </c>
      <c r="F766" s="114" t="s">
        <v>920</v>
      </c>
      <c r="G766" s="303" t="s">
        <v>919</v>
      </c>
      <c r="H766" s="4" t="s">
        <v>921</v>
      </c>
      <c r="I766" s="139">
        <v>1070</v>
      </c>
      <c r="J766" s="139">
        <v>9700</v>
      </c>
      <c r="K766" s="13">
        <f>ROUND(I766*J766,0)</f>
        <v>10379000</v>
      </c>
      <c r="L766" s="116" t="s">
        <v>252</v>
      </c>
      <c r="M766" s="411" t="s">
        <v>169</v>
      </c>
      <c r="N766" s="22" t="str">
        <f>IF(AND('331-CT'!$E$7=TH!H766,OR(L766="331",M766="331")),"331",IF(AND(OR(L766="131",M766="131"),H766='131-CT'!$E$7),"131",""))</f>
        <v/>
      </c>
      <c r="O766" s="22" t="str">
        <f>IF(AND($B766&gt;='111'!$N$11,$B766&lt;='111'!$O$11,OR($L766=$O$7,$M766=$O$7)),"x","")</f>
        <v/>
      </c>
      <c r="P766" s="22" t="str">
        <f>IF(AND($L766=$O$7,$B766&lt;'111'!$N$11),"x","")</f>
        <v/>
      </c>
      <c r="Q766" s="22" t="str">
        <f>IF(AND($M766=$O$7,$B766&lt;'111'!$N$11),"x","")</f>
        <v/>
      </c>
      <c r="R766" s="22" t="str">
        <f>IF(ISERROR(FIND('112'!$M$9,G766,1)),"",IF((AND(FIND('112'!$M$9,G766,1)&gt;=1,$B766&gt;='112'!$N$8,$B766&lt;='112'!$O$8,OR($L766='112'!$I$6,$M766='112'!$I$6))),"x",""))</f>
        <v/>
      </c>
      <c r="S766" s="22" t="str">
        <f>IF(ISERROR(FIND('112'!$M$9,G766,1)),"",IF((AND(LEFT(G766,2)=LEFT('112'!$M$9,2),B766&lt;'112'!$N$8,$L766='112'!$I$6)),"x",""))</f>
        <v/>
      </c>
      <c r="T766" s="22" t="str">
        <f>IF(ISERROR(FIND('112'!$M$9,G766,1)),"",IF((AND(RIGHT(G766,2)=RIGHT('112'!$M$9,2),B766&lt;'112'!$N$8,$M766='112'!$I$6)),"x",""))</f>
        <v/>
      </c>
      <c r="U766" s="22" t="str">
        <f>IF(AND(B766&gt;='IN-NX'!$P$3,B766&lt;='IN-NX'!$Q$3,'IN-NX'!$D$7=D766,OR(LEFT(L766,2)="15",AND(LEFT(M766,2)&lt;&gt;"15",LEFT(M766,2)&lt;&gt;"33"))),"x","")</f>
        <v/>
      </c>
      <c r="V766" s="22" t="str">
        <f>IF(AND(OR(LEFT(TH!L766,2)="15",LEFT(TH!M766,2)="15"),'152-CT'!$J$8=TH!F766),"x","")</f>
        <v/>
      </c>
      <c r="W766" s="22" t="str">
        <f>IF(AND(OR(LEFT(TH!L766,2)="15",LEFT(TH!M766,2)="15"),TK!$E$7=TH!F766),"x","")</f>
        <v/>
      </c>
      <c r="X766" s="22" t="str">
        <f>IF(OR(TH!L766=TH!$X$7,M766=TH!$X$7),"x","")</f>
        <v/>
      </c>
      <c r="Y766" s="22" t="str">
        <f>IF(AND(B766&lt;=NKC!$N$8,B766&gt;=NKC!$M$8),"x","")</f>
        <v/>
      </c>
      <c r="Z766" s="580"/>
      <c r="AC766" s="130"/>
      <c r="AD766" s="130"/>
      <c r="AE766" s="130"/>
    </row>
    <row r="767" spans="1:31" s="406" customFormat="1" ht="15.75" customHeight="1">
      <c r="A767" s="123" t="str">
        <f>IF(B767&lt;&gt;"",IF(AND(B767&gt;=_TM1,B767&lt;=_TM2,OR(TH!L767="1111",TH!M767="1111")),TH!D767,""),"")</f>
        <v/>
      </c>
      <c r="B767" s="12">
        <f t="shared" si="27"/>
        <v>12</v>
      </c>
      <c r="C767" s="108">
        <f t="shared" si="28"/>
        <v>42729</v>
      </c>
      <c r="D767" s="108" t="s">
        <v>613</v>
      </c>
      <c r="E767" s="113">
        <v>42729</v>
      </c>
      <c r="F767" s="112" t="s">
        <v>496</v>
      </c>
      <c r="G767" s="303" t="s">
        <v>919</v>
      </c>
      <c r="H767" s="4" t="s">
        <v>921</v>
      </c>
      <c r="I767" s="139"/>
      <c r="J767" s="139"/>
      <c r="K767" s="13">
        <v>1037900</v>
      </c>
      <c r="L767" s="116" t="s">
        <v>252</v>
      </c>
      <c r="M767" s="411" t="s">
        <v>352</v>
      </c>
      <c r="N767" s="22" t="str">
        <f>IF(AND('331-CT'!$E$7=TH!H767,OR(L767="331",M767="331")),"331",IF(AND(OR(L767="131",M767="131"),H767='131-CT'!$E$7),"131",""))</f>
        <v/>
      </c>
      <c r="O767" s="22" t="str">
        <f>IF(AND($B767&gt;='111'!$N$11,$B767&lt;='111'!$O$11,OR($L767=$O$7,$M767=$O$7)),"x","")</f>
        <v/>
      </c>
      <c r="P767" s="22" t="str">
        <f>IF(AND($L767=$O$7,$B767&lt;'111'!$N$11),"x","")</f>
        <v/>
      </c>
      <c r="Q767" s="22" t="str">
        <f>IF(AND($M767=$O$7,$B767&lt;'111'!$N$11),"x","")</f>
        <v/>
      </c>
      <c r="R767" s="22" t="str">
        <f>IF(ISERROR(FIND('112'!$M$9,G767,1)),"",IF((AND(FIND('112'!$M$9,G767,1)&gt;=1,$B767&gt;='112'!$N$8,$B767&lt;='112'!$O$8,OR($L767='112'!$I$6,$M767='112'!$I$6))),"x",""))</f>
        <v/>
      </c>
      <c r="S767" s="22" t="str">
        <f>IF(ISERROR(FIND('112'!$M$9,G767,1)),"",IF((AND(LEFT(G767,2)=LEFT('112'!$M$9,2),B767&lt;'112'!$N$8,$L767='112'!$I$6)),"x",""))</f>
        <v/>
      </c>
      <c r="T767" s="22" t="str">
        <f>IF(ISERROR(FIND('112'!$M$9,G767,1)),"",IF((AND(RIGHT(G767,2)=RIGHT('112'!$M$9,2),B767&lt;'112'!$N$8,$M767='112'!$I$6)),"x",""))</f>
        <v/>
      </c>
      <c r="U767" s="22" t="str">
        <f>IF(AND(B767&gt;='IN-NX'!$P$3,B767&lt;='IN-NX'!$Q$3,'IN-NX'!$D$7=D767,OR(LEFT(L767,2)="15",AND(LEFT(M767,2)&lt;&gt;"15",LEFT(M767,2)&lt;&gt;"33"))),"x","")</f>
        <v/>
      </c>
      <c r="V767" s="22" t="str">
        <f>IF(AND(OR(LEFT(TH!L767,2)="15",LEFT(TH!M767,2)="15"),'152-CT'!$J$8=TH!F767),"x","")</f>
        <v/>
      </c>
      <c r="W767" s="22" t="str">
        <f>IF(AND(OR(LEFT(TH!L767,2)="15",LEFT(TH!M767,2)="15"),TK!$E$7=TH!F767),"x","")</f>
        <v/>
      </c>
      <c r="X767" s="22" t="str">
        <f>IF(OR(TH!L767=TH!$X$7,M767=TH!$X$7),"x","")</f>
        <v/>
      </c>
      <c r="Y767" s="22" t="str">
        <f>IF(AND(B767&lt;=NKC!$N$8,B767&gt;=NKC!$M$8),"x","")</f>
        <v/>
      </c>
      <c r="Z767" s="580"/>
      <c r="AD767" s="130"/>
      <c r="AE767" s="130"/>
    </row>
    <row r="768" spans="1:31" s="130" customFormat="1" ht="15.75" customHeight="1">
      <c r="A768" s="123" t="str">
        <f>IF(B768&lt;&gt;"",IF(AND(B768&gt;=_TM1,B768&lt;=_TM2,OR(TH!L768="1111",TH!M768="1111")),TH!D768,""),"")</f>
        <v/>
      </c>
      <c r="B768" s="12">
        <f t="shared" si="27"/>
        <v>12</v>
      </c>
      <c r="C768" s="108">
        <f t="shared" si="28"/>
        <v>42729</v>
      </c>
      <c r="D768" s="108" t="s">
        <v>614</v>
      </c>
      <c r="E768" s="113">
        <v>42729</v>
      </c>
      <c r="F768" s="112" t="s">
        <v>813</v>
      </c>
      <c r="G768" s="303" t="s">
        <v>922</v>
      </c>
      <c r="H768" s="4" t="s">
        <v>814</v>
      </c>
      <c r="I768" s="139">
        <v>2400</v>
      </c>
      <c r="J768" s="139">
        <v>7500</v>
      </c>
      <c r="K768" s="13">
        <f>ROUND(I768*J768,0)</f>
        <v>18000000</v>
      </c>
      <c r="L768" s="116" t="s">
        <v>252</v>
      </c>
      <c r="M768" s="411" t="s">
        <v>169</v>
      </c>
      <c r="N768" s="22" t="str">
        <f>IF(AND('331-CT'!$E$7=TH!H768,OR(L768="331",M768="331")),"331",IF(AND(OR(L768="131",M768="131"),H768='131-CT'!$E$7),"131",""))</f>
        <v/>
      </c>
      <c r="O768" s="22" t="str">
        <f>IF(AND($B768&gt;='111'!$N$11,$B768&lt;='111'!$O$11,OR($L768=$O$7,$M768=$O$7)),"x","")</f>
        <v/>
      </c>
      <c r="P768" s="22" t="str">
        <f>IF(AND($L768=$O$7,$B768&lt;'111'!$N$11),"x","")</f>
        <v/>
      </c>
      <c r="Q768" s="22" t="str">
        <f>IF(AND($M768=$O$7,$B768&lt;'111'!$N$11),"x","")</f>
        <v/>
      </c>
      <c r="R768" s="22" t="str">
        <f>IF(ISERROR(FIND('112'!$M$9,G768,1)),"",IF((AND(FIND('112'!$M$9,G768,1)&gt;=1,$B768&gt;='112'!$N$8,$B768&lt;='112'!$O$8,OR($L768='112'!$I$6,$M768='112'!$I$6))),"x",""))</f>
        <v/>
      </c>
      <c r="S768" s="22" t="str">
        <f>IF(ISERROR(FIND('112'!$M$9,G768,1)),"",IF((AND(LEFT(G768,2)=LEFT('112'!$M$9,2),B768&lt;'112'!$N$8,$L768='112'!$I$6)),"x",""))</f>
        <v/>
      </c>
      <c r="T768" s="22" t="str">
        <f>IF(ISERROR(FIND('112'!$M$9,G768,1)),"",IF((AND(RIGHT(G768,2)=RIGHT('112'!$M$9,2),B768&lt;'112'!$N$8,$M768='112'!$I$6)),"x",""))</f>
        <v/>
      </c>
      <c r="U768" s="22" t="str">
        <f>IF(AND(B768&gt;='IN-NX'!$P$3,B768&lt;='IN-NX'!$Q$3,'IN-NX'!$D$7=D768,OR(LEFT(L768,2)="15",AND(LEFT(M768,2)&lt;&gt;"15",LEFT(M768,2)&lt;&gt;"33"))),"x","")</f>
        <v/>
      </c>
      <c r="V768" s="22" t="str">
        <f>IF(AND(OR(LEFT(TH!L768,2)="15",LEFT(TH!M768,2)="15"),'152-CT'!$J$8=TH!F768),"x","")</f>
        <v/>
      </c>
      <c r="W768" s="22" t="str">
        <f>IF(AND(OR(LEFT(TH!L768,2)="15",LEFT(TH!M768,2)="15"),TK!$E$7=TH!F768),"x","")</f>
        <v/>
      </c>
      <c r="X768" s="22" t="str">
        <f>IF(OR(TH!L768=TH!$X$7,M768=TH!$X$7),"x","")</f>
        <v/>
      </c>
      <c r="Y768" s="22" t="str">
        <f>IF(AND(B768&lt;=NKC!$N$8,B768&gt;=NKC!$M$8),"x","")</f>
        <v/>
      </c>
      <c r="Z768" s="580"/>
      <c r="AA768" s="406"/>
      <c r="AB768" s="406"/>
      <c r="AC768" s="406"/>
    </row>
    <row r="769" spans="1:31" s="130" customFormat="1" ht="15.75" customHeight="1">
      <c r="A769" s="123" t="str">
        <f>IF(B769&lt;&gt;"",IF(AND(B769&gt;=_TM1,B769&lt;=_TM2,OR(TH!L769="1111",TH!M769="1111")),TH!D769,""),"")</f>
        <v/>
      </c>
      <c r="B769" s="12">
        <f t="shared" si="27"/>
        <v>12</v>
      </c>
      <c r="C769" s="108">
        <f t="shared" si="28"/>
        <v>42729</v>
      </c>
      <c r="D769" s="108" t="s">
        <v>614</v>
      </c>
      <c r="E769" s="113">
        <v>42729</v>
      </c>
      <c r="F769" s="112" t="s">
        <v>496</v>
      </c>
      <c r="G769" s="303" t="s">
        <v>922</v>
      </c>
      <c r="H769" s="4" t="s">
        <v>814</v>
      </c>
      <c r="I769" s="139"/>
      <c r="J769" s="139"/>
      <c r="K769" s="13">
        <v>1800000</v>
      </c>
      <c r="L769" s="116" t="s">
        <v>252</v>
      </c>
      <c r="M769" s="411" t="s">
        <v>352</v>
      </c>
      <c r="N769" s="22" t="str">
        <f>IF(AND('331-CT'!$E$7=TH!H769,OR(L769="331",M769="331")),"331",IF(AND(OR(L769="131",M769="131"),H769='131-CT'!$E$7),"131",""))</f>
        <v/>
      </c>
      <c r="O769" s="22" t="str">
        <f>IF(AND($B769&gt;='111'!$N$11,$B769&lt;='111'!$O$11,OR($L769=$O$7,$M769=$O$7)),"x","")</f>
        <v/>
      </c>
      <c r="P769" s="22" t="str">
        <f>IF(AND($L769=$O$7,$B769&lt;'111'!$N$11),"x","")</f>
        <v/>
      </c>
      <c r="Q769" s="22" t="str">
        <f>IF(AND($M769=$O$7,$B769&lt;'111'!$N$11),"x","")</f>
        <v/>
      </c>
      <c r="R769" s="22" t="str">
        <f>IF(ISERROR(FIND('112'!$M$9,G769,1)),"",IF((AND(FIND('112'!$M$9,G769,1)&gt;=1,$B769&gt;='112'!$N$8,$B769&lt;='112'!$O$8,OR($L769='112'!$I$6,$M769='112'!$I$6))),"x",""))</f>
        <v/>
      </c>
      <c r="S769" s="22" t="str">
        <f>IF(ISERROR(FIND('112'!$M$9,G769,1)),"",IF((AND(LEFT(G769,2)=LEFT('112'!$M$9,2),B769&lt;'112'!$N$8,$L769='112'!$I$6)),"x",""))</f>
        <v/>
      </c>
      <c r="T769" s="22" t="str">
        <f>IF(ISERROR(FIND('112'!$M$9,G769,1)),"",IF((AND(RIGHT(G769,2)=RIGHT('112'!$M$9,2),B769&lt;'112'!$N$8,$M769='112'!$I$6)),"x",""))</f>
        <v/>
      </c>
      <c r="U769" s="22" t="str">
        <f>IF(AND(B769&gt;='IN-NX'!$P$3,B769&lt;='IN-NX'!$Q$3,'IN-NX'!$D$7=D769,OR(LEFT(L769,2)="15",AND(LEFT(M769,2)&lt;&gt;"15",LEFT(M769,2)&lt;&gt;"33"))),"x","")</f>
        <v/>
      </c>
      <c r="V769" s="22" t="str">
        <f>IF(AND(OR(LEFT(TH!L769,2)="15",LEFT(TH!M769,2)="15"),'152-CT'!$J$8=TH!F769),"x","")</f>
        <v/>
      </c>
      <c r="W769" s="22" t="str">
        <f>IF(AND(OR(LEFT(TH!L769,2)="15",LEFT(TH!M769,2)="15"),TK!$E$7=TH!F769),"x","")</f>
        <v/>
      </c>
      <c r="X769" s="22" t="str">
        <f>IF(OR(TH!L769=TH!$X$7,M769=TH!$X$7),"x","")</f>
        <v/>
      </c>
      <c r="Y769" s="22" t="str">
        <f>IF(AND(B769&lt;=NKC!$N$8,B769&gt;=NKC!$M$8),"x","")</f>
        <v/>
      </c>
      <c r="Z769" s="580"/>
      <c r="AA769" s="406"/>
      <c r="AB769" s="406"/>
      <c r="AC769" s="406"/>
    </row>
    <row r="770" spans="1:31" s="130" customFormat="1" ht="15.75" customHeight="1">
      <c r="A770" s="123" t="str">
        <f>IF(B770&lt;&gt;"",IF(AND(B770&gt;=_TM1,B770&lt;=_TM2,OR(TH!L770="1111",TH!M770="1111")),TH!D770,""),"")</f>
        <v>T44</v>
      </c>
      <c r="B770" s="12">
        <f t="shared" si="27"/>
        <v>12</v>
      </c>
      <c r="C770" s="108">
        <f t="shared" si="28"/>
        <v>42729</v>
      </c>
      <c r="D770" s="108" t="s">
        <v>1064</v>
      </c>
      <c r="E770" s="113">
        <v>42729</v>
      </c>
      <c r="F770" s="114" t="s">
        <v>484</v>
      </c>
      <c r="G770" s="303" t="s">
        <v>922</v>
      </c>
      <c r="H770" s="4" t="s">
        <v>814</v>
      </c>
      <c r="I770" s="140"/>
      <c r="J770" s="140"/>
      <c r="K770" s="13">
        <v>19800000</v>
      </c>
      <c r="L770" s="116" t="s">
        <v>46</v>
      </c>
      <c r="M770" s="411" t="s">
        <v>252</v>
      </c>
      <c r="N770" s="22" t="str">
        <f>IF(AND('331-CT'!$E$7=TH!H770,OR(L770="331",M770="331")),"331",IF(AND(OR(L770="131",M770="131"),H770='131-CT'!$E$7),"131",""))</f>
        <v/>
      </c>
      <c r="O770" s="22" t="str">
        <f>IF(AND($B770&gt;='111'!$N$11,$B770&lt;='111'!$O$11,OR($L770=$O$7,$M770=$O$7)),"x","")</f>
        <v>x</v>
      </c>
      <c r="P770" s="22" t="str">
        <f>IF(AND($L770=$O$7,$B770&lt;'111'!$N$11),"x","")</f>
        <v/>
      </c>
      <c r="Q770" s="22" t="str">
        <f>IF(AND($M770=$O$7,$B770&lt;'111'!$N$11),"x","")</f>
        <v/>
      </c>
      <c r="R770" s="22" t="str">
        <f>IF(ISERROR(FIND('112'!$M$9,G770,1)),"",IF((AND(FIND('112'!$M$9,G770,1)&gt;=1,$B770&gt;='112'!$N$8,$B770&lt;='112'!$O$8,OR($L770='112'!$I$6,$M770='112'!$I$6))),"x",""))</f>
        <v/>
      </c>
      <c r="S770" s="22" t="str">
        <f>IF(ISERROR(FIND('112'!$M$9,G770,1)),"",IF((AND(LEFT(G770,2)=LEFT('112'!$M$9,2),B770&lt;'112'!$N$8,$L770='112'!$I$6)),"x",""))</f>
        <v/>
      </c>
      <c r="T770" s="22" t="str">
        <f>IF(ISERROR(FIND('112'!$M$9,G770,1)),"",IF((AND(RIGHT(G770,2)=RIGHT('112'!$M$9,2),B770&lt;'112'!$N$8,$M770='112'!$I$6)),"x",""))</f>
        <v/>
      </c>
      <c r="U770" s="22" t="str">
        <f>IF(AND(B770&gt;='IN-NX'!$P$3,B770&lt;='IN-NX'!$Q$3,'IN-NX'!$D$7=D770,OR(LEFT(L770,2)="15",AND(LEFT(M770,2)&lt;&gt;"15",LEFT(M770,2)&lt;&gt;"33"))),"x","")</f>
        <v/>
      </c>
      <c r="V770" s="22" t="str">
        <f>IF(AND(OR(LEFT(TH!L770,2)="15",LEFT(TH!M770,2)="15"),'152-CT'!$J$8=TH!F770),"x","")</f>
        <v/>
      </c>
      <c r="W770" s="22" t="str">
        <f>IF(AND(OR(LEFT(TH!L770,2)="15",LEFT(TH!M770,2)="15"),TK!$E$7=TH!F770),"x","")</f>
        <v/>
      </c>
      <c r="X770" s="22" t="str">
        <f>IF(OR(TH!L770=TH!$X$7,M770=TH!$X$7),"x","")</f>
        <v/>
      </c>
      <c r="Y770" s="22" t="str">
        <f>IF(AND(B770&lt;=NKC!$N$8,B770&gt;=NKC!$M$8),"x","")</f>
        <v/>
      </c>
      <c r="Z770" s="580"/>
      <c r="AA770" s="406"/>
      <c r="AB770" s="406"/>
      <c r="AC770" s="406"/>
    </row>
    <row r="771" spans="1:31" s="130" customFormat="1" ht="15.75" customHeight="1">
      <c r="A771" s="123" t="str">
        <f>IF(B771&lt;&gt;"",IF(AND(B771&gt;=_TM1,B771&lt;=_TM2,OR(TH!L771="1111",TH!M771="1111")),TH!D771,""),"")</f>
        <v>C30</v>
      </c>
      <c r="B771" s="12">
        <f t="shared" si="27"/>
        <v>12</v>
      </c>
      <c r="C771" s="108">
        <f t="shared" si="28"/>
        <v>42730</v>
      </c>
      <c r="D771" s="113" t="s">
        <v>1046</v>
      </c>
      <c r="E771" s="113">
        <v>42730</v>
      </c>
      <c r="F771" s="112" t="s">
        <v>773</v>
      </c>
      <c r="G771" s="305" t="s">
        <v>939</v>
      </c>
      <c r="H771" s="129" t="s">
        <v>940</v>
      </c>
      <c r="I771" s="139"/>
      <c r="J771" s="139"/>
      <c r="K771" s="13">
        <v>5005727</v>
      </c>
      <c r="L771" s="116" t="s">
        <v>254</v>
      </c>
      <c r="M771" s="411" t="s">
        <v>46</v>
      </c>
      <c r="N771" s="22" t="str">
        <f>IF(AND('331-CT'!$E$7=TH!H771,OR(L771="331",M771="331")),"331",IF(AND(OR(L771="131",M771="131"),H771='131-CT'!$E$7),"131",""))</f>
        <v/>
      </c>
      <c r="O771" s="22" t="str">
        <f>IF(AND($B771&gt;='111'!$N$11,$B771&lt;='111'!$O$11,OR($L771=$O$7,$M771=$O$7)),"x","")</f>
        <v>x</v>
      </c>
      <c r="P771" s="22" t="str">
        <f>IF(AND($L771=$O$7,$B771&lt;'111'!$N$11),"x","")</f>
        <v/>
      </c>
      <c r="Q771" s="22" t="str">
        <f>IF(AND($M771=$O$7,$B771&lt;'111'!$N$11),"x","")</f>
        <v/>
      </c>
      <c r="R771" s="22" t="str">
        <f>IF(ISERROR(FIND('112'!$M$9,G771,1)),"",IF((AND(FIND('112'!$M$9,G771,1)&gt;=1,$B771&gt;='112'!$N$8,$B771&lt;='112'!$O$8,OR($L771='112'!$I$6,$M771='112'!$I$6))),"x",""))</f>
        <v/>
      </c>
      <c r="S771" s="22" t="str">
        <f>IF(ISERROR(FIND('112'!$M$9,G771,1)),"",IF((AND(LEFT(G771,2)=LEFT('112'!$M$9,2),B771&lt;'112'!$N$8,$L771='112'!$I$6)),"x",""))</f>
        <v/>
      </c>
      <c r="T771" s="22" t="str">
        <f>IF(ISERROR(FIND('112'!$M$9,G771,1)),"",IF((AND(RIGHT(G771,2)=RIGHT('112'!$M$9,2),B771&lt;'112'!$N$8,$M771='112'!$I$6)),"x",""))</f>
        <v/>
      </c>
      <c r="U771" s="22" t="str">
        <f>IF(AND(B771&gt;='IN-NX'!$P$3,B771&lt;='IN-NX'!$Q$3,'IN-NX'!$D$7=D771,OR(LEFT(L771,2)="15",AND(LEFT(M771,2)&lt;&gt;"15",LEFT(M771,2)&lt;&gt;"33"))),"x","")</f>
        <v/>
      </c>
      <c r="V771" s="22" t="str">
        <f>IF(AND(OR(LEFT(TH!L771,2)="15",LEFT(TH!M771,2)="15"),'152-CT'!$J$8=TH!F771),"x","")</f>
        <v/>
      </c>
      <c r="W771" s="22" t="str">
        <f>IF(AND(OR(LEFT(TH!L771,2)="15",LEFT(TH!M771,2)="15"),TK!$E$7=TH!F771),"x","")</f>
        <v/>
      </c>
      <c r="X771" s="22" t="str">
        <f>IF(OR(TH!L771=TH!$X$7,M771=TH!$X$7),"x","")</f>
        <v/>
      </c>
      <c r="Y771" s="22" t="str">
        <f>IF(AND(B771&lt;=NKC!$N$8,B771&gt;=NKC!$M$8),"x","")</f>
        <v/>
      </c>
      <c r="Z771" s="580">
        <v>4</v>
      </c>
      <c r="AA771" s="406"/>
    </row>
    <row r="772" spans="1:31" s="130" customFormat="1" ht="15.75" customHeight="1">
      <c r="A772" s="123" t="str">
        <f>IF(B772&lt;&gt;"",IF(AND(B772&gt;=_TM1,B772&lt;=_TM2,OR(TH!L772="1111",TH!M772="1111")),TH!D772,""),"")</f>
        <v>C30</v>
      </c>
      <c r="B772" s="12">
        <f t="shared" si="27"/>
        <v>12</v>
      </c>
      <c r="C772" s="108">
        <f t="shared" si="28"/>
        <v>42730</v>
      </c>
      <c r="D772" s="113" t="s">
        <v>1046</v>
      </c>
      <c r="E772" s="113">
        <v>42730</v>
      </c>
      <c r="F772" s="112" t="s">
        <v>774</v>
      </c>
      <c r="G772" s="305" t="s">
        <v>939</v>
      </c>
      <c r="H772" s="129" t="s">
        <v>940</v>
      </c>
      <c r="I772" s="139"/>
      <c r="J772" s="139"/>
      <c r="K772" s="13">
        <v>500573</v>
      </c>
      <c r="L772" s="116" t="s">
        <v>9</v>
      </c>
      <c r="M772" s="411" t="s">
        <v>46</v>
      </c>
      <c r="N772" s="22" t="str">
        <f>IF(AND('331-CT'!$E$7=TH!H772,OR(L772="331",M772="331")),"331",IF(AND(OR(L772="131",M772="131"),H772='131-CT'!$E$7),"131",""))</f>
        <v/>
      </c>
      <c r="O772" s="22" t="str">
        <f>IF(AND($B772&gt;='111'!$N$11,$B772&lt;='111'!$O$11,OR($L772=$O$7,$M772=$O$7)),"x","")</f>
        <v>x</v>
      </c>
      <c r="P772" s="22" t="str">
        <f>IF(AND($L772=$O$7,$B772&lt;'111'!$N$11),"x","")</f>
        <v/>
      </c>
      <c r="Q772" s="22" t="str">
        <f>IF(AND($M772=$O$7,$B772&lt;'111'!$N$11),"x","")</f>
        <v/>
      </c>
      <c r="R772" s="22" t="str">
        <f>IF(ISERROR(FIND('112'!$M$9,G772,1)),"",IF((AND(FIND('112'!$M$9,G772,1)&gt;=1,$B772&gt;='112'!$N$8,$B772&lt;='112'!$O$8,OR($L772='112'!$I$6,$M772='112'!$I$6))),"x",""))</f>
        <v/>
      </c>
      <c r="S772" s="22" t="str">
        <f>IF(ISERROR(FIND('112'!$M$9,G772,1)),"",IF((AND(LEFT(G772,2)=LEFT('112'!$M$9,2),B772&lt;'112'!$N$8,$L772='112'!$I$6)),"x",""))</f>
        <v/>
      </c>
      <c r="T772" s="22" t="str">
        <f>IF(ISERROR(FIND('112'!$M$9,G772,1)),"",IF((AND(RIGHT(G772,2)=RIGHT('112'!$M$9,2),B772&lt;'112'!$N$8,$M772='112'!$I$6)),"x",""))</f>
        <v/>
      </c>
      <c r="U772" s="22" t="str">
        <f>IF(AND(B772&gt;='IN-NX'!$P$3,B772&lt;='IN-NX'!$Q$3,'IN-NX'!$D$7=D772,OR(LEFT(L772,2)="15",AND(LEFT(M772,2)&lt;&gt;"15",LEFT(M772,2)&lt;&gt;"33"))),"x","")</f>
        <v/>
      </c>
      <c r="V772" s="22" t="str">
        <f>IF(AND(OR(LEFT(TH!L772,2)="15",LEFT(TH!M772,2)="15"),'152-CT'!$J$8=TH!F772),"x","")</f>
        <v/>
      </c>
      <c r="W772" s="22" t="str">
        <f>IF(AND(OR(LEFT(TH!L772,2)="15",LEFT(TH!M772,2)="15"),TK!$E$7=TH!F772),"x","")</f>
        <v/>
      </c>
      <c r="X772" s="22" t="str">
        <f>IF(OR(TH!L772=TH!$X$7,M772=TH!$X$7),"x","")</f>
        <v/>
      </c>
      <c r="Y772" s="22" t="str">
        <f>IF(AND(B772&lt;=NKC!$N$8,B772&gt;=NKC!$M$8),"x","")</f>
        <v/>
      </c>
      <c r="Z772" s="580">
        <v>4</v>
      </c>
      <c r="AA772" s="406"/>
      <c r="AB772" s="406"/>
    </row>
    <row r="773" spans="1:31" s="406" customFormat="1" ht="15.75" customHeight="1">
      <c r="A773" s="123" t="str">
        <f>IF(B773&lt;&gt;"",IF(AND(B773&gt;=_TM1,B773&lt;=_TM2,OR(TH!L773="1111",TH!M773="1111")),TH!D773,""),"")</f>
        <v/>
      </c>
      <c r="B773" s="12">
        <f t="shared" si="27"/>
        <v>12</v>
      </c>
      <c r="C773" s="108">
        <f t="shared" si="28"/>
        <v>42730</v>
      </c>
      <c r="D773" s="113" t="s">
        <v>951</v>
      </c>
      <c r="E773" s="113">
        <v>42730</v>
      </c>
      <c r="F773" s="112" t="s">
        <v>862</v>
      </c>
      <c r="G773" s="305" t="s">
        <v>766</v>
      </c>
      <c r="H773" s="115" t="s">
        <v>863</v>
      </c>
      <c r="I773" s="139">
        <v>400</v>
      </c>
      <c r="J773" s="139">
        <v>23500</v>
      </c>
      <c r="K773" s="13">
        <f>ROUND(I773*J773,0)</f>
        <v>9400000</v>
      </c>
      <c r="L773" s="116" t="s">
        <v>156</v>
      </c>
      <c r="M773" s="116" t="s">
        <v>8</v>
      </c>
      <c r="N773" s="22" t="str">
        <f>IF(AND('331-CT'!$E$7=TH!H773,OR(L773="331",M773="331")),"331",IF(AND(OR(L773="131",M773="131"),H773='131-CT'!$E$7),"131",""))</f>
        <v/>
      </c>
      <c r="O773" s="22" t="str">
        <f>IF(AND($B773&gt;='111'!$N$11,$B773&lt;='111'!$O$11,OR($L773=$O$7,$M773=$O$7)),"x","")</f>
        <v/>
      </c>
      <c r="P773" s="22" t="str">
        <f>IF(AND($L773=$O$7,$B773&lt;'111'!$N$11),"x","")</f>
        <v/>
      </c>
      <c r="Q773" s="22" t="str">
        <f>IF(AND($M773=$O$7,$B773&lt;'111'!$N$11),"x","")</f>
        <v/>
      </c>
      <c r="R773" s="22" t="str">
        <f>IF(ISERROR(FIND('112'!$M$9,G773,1)),"",IF((AND(FIND('112'!$M$9,G773,1)&gt;=1,$B773&gt;='112'!$N$8,$B773&lt;='112'!$O$8,OR($L773='112'!$I$6,$M773='112'!$I$6))),"x",""))</f>
        <v/>
      </c>
      <c r="S773" s="22" t="str">
        <f>IF(ISERROR(FIND('112'!$M$9,G773,1)),"",IF((AND(LEFT(G773,2)=LEFT('112'!$M$9,2),B773&lt;'112'!$N$8,$L773='112'!$I$6)),"x",""))</f>
        <v/>
      </c>
      <c r="T773" s="22" t="str">
        <f>IF(ISERROR(FIND('112'!$M$9,G773,1)),"",IF((AND(RIGHT(G773,2)=RIGHT('112'!$M$9,2),B773&lt;'112'!$N$8,$M773='112'!$I$6)),"x",""))</f>
        <v/>
      </c>
      <c r="U773" s="22" t="str">
        <f>IF(AND(B773&gt;='IN-NX'!$P$3,B773&lt;='IN-NX'!$Q$3,'IN-NX'!$D$7=D773,OR(LEFT(L773,2)="15",AND(LEFT(M773,2)&lt;&gt;"15",LEFT(M773,2)&lt;&gt;"33"))),"x","")</f>
        <v/>
      </c>
      <c r="V773" s="22" t="str">
        <f>IF(AND(OR(LEFT(TH!L773,2)="15",LEFT(TH!M773,2)="15"),'152-CT'!$J$8=TH!F773),"x","")</f>
        <v/>
      </c>
      <c r="W773" s="22" t="str">
        <f>IF(AND(OR(LEFT(TH!L773,2)="15",LEFT(TH!M773,2)="15"),TK!$E$7=TH!F773),"x","")</f>
        <v/>
      </c>
      <c r="X773" s="22" t="str">
        <f>IF(OR(TH!L773=TH!$X$7,M773=TH!$X$7),"x","")</f>
        <v/>
      </c>
      <c r="Y773" s="22" t="str">
        <f>IF(AND(B773&lt;=NKC!$N$8,B773&gt;=NKC!$M$8),"x","")</f>
        <v/>
      </c>
      <c r="Z773" s="580">
        <v>4</v>
      </c>
      <c r="AC773" s="130"/>
      <c r="AD773" s="130"/>
      <c r="AE773" s="130"/>
    </row>
    <row r="774" spans="1:31" s="130" customFormat="1" ht="15.75" customHeight="1">
      <c r="A774" s="123" t="str">
        <f>IF(B774&lt;&gt;"",IF(AND(B774&gt;=_TM1,B774&lt;=_TM2,OR(TH!L774="1111",TH!M774="1111")),TH!D774,""),"")</f>
        <v/>
      </c>
      <c r="B774" s="12">
        <f t="shared" si="27"/>
        <v>12</v>
      </c>
      <c r="C774" s="108">
        <f t="shared" si="28"/>
        <v>42730</v>
      </c>
      <c r="D774" s="113" t="s">
        <v>951</v>
      </c>
      <c r="E774" s="113">
        <v>42730</v>
      </c>
      <c r="F774" s="112" t="s">
        <v>861</v>
      </c>
      <c r="G774" s="305" t="s">
        <v>766</v>
      </c>
      <c r="H774" s="115" t="s">
        <v>863</v>
      </c>
      <c r="I774" s="139"/>
      <c r="J774" s="139"/>
      <c r="K774" s="13">
        <v>940000</v>
      </c>
      <c r="L774" s="116" t="s">
        <v>9</v>
      </c>
      <c r="M774" s="116" t="s">
        <v>8</v>
      </c>
      <c r="N774" s="22" t="str">
        <f>IF(AND('331-CT'!$E$7=TH!H774,OR(L774="331",M774="331")),"331",IF(AND(OR(L774="131",M774="131"),H774='131-CT'!$E$7),"131",""))</f>
        <v/>
      </c>
      <c r="O774" s="22" t="str">
        <f>IF(AND($B774&gt;='111'!$N$11,$B774&lt;='111'!$O$11,OR($L774=$O$7,$M774=$O$7)),"x","")</f>
        <v/>
      </c>
      <c r="P774" s="22" t="str">
        <f>IF(AND($L774=$O$7,$B774&lt;'111'!$N$11),"x","")</f>
        <v/>
      </c>
      <c r="Q774" s="22" t="str">
        <f>IF(AND($M774=$O$7,$B774&lt;'111'!$N$11),"x","")</f>
        <v/>
      </c>
      <c r="R774" s="22" t="str">
        <f>IF(ISERROR(FIND('112'!$M$9,G774,1)),"",IF((AND(FIND('112'!$M$9,G774,1)&gt;=1,$B774&gt;='112'!$N$8,$B774&lt;='112'!$O$8,OR($L774='112'!$I$6,$M774='112'!$I$6))),"x",""))</f>
        <v/>
      </c>
      <c r="S774" s="22" t="str">
        <f>IF(ISERROR(FIND('112'!$M$9,G774,1)),"",IF((AND(LEFT(G774,2)=LEFT('112'!$M$9,2),B774&lt;'112'!$N$8,$L774='112'!$I$6)),"x",""))</f>
        <v/>
      </c>
      <c r="T774" s="22" t="str">
        <f>IF(ISERROR(FIND('112'!$M$9,G774,1)),"",IF((AND(RIGHT(G774,2)=RIGHT('112'!$M$9,2),B774&lt;'112'!$N$8,$M774='112'!$I$6)),"x",""))</f>
        <v/>
      </c>
      <c r="U774" s="22" t="str">
        <f>IF(AND(B774&gt;='IN-NX'!$P$3,B774&lt;='IN-NX'!$Q$3,'IN-NX'!$D$7=D774,OR(LEFT(L774,2)="15",AND(LEFT(M774,2)&lt;&gt;"15",LEFT(M774,2)&lt;&gt;"33"))),"x","")</f>
        <v/>
      </c>
      <c r="V774" s="22" t="str">
        <f>IF(AND(OR(LEFT(TH!L774,2)="15",LEFT(TH!M774,2)="15"),'152-CT'!$J$8=TH!F774),"x","")</f>
        <v/>
      </c>
      <c r="W774" s="22" t="str">
        <f>IF(AND(OR(LEFT(TH!L774,2)="15",LEFT(TH!M774,2)="15"),TK!$E$7=TH!F774),"x","")</f>
        <v/>
      </c>
      <c r="X774" s="22" t="str">
        <f>IF(OR(TH!L774=TH!$X$7,M774=TH!$X$7),"x","")</f>
        <v/>
      </c>
      <c r="Y774" s="22" t="str">
        <f>IF(AND(B774&lt;=NKC!$N$8,B774&gt;=NKC!$M$8),"x","")</f>
        <v/>
      </c>
      <c r="Z774" s="580">
        <v>4</v>
      </c>
      <c r="AA774" s="406"/>
      <c r="AB774" s="406"/>
    </row>
    <row r="775" spans="1:31" s="406" customFormat="1" ht="15.75" customHeight="1">
      <c r="A775" s="123" t="str">
        <f>IF(B775&lt;&gt;"",IF(AND(B775&gt;=_TM1,B775&lt;=_TM2,OR(TH!L775="1111",TH!M775="1111")),TH!D775,""),"")</f>
        <v>C31</v>
      </c>
      <c r="B775" s="12">
        <f t="shared" si="27"/>
        <v>12</v>
      </c>
      <c r="C775" s="108">
        <f t="shared" si="28"/>
        <v>42730</v>
      </c>
      <c r="D775" s="113" t="s">
        <v>1047</v>
      </c>
      <c r="E775" s="113">
        <v>42730</v>
      </c>
      <c r="F775" s="114" t="s">
        <v>465</v>
      </c>
      <c r="G775" s="305" t="s">
        <v>766</v>
      </c>
      <c r="H775" s="115" t="s">
        <v>863</v>
      </c>
      <c r="I775" s="139"/>
      <c r="J775" s="139"/>
      <c r="K775" s="13">
        <v>10340000</v>
      </c>
      <c r="L775" s="116" t="s">
        <v>8</v>
      </c>
      <c r="M775" s="411" t="s">
        <v>46</v>
      </c>
      <c r="N775" s="22" t="str">
        <f>IF(AND('331-CT'!$E$7=TH!H775,OR(L775="331",M775="331")),"331",IF(AND(OR(L775="131",M775="131"),H775='131-CT'!$E$7),"131",""))</f>
        <v/>
      </c>
      <c r="O775" s="22" t="str">
        <f>IF(AND($B775&gt;='111'!$N$11,$B775&lt;='111'!$O$11,OR($L775=$O$7,$M775=$O$7)),"x","")</f>
        <v>x</v>
      </c>
      <c r="P775" s="22" t="str">
        <f>IF(AND($L775=$O$7,$B775&lt;'111'!$N$11),"x","")</f>
        <v/>
      </c>
      <c r="Q775" s="22" t="str">
        <f>IF(AND($M775=$O$7,$B775&lt;'111'!$N$11),"x","")</f>
        <v/>
      </c>
      <c r="R775" s="22" t="str">
        <f>IF(ISERROR(FIND('112'!$M$9,G775,1)),"",IF((AND(FIND('112'!$M$9,G775,1)&gt;=1,$B775&gt;='112'!$N$8,$B775&lt;='112'!$O$8,OR($L775='112'!$I$6,$M775='112'!$I$6))),"x",""))</f>
        <v/>
      </c>
      <c r="S775" s="22" t="str">
        <f>IF(ISERROR(FIND('112'!$M$9,G775,1)),"",IF((AND(LEFT(G775,2)=LEFT('112'!$M$9,2),B775&lt;'112'!$N$8,$L775='112'!$I$6)),"x",""))</f>
        <v/>
      </c>
      <c r="T775" s="22" t="str">
        <f>IF(ISERROR(FIND('112'!$M$9,G775,1)),"",IF((AND(RIGHT(G775,2)=RIGHT('112'!$M$9,2),B775&lt;'112'!$N$8,$M775='112'!$I$6)),"x",""))</f>
        <v/>
      </c>
      <c r="U775" s="22" t="str">
        <f>IF(AND(B775&gt;='IN-NX'!$P$3,B775&lt;='IN-NX'!$Q$3,'IN-NX'!$D$7=D775,OR(LEFT(L775,2)="15",AND(LEFT(M775,2)&lt;&gt;"15",LEFT(M775,2)&lt;&gt;"33"))),"x","")</f>
        <v/>
      </c>
      <c r="V775" s="22" t="str">
        <f>IF(AND(OR(LEFT(TH!L775,2)="15",LEFT(TH!M775,2)="15"),'152-CT'!$J$8=TH!F775),"x","")</f>
        <v/>
      </c>
      <c r="W775" s="22" t="str">
        <f>IF(AND(OR(LEFT(TH!L775,2)="15",LEFT(TH!M775,2)="15"),TK!$E$7=TH!F775),"x","")</f>
        <v/>
      </c>
      <c r="X775" s="22" t="str">
        <f>IF(OR(TH!L775=TH!$X$7,M775=TH!$X$7),"x","")</f>
        <v/>
      </c>
      <c r="Y775" s="22" t="str">
        <f>IF(AND(B775&lt;=NKC!$N$8,B775&gt;=NKC!$M$8),"x","")</f>
        <v/>
      </c>
      <c r="Z775" s="580"/>
      <c r="AB775" s="130"/>
      <c r="AC775" s="130"/>
      <c r="AD775" s="130"/>
      <c r="AE775" s="130"/>
    </row>
    <row r="776" spans="1:31" s="130" customFormat="1" ht="15.75" customHeight="1">
      <c r="A776" s="123" t="str">
        <f>IF(B776&lt;&gt;"",IF(AND(B776&gt;=_TM1,B776&lt;=_TM2,OR(TH!L776="1111",TH!M776="1111")),TH!D776,""),"")</f>
        <v/>
      </c>
      <c r="B776" s="12">
        <f t="shared" si="27"/>
        <v>12</v>
      </c>
      <c r="C776" s="108">
        <f t="shared" si="28"/>
        <v>42730</v>
      </c>
      <c r="D776" s="108" t="s">
        <v>615</v>
      </c>
      <c r="E776" s="113">
        <v>42730</v>
      </c>
      <c r="F776" s="112" t="s">
        <v>813</v>
      </c>
      <c r="G776" s="303" t="s">
        <v>923</v>
      </c>
      <c r="H776" s="4" t="s">
        <v>814</v>
      </c>
      <c r="I776" s="139">
        <v>1200</v>
      </c>
      <c r="J776" s="139">
        <v>7500</v>
      </c>
      <c r="K776" s="13">
        <f>ROUND(I776*J776,0)</f>
        <v>9000000</v>
      </c>
      <c r="L776" s="116" t="s">
        <v>252</v>
      </c>
      <c r="M776" s="411" t="s">
        <v>169</v>
      </c>
      <c r="N776" s="22" t="str">
        <f>IF(AND('331-CT'!$E$7=TH!H776,OR(L776="331",M776="331")),"331",IF(AND(OR(L776="131",M776="131"),H776='131-CT'!$E$7),"131",""))</f>
        <v/>
      </c>
      <c r="O776" s="22" t="str">
        <f>IF(AND($B776&gt;='111'!$N$11,$B776&lt;='111'!$O$11,OR($L776=$O$7,$M776=$O$7)),"x","")</f>
        <v/>
      </c>
      <c r="P776" s="22" t="str">
        <f>IF(AND($L776=$O$7,$B776&lt;'111'!$N$11),"x","")</f>
        <v/>
      </c>
      <c r="Q776" s="22" t="str">
        <f>IF(AND($M776=$O$7,$B776&lt;'111'!$N$11),"x","")</f>
        <v/>
      </c>
      <c r="R776" s="22" t="str">
        <f>IF(ISERROR(FIND('112'!$M$9,G776,1)),"",IF((AND(FIND('112'!$M$9,G776,1)&gt;=1,$B776&gt;='112'!$N$8,$B776&lt;='112'!$O$8,OR($L776='112'!$I$6,$M776='112'!$I$6))),"x",""))</f>
        <v/>
      </c>
      <c r="S776" s="22" t="str">
        <f>IF(ISERROR(FIND('112'!$M$9,G776,1)),"",IF((AND(LEFT(G776,2)=LEFT('112'!$M$9,2),B776&lt;'112'!$N$8,$L776='112'!$I$6)),"x",""))</f>
        <v/>
      </c>
      <c r="T776" s="22" t="str">
        <f>IF(ISERROR(FIND('112'!$M$9,G776,1)),"",IF((AND(RIGHT(G776,2)=RIGHT('112'!$M$9,2),B776&lt;'112'!$N$8,$M776='112'!$I$6)),"x",""))</f>
        <v/>
      </c>
      <c r="U776" s="22" t="str">
        <f>IF(AND(B776&gt;='IN-NX'!$P$3,B776&lt;='IN-NX'!$Q$3,'IN-NX'!$D$7=D776,OR(LEFT(L776,2)="15",AND(LEFT(M776,2)&lt;&gt;"15",LEFT(M776,2)&lt;&gt;"33"))),"x","")</f>
        <v/>
      </c>
      <c r="V776" s="22" t="str">
        <f>IF(AND(OR(LEFT(TH!L776,2)="15",LEFT(TH!M776,2)="15"),'152-CT'!$J$8=TH!F776),"x","")</f>
        <v/>
      </c>
      <c r="W776" s="22" t="str">
        <f>IF(AND(OR(LEFT(TH!L776,2)="15",LEFT(TH!M776,2)="15"),TK!$E$7=TH!F776),"x","")</f>
        <v/>
      </c>
      <c r="X776" s="22" t="str">
        <f>IF(OR(TH!L776=TH!$X$7,M776=TH!$X$7),"x","")</f>
        <v/>
      </c>
      <c r="Y776" s="22" t="str">
        <f>IF(AND(B776&lt;=NKC!$N$8,B776&gt;=NKC!$M$8),"x","")</f>
        <v/>
      </c>
      <c r="Z776" s="580"/>
      <c r="AA776" s="406"/>
      <c r="AB776" s="406"/>
      <c r="AC776" s="406"/>
    </row>
    <row r="777" spans="1:31" s="130" customFormat="1" ht="15.75" customHeight="1">
      <c r="A777" s="123" t="str">
        <f>IF(B777&lt;&gt;"",IF(AND(B777&gt;=_TM1,B777&lt;=_TM2,OR(TH!L777="1111",TH!M777="1111")),TH!D777,""),"")</f>
        <v/>
      </c>
      <c r="B777" s="12">
        <f t="shared" si="27"/>
        <v>12</v>
      </c>
      <c r="C777" s="108">
        <f t="shared" si="28"/>
        <v>42730</v>
      </c>
      <c r="D777" s="108" t="s">
        <v>615</v>
      </c>
      <c r="E777" s="113">
        <v>42730</v>
      </c>
      <c r="F777" s="112" t="s">
        <v>496</v>
      </c>
      <c r="G777" s="303" t="s">
        <v>923</v>
      </c>
      <c r="H777" s="4" t="s">
        <v>814</v>
      </c>
      <c r="I777" s="139"/>
      <c r="J777" s="139"/>
      <c r="K777" s="13">
        <v>900000</v>
      </c>
      <c r="L777" s="116" t="s">
        <v>252</v>
      </c>
      <c r="M777" s="411" t="s">
        <v>352</v>
      </c>
      <c r="N777" s="22" t="str">
        <f>IF(AND('331-CT'!$E$7=TH!H777,OR(L777="331",M777="331")),"331",IF(AND(OR(L777="131",M777="131"),H777='131-CT'!$E$7),"131",""))</f>
        <v/>
      </c>
      <c r="O777" s="22" t="str">
        <f>IF(AND($B777&gt;='111'!$N$11,$B777&lt;='111'!$O$11,OR($L777=$O$7,$M777=$O$7)),"x","")</f>
        <v/>
      </c>
      <c r="P777" s="22" t="str">
        <f>IF(AND($L777=$O$7,$B777&lt;'111'!$N$11),"x","")</f>
        <v/>
      </c>
      <c r="Q777" s="22" t="str">
        <f>IF(AND($M777=$O$7,$B777&lt;'111'!$N$11),"x","")</f>
        <v/>
      </c>
      <c r="R777" s="22" t="str">
        <f>IF(ISERROR(FIND('112'!$M$9,G777,1)),"",IF((AND(FIND('112'!$M$9,G777,1)&gt;=1,$B777&gt;='112'!$N$8,$B777&lt;='112'!$O$8,OR($L777='112'!$I$6,$M777='112'!$I$6))),"x",""))</f>
        <v/>
      </c>
      <c r="S777" s="22" t="str">
        <f>IF(ISERROR(FIND('112'!$M$9,G777,1)),"",IF((AND(LEFT(G777,2)=LEFT('112'!$M$9,2),B777&lt;'112'!$N$8,$L777='112'!$I$6)),"x",""))</f>
        <v/>
      </c>
      <c r="T777" s="22" t="str">
        <f>IF(ISERROR(FIND('112'!$M$9,G777,1)),"",IF((AND(RIGHT(G777,2)=RIGHT('112'!$M$9,2),B777&lt;'112'!$N$8,$M777='112'!$I$6)),"x",""))</f>
        <v/>
      </c>
      <c r="U777" s="22" t="str">
        <f>IF(AND(B777&gt;='IN-NX'!$P$3,B777&lt;='IN-NX'!$Q$3,'IN-NX'!$D$7=D777,OR(LEFT(L777,2)="15",AND(LEFT(M777,2)&lt;&gt;"15",LEFT(M777,2)&lt;&gt;"33"))),"x","")</f>
        <v/>
      </c>
      <c r="V777" s="22" t="str">
        <f>IF(AND(OR(LEFT(TH!L777,2)="15",LEFT(TH!M777,2)="15"),'152-CT'!$J$8=TH!F777),"x","")</f>
        <v/>
      </c>
      <c r="W777" s="22" t="str">
        <f>IF(AND(OR(LEFT(TH!L777,2)="15",LEFT(TH!M777,2)="15"),TK!$E$7=TH!F777),"x","")</f>
        <v/>
      </c>
      <c r="X777" s="22" t="str">
        <f>IF(OR(TH!L777=TH!$X$7,M777=TH!$X$7),"x","")</f>
        <v/>
      </c>
      <c r="Y777" s="22" t="str">
        <f>IF(AND(B777&lt;=NKC!$N$8,B777&gt;=NKC!$M$8),"x","")</f>
        <v/>
      </c>
      <c r="Z777" s="580"/>
      <c r="AA777" s="406"/>
      <c r="AB777" s="406"/>
      <c r="AC777" s="406"/>
    </row>
    <row r="778" spans="1:31" s="130" customFormat="1" ht="15.75" customHeight="1">
      <c r="A778" s="123" t="str">
        <f>IF(B778&lt;&gt;"",IF(AND(B778&gt;=_TM1,B778&lt;=_TM2,OR(TH!L778="1111",TH!M778="1111")),TH!D778,""),"")</f>
        <v>T45</v>
      </c>
      <c r="B778" s="12">
        <f t="shared" si="27"/>
        <v>12</v>
      </c>
      <c r="C778" s="108">
        <f t="shared" si="28"/>
        <v>42730</v>
      </c>
      <c r="D778" s="108" t="s">
        <v>1065</v>
      </c>
      <c r="E778" s="113">
        <v>42730</v>
      </c>
      <c r="F778" s="114" t="s">
        <v>484</v>
      </c>
      <c r="G778" s="303" t="s">
        <v>923</v>
      </c>
      <c r="H778" s="4" t="s">
        <v>814</v>
      </c>
      <c r="I778" s="140"/>
      <c r="J778" s="140"/>
      <c r="K778" s="13">
        <v>9900000</v>
      </c>
      <c r="L778" s="116" t="s">
        <v>46</v>
      </c>
      <c r="M778" s="411" t="s">
        <v>252</v>
      </c>
      <c r="N778" s="22" t="str">
        <f>IF(AND('331-CT'!$E$7=TH!H778,OR(L778="331",M778="331")),"331",IF(AND(OR(L778="131",M778="131"),H778='131-CT'!$E$7),"131",""))</f>
        <v/>
      </c>
      <c r="O778" s="22" t="str">
        <f>IF(AND($B778&gt;='111'!$N$11,$B778&lt;='111'!$O$11,OR($L778=$O$7,$M778=$O$7)),"x","")</f>
        <v>x</v>
      </c>
      <c r="P778" s="22" t="str">
        <f>IF(AND($L778=$O$7,$B778&lt;'111'!$N$11),"x","")</f>
        <v/>
      </c>
      <c r="Q778" s="22" t="str">
        <f>IF(AND($M778=$O$7,$B778&lt;'111'!$N$11),"x","")</f>
        <v/>
      </c>
      <c r="R778" s="22" t="str">
        <f>IF(ISERROR(FIND('112'!$M$9,G778,1)),"",IF((AND(FIND('112'!$M$9,G778,1)&gt;=1,$B778&gt;='112'!$N$8,$B778&lt;='112'!$O$8,OR($L778='112'!$I$6,$M778='112'!$I$6))),"x",""))</f>
        <v/>
      </c>
      <c r="S778" s="22" t="str">
        <f>IF(ISERROR(FIND('112'!$M$9,G778,1)),"",IF((AND(LEFT(G778,2)=LEFT('112'!$M$9,2),B778&lt;'112'!$N$8,$L778='112'!$I$6)),"x",""))</f>
        <v/>
      </c>
      <c r="T778" s="22" t="str">
        <f>IF(ISERROR(FIND('112'!$M$9,G778,1)),"",IF((AND(RIGHT(G778,2)=RIGHT('112'!$M$9,2),B778&lt;'112'!$N$8,$M778='112'!$I$6)),"x",""))</f>
        <v/>
      </c>
      <c r="U778" s="22" t="str">
        <f>IF(AND(B778&gt;='IN-NX'!$P$3,B778&lt;='IN-NX'!$Q$3,'IN-NX'!$D$7=D778,OR(LEFT(L778,2)="15",AND(LEFT(M778,2)&lt;&gt;"15",LEFT(M778,2)&lt;&gt;"33"))),"x","")</f>
        <v/>
      </c>
      <c r="V778" s="22" t="str">
        <f>IF(AND(OR(LEFT(TH!L778,2)="15",LEFT(TH!M778,2)="15"),'152-CT'!$J$8=TH!F778),"x","")</f>
        <v/>
      </c>
      <c r="W778" s="22" t="str">
        <f>IF(AND(OR(LEFT(TH!L778,2)="15",LEFT(TH!M778,2)="15"),TK!$E$7=TH!F778),"x","")</f>
        <v/>
      </c>
      <c r="X778" s="22" t="str">
        <f>IF(OR(TH!L778=TH!$X$7,M778=TH!$X$7),"x","")</f>
        <v/>
      </c>
      <c r="Y778" s="22" t="str">
        <f>IF(AND(B778&lt;=NKC!$N$8,B778&gt;=NKC!$M$8),"x","")</f>
        <v/>
      </c>
      <c r="Z778" s="580"/>
      <c r="AA778" s="406"/>
      <c r="AB778" s="406"/>
    </row>
    <row r="779" spans="1:31" s="130" customFormat="1" ht="15.75" customHeight="1">
      <c r="A779" s="123" t="str">
        <f>IF(B779&lt;&gt;"",IF(AND(B779&gt;=_TM1,B779&lt;=_TM2,OR(TH!L779="1111",TH!M779="1111")),TH!D779,""),"")</f>
        <v/>
      </c>
      <c r="B779" s="12">
        <f t="shared" si="27"/>
        <v>12</v>
      </c>
      <c r="C779" s="108">
        <f t="shared" si="28"/>
        <v>42731</v>
      </c>
      <c r="D779" s="113" t="s">
        <v>952</v>
      </c>
      <c r="E779" s="113">
        <v>42731</v>
      </c>
      <c r="F779" s="112" t="s">
        <v>864</v>
      </c>
      <c r="G779" s="305" t="s">
        <v>767</v>
      </c>
      <c r="H779" s="115" t="s">
        <v>863</v>
      </c>
      <c r="I779" s="139">
        <v>2000</v>
      </c>
      <c r="J779" s="139">
        <v>9000</v>
      </c>
      <c r="K779" s="13">
        <f>ROUND(I779*J779,0)</f>
        <v>18000000</v>
      </c>
      <c r="L779" s="116" t="s">
        <v>156</v>
      </c>
      <c r="M779" s="116" t="s">
        <v>8</v>
      </c>
      <c r="N779" s="22" t="str">
        <f>IF(AND('331-CT'!$E$7=TH!H779,OR(L779="331",M779="331")),"331",IF(AND(OR(L779="131",M779="131"),H779='131-CT'!$E$7),"131",""))</f>
        <v/>
      </c>
      <c r="O779" s="22" t="str">
        <f>IF(AND($B779&gt;='111'!$N$11,$B779&lt;='111'!$O$11,OR($L779=$O$7,$M779=$O$7)),"x","")</f>
        <v/>
      </c>
      <c r="P779" s="22" t="str">
        <f>IF(AND($L779=$O$7,$B779&lt;'111'!$N$11),"x","")</f>
        <v/>
      </c>
      <c r="Q779" s="22" t="str">
        <f>IF(AND($M779=$O$7,$B779&lt;'111'!$N$11),"x","")</f>
        <v/>
      </c>
      <c r="R779" s="22" t="str">
        <f>IF(ISERROR(FIND('112'!$M$9,G779,1)),"",IF((AND(FIND('112'!$M$9,G779,1)&gt;=1,$B779&gt;='112'!$N$8,$B779&lt;='112'!$O$8,OR($L779='112'!$I$6,$M779='112'!$I$6))),"x",""))</f>
        <v/>
      </c>
      <c r="S779" s="22" t="str">
        <f>IF(ISERROR(FIND('112'!$M$9,G779,1)),"",IF((AND(LEFT(G779,2)=LEFT('112'!$M$9,2),B779&lt;'112'!$N$8,$L779='112'!$I$6)),"x",""))</f>
        <v/>
      </c>
      <c r="T779" s="22" t="str">
        <f>IF(ISERROR(FIND('112'!$M$9,G779,1)),"",IF((AND(RIGHT(G779,2)=RIGHT('112'!$M$9,2),B779&lt;'112'!$N$8,$M779='112'!$I$6)),"x",""))</f>
        <v/>
      </c>
      <c r="U779" s="22" t="str">
        <f>IF(AND(B779&gt;='IN-NX'!$P$3,B779&lt;='IN-NX'!$Q$3,'IN-NX'!$D$7=D779,OR(LEFT(L779,2)="15",AND(LEFT(M779,2)&lt;&gt;"15",LEFT(M779,2)&lt;&gt;"33"))),"x","")</f>
        <v/>
      </c>
      <c r="V779" s="22" t="str">
        <f>IF(AND(OR(LEFT(TH!L779,2)="15",LEFT(TH!M779,2)="15"),'152-CT'!$J$8=TH!F779),"x","")</f>
        <v/>
      </c>
      <c r="W779" s="22" t="str">
        <f>IF(AND(OR(LEFT(TH!L779,2)="15",LEFT(TH!M779,2)="15"),TK!$E$7=TH!F779),"x","")</f>
        <v/>
      </c>
      <c r="X779" s="22" t="str">
        <f>IF(OR(TH!L779=TH!$X$7,M779=TH!$X$7),"x","")</f>
        <v/>
      </c>
      <c r="Y779" s="22" t="str">
        <f>IF(AND(B779&lt;=NKC!$N$8,B779&gt;=NKC!$M$8),"x","")</f>
        <v/>
      </c>
      <c r="Z779" s="580">
        <v>4</v>
      </c>
      <c r="AA779" s="406"/>
      <c r="AB779" s="406"/>
    </row>
    <row r="780" spans="1:31" s="406" customFormat="1" ht="15.75" customHeight="1">
      <c r="A780" s="123" t="str">
        <f>IF(B780&lt;&gt;"",IF(AND(B780&gt;=_TM1,B780&lt;=_TM2,OR(TH!L780="1111",TH!M780="1111")),TH!D780,""),"")</f>
        <v/>
      </c>
      <c r="B780" s="12">
        <f t="shared" si="27"/>
        <v>12</v>
      </c>
      <c r="C780" s="108">
        <f t="shared" si="28"/>
        <v>42731</v>
      </c>
      <c r="D780" s="113" t="s">
        <v>952</v>
      </c>
      <c r="E780" s="113">
        <v>42731</v>
      </c>
      <c r="F780" s="112" t="s">
        <v>871</v>
      </c>
      <c r="G780" s="305" t="s">
        <v>767</v>
      </c>
      <c r="H780" s="115" t="s">
        <v>863</v>
      </c>
      <c r="I780" s="139"/>
      <c r="J780" s="139"/>
      <c r="K780" s="13">
        <v>1800000</v>
      </c>
      <c r="L780" s="116" t="s">
        <v>9</v>
      </c>
      <c r="M780" s="116" t="s">
        <v>8</v>
      </c>
      <c r="N780" s="22" t="str">
        <f>IF(AND('331-CT'!$E$7=TH!H780,OR(L780="331",M780="331")),"331",IF(AND(OR(L780="131",M780="131"),H780='131-CT'!$E$7),"131",""))</f>
        <v/>
      </c>
      <c r="O780" s="22" t="str">
        <f>IF(AND($B780&gt;='111'!$N$11,$B780&lt;='111'!$O$11,OR($L780=$O$7,$M780=$O$7)),"x","")</f>
        <v/>
      </c>
      <c r="P780" s="22" t="str">
        <f>IF(AND($L780=$O$7,$B780&lt;'111'!$N$11),"x","")</f>
        <v/>
      </c>
      <c r="Q780" s="22" t="str">
        <f>IF(AND($M780=$O$7,$B780&lt;'111'!$N$11),"x","")</f>
        <v/>
      </c>
      <c r="R780" s="22" t="str">
        <f>IF(ISERROR(FIND('112'!$M$9,G780,1)),"",IF((AND(FIND('112'!$M$9,G780,1)&gt;=1,$B780&gt;='112'!$N$8,$B780&lt;='112'!$O$8,OR($L780='112'!$I$6,$M780='112'!$I$6))),"x",""))</f>
        <v/>
      </c>
      <c r="S780" s="22" t="str">
        <f>IF(ISERROR(FIND('112'!$M$9,G780,1)),"",IF((AND(LEFT(G780,2)=LEFT('112'!$M$9,2),B780&lt;'112'!$N$8,$L780='112'!$I$6)),"x",""))</f>
        <v/>
      </c>
      <c r="T780" s="22" t="str">
        <f>IF(ISERROR(FIND('112'!$M$9,G780,1)),"",IF((AND(RIGHT(G780,2)=RIGHT('112'!$M$9,2),B780&lt;'112'!$N$8,$M780='112'!$I$6)),"x",""))</f>
        <v/>
      </c>
      <c r="U780" s="22" t="str">
        <f>IF(AND(B780&gt;='IN-NX'!$P$3,B780&lt;='IN-NX'!$Q$3,'IN-NX'!$D$7=D780,OR(LEFT(L780,2)="15",AND(LEFT(M780,2)&lt;&gt;"15",LEFT(M780,2)&lt;&gt;"33"))),"x","")</f>
        <v/>
      </c>
      <c r="V780" s="22" t="str">
        <f>IF(AND(OR(LEFT(TH!L780,2)="15",LEFT(TH!M780,2)="15"),'152-CT'!$J$8=TH!F780),"x","")</f>
        <v/>
      </c>
      <c r="W780" s="22" t="str">
        <f>IF(AND(OR(LEFT(TH!L780,2)="15",LEFT(TH!M780,2)="15"),TK!$E$7=TH!F780),"x","")</f>
        <v/>
      </c>
      <c r="X780" s="22" t="str">
        <f>IF(OR(TH!L780=TH!$X$7,M780=TH!$X$7),"x","")</f>
        <v/>
      </c>
      <c r="Y780" s="22" t="str">
        <f>IF(AND(B780&lt;=NKC!$N$8,B780&gt;=NKC!$M$8),"x","")</f>
        <v/>
      </c>
      <c r="Z780" s="580">
        <v>4</v>
      </c>
      <c r="AC780" s="130"/>
      <c r="AD780" s="130"/>
      <c r="AE780" s="130"/>
    </row>
    <row r="781" spans="1:31" s="130" customFormat="1" ht="15.75" customHeight="1">
      <c r="A781" s="123" t="str">
        <f>IF(B781&lt;&gt;"",IF(AND(B781&gt;=_TM1,B781&lt;=_TM2,OR(TH!L781="1111",TH!M781="1111")),TH!D781,""),"")</f>
        <v>C32</v>
      </c>
      <c r="B781" s="12">
        <f t="shared" si="27"/>
        <v>12</v>
      </c>
      <c r="C781" s="108">
        <f t="shared" si="28"/>
        <v>42731</v>
      </c>
      <c r="D781" s="113" t="s">
        <v>1048</v>
      </c>
      <c r="E781" s="113">
        <v>42731</v>
      </c>
      <c r="F781" s="114" t="s">
        <v>465</v>
      </c>
      <c r="G781" s="305" t="s">
        <v>767</v>
      </c>
      <c r="H781" s="115" t="s">
        <v>863</v>
      </c>
      <c r="I781" s="139"/>
      <c r="J781" s="139"/>
      <c r="K781" s="13">
        <v>19800000</v>
      </c>
      <c r="L781" s="116" t="s">
        <v>8</v>
      </c>
      <c r="M781" s="411" t="s">
        <v>46</v>
      </c>
      <c r="N781" s="22" t="str">
        <f>IF(AND('331-CT'!$E$7=TH!H781,OR(L781="331",M781="331")),"331",IF(AND(OR(L781="131",M781="131"),H781='131-CT'!$E$7),"131",""))</f>
        <v/>
      </c>
      <c r="O781" s="22" t="str">
        <f>IF(AND($B781&gt;='111'!$N$11,$B781&lt;='111'!$O$11,OR($L781=$O$7,$M781=$O$7)),"x","")</f>
        <v>x</v>
      </c>
      <c r="P781" s="22" t="str">
        <f>IF(AND($L781=$O$7,$B781&lt;'111'!$N$11),"x","")</f>
        <v/>
      </c>
      <c r="Q781" s="22" t="str">
        <f>IF(AND($M781=$O$7,$B781&lt;'111'!$N$11),"x","")</f>
        <v/>
      </c>
      <c r="R781" s="22" t="str">
        <f>IF(ISERROR(FIND('112'!$M$9,G781,1)),"",IF((AND(FIND('112'!$M$9,G781,1)&gt;=1,$B781&gt;='112'!$N$8,$B781&lt;='112'!$O$8,OR($L781='112'!$I$6,$M781='112'!$I$6))),"x",""))</f>
        <v/>
      </c>
      <c r="S781" s="22" t="str">
        <f>IF(ISERROR(FIND('112'!$M$9,G781,1)),"",IF((AND(LEFT(G781,2)=LEFT('112'!$M$9,2),B781&lt;'112'!$N$8,$L781='112'!$I$6)),"x",""))</f>
        <v/>
      </c>
      <c r="T781" s="22" t="str">
        <f>IF(ISERROR(FIND('112'!$M$9,G781,1)),"",IF((AND(RIGHT(G781,2)=RIGHT('112'!$M$9,2),B781&lt;'112'!$N$8,$M781='112'!$I$6)),"x",""))</f>
        <v/>
      </c>
      <c r="U781" s="22" t="str">
        <f>IF(AND(B781&gt;='IN-NX'!$P$3,B781&lt;='IN-NX'!$Q$3,'IN-NX'!$D$7=D781,OR(LEFT(L781,2)="15",AND(LEFT(M781,2)&lt;&gt;"15",LEFT(M781,2)&lt;&gt;"33"))),"x","")</f>
        <v/>
      </c>
      <c r="V781" s="22" t="str">
        <f>IF(AND(OR(LEFT(TH!L781,2)="15",LEFT(TH!M781,2)="15"),'152-CT'!$J$8=TH!F781),"x","")</f>
        <v/>
      </c>
      <c r="W781" s="22" t="str">
        <f>IF(AND(OR(LEFT(TH!L781,2)="15",LEFT(TH!M781,2)="15"),TK!$E$7=TH!F781),"x","")</f>
        <v/>
      </c>
      <c r="X781" s="22" t="str">
        <f>IF(OR(TH!L781=TH!$X$7,M781=TH!$X$7),"x","")</f>
        <v/>
      </c>
      <c r="Y781" s="22" t="str">
        <f>IF(AND(B781&lt;=NKC!$N$8,B781&gt;=NKC!$M$8),"x","")</f>
        <v/>
      </c>
      <c r="Z781" s="580"/>
      <c r="AA781" s="406"/>
    </row>
    <row r="782" spans="1:31" s="130" customFormat="1" ht="15.75" customHeight="1">
      <c r="A782" s="123" t="str">
        <f>IF(B782&lt;&gt;"",IF(AND(B782&gt;=_TM1,B782&lt;=_TM2,OR(TH!L782="1111",TH!M782="1111")),TH!D782,""),"")</f>
        <v/>
      </c>
      <c r="B782" s="12">
        <f t="shared" si="27"/>
        <v>12</v>
      </c>
      <c r="C782" s="108">
        <f t="shared" si="28"/>
        <v>42731</v>
      </c>
      <c r="D782" s="108" t="s">
        <v>469</v>
      </c>
      <c r="E782" s="113">
        <v>42731</v>
      </c>
      <c r="F782" s="112" t="s">
        <v>484</v>
      </c>
      <c r="G782" s="114" t="s">
        <v>474</v>
      </c>
      <c r="H782" s="4" t="s">
        <v>623</v>
      </c>
      <c r="I782" s="139"/>
      <c r="J782" s="141"/>
      <c r="K782" s="13">
        <v>5689640</v>
      </c>
      <c r="L782" s="116" t="s">
        <v>24</v>
      </c>
      <c r="M782" s="411" t="s">
        <v>252</v>
      </c>
      <c r="N782" s="22" t="str">
        <f>IF(AND('331-CT'!$E$7=TH!H782,OR(L782="331",M782="331")),"331",IF(AND(OR(L782="131",M782="131"),H782='131-CT'!$E$7),"131",""))</f>
        <v/>
      </c>
      <c r="O782" s="22" t="str">
        <f>IF(AND($B782&gt;='111'!$N$11,$B782&lt;='111'!$O$11,OR($L782=$O$7,$M782=$O$7)),"x","")</f>
        <v/>
      </c>
      <c r="P782" s="22" t="str">
        <f>IF(AND($L782=$O$7,$B782&lt;'111'!$N$11),"x","")</f>
        <v/>
      </c>
      <c r="Q782" s="22" t="str">
        <f>IF(AND($M782=$O$7,$B782&lt;'111'!$N$11),"x","")</f>
        <v/>
      </c>
      <c r="R782" s="22" t="str">
        <f>IF(ISERROR(FIND('112'!$M$9,G782,1)),"",IF((AND(FIND('112'!$M$9,G782,1)&gt;=1,$B782&gt;='112'!$N$8,$B782&lt;='112'!$O$8,OR($L782='112'!$I$6,$M782='112'!$I$6))),"x",""))</f>
        <v>x</v>
      </c>
      <c r="S782" s="22" t="str">
        <f>IF(ISERROR(FIND('112'!$M$9,G782,1)),"",IF((AND(LEFT(G782,2)=LEFT('112'!$M$9,2),B782&lt;'112'!$N$8,$L782='112'!$I$6)),"x",""))</f>
        <v/>
      </c>
      <c r="T782" s="22" t="str">
        <f>IF(ISERROR(FIND('112'!$M$9,G782,1)),"",IF((AND(RIGHT(G782,2)=RIGHT('112'!$M$9,2),B782&lt;'112'!$N$8,$M782='112'!$I$6)),"x",""))</f>
        <v/>
      </c>
      <c r="U782" s="22" t="str">
        <f>IF(AND(B782&gt;='IN-NX'!$P$3,B782&lt;='IN-NX'!$Q$3,'IN-NX'!$D$7=D782,OR(LEFT(L782,2)="15",AND(LEFT(M782,2)&lt;&gt;"15",LEFT(M782,2)&lt;&gt;"33"))),"x","")</f>
        <v/>
      </c>
      <c r="V782" s="22" t="str">
        <f>IF(AND(OR(LEFT(TH!L782,2)="15",LEFT(TH!M782,2)="15"),'152-CT'!$J$8=TH!F782),"x","")</f>
        <v/>
      </c>
      <c r="W782" s="22" t="str">
        <f>IF(AND(OR(LEFT(TH!L782,2)="15",LEFT(TH!M782,2)="15"),TK!$E$7=TH!F782),"x","")</f>
        <v/>
      </c>
      <c r="X782" s="22" t="str">
        <f>IF(OR(TH!L782=TH!$X$7,M782=TH!$X$7),"x","")</f>
        <v/>
      </c>
      <c r="Y782" s="22" t="str">
        <f>IF(AND(B782&lt;=NKC!$N$8,B782&gt;=NKC!$M$8),"x","")</f>
        <v/>
      </c>
      <c r="Z782" s="580"/>
      <c r="AA782" s="406"/>
      <c r="AB782" s="406"/>
      <c r="AC782" s="406"/>
    </row>
    <row r="783" spans="1:31" s="130" customFormat="1" ht="15.75" customHeight="1">
      <c r="A783" s="123" t="str">
        <f>IF(B783&lt;&gt;"",IF(AND(B783&gt;=_TM1,B783&lt;=_TM2,OR(TH!L783="1111",TH!M783="1111")),TH!D783,""),"")</f>
        <v/>
      </c>
      <c r="B783" s="12">
        <f t="shared" si="27"/>
        <v>12</v>
      </c>
      <c r="C783" s="108">
        <f t="shared" si="28"/>
        <v>42731</v>
      </c>
      <c r="D783" s="108" t="s">
        <v>963</v>
      </c>
      <c r="E783" s="113">
        <v>42731</v>
      </c>
      <c r="F783" s="112" t="s">
        <v>813</v>
      </c>
      <c r="G783" s="303" t="s">
        <v>924</v>
      </c>
      <c r="H783" s="4" t="s">
        <v>814</v>
      </c>
      <c r="I783" s="139">
        <v>1380</v>
      </c>
      <c r="J783" s="139">
        <v>7500</v>
      </c>
      <c r="K783" s="13">
        <f>ROUND(I783*J783,0)</f>
        <v>10350000</v>
      </c>
      <c r="L783" s="116" t="s">
        <v>252</v>
      </c>
      <c r="M783" s="411" t="s">
        <v>169</v>
      </c>
      <c r="N783" s="22" t="str">
        <f>IF(AND('331-CT'!$E$7=TH!H783,OR(L783="331",M783="331")),"331",IF(AND(OR(L783="131",M783="131"),H783='131-CT'!$E$7),"131",""))</f>
        <v/>
      </c>
      <c r="O783" s="22" t="str">
        <f>IF(AND($B783&gt;='111'!$N$11,$B783&lt;='111'!$O$11,OR($L783=$O$7,$M783=$O$7)),"x","")</f>
        <v/>
      </c>
      <c r="P783" s="22" t="str">
        <f>IF(AND($L783=$O$7,$B783&lt;'111'!$N$11),"x","")</f>
        <v/>
      </c>
      <c r="Q783" s="22" t="str">
        <f>IF(AND($M783=$O$7,$B783&lt;'111'!$N$11),"x","")</f>
        <v/>
      </c>
      <c r="R783" s="22" t="str">
        <f>IF(ISERROR(FIND('112'!$M$9,G783,1)),"",IF((AND(FIND('112'!$M$9,G783,1)&gt;=1,$B783&gt;='112'!$N$8,$B783&lt;='112'!$O$8,OR($L783='112'!$I$6,$M783='112'!$I$6))),"x",""))</f>
        <v/>
      </c>
      <c r="S783" s="22" t="str">
        <f>IF(ISERROR(FIND('112'!$M$9,G783,1)),"",IF((AND(LEFT(G783,2)=LEFT('112'!$M$9,2),B783&lt;'112'!$N$8,$L783='112'!$I$6)),"x",""))</f>
        <v/>
      </c>
      <c r="T783" s="22" t="str">
        <f>IF(ISERROR(FIND('112'!$M$9,G783,1)),"",IF((AND(RIGHT(G783,2)=RIGHT('112'!$M$9,2),B783&lt;'112'!$N$8,$M783='112'!$I$6)),"x",""))</f>
        <v/>
      </c>
      <c r="U783" s="22" t="str">
        <f>IF(AND(B783&gt;='IN-NX'!$P$3,B783&lt;='IN-NX'!$Q$3,'IN-NX'!$D$7=D783,OR(LEFT(L783,2)="15",AND(LEFT(M783,2)&lt;&gt;"15",LEFT(M783,2)&lt;&gt;"33"))),"x","")</f>
        <v/>
      </c>
      <c r="V783" s="22" t="str">
        <f>IF(AND(OR(LEFT(TH!L783,2)="15",LEFT(TH!M783,2)="15"),'152-CT'!$J$8=TH!F783),"x","")</f>
        <v/>
      </c>
      <c r="W783" s="22" t="str">
        <f>IF(AND(OR(LEFT(TH!L783,2)="15",LEFT(TH!M783,2)="15"),TK!$E$7=TH!F783),"x","")</f>
        <v/>
      </c>
      <c r="X783" s="22" t="str">
        <f>IF(OR(TH!L783=TH!$X$7,M783=TH!$X$7),"x","")</f>
        <v/>
      </c>
      <c r="Y783" s="22" t="str">
        <f>IF(AND(B783&lt;=NKC!$N$8,B783&gt;=NKC!$M$8),"x","")</f>
        <v/>
      </c>
      <c r="Z783" s="580"/>
      <c r="AA783" s="406"/>
      <c r="AB783" s="406"/>
      <c r="AC783" s="406"/>
    </row>
    <row r="784" spans="1:31" s="130" customFormat="1" ht="15.75" customHeight="1">
      <c r="A784" s="123" t="str">
        <f>IF(B784&lt;&gt;"",IF(AND(B784&gt;=_TM1,B784&lt;=_TM2,OR(TH!L784="1111",TH!M784="1111")),TH!D784,""),"")</f>
        <v/>
      </c>
      <c r="B784" s="12">
        <f t="shared" si="27"/>
        <v>12</v>
      </c>
      <c r="C784" s="108">
        <f t="shared" si="28"/>
        <v>42731</v>
      </c>
      <c r="D784" s="108" t="s">
        <v>963</v>
      </c>
      <c r="E784" s="113">
        <v>42731</v>
      </c>
      <c r="F784" s="112" t="s">
        <v>496</v>
      </c>
      <c r="G784" s="303" t="s">
        <v>924</v>
      </c>
      <c r="H784" s="4" t="s">
        <v>814</v>
      </c>
      <c r="I784" s="139"/>
      <c r="J784" s="139"/>
      <c r="K784" s="13">
        <v>1035000</v>
      </c>
      <c r="L784" s="116" t="s">
        <v>252</v>
      </c>
      <c r="M784" s="411" t="s">
        <v>352</v>
      </c>
      <c r="N784" s="22" t="str">
        <f>IF(AND('331-CT'!$E$7=TH!H784,OR(L784="331",M784="331")),"331",IF(AND(OR(L784="131",M784="131"),H784='131-CT'!$E$7),"131",""))</f>
        <v/>
      </c>
      <c r="O784" s="22" t="str">
        <f>IF(AND($B784&gt;='111'!$N$11,$B784&lt;='111'!$O$11,OR($L784=$O$7,$M784=$O$7)),"x","")</f>
        <v/>
      </c>
      <c r="P784" s="22" t="str">
        <f>IF(AND($L784=$O$7,$B784&lt;'111'!$N$11),"x","")</f>
        <v/>
      </c>
      <c r="Q784" s="22" t="str">
        <f>IF(AND($M784=$O$7,$B784&lt;'111'!$N$11),"x","")</f>
        <v/>
      </c>
      <c r="R784" s="22" t="str">
        <f>IF(ISERROR(FIND('112'!$M$9,G784,1)),"",IF((AND(FIND('112'!$M$9,G784,1)&gt;=1,$B784&gt;='112'!$N$8,$B784&lt;='112'!$O$8,OR($L784='112'!$I$6,$M784='112'!$I$6))),"x",""))</f>
        <v/>
      </c>
      <c r="S784" s="22" t="str">
        <f>IF(ISERROR(FIND('112'!$M$9,G784,1)),"",IF((AND(LEFT(G784,2)=LEFT('112'!$M$9,2),B784&lt;'112'!$N$8,$L784='112'!$I$6)),"x",""))</f>
        <v/>
      </c>
      <c r="T784" s="22" t="str">
        <f>IF(ISERROR(FIND('112'!$M$9,G784,1)),"",IF((AND(RIGHT(G784,2)=RIGHT('112'!$M$9,2),B784&lt;'112'!$N$8,$M784='112'!$I$6)),"x",""))</f>
        <v/>
      </c>
      <c r="U784" s="22" t="str">
        <f>IF(AND(B784&gt;='IN-NX'!$P$3,B784&lt;='IN-NX'!$Q$3,'IN-NX'!$D$7=D784,OR(LEFT(L784,2)="15",AND(LEFT(M784,2)&lt;&gt;"15",LEFT(M784,2)&lt;&gt;"33"))),"x","")</f>
        <v/>
      </c>
      <c r="V784" s="22" t="str">
        <f>IF(AND(OR(LEFT(TH!L784,2)="15",LEFT(TH!M784,2)="15"),'152-CT'!$J$8=TH!F784),"x","")</f>
        <v/>
      </c>
      <c r="W784" s="22" t="str">
        <f>IF(AND(OR(LEFT(TH!L784,2)="15",LEFT(TH!M784,2)="15"),TK!$E$7=TH!F784),"x","")</f>
        <v/>
      </c>
      <c r="X784" s="22" t="str">
        <f>IF(OR(TH!L784=TH!$X$7,M784=TH!$X$7),"x","")</f>
        <v/>
      </c>
      <c r="Y784" s="22" t="str">
        <f>IF(AND(B784&lt;=NKC!$N$8,B784&gt;=NKC!$M$8),"x","")</f>
        <v/>
      </c>
      <c r="Z784" s="580"/>
      <c r="AA784" s="406"/>
      <c r="AB784" s="406"/>
      <c r="AC784" s="406"/>
    </row>
    <row r="785" spans="1:31" s="406" customFormat="1" ht="15.75" customHeight="1">
      <c r="A785" s="123" t="str">
        <f>IF(B785&lt;&gt;"",IF(AND(B785&gt;=_TM1,B785&lt;=_TM2,OR(TH!L785="1111",TH!M785="1111")),TH!D785,""),"")</f>
        <v>T46</v>
      </c>
      <c r="B785" s="12">
        <f t="shared" ref="B785:B837" si="29">IF(C785&lt;&gt;"",MONTH(C785),"")</f>
        <v>12</v>
      </c>
      <c r="C785" s="108">
        <f t="shared" si="28"/>
        <v>42731</v>
      </c>
      <c r="D785" s="108" t="s">
        <v>1066</v>
      </c>
      <c r="E785" s="113">
        <v>42731</v>
      </c>
      <c r="F785" s="114" t="s">
        <v>484</v>
      </c>
      <c r="G785" s="303" t="s">
        <v>924</v>
      </c>
      <c r="H785" s="4" t="s">
        <v>814</v>
      </c>
      <c r="I785" s="140"/>
      <c r="J785" s="140"/>
      <c r="K785" s="13">
        <v>11385000</v>
      </c>
      <c r="L785" s="116" t="s">
        <v>46</v>
      </c>
      <c r="M785" s="411" t="s">
        <v>252</v>
      </c>
      <c r="N785" s="22" t="str">
        <f>IF(AND('331-CT'!$E$7=TH!H785,OR(L785="331",M785="331")),"331",IF(AND(OR(L785="131",M785="131"),H785='131-CT'!$E$7),"131",""))</f>
        <v/>
      </c>
      <c r="O785" s="22" t="str">
        <f>IF(AND($B785&gt;='111'!$N$11,$B785&lt;='111'!$O$11,OR($L785=$O$7,$M785=$O$7)),"x","")</f>
        <v>x</v>
      </c>
      <c r="P785" s="22" t="str">
        <f>IF(AND($L785=$O$7,$B785&lt;'111'!$N$11),"x","")</f>
        <v/>
      </c>
      <c r="Q785" s="22" t="str">
        <f>IF(AND($M785=$O$7,$B785&lt;'111'!$N$11),"x","")</f>
        <v/>
      </c>
      <c r="R785" s="22" t="str">
        <f>IF(ISERROR(FIND('112'!$M$9,G785,1)),"",IF((AND(FIND('112'!$M$9,G785,1)&gt;=1,$B785&gt;='112'!$N$8,$B785&lt;='112'!$O$8,OR($L785='112'!$I$6,$M785='112'!$I$6))),"x",""))</f>
        <v/>
      </c>
      <c r="S785" s="22" t="str">
        <f>IF(ISERROR(FIND('112'!$M$9,G785,1)),"",IF((AND(LEFT(G785,2)=LEFT('112'!$M$9,2),B785&lt;'112'!$N$8,$L785='112'!$I$6)),"x",""))</f>
        <v/>
      </c>
      <c r="T785" s="22" t="str">
        <f>IF(ISERROR(FIND('112'!$M$9,G785,1)),"",IF((AND(RIGHT(G785,2)=RIGHT('112'!$M$9,2),B785&lt;'112'!$N$8,$M785='112'!$I$6)),"x",""))</f>
        <v/>
      </c>
      <c r="U785" s="22" t="str">
        <f>IF(AND(B785&gt;='IN-NX'!$P$3,B785&lt;='IN-NX'!$Q$3,'IN-NX'!$D$7=D785,OR(LEFT(L785,2)="15",AND(LEFT(M785,2)&lt;&gt;"15",LEFT(M785,2)&lt;&gt;"33"))),"x","")</f>
        <v/>
      </c>
      <c r="V785" s="22" t="str">
        <f>IF(AND(OR(LEFT(TH!L785,2)="15",LEFT(TH!M785,2)="15"),'152-CT'!$J$8=TH!F785),"x","")</f>
        <v/>
      </c>
      <c r="W785" s="22" t="str">
        <f>IF(AND(OR(LEFT(TH!L785,2)="15",LEFT(TH!M785,2)="15"),TK!$E$7=TH!F785),"x","")</f>
        <v/>
      </c>
      <c r="X785" s="22" t="str">
        <f>IF(OR(TH!L785=TH!$X$7,M785=TH!$X$7),"x","")</f>
        <v/>
      </c>
      <c r="Y785" s="22" t="str">
        <f>IF(AND(B785&lt;=NKC!$N$8,B785&gt;=NKC!$M$8),"x","")</f>
        <v/>
      </c>
      <c r="Z785" s="580"/>
      <c r="AD785" s="130"/>
      <c r="AE785" s="130"/>
    </row>
    <row r="786" spans="1:31" s="130" customFormat="1" ht="15.75" customHeight="1">
      <c r="A786" s="123" t="str">
        <f>IF(B786&lt;&gt;"",IF(AND(B786&gt;=_TM1,B786&lt;=_TM2,OR(TH!L786="1111",TH!M786="1111")),TH!D786,""),"")</f>
        <v/>
      </c>
      <c r="B786" s="12">
        <f t="shared" si="29"/>
        <v>12</v>
      </c>
      <c r="C786" s="108">
        <f t="shared" si="28"/>
        <v>42732</v>
      </c>
      <c r="D786" s="113" t="s">
        <v>953</v>
      </c>
      <c r="E786" s="108">
        <v>42732</v>
      </c>
      <c r="F786" s="112" t="s">
        <v>444</v>
      </c>
      <c r="G786" s="303" t="s">
        <v>938</v>
      </c>
      <c r="H786" s="115" t="s">
        <v>442</v>
      </c>
      <c r="I786" s="139">
        <v>19710</v>
      </c>
      <c r="J786" s="139">
        <v>800</v>
      </c>
      <c r="K786" s="13">
        <f>ROUND(I786*J786,0)</f>
        <v>15768000</v>
      </c>
      <c r="L786" s="116" t="s">
        <v>156</v>
      </c>
      <c r="M786" s="116" t="s">
        <v>8</v>
      </c>
      <c r="N786" s="22" t="str">
        <f>IF(AND('331-CT'!$E$7=TH!H786,OR(L786="331",M786="331")),"331",IF(AND(OR(L786="131",M786="131"),H786='131-CT'!$E$7),"131",""))</f>
        <v>331</v>
      </c>
      <c r="O786" s="22" t="str">
        <f>IF(AND($B786&gt;='111'!$N$11,$B786&lt;='111'!$O$11,OR($L786=$O$7,$M786=$O$7)),"x","")</f>
        <v/>
      </c>
      <c r="P786" s="22" t="str">
        <f>IF(AND($L786=$O$7,$B786&lt;'111'!$N$11),"x","")</f>
        <v/>
      </c>
      <c r="Q786" s="22" t="str">
        <f>IF(AND($M786=$O$7,$B786&lt;'111'!$N$11),"x","")</f>
        <v/>
      </c>
      <c r="R786" s="22" t="str">
        <f>IF(ISERROR(FIND('112'!$M$9,G786,1)),"",IF((AND(FIND('112'!$M$9,G786,1)&gt;=1,$B786&gt;='112'!$N$8,$B786&lt;='112'!$O$8,OR($L786='112'!$I$6,$M786='112'!$I$6))),"x",""))</f>
        <v/>
      </c>
      <c r="S786" s="22" t="str">
        <f>IF(ISERROR(FIND('112'!$M$9,G786,1)),"",IF((AND(LEFT(G786,2)=LEFT('112'!$M$9,2),B786&lt;'112'!$N$8,$L786='112'!$I$6)),"x",""))</f>
        <v/>
      </c>
      <c r="T786" s="22" t="str">
        <f>IF(ISERROR(FIND('112'!$M$9,G786,1)),"",IF((AND(RIGHT(G786,2)=RIGHT('112'!$M$9,2),B786&lt;'112'!$N$8,$M786='112'!$I$6)),"x",""))</f>
        <v/>
      </c>
      <c r="U786" s="22" t="str">
        <f>IF(AND(B786&gt;='IN-NX'!$P$3,B786&lt;='IN-NX'!$Q$3,'IN-NX'!$D$7=D786,OR(LEFT(L786,2)="15",AND(LEFT(M786,2)&lt;&gt;"15",LEFT(M786,2)&lt;&gt;"33"))),"x","")</f>
        <v/>
      </c>
      <c r="V786" s="22" t="str">
        <f>IF(AND(OR(LEFT(TH!L786,2)="15",LEFT(TH!M786,2)="15"),'152-CT'!$J$8=TH!F786),"x","")</f>
        <v/>
      </c>
      <c r="W786" s="22" t="str">
        <f>IF(AND(OR(LEFT(TH!L786,2)="15",LEFT(TH!M786,2)="15"),TK!$E$7=TH!F786),"x","")</f>
        <v>x</v>
      </c>
      <c r="X786" s="22" t="str">
        <f>IF(OR(TH!L786=TH!$X$7,M786=TH!$X$7),"x","")</f>
        <v/>
      </c>
      <c r="Y786" s="22" t="str">
        <f>IF(AND(B786&lt;=NKC!$N$8,B786&gt;=NKC!$M$8),"x","")</f>
        <v/>
      </c>
      <c r="Z786" s="580">
        <v>4</v>
      </c>
      <c r="AA786" s="406"/>
      <c r="AB786" s="406"/>
      <c r="AC786" s="406"/>
      <c r="AD786" s="406"/>
      <c r="AE786" s="406"/>
    </row>
    <row r="787" spans="1:31" s="406" customFormat="1" ht="15.75" customHeight="1">
      <c r="A787" s="123" t="str">
        <f>IF(B787&lt;&gt;"",IF(AND(B787&gt;=_TM1,B787&lt;=_TM2,OR(TH!L787="1111",TH!M787="1111")),TH!D787,""),"")</f>
        <v/>
      </c>
      <c r="B787" s="12">
        <f t="shared" si="29"/>
        <v>12</v>
      </c>
      <c r="C787" s="108">
        <f t="shared" si="28"/>
        <v>42732</v>
      </c>
      <c r="D787" s="113" t="s">
        <v>953</v>
      </c>
      <c r="E787" s="108">
        <v>42732</v>
      </c>
      <c r="F787" s="112" t="s">
        <v>445</v>
      </c>
      <c r="G787" s="303" t="s">
        <v>938</v>
      </c>
      <c r="H787" s="115" t="s">
        <v>442</v>
      </c>
      <c r="I787" s="139"/>
      <c r="J787" s="139"/>
      <c r="K787" s="410">
        <v>1576800</v>
      </c>
      <c r="L787" s="116" t="s">
        <v>9</v>
      </c>
      <c r="M787" s="116" t="s">
        <v>8</v>
      </c>
      <c r="N787" s="22" t="str">
        <f>IF(AND('331-CT'!$E$7=TH!H787,OR(L787="331",M787="331")),"331",IF(AND(OR(L787="131",M787="131"),H787='131-CT'!$E$7),"131",""))</f>
        <v>331</v>
      </c>
      <c r="O787" s="22" t="str">
        <f>IF(AND($B787&gt;='111'!$N$11,$B787&lt;='111'!$O$11,OR($L787=$O$7,$M787=$O$7)),"x","")</f>
        <v/>
      </c>
      <c r="P787" s="22" t="str">
        <f>IF(AND($L787=$O$7,$B787&lt;'111'!$N$11),"x","")</f>
        <v/>
      </c>
      <c r="Q787" s="22" t="str">
        <f>IF(AND($M787=$O$7,$B787&lt;'111'!$N$11),"x","")</f>
        <v/>
      </c>
      <c r="R787" s="22" t="str">
        <f>IF(ISERROR(FIND('112'!$M$9,G787,1)),"",IF((AND(FIND('112'!$M$9,G787,1)&gt;=1,$B787&gt;='112'!$N$8,$B787&lt;='112'!$O$8,OR($L787='112'!$I$6,$M787='112'!$I$6))),"x",""))</f>
        <v/>
      </c>
      <c r="S787" s="22" t="str">
        <f>IF(ISERROR(FIND('112'!$M$9,G787,1)),"",IF((AND(LEFT(G787,2)=LEFT('112'!$M$9,2),B787&lt;'112'!$N$8,$L787='112'!$I$6)),"x",""))</f>
        <v/>
      </c>
      <c r="T787" s="22" t="str">
        <f>IF(ISERROR(FIND('112'!$M$9,G787,1)),"",IF((AND(RIGHT(G787,2)=RIGHT('112'!$M$9,2),B787&lt;'112'!$N$8,$M787='112'!$I$6)),"x",""))</f>
        <v/>
      </c>
      <c r="U787" s="22" t="str">
        <f>IF(AND(B787&gt;='IN-NX'!$P$3,B787&lt;='IN-NX'!$Q$3,'IN-NX'!$D$7=D787,OR(LEFT(L787,2)="15",AND(LEFT(M787,2)&lt;&gt;"15",LEFT(M787,2)&lt;&gt;"33"))),"x","")</f>
        <v/>
      </c>
      <c r="V787" s="22" t="str">
        <f>IF(AND(OR(LEFT(TH!L787,2)="15",LEFT(TH!M787,2)="15"),'152-CT'!$J$8=TH!F787),"x","")</f>
        <v/>
      </c>
      <c r="W787" s="22" t="str">
        <f>IF(AND(OR(LEFT(TH!L787,2)="15",LEFT(TH!M787,2)="15"),TK!$E$7=TH!F787),"x","")</f>
        <v/>
      </c>
      <c r="X787" s="22" t="str">
        <f>IF(OR(TH!L787=TH!$X$7,M787=TH!$X$7),"x","")</f>
        <v/>
      </c>
      <c r="Y787" s="22" t="str">
        <f>IF(AND(B787&lt;=NKC!$N$8,B787&gt;=NKC!$M$8),"x","")</f>
        <v/>
      </c>
      <c r="Z787" s="580">
        <v>4</v>
      </c>
    </row>
    <row r="788" spans="1:31" s="406" customFormat="1" ht="15.75" customHeight="1">
      <c r="A788" s="123" t="str">
        <f>IF(B788&lt;&gt;"",IF(AND(B788&gt;=_TM1,B788&lt;=_TM2,OR(TH!L788="1111",TH!M788="1111")),TH!D788,""),"")</f>
        <v>C33</v>
      </c>
      <c r="B788" s="12">
        <f t="shared" si="29"/>
        <v>12</v>
      </c>
      <c r="C788" s="108">
        <f t="shared" si="28"/>
        <v>42732</v>
      </c>
      <c r="D788" s="113" t="s">
        <v>1049</v>
      </c>
      <c r="E788" s="108">
        <v>42732</v>
      </c>
      <c r="F788" s="112" t="s">
        <v>465</v>
      </c>
      <c r="G788" s="303" t="s">
        <v>938</v>
      </c>
      <c r="H788" s="115" t="s">
        <v>442</v>
      </c>
      <c r="I788" s="139"/>
      <c r="J788" s="139"/>
      <c r="K788" s="410">
        <v>17344800</v>
      </c>
      <c r="L788" s="116" t="s">
        <v>8</v>
      </c>
      <c r="M788" s="116" t="s">
        <v>46</v>
      </c>
      <c r="N788" s="22" t="str">
        <f>IF(AND('331-CT'!$E$7=TH!H788,OR(L788="331",M788="331")),"331",IF(AND(OR(L788="131",M788="131"),H788='131-CT'!$E$7),"131",""))</f>
        <v>331</v>
      </c>
      <c r="O788" s="22" t="str">
        <f>IF(AND($B788&gt;='111'!$N$11,$B788&lt;='111'!$O$11,OR($L788=$O$7,$M788=$O$7)),"x","")</f>
        <v>x</v>
      </c>
      <c r="P788" s="22" t="str">
        <f>IF(AND($L788=$O$7,$B788&lt;'111'!$N$11),"x","")</f>
        <v/>
      </c>
      <c r="Q788" s="22" t="str">
        <f>IF(AND($M788=$O$7,$B788&lt;'111'!$N$11),"x","")</f>
        <v/>
      </c>
      <c r="R788" s="22" t="str">
        <f>IF(ISERROR(FIND('112'!$M$9,G788,1)),"",IF((AND(FIND('112'!$M$9,G788,1)&gt;=1,$B788&gt;='112'!$N$8,$B788&lt;='112'!$O$8,OR($L788='112'!$I$6,$M788='112'!$I$6))),"x",""))</f>
        <v/>
      </c>
      <c r="S788" s="22" t="str">
        <f>IF(ISERROR(FIND('112'!$M$9,G788,1)),"",IF((AND(LEFT(G788,2)=LEFT('112'!$M$9,2),B788&lt;'112'!$N$8,$L788='112'!$I$6)),"x",""))</f>
        <v/>
      </c>
      <c r="T788" s="22" t="str">
        <f>IF(ISERROR(FIND('112'!$M$9,G788,1)),"",IF((AND(RIGHT(G788,2)=RIGHT('112'!$M$9,2),B788&lt;'112'!$N$8,$M788='112'!$I$6)),"x",""))</f>
        <v/>
      </c>
      <c r="U788" s="22" t="str">
        <f>IF(AND(B788&gt;='IN-NX'!$P$3,B788&lt;='IN-NX'!$Q$3,'IN-NX'!$D$7=D788,OR(LEFT(L788,2)="15",AND(LEFT(M788,2)&lt;&gt;"15",LEFT(M788,2)&lt;&gt;"33"))),"x","")</f>
        <v/>
      </c>
      <c r="V788" s="22" t="str">
        <f>IF(AND(OR(LEFT(TH!L788,2)="15",LEFT(TH!M788,2)="15"),'152-CT'!$J$8=TH!F788),"x","")</f>
        <v/>
      </c>
      <c r="W788" s="22" t="str">
        <f>IF(AND(OR(LEFT(TH!L788,2)="15",LEFT(TH!M788,2)="15"),TK!$E$7=TH!F788),"x","")</f>
        <v/>
      </c>
      <c r="X788" s="22" t="str">
        <f>IF(OR(TH!L788=TH!$X$7,M788=TH!$X$7),"x","")</f>
        <v/>
      </c>
      <c r="Y788" s="22" t="str">
        <f>IF(AND(B788&lt;=NKC!$N$8,B788&gt;=NKC!$M$8),"x","")</f>
        <v/>
      </c>
      <c r="Z788" s="580"/>
    </row>
    <row r="789" spans="1:31" s="130" customFormat="1" ht="15.75" customHeight="1">
      <c r="A789" s="123" t="str">
        <f>IF(B789&lt;&gt;"",IF(AND(B789&gt;=_TM1,B789&lt;=_TM2,OR(TH!L789="1111",TH!M789="1111")),TH!D789,""),"")</f>
        <v>T47</v>
      </c>
      <c r="B789" s="12">
        <f t="shared" si="29"/>
        <v>12</v>
      </c>
      <c r="C789" s="108">
        <f t="shared" ref="C789:C837" si="30">E789</f>
        <v>42732</v>
      </c>
      <c r="D789" s="108" t="s">
        <v>1067</v>
      </c>
      <c r="E789" s="113">
        <v>42732</v>
      </c>
      <c r="F789" s="114" t="s">
        <v>485</v>
      </c>
      <c r="G789" s="114" t="s">
        <v>474</v>
      </c>
      <c r="H789" s="115" t="s">
        <v>488</v>
      </c>
      <c r="I789" s="139"/>
      <c r="J789" s="141"/>
      <c r="K789" s="13">
        <v>5500000</v>
      </c>
      <c r="L789" s="116" t="s">
        <v>46</v>
      </c>
      <c r="M789" s="411" t="s">
        <v>24</v>
      </c>
      <c r="N789" s="22" t="str">
        <f>IF(AND('331-CT'!$E$7=TH!H789,OR(L789="331",M789="331")),"331",IF(AND(OR(L789="131",M789="131"),H789='131-CT'!$E$7),"131",""))</f>
        <v/>
      </c>
      <c r="O789" s="22" t="str">
        <f>IF(AND($B789&gt;='111'!$N$11,$B789&lt;='111'!$O$11,OR($L789=$O$7,$M789=$O$7)),"x","")</f>
        <v>x</v>
      </c>
      <c r="P789" s="22" t="str">
        <f>IF(AND($L789=$O$7,$B789&lt;'111'!$N$11),"x","")</f>
        <v/>
      </c>
      <c r="Q789" s="22" t="str">
        <f>IF(AND($M789=$O$7,$B789&lt;'111'!$N$11),"x","")</f>
        <v/>
      </c>
      <c r="R789" s="22" t="str">
        <f>IF(ISERROR(FIND('112'!$M$9,G789,1)),"",IF((AND(FIND('112'!$M$9,G789,1)&gt;=1,$B789&gt;='112'!$N$8,$B789&lt;='112'!$O$8,OR($L789='112'!$I$6,$M789='112'!$I$6))),"x",""))</f>
        <v>x</v>
      </c>
      <c r="S789" s="22" t="str">
        <f>IF(ISERROR(FIND('112'!$M$9,G789,1)),"",IF((AND(LEFT(G789,2)=LEFT('112'!$M$9,2),B789&lt;'112'!$N$8,$L789='112'!$I$6)),"x",""))</f>
        <v/>
      </c>
      <c r="T789" s="22" t="str">
        <f>IF(ISERROR(FIND('112'!$M$9,G789,1)),"",IF((AND(RIGHT(G789,2)=RIGHT('112'!$M$9,2),B789&lt;'112'!$N$8,$M789='112'!$I$6)),"x",""))</f>
        <v/>
      </c>
      <c r="U789" s="22" t="str">
        <f>IF(AND(B789&gt;='IN-NX'!$P$3,B789&lt;='IN-NX'!$Q$3,'IN-NX'!$D$7=D789,OR(LEFT(L789,2)="15",AND(LEFT(M789,2)&lt;&gt;"15",LEFT(M789,2)&lt;&gt;"33"))),"x","")</f>
        <v/>
      </c>
      <c r="V789" s="22" t="str">
        <f>IF(AND(OR(LEFT(TH!L789,2)="15",LEFT(TH!M789,2)="15"),'152-CT'!$J$8=TH!F789),"x","")</f>
        <v/>
      </c>
      <c r="W789" s="22" t="str">
        <f>IF(AND(OR(LEFT(TH!L789,2)="15",LEFT(TH!M789,2)="15"),TK!$E$7=TH!F789),"x","")</f>
        <v/>
      </c>
      <c r="X789" s="22" t="str">
        <f>IF(OR(TH!L789=TH!$X$7,M789=TH!$X$7),"x","")</f>
        <v/>
      </c>
      <c r="Y789" s="22" t="str">
        <f>IF(AND(B789&lt;=NKC!$N$8,B789&gt;=NKC!$M$8),"x","")</f>
        <v/>
      </c>
      <c r="Z789" s="580"/>
      <c r="AA789" s="406"/>
      <c r="AB789" s="406"/>
      <c r="AC789" s="406"/>
    </row>
    <row r="790" spans="1:31" s="130" customFormat="1" ht="15.75" customHeight="1">
      <c r="A790" s="123" t="str">
        <f>IF(B790&lt;&gt;"",IF(AND(B790&gt;=_TM1,B790&lt;=_TM2,OR(TH!L790="1111",TH!M790="1111")),TH!D790,""),"")</f>
        <v/>
      </c>
      <c r="B790" s="12">
        <f t="shared" si="29"/>
        <v>12</v>
      </c>
      <c r="C790" s="108">
        <f t="shared" si="30"/>
        <v>42732</v>
      </c>
      <c r="D790" s="108" t="s">
        <v>964</v>
      </c>
      <c r="E790" s="113">
        <v>42732</v>
      </c>
      <c r="F790" s="112" t="s">
        <v>813</v>
      </c>
      <c r="G790" s="303" t="s">
        <v>925</v>
      </c>
      <c r="H790" s="4" t="s">
        <v>814</v>
      </c>
      <c r="I790" s="139">
        <v>2030</v>
      </c>
      <c r="J790" s="139">
        <v>7500</v>
      </c>
      <c r="K790" s="13">
        <f>ROUND(I790*J790,0)</f>
        <v>15225000</v>
      </c>
      <c r="L790" s="116" t="s">
        <v>252</v>
      </c>
      <c r="M790" s="411" t="s">
        <v>169</v>
      </c>
      <c r="N790" s="22" t="str">
        <f>IF(AND('331-CT'!$E$7=TH!H790,OR(L790="331",M790="331")),"331",IF(AND(OR(L790="131",M790="131"),H790='131-CT'!$E$7),"131",""))</f>
        <v/>
      </c>
      <c r="O790" s="22" t="str">
        <f>IF(AND($B790&gt;='111'!$N$11,$B790&lt;='111'!$O$11,OR($L790=$O$7,$M790=$O$7)),"x","")</f>
        <v/>
      </c>
      <c r="P790" s="22" t="str">
        <f>IF(AND($L790=$O$7,$B790&lt;'111'!$N$11),"x","")</f>
        <v/>
      </c>
      <c r="Q790" s="22" t="str">
        <f>IF(AND($M790=$O$7,$B790&lt;'111'!$N$11),"x","")</f>
        <v/>
      </c>
      <c r="R790" s="22" t="str">
        <f>IF(ISERROR(FIND('112'!$M$9,G790,1)),"",IF((AND(FIND('112'!$M$9,G790,1)&gt;=1,$B790&gt;='112'!$N$8,$B790&lt;='112'!$O$8,OR($L790='112'!$I$6,$M790='112'!$I$6))),"x",""))</f>
        <v/>
      </c>
      <c r="S790" s="22" t="str">
        <f>IF(ISERROR(FIND('112'!$M$9,G790,1)),"",IF((AND(LEFT(G790,2)=LEFT('112'!$M$9,2),B790&lt;'112'!$N$8,$L790='112'!$I$6)),"x",""))</f>
        <v/>
      </c>
      <c r="T790" s="22" t="str">
        <f>IF(ISERROR(FIND('112'!$M$9,G790,1)),"",IF((AND(RIGHT(G790,2)=RIGHT('112'!$M$9,2),B790&lt;'112'!$N$8,$M790='112'!$I$6)),"x",""))</f>
        <v/>
      </c>
      <c r="U790" s="22" t="str">
        <f>IF(AND(B790&gt;='IN-NX'!$P$3,B790&lt;='IN-NX'!$Q$3,'IN-NX'!$D$7=D790,OR(LEFT(L790,2)="15",AND(LEFT(M790,2)&lt;&gt;"15",LEFT(M790,2)&lt;&gt;"33"))),"x","")</f>
        <v/>
      </c>
      <c r="V790" s="22" t="str">
        <f>IF(AND(OR(LEFT(TH!L790,2)="15",LEFT(TH!M790,2)="15"),'152-CT'!$J$8=TH!F790),"x","")</f>
        <v/>
      </c>
      <c r="W790" s="22" t="str">
        <f>IF(AND(OR(LEFT(TH!L790,2)="15",LEFT(TH!M790,2)="15"),TK!$E$7=TH!F790),"x","")</f>
        <v/>
      </c>
      <c r="X790" s="22" t="str">
        <f>IF(OR(TH!L790=TH!$X$7,M790=TH!$X$7),"x","")</f>
        <v/>
      </c>
      <c r="Y790" s="22" t="str">
        <f>IF(AND(B790&lt;=NKC!$N$8,B790&gt;=NKC!$M$8),"x","")</f>
        <v/>
      </c>
      <c r="Z790" s="580"/>
      <c r="AA790" s="406"/>
      <c r="AB790" s="406"/>
      <c r="AC790" s="406"/>
    </row>
    <row r="791" spans="1:31" s="130" customFormat="1" ht="15.75" customHeight="1">
      <c r="A791" s="123" t="str">
        <f>IF(B791&lt;&gt;"",IF(AND(B791&gt;=_TM1,B791&lt;=_TM2,OR(TH!L791="1111",TH!M791="1111")),TH!D791,""),"")</f>
        <v/>
      </c>
      <c r="B791" s="12">
        <f t="shared" si="29"/>
        <v>12</v>
      </c>
      <c r="C791" s="108">
        <f t="shared" si="30"/>
        <v>42732</v>
      </c>
      <c r="D791" s="108" t="s">
        <v>964</v>
      </c>
      <c r="E791" s="113">
        <v>42732</v>
      </c>
      <c r="F791" s="112" t="s">
        <v>496</v>
      </c>
      <c r="G791" s="303" t="s">
        <v>925</v>
      </c>
      <c r="H791" s="4" t="s">
        <v>814</v>
      </c>
      <c r="I791" s="139"/>
      <c r="J791" s="139"/>
      <c r="K791" s="13">
        <v>1522500</v>
      </c>
      <c r="L791" s="116" t="s">
        <v>252</v>
      </c>
      <c r="M791" s="411" t="s">
        <v>352</v>
      </c>
      <c r="N791" s="22" t="str">
        <f>IF(AND('331-CT'!$E$7=TH!H791,OR(L791="331",M791="331")),"331",IF(AND(OR(L791="131",M791="131"),H791='131-CT'!$E$7),"131",""))</f>
        <v/>
      </c>
      <c r="O791" s="22" t="str">
        <f>IF(AND($B791&gt;='111'!$N$11,$B791&lt;='111'!$O$11,OR($L791=$O$7,$M791=$O$7)),"x","")</f>
        <v/>
      </c>
      <c r="P791" s="22" t="str">
        <f>IF(AND($L791=$O$7,$B791&lt;'111'!$N$11),"x","")</f>
        <v/>
      </c>
      <c r="Q791" s="22" t="str">
        <f>IF(AND($M791=$O$7,$B791&lt;'111'!$N$11),"x","")</f>
        <v/>
      </c>
      <c r="R791" s="22" t="str">
        <f>IF(ISERROR(FIND('112'!$M$9,G791,1)),"",IF((AND(FIND('112'!$M$9,G791,1)&gt;=1,$B791&gt;='112'!$N$8,$B791&lt;='112'!$O$8,OR($L791='112'!$I$6,$M791='112'!$I$6))),"x",""))</f>
        <v/>
      </c>
      <c r="S791" s="22" t="str">
        <f>IF(ISERROR(FIND('112'!$M$9,G791,1)),"",IF((AND(LEFT(G791,2)=LEFT('112'!$M$9,2),B791&lt;'112'!$N$8,$L791='112'!$I$6)),"x",""))</f>
        <v/>
      </c>
      <c r="T791" s="22" t="str">
        <f>IF(ISERROR(FIND('112'!$M$9,G791,1)),"",IF((AND(RIGHT(G791,2)=RIGHT('112'!$M$9,2),B791&lt;'112'!$N$8,$M791='112'!$I$6)),"x",""))</f>
        <v/>
      </c>
      <c r="U791" s="22" t="str">
        <f>IF(AND(B791&gt;='IN-NX'!$P$3,B791&lt;='IN-NX'!$Q$3,'IN-NX'!$D$7=D791,OR(LEFT(L791,2)="15",AND(LEFT(M791,2)&lt;&gt;"15",LEFT(M791,2)&lt;&gt;"33"))),"x","")</f>
        <v/>
      </c>
      <c r="V791" s="22" t="str">
        <f>IF(AND(OR(LEFT(TH!L791,2)="15",LEFT(TH!M791,2)="15"),'152-CT'!$J$8=TH!F791),"x","")</f>
        <v/>
      </c>
      <c r="W791" s="22" t="str">
        <f>IF(AND(OR(LEFT(TH!L791,2)="15",LEFT(TH!M791,2)="15"),TK!$E$7=TH!F791),"x","")</f>
        <v/>
      </c>
      <c r="X791" s="22" t="str">
        <f>IF(OR(TH!L791=TH!$X$7,M791=TH!$X$7),"x","")</f>
        <v/>
      </c>
      <c r="Y791" s="22" t="str">
        <f>IF(AND(B791&lt;=NKC!$N$8,B791&gt;=NKC!$M$8),"x","")</f>
        <v/>
      </c>
      <c r="Z791" s="580"/>
      <c r="AA791" s="406"/>
      <c r="AB791" s="406"/>
    </row>
    <row r="792" spans="1:31" s="130" customFormat="1" ht="15.75" customHeight="1">
      <c r="A792" s="123" t="str">
        <f>IF(B792&lt;&gt;"",IF(AND(B792&gt;=_TM1,B792&lt;=_TM2,OR(TH!L792="1111",TH!M792="1111")),TH!D792,""),"")</f>
        <v>T48</v>
      </c>
      <c r="B792" s="12">
        <f t="shared" si="29"/>
        <v>12</v>
      </c>
      <c r="C792" s="108">
        <f t="shared" si="30"/>
        <v>42732</v>
      </c>
      <c r="D792" s="108" t="s">
        <v>1068</v>
      </c>
      <c r="E792" s="113">
        <v>42732</v>
      </c>
      <c r="F792" s="114" t="s">
        <v>484</v>
      </c>
      <c r="G792" s="303" t="s">
        <v>925</v>
      </c>
      <c r="H792" s="4" t="s">
        <v>814</v>
      </c>
      <c r="I792" s="140"/>
      <c r="J792" s="140"/>
      <c r="K792" s="13">
        <v>16747500</v>
      </c>
      <c r="L792" s="116" t="s">
        <v>46</v>
      </c>
      <c r="M792" s="411" t="s">
        <v>252</v>
      </c>
      <c r="N792" s="22" t="str">
        <f>IF(AND('331-CT'!$E$7=TH!H792,OR(L792="331",M792="331")),"331",IF(AND(OR(L792="131",M792="131"),H792='131-CT'!$E$7),"131",""))</f>
        <v/>
      </c>
      <c r="O792" s="22" t="str">
        <f>IF(AND($B792&gt;='111'!$N$11,$B792&lt;='111'!$O$11,OR($L792=$O$7,$M792=$O$7)),"x","")</f>
        <v>x</v>
      </c>
      <c r="P792" s="22" t="str">
        <f>IF(AND($L792=$O$7,$B792&lt;'111'!$N$11),"x","")</f>
        <v/>
      </c>
      <c r="Q792" s="22" t="str">
        <f>IF(AND($M792=$O$7,$B792&lt;'111'!$N$11),"x","")</f>
        <v/>
      </c>
      <c r="R792" s="22" t="str">
        <f>IF(ISERROR(FIND('112'!$M$9,G792,1)),"",IF((AND(FIND('112'!$M$9,G792,1)&gt;=1,$B792&gt;='112'!$N$8,$B792&lt;='112'!$O$8,OR($L792='112'!$I$6,$M792='112'!$I$6))),"x",""))</f>
        <v/>
      </c>
      <c r="S792" s="22" t="str">
        <f>IF(ISERROR(FIND('112'!$M$9,G792,1)),"",IF((AND(LEFT(G792,2)=LEFT('112'!$M$9,2),B792&lt;'112'!$N$8,$L792='112'!$I$6)),"x",""))</f>
        <v/>
      </c>
      <c r="T792" s="22" t="str">
        <f>IF(ISERROR(FIND('112'!$M$9,G792,1)),"",IF((AND(RIGHT(G792,2)=RIGHT('112'!$M$9,2),B792&lt;'112'!$N$8,$M792='112'!$I$6)),"x",""))</f>
        <v/>
      </c>
      <c r="U792" s="22" t="str">
        <f>IF(AND(B792&gt;='IN-NX'!$P$3,B792&lt;='IN-NX'!$Q$3,'IN-NX'!$D$7=D792,OR(LEFT(L792,2)="15",AND(LEFT(M792,2)&lt;&gt;"15",LEFT(M792,2)&lt;&gt;"33"))),"x","")</f>
        <v/>
      </c>
      <c r="V792" s="22" t="str">
        <f>IF(AND(OR(LEFT(TH!L792,2)="15",LEFT(TH!M792,2)="15"),'152-CT'!$J$8=TH!F792),"x","")</f>
        <v/>
      </c>
      <c r="W792" s="22" t="str">
        <f>IF(AND(OR(LEFT(TH!L792,2)="15",LEFT(TH!M792,2)="15"),TK!$E$7=TH!F792),"x","")</f>
        <v/>
      </c>
      <c r="X792" s="22" t="str">
        <f>IF(OR(TH!L792=TH!$X$7,M792=TH!$X$7),"x","")</f>
        <v/>
      </c>
      <c r="Y792" s="22" t="str">
        <f>IF(AND(B792&lt;=NKC!$N$8,B792&gt;=NKC!$M$8),"x","")</f>
        <v/>
      </c>
      <c r="Z792" s="580"/>
      <c r="AA792" s="406"/>
      <c r="AB792" s="406"/>
      <c r="AC792" s="406"/>
    </row>
    <row r="793" spans="1:31" s="406" customFormat="1" ht="15.75" customHeight="1">
      <c r="A793" s="123" t="str">
        <f>IF(B793&lt;&gt;"",IF(AND(B793&gt;=_TM1,B793&lt;=_TM2,OR(TH!L793="1111",TH!M793="1111")),TH!D793,""),"")</f>
        <v/>
      </c>
      <c r="B793" s="12">
        <f t="shared" si="29"/>
        <v>12</v>
      </c>
      <c r="C793" s="108">
        <f t="shared" si="30"/>
        <v>42732</v>
      </c>
      <c r="D793" s="108" t="s">
        <v>965</v>
      </c>
      <c r="E793" s="113">
        <v>42732</v>
      </c>
      <c r="F793" s="114" t="s">
        <v>961</v>
      </c>
      <c r="G793" s="303" t="s">
        <v>960</v>
      </c>
      <c r="H793" s="4" t="s">
        <v>962</v>
      </c>
      <c r="I793" s="140">
        <v>188</v>
      </c>
      <c r="J793" s="140">
        <v>14000</v>
      </c>
      <c r="K793" s="13">
        <f>ROUND(I793*J793,0)</f>
        <v>2632000</v>
      </c>
      <c r="L793" s="116" t="s">
        <v>252</v>
      </c>
      <c r="M793" s="411" t="s">
        <v>169</v>
      </c>
      <c r="N793" s="22" t="str">
        <f>IF(AND('331-CT'!$E$7=TH!H793,OR(L793="331",M793="331")),"331",IF(AND(OR(L793="131",M793="131"),H793='131-CT'!$E$7),"131",""))</f>
        <v/>
      </c>
      <c r="O793" s="22" t="str">
        <f>IF(AND($B793&gt;='111'!$N$11,$B793&lt;='111'!$O$11,OR($L793=$O$7,$M793=$O$7)),"x","")</f>
        <v/>
      </c>
      <c r="P793" s="22" t="str">
        <f>IF(AND($L793=$O$7,$B793&lt;'111'!$N$11),"x","")</f>
        <v/>
      </c>
      <c r="Q793" s="22" t="str">
        <f>IF(AND($M793=$O$7,$B793&lt;'111'!$N$11),"x","")</f>
        <v/>
      </c>
      <c r="R793" s="22" t="str">
        <f>IF(ISERROR(FIND('112'!$M$9,G793,1)),"",IF((AND(FIND('112'!$M$9,G793,1)&gt;=1,$B793&gt;='112'!$N$8,$B793&lt;='112'!$O$8,OR($L793='112'!$I$6,$M793='112'!$I$6))),"x",""))</f>
        <v/>
      </c>
      <c r="S793" s="22" t="str">
        <f>IF(ISERROR(FIND('112'!$M$9,G793,1)),"",IF((AND(LEFT(G793,2)=LEFT('112'!$M$9,2),B793&lt;'112'!$N$8,$L793='112'!$I$6)),"x",""))</f>
        <v/>
      </c>
      <c r="T793" s="22" t="str">
        <f>IF(ISERROR(FIND('112'!$M$9,G793,1)),"",IF((AND(RIGHT(G793,2)=RIGHT('112'!$M$9,2),B793&lt;'112'!$N$8,$M793='112'!$I$6)),"x",""))</f>
        <v/>
      </c>
      <c r="U793" s="22" t="str">
        <f>IF(AND(B793&gt;='IN-NX'!$P$3,B793&lt;='IN-NX'!$Q$3,'IN-NX'!$D$7=D793,OR(LEFT(L793,2)="15",AND(LEFT(M793,2)&lt;&gt;"15",LEFT(M793,2)&lt;&gt;"33"))),"x","")</f>
        <v/>
      </c>
      <c r="V793" s="22" t="str">
        <f>IF(AND(OR(LEFT(TH!L793,2)="15",LEFT(TH!M793,2)="15"),'152-CT'!$J$8=TH!F793),"x","")</f>
        <v/>
      </c>
      <c r="W793" s="22" t="str">
        <f>IF(AND(OR(LEFT(TH!L793,2)="15",LEFT(TH!M793,2)="15"),TK!$E$7=TH!F793),"x","")</f>
        <v/>
      </c>
      <c r="X793" s="22" t="str">
        <f>IF(OR(TH!L793=TH!$X$7,M793=TH!$X$7),"x","")</f>
        <v/>
      </c>
      <c r="Y793" s="22" t="str">
        <f>IF(AND(B793&lt;=NKC!$N$8,B793&gt;=NKC!$M$8),"x","")</f>
        <v/>
      </c>
      <c r="Z793" s="580"/>
      <c r="AD793" s="130"/>
      <c r="AE793" s="130"/>
    </row>
    <row r="794" spans="1:31" s="130" customFormat="1" ht="15.75" customHeight="1">
      <c r="A794" s="123" t="str">
        <f>IF(B794&lt;&gt;"",IF(AND(B794&gt;=_TM1,B794&lt;=_TM2,OR(TH!L794="1111",TH!M794="1111")),TH!D794,""),"")</f>
        <v/>
      </c>
      <c r="B794" s="12">
        <f t="shared" si="29"/>
        <v>12</v>
      </c>
      <c r="C794" s="108">
        <f t="shared" si="30"/>
        <v>42732</v>
      </c>
      <c r="D794" s="108" t="s">
        <v>965</v>
      </c>
      <c r="E794" s="113">
        <v>42732</v>
      </c>
      <c r="F794" s="112" t="s">
        <v>496</v>
      </c>
      <c r="G794" s="303" t="s">
        <v>960</v>
      </c>
      <c r="H794" s="4" t="s">
        <v>962</v>
      </c>
      <c r="I794" s="139"/>
      <c r="J794" s="139"/>
      <c r="K794" s="13">
        <v>263200</v>
      </c>
      <c r="L794" s="116" t="s">
        <v>252</v>
      </c>
      <c r="M794" s="411" t="s">
        <v>352</v>
      </c>
      <c r="N794" s="22" t="str">
        <f>IF(AND('331-CT'!$E$7=TH!H794,OR(L794="331",M794="331")),"331",IF(AND(OR(L794="131",M794="131"),H794='131-CT'!$E$7),"131",""))</f>
        <v/>
      </c>
      <c r="O794" s="22" t="str">
        <f>IF(AND($B794&gt;='111'!$N$11,$B794&lt;='111'!$O$11,OR($L794=$O$7,$M794=$O$7)),"x","")</f>
        <v/>
      </c>
      <c r="P794" s="22" t="str">
        <f>IF(AND($L794=$O$7,$B794&lt;'111'!$N$11),"x","")</f>
        <v/>
      </c>
      <c r="Q794" s="22" t="str">
        <f>IF(AND($M794=$O$7,$B794&lt;'111'!$N$11),"x","")</f>
        <v/>
      </c>
      <c r="R794" s="22" t="str">
        <f>IF(ISERROR(FIND('112'!$M$9,G794,1)),"",IF((AND(FIND('112'!$M$9,G794,1)&gt;=1,$B794&gt;='112'!$N$8,$B794&lt;='112'!$O$8,OR($L794='112'!$I$6,$M794='112'!$I$6))),"x",""))</f>
        <v/>
      </c>
      <c r="S794" s="22" t="str">
        <f>IF(ISERROR(FIND('112'!$M$9,G794,1)),"",IF((AND(LEFT(G794,2)=LEFT('112'!$M$9,2),B794&lt;'112'!$N$8,$L794='112'!$I$6)),"x",""))</f>
        <v/>
      </c>
      <c r="T794" s="22" t="str">
        <f>IF(ISERROR(FIND('112'!$M$9,G794,1)),"",IF((AND(RIGHT(G794,2)=RIGHT('112'!$M$9,2),B794&lt;'112'!$N$8,$M794='112'!$I$6)),"x",""))</f>
        <v/>
      </c>
      <c r="U794" s="22" t="str">
        <f>IF(AND(B794&gt;='IN-NX'!$P$3,B794&lt;='IN-NX'!$Q$3,'IN-NX'!$D$7=D794,OR(LEFT(L794,2)="15",AND(LEFT(M794,2)&lt;&gt;"15",LEFT(M794,2)&lt;&gt;"33"))),"x","")</f>
        <v/>
      </c>
      <c r="V794" s="22" t="str">
        <f>IF(AND(OR(LEFT(TH!L794,2)="15",LEFT(TH!M794,2)="15"),'152-CT'!$J$8=TH!F794),"x","")</f>
        <v/>
      </c>
      <c r="W794" s="22" t="str">
        <f>IF(AND(OR(LEFT(TH!L794,2)="15",LEFT(TH!M794,2)="15"),TK!$E$7=TH!F794),"x","")</f>
        <v/>
      </c>
      <c r="X794" s="22" t="str">
        <f>IF(OR(TH!L794=TH!$X$7,M794=TH!$X$7),"x","")</f>
        <v/>
      </c>
      <c r="Y794" s="22" t="str">
        <f>IF(AND(B794&lt;=NKC!$N$8,B794&gt;=NKC!$M$8),"x","")</f>
        <v/>
      </c>
      <c r="Z794" s="580"/>
      <c r="AA794" s="406"/>
      <c r="AB794" s="406"/>
      <c r="AC794" s="406"/>
    </row>
    <row r="795" spans="1:31" s="130" customFormat="1" ht="15.75" customHeight="1">
      <c r="A795" s="123" t="str">
        <f>IF(B795&lt;&gt;"",IF(AND(B795&gt;=_TM1,B795&lt;=_TM2,OR(TH!L795="1111",TH!M795="1111")),TH!D795,""),"")</f>
        <v/>
      </c>
      <c r="B795" s="12">
        <f t="shared" si="29"/>
        <v>12</v>
      </c>
      <c r="C795" s="108">
        <f t="shared" si="30"/>
        <v>42732</v>
      </c>
      <c r="D795" s="108" t="s">
        <v>966</v>
      </c>
      <c r="E795" s="113">
        <v>42732</v>
      </c>
      <c r="F795" s="114" t="s">
        <v>511</v>
      </c>
      <c r="G795" s="303" t="s">
        <v>927</v>
      </c>
      <c r="H795" s="4" t="s">
        <v>618</v>
      </c>
      <c r="I795" s="140">
        <v>209</v>
      </c>
      <c r="J795" s="140">
        <v>12900</v>
      </c>
      <c r="K795" s="13">
        <f>ROUND(I795*J795,0)</f>
        <v>2696100</v>
      </c>
      <c r="L795" s="116" t="s">
        <v>252</v>
      </c>
      <c r="M795" s="411" t="s">
        <v>169</v>
      </c>
      <c r="N795" s="22" t="str">
        <f>IF(AND('331-CT'!$E$7=TH!H795,OR(L795="331",M795="331")),"331",IF(AND(OR(L795="131",M795="131"),H795='131-CT'!$E$7),"131",""))</f>
        <v/>
      </c>
      <c r="O795" s="22" t="str">
        <f>IF(AND($B795&gt;='111'!$N$11,$B795&lt;='111'!$O$11,OR($L795=$O$7,$M795=$O$7)),"x","")</f>
        <v/>
      </c>
      <c r="P795" s="22" t="str">
        <f>IF(AND($L795=$O$7,$B795&lt;'111'!$N$11),"x","")</f>
        <v/>
      </c>
      <c r="Q795" s="22" t="str">
        <f>IF(AND($M795=$O$7,$B795&lt;'111'!$N$11),"x","")</f>
        <v/>
      </c>
      <c r="R795" s="22" t="str">
        <f>IF(ISERROR(FIND('112'!$M$9,G795,1)),"",IF((AND(FIND('112'!$M$9,G795,1)&gt;=1,$B795&gt;='112'!$N$8,$B795&lt;='112'!$O$8,OR($L795='112'!$I$6,$M795='112'!$I$6))),"x",""))</f>
        <v/>
      </c>
      <c r="S795" s="22" t="str">
        <f>IF(ISERROR(FIND('112'!$M$9,G795,1)),"",IF((AND(LEFT(G795,2)=LEFT('112'!$M$9,2),B795&lt;'112'!$N$8,$L795='112'!$I$6)),"x",""))</f>
        <v/>
      </c>
      <c r="T795" s="22" t="str">
        <f>IF(ISERROR(FIND('112'!$M$9,G795,1)),"",IF((AND(RIGHT(G795,2)=RIGHT('112'!$M$9,2),B795&lt;'112'!$N$8,$M795='112'!$I$6)),"x",""))</f>
        <v/>
      </c>
      <c r="U795" s="22" t="str">
        <f>IF(AND(B795&gt;='IN-NX'!$P$3,B795&lt;='IN-NX'!$Q$3,'IN-NX'!$D$7=D795,OR(LEFT(L795,2)="15",AND(LEFT(M795,2)&lt;&gt;"15",LEFT(M795,2)&lt;&gt;"33"))),"x","")</f>
        <v/>
      </c>
      <c r="V795" s="22" t="str">
        <f>IF(AND(OR(LEFT(TH!L795,2)="15",LEFT(TH!M795,2)="15"),'152-CT'!$J$8=TH!F795),"x","")</f>
        <v/>
      </c>
      <c r="W795" s="22" t="str">
        <f>IF(AND(OR(LEFT(TH!L795,2)="15",LEFT(TH!M795,2)="15"),TK!$E$7=TH!F795),"x","")</f>
        <v/>
      </c>
      <c r="X795" s="22" t="str">
        <f>IF(OR(TH!L795=TH!$X$7,M795=TH!$X$7),"x","")</f>
        <v/>
      </c>
      <c r="Y795" s="22" t="str">
        <f>IF(AND(B795&lt;=NKC!$N$8,B795&gt;=NKC!$M$8),"x","")</f>
        <v/>
      </c>
      <c r="Z795" s="580"/>
      <c r="AA795" s="406"/>
      <c r="AB795" s="406"/>
      <c r="AC795" s="406"/>
    </row>
    <row r="796" spans="1:31" s="130" customFormat="1" ht="15.75" customHeight="1">
      <c r="A796" s="123" t="str">
        <f>IF(B796&lt;&gt;"",IF(AND(B796&gt;=_TM1,B796&lt;=_TM2,OR(TH!L796="1111",TH!M796="1111")),TH!D796,""),"")</f>
        <v/>
      </c>
      <c r="B796" s="12">
        <f t="shared" si="29"/>
        <v>12</v>
      </c>
      <c r="C796" s="108">
        <f t="shared" si="30"/>
        <v>42732</v>
      </c>
      <c r="D796" s="108" t="s">
        <v>966</v>
      </c>
      <c r="E796" s="113">
        <v>42732</v>
      </c>
      <c r="F796" s="112" t="s">
        <v>496</v>
      </c>
      <c r="G796" s="303" t="s">
        <v>927</v>
      </c>
      <c r="H796" s="4" t="s">
        <v>618</v>
      </c>
      <c r="I796" s="139"/>
      <c r="J796" s="139"/>
      <c r="K796" s="13">
        <v>269610</v>
      </c>
      <c r="L796" s="116" t="s">
        <v>252</v>
      </c>
      <c r="M796" s="411" t="s">
        <v>352</v>
      </c>
      <c r="N796" s="22" t="str">
        <f>IF(AND('331-CT'!$E$7=TH!H796,OR(L796="331",M796="331")),"331",IF(AND(OR(L796="131",M796="131"),H796='131-CT'!$E$7),"131",""))</f>
        <v/>
      </c>
      <c r="O796" s="22" t="str">
        <f>IF(AND($B796&gt;='111'!$N$11,$B796&lt;='111'!$O$11,OR($L796=$O$7,$M796=$O$7)),"x","")</f>
        <v/>
      </c>
      <c r="P796" s="22" t="str">
        <f>IF(AND($L796=$O$7,$B796&lt;'111'!$N$11),"x","")</f>
        <v/>
      </c>
      <c r="Q796" s="22" t="str">
        <f>IF(AND($M796=$O$7,$B796&lt;'111'!$N$11),"x","")</f>
        <v/>
      </c>
      <c r="R796" s="22" t="str">
        <f>IF(ISERROR(FIND('112'!$M$9,G796,1)),"",IF((AND(FIND('112'!$M$9,G796,1)&gt;=1,$B796&gt;='112'!$N$8,$B796&lt;='112'!$O$8,OR($L796='112'!$I$6,$M796='112'!$I$6))),"x",""))</f>
        <v/>
      </c>
      <c r="S796" s="22" t="str">
        <f>IF(ISERROR(FIND('112'!$M$9,G796,1)),"",IF((AND(LEFT(G796,2)=LEFT('112'!$M$9,2),B796&lt;'112'!$N$8,$L796='112'!$I$6)),"x",""))</f>
        <v/>
      </c>
      <c r="T796" s="22" t="str">
        <f>IF(ISERROR(FIND('112'!$M$9,G796,1)),"",IF((AND(RIGHT(G796,2)=RIGHT('112'!$M$9,2),B796&lt;'112'!$N$8,$M796='112'!$I$6)),"x",""))</f>
        <v/>
      </c>
      <c r="U796" s="22" t="str">
        <f>IF(AND(B796&gt;='IN-NX'!$P$3,B796&lt;='IN-NX'!$Q$3,'IN-NX'!$D$7=D796,OR(LEFT(L796,2)="15",AND(LEFT(M796,2)&lt;&gt;"15",LEFT(M796,2)&lt;&gt;"33"))),"x","")</f>
        <v/>
      </c>
      <c r="V796" s="22" t="str">
        <f>IF(AND(OR(LEFT(TH!L796,2)="15",LEFT(TH!M796,2)="15"),'152-CT'!$J$8=TH!F796),"x","")</f>
        <v/>
      </c>
      <c r="W796" s="22" t="str">
        <f>IF(AND(OR(LEFT(TH!L796,2)="15",LEFT(TH!M796,2)="15"),TK!$E$7=TH!F796),"x","")</f>
        <v/>
      </c>
      <c r="X796" s="22" t="str">
        <f>IF(OR(TH!L796=TH!$X$7,M796=TH!$X$7),"x","")</f>
        <v/>
      </c>
      <c r="Y796" s="22" t="str">
        <f>IF(AND(B796&lt;=NKC!$N$8,B796&gt;=NKC!$M$8),"x","")</f>
        <v/>
      </c>
      <c r="Z796" s="580"/>
      <c r="AA796" s="406"/>
      <c r="AB796" s="406"/>
      <c r="AC796" s="406"/>
    </row>
    <row r="797" spans="1:31" s="130" customFormat="1" ht="15.75" customHeight="1">
      <c r="A797" s="123" t="str">
        <f>IF(B797&lt;&gt;"",IF(AND(B797&gt;=_TM1,B797&lt;=_TM2,OR(TH!L797="1111",TH!M797="1111")),TH!D797,""),"")</f>
        <v/>
      </c>
      <c r="B797" s="12">
        <f t="shared" si="29"/>
        <v>12</v>
      </c>
      <c r="C797" s="108">
        <f t="shared" si="30"/>
        <v>42732</v>
      </c>
      <c r="D797" s="108" t="s">
        <v>967</v>
      </c>
      <c r="E797" s="113">
        <v>42732</v>
      </c>
      <c r="F797" s="114" t="s">
        <v>928</v>
      </c>
      <c r="G797" s="303" t="s">
        <v>926</v>
      </c>
      <c r="H797" s="4" t="s">
        <v>846</v>
      </c>
      <c r="I797" s="140">
        <v>244</v>
      </c>
      <c r="J797" s="140">
        <v>22848</v>
      </c>
      <c r="K797" s="13">
        <f t="shared" ref="K797:K802" si="31">ROUND(I797*J797,0)</f>
        <v>5574912</v>
      </c>
      <c r="L797" s="116" t="s">
        <v>252</v>
      </c>
      <c r="M797" s="411" t="s">
        <v>169</v>
      </c>
      <c r="N797" s="22" t="str">
        <f>IF(AND('331-CT'!$E$7=TH!H797,OR(L797="331",M797="331")),"331",IF(AND(OR(L797="131",M797="131"),H797='131-CT'!$E$7),"131",""))</f>
        <v/>
      </c>
      <c r="O797" s="22" t="str">
        <f>IF(AND($B797&gt;='111'!$N$11,$B797&lt;='111'!$O$11,OR($L797=$O$7,$M797=$O$7)),"x","")</f>
        <v/>
      </c>
      <c r="P797" s="22" t="str">
        <f>IF(AND($L797=$O$7,$B797&lt;'111'!$N$11),"x","")</f>
        <v/>
      </c>
      <c r="Q797" s="22" t="str">
        <f>IF(AND($M797=$O$7,$B797&lt;'111'!$N$11),"x","")</f>
        <v/>
      </c>
      <c r="R797" s="22" t="str">
        <f>IF(ISERROR(FIND('112'!$M$9,G797,1)),"",IF((AND(FIND('112'!$M$9,G797,1)&gt;=1,$B797&gt;='112'!$N$8,$B797&lt;='112'!$O$8,OR($L797='112'!$I$6,$M797='112'!$I$6))),"x",""))</f>
        <v/>
      </c>
      <c r="S797" s="22" t="str">
        <f>IF(ISERROR(FIND('112'!$M$9,G797,1)),"",IF((AND(LEFT(G797,2)=LEFT('112'!$M$9,2),B797&lt;'112'!$N$8,$L797='112'!$I$6)),"x",""))</f>
        <v/>
      </c>
      <c r="T797" s="22" t="str">
        <f>IF(ISERROR(FIND('112'!$M$9,G797,1)),"",IF((AND(RIGHT(G797,2)=RIGHT('112'!$M$9,2),B797&lt;'112'!$N$8,$M797='112'!$I$6)),"x",""))</f>
        <v/>
      </c>
      <c r="U797" s="22" t="str">
        <f>IF(AND(B797&gt;='IN-NX'!$P$3,B797&lt;='IN-NX'!$Q$3,'IN-NX'!$D$7=D797,OR(LEFT(L797,2)="15",AND(LEFT(M797,2)&lt;&gt;"15",LEFT(M797,2)&lt;&gt;"33"))),"x","")</f>
        <v/>
      </c>
      <c r="V797" s="22" t="str">
        <f>IF(AND(OR(LEFT(TH!L797,2)="15",LEFT(TH!M797,2)="15"),'152-CT'!$J$8=TH!F797),"x","")</f>
        <v/>
      </c>
      <c r="W797" s="22" t="str">
        <f>IF(AND(OR(LEFT(TH!L797,2)="15",LEFT(TH!M797,2)="15"),TK!$E$7=TH!F797),"x","")</f>
        <v/>
      </c>
      <c r="X797" s="22" t="str">
        <f>IF(OR(TH!L797=TH!$X$7,M797=TH!$X$7),"x","")</f>
        <v/>
      </c>
      <c r="Y797" s="22" t="str">
        <f>IF(AND(B797&lt;=NKC!$N$8,B797&gt;=NKC!$M$8),"x","")</f>
        <v/>
      </c>
      <c r="Z797" s="580"/>
      <c r="AA797" s="406"/>
      <c r="AB797" s="406"/>
      <c r="AC797" s="406"/>
    </row>
    <row r="798" spans="1:31" s="406" customFormat="1" ht="15.75" customHeight="1">
      <c r="A798" s="123" t="str">
        <f>IF(B798&lt;&gt;"",IF(AND(B798&gt;=_TM1,B798&lt;=_TM2,OR(TH!L798="1111",TH!M798="1111")),TH!D798,""),"")</f>
        <v/>
      </c>
      <c r="B798" s="12">
        <f t="shared" si="29"/>
        <v>12</v>
      </c>
      <c r="C798" s="108">
        <f t="shared" si="30"/>
        <v>42732</v>
      </c>
      <c r="D798" s="108" t="s">
        <v>967</v>
      </c>
      <c r="E798" s="113">
        <v>42732</v>
      </c>
      <c r="F798" s="114" t="s">
        <v>929</v>
      </c>
      <c r="G798" s="303" t="s">
        <v>926</v>
      </c>
      <c r="H798" s="4" t="s">
        <v>846</v>
      </c>
      <c r="I798" s="140">
        <v>244</v>
      </c>
      <c r="J798" s="139">
        <v>21542</v>
      </c>
      <c r="K798" s="13">
        <f t="shared" si="31"/>
        <v>5256248</v>
      </c>
      <c r="L798" s="116" t="s">
        <v>252</v>
      </c>
      <c r="M798" s="411" t="s">
        <v>169</v>
      </c>
      <c r="N798" s="22" t="str">
        <f>IF(AND('331-CT'!$E$7=TH!H798,OR(L798="331",M798="331")),"331",IF(AND(OR(L798="131",M798="131"),H798='131-CT'!$E$7),"131",""))</f>
        <v/>
      </c>
      <c r="O798" s="22" t="str">
        <f>IF(AND($B798&gt;='111'!$N$11,$B798&lt;='111'!$O$11,OR($L798=$O$7,$M798=$O$7)),"x","")</f>
        <v/>
      </c>
      <c r="P798" s="22" t="str">
        <f>IF(AND($L798=$O$7,$B798&lt;'111'!$N$11),"x","")</f>
        <v/>
      </c>
      <c r="Q798" s="22" t="str">
        <f>IF(AND($M798=$O$7,$B798&lt;'111'!$N$11),"x","")</f>
        <v/>
      </c>
      <c r="R798" s="22" t="str">
        <f>IF(ISERROR(FIND('112'!$M$9,G798,1)),"",IF((AND(FIND('112'!$M$9,G798,1)&gt;=1,$B798&gt;='112'!$N$8,$B798&lt;='112'!$O$8,OR($L798='112'!$I$6,$M798='112'!$I$6))),"x",""))</f>
        <v/>
      </c>
      <c r="S798" s="22" t="str">
        <f>IF(ISERROR(FIND('112'!$M$9,G798,1)),"",IF((AND(LEFT(G798,2)=LEFT('112'!$M$9,2),B798&lt;'112'!$N$8,$L798='112'!$I$6)),"x",""))</f>
        <v/>
      </c>
      <c r="T798" s="22" t="str">
        <f>IF(ISERROR(FIND('112'!$M$9,G798,1)),"",IF((AND(RIGHT(G798,2)=RIGHT('112'!$M$9,2),B798&lt;'112'!$N$8,$M798='112'!$I$6)),"x",""))</f>
        <v/>
      </c>
      <c r="U798" s="22" t="str">
        <f>IF(AND(B798&gt;='IN-NX'!$P$3,B798&lt;='IN-NX'!$Q$3,'IN-NX'!$D$7=D798,OR(LEFT(L798,2)="15",AND(LEFT(M798,2)&lt;&gt;"15",LEFT(M798,2)&lt;&gt;"33"))),"x","")</f>
        <v/>
      </c>
      <c r="V798" s="22" t="str">
        <f>IF(AND(OR(LEFT(TH!L798,2)="15",LEFT(TH!M798,2)="15"),'152-CT'!$J$8=TH!F798),"x","")</f>
        <v/>
      </c>
      <c r="W798" s="22" t="str">
        <f>IF(AND(OR(LEFT(TH!L798,2)="15",LEFT(TH!M798,2)="15"),TK!$E$7=TH!F798),"x","")</f>
        <v/>
      </c>
      <c r="X798" s="22" t="str">
        <f>IF(OR(TH!L798=TH!$X$7,M798=TH!$X$7),"x","")</f>
        <v/>
      </c>
      <c r="Y798" s="22" t="str">
        <f>IF(AND(B798&lt;=NKC!$N$8,B798&gt;=NKC!$M$8),"x","")</f>
        <v/>
      </c>
      <c r="Z798" s="580"/>
      <c r="AD798" s="130"/>
      <c r="AE798" s="130"/>
    </row>
    <row r="799" spans="1:31" s="130" customFormat="1" ht="15.75" customHeight="1">
      <c r="A799" s="123" t="str">
        <f>IF(B799&lt;&gt;"",IF(AND(B799&gt;=_TM1,B799&lt;=_TM2,OR(TH!L799="1111",TH!M799="1111")),TH!D799,""),"")</f>
        <v/>
      </c>
      <c r="B799" s="12">
        <f t="shared" si="29"/>
        <v>12</v>
      </c>
      <c r="C799" s="108">
        <f t="shared" si="30"/>
        <v>42732</v>
      </c>
      <c r="D799" s="108" t="s">
        <v>967</v>
      </c>
      <c r="E799" s="113">
        <v>42732</v>
      </c>
      <c r="F799" s="114" t="s">
        <v>930</v>
      </c>
      <c r="G799" s="303" t="s">
        <v>926</v>
      </c>
      <c r="H799" s="4" t="s">
        <v>846</v>
      </c>
      <c r="I799" s="140">
        <v>244</v>
      </c>
      <c r="J799" s="139">
        <v>905</v>
      </c>
      <c r="K799" s="13">
        <f t="shared" si="31"/>
        <v>220820</v>
      </c>
      <c r="L799" s="116" t="s">
        <v>252</v>
      </c>
      <c r="M799" s="411" t="s">
        <v>169</v>
      </c>
      <c r="N799" s="22" t="str">
        <f>IF(AND('331-CT'!$E$7=TH!H799,OR(L799="331",M799="331")),"331",IF(AND(OR(L799="131",M799="131"),H799='131-CT'!$E$7),"131",""))</f>
        <v/>
      </c>
      <c r="O799" s="22" t="str">
        <f>IF(AND($B799&gt;='111'!$N$11,$B799&lt;='111'!$O$11,OR($L799=$O$7,$M799=$O$7)),"x","")</f>
        <v/>
      </c>
      <c r="P799" s="22" t="str">
        <f>IF(AND($L799=$O$7,$B799&lt;'111'!$N$11),"x","")</f>
        <v/>
      </c>
      <c r="Q799" s="22" t="str">
        <f>IF(AND($M799=$O$7,$B799&lt;'111'!$N$11),"x","")</f>
        <v/>
      </c>
      <c r="R799" s="22" t="str">
        <f>IF(ISERROR(FIND('112'!$M$9,G799,1)),"",IF((AND(FIND('112'!$M$9,G799,1)&gt;=1,$B799&gt;='112'!$N$8,$B799&lt;='112'!$O$8,OR($L799='112'!$I$6,$M799='112'!$I$6))),"x",""))</f>
        <v/>
      </c>
      <c r="S799" s="22" t="str">
        <f>IF(ISERROR(FIND('112'!$M$9,G799,1)),"",IF((AND(LEFT(G799,2)=LEFT('112'!$M$9,2),B799&lt;'112'!$N$8,$L799='112'!$I$6)),"x",""))</f>
        <v/>
      </c>
      <c r="T799" s="22" t="str">
        <f>IF(ISERROR(FIND('112'!$M$9,G799,1)),"",IF((AND(RIGHT(G799,2)=RIGHT('112'!$M$9,2),B799&lt;'112'!$N$8,$M799='112'!$I$6)),"x",""))</f>
        <v/>
      </c>
      <c r="U799" s="22" t="str">
        <f>IF(AND(B799&gt;='IN-NX'!$P$3,B799&lt;='IN-NX'!$Q$3,'IN-NX'!$D$7=D799,OR(LEFT(L799,2)="15",AND(LEFT(M799,2)&lt;&gt;"15",LEFT(M799,2)&lt;&gt;"33"))),"x","")</f>
        <v/>
      </c>
      <c r="V799" s="22" t="str">
        <f>IF(AND(OR(LEFT(TH!L799,2)="15",LEFT(TH!M799,2)="15"),'152-CT'!$J$8=TH!F799),"x","")</f>
        <v/>
      </c>
      <c r="W799" s="22" t="str">
        <f>IF(AND(OR(LEFT(TH!L799,2)="15",LEFT(TH!M799,2)="15"),TK!$E$7=TH!F799),"x","")</f>
        <v/>
      </c>
      <c r="X799" s="22" t="str">
        <f>IF(OR(TH!L799=TH!$X$7,M799=TH!$X$7),"x","")</f>
        <v/>
      </c>
      <c r="Y799" s="22" t="str">
        <f>IF(AND(B799&lt;=NKC!$N$8,B799&gt;=NKC!$M$8),"x","")</f>
        <v/>
      </c>
      <c r="Z799" s="580"/>
      <c r="AA799" s="406"/>
      <c r="AB799" s="406"/>
      <c r="AC799" s="406"/>
    </row>
    <row r="800" spans="1:31" s="406" customFormat="1" ht="15.75" customHeight="1">
      <c r="A800" s="123" t="str">
        <f>IF(B800&lt;&gt;"",IF(AND(B800&gt;=_TM1,B800&lt;=_TM2,OR(TH!L800="1111",TH!M800="1111")),TH!D800,""),"")</f>
        <v/>
      </c>
      <c r="B800" s="12">
        <f t="shared" si="29"/>
        <v>12</v>
      </c>
      <c r="C800" s="108">
        <f t="shared" si="30"/>
        <v>42732</v>
      </c>
      <c r="D800" s="108" t="s">
        <v>967</v>
      </c>
      <c r="E800" s="113">
        <v>42732</v>
      </c>
      <c r="F800" s="114" t="s">
        <v>931</v>
      </c>
      <c r="G800" s="303" t="s">
        <v>926</v>
      </c>
      <c r="H800" s="4" t="s">
        <v>846</v>
      </c>
      <c r="I800" s="140">
        <v>244</v>
      </c>
      <c r="J800" s="139">
        <v>766</v>
      </c>
      <c r="K800" s="13">
        <f t="shared" si="31"/>
        <v>186904</v>
      </c>
      <c r="L800" s="116" t="s">
        <v>252</v>
      </c>
      <c r="M800" s="411" t="s">
        <v>169</v>
      </c>
      <c r="N800" s="22" t="str">
        <f>IF(AND('331-CT'!$E$7=TH!H800,OR(L800="331",M800="331")),"331",IF(AND(OR(L800="131",M800="131"),H800='131-CT'!$E$7),"131",""))</f>
        <v/>
      </c>
      <c r="O800" s="22" t="str">
        <f>IF(AND($B800&gt;='111'!$N$11,$B800&lt;='111'!$O$11,OR($L800=$O$7,$M800=$O$7)),"x","")</f>
        <v/>
      </c>
      <c r="P800" s="22" t="str">
        <f>IF(AND($L800=$O$7,$B800&lt;'111'!$N$11),"x","")</f>
        <v/>
      </c>
      <c r="Q800" s="22" t="str">
        <f>IF(AND($M800=$O$7,$B800&lt;'111'!$N$11),"x","")</f>
        <v/>
      </c>
      <c r="R800" s="22" t="str">
        <f>IF(ISERROR(FIND('112'!$M$9,G800,1)),"",IF((AND(FIND('112'!$M$9,G800,1)&gt;=1,$B800&gt;='112'!$N$8,$B800&lt;='112'!$O$8,OR($L800='112'!$I$6,$M800='112'!$I$6))),"x",""))</f>
        <v/>
      </c>
      <c r="S800" s="22" t="str">
        <f>IF(ISERROR(FIND('112'!$M$9,G800,1)),"",IF((AND(LEFT(G800,2)=LEFT('112'!$M$9,2),B800&lt;'112'!$N$8,$L800='112'!$I$6)),"x",""))</f>
        <v/>
      </c>
      <c r="T800" s="22" t="str">
        <f>IF(ISERROR(FIND('112'!$M$9,G800,1)),"",IF((AND(RIGHT(G800,2)=RIGHT('112'!$M$9,2),B800&lt;'112'!$N$8,$M800='112'!$I$6)),"x",""))</f>
        <v/>
      </c>
      <c r="U800" s="22" t="str">
        <f>IF(AND(B800&gt;='IN-NX'!$P$3,B800&lt;='IN-NX'!$Q$3,'IN-NX'!$D$7=D800,OR(LEFT(L800,2)="15",AND(LEFT(M800,2)&lt;&gt;"15",LEFT(M800,2)&lt;&gt;"33"))),"x","")</f>
        <v/>
      </c>
      <c r="V800" s="22" t="str">
        <f>IF(AND(OR(LEFT(TH!L800,2)="15",LEFT(TH!M800,2)="15"),'152-CT'!$J$8=TH!F800),"x","")</f>
        <v/>
      </c>
      <c r="W800" s="22" t="str">
        <f>IF(AND(OR(LEFT(TH!L800,2)="15",LEFT(TH!M800,2)="15"),TK!$E$7=TH!F800),"x","")</f>
        <v/>
      </c>
      <c r="X800" s="22" t="str">
        <f>IF(OR(TH!L800=TH!$X$7,M800=TH!$X$7),"x","")</f>
        <v/>
      </c>
      <c r="Y800" s="22" t="str">
        <f>IF(AND(B800&lt;=NKC!$N$8,B800&gt;=NKC!$M$8),"x","")</f>
        <v/>
      </c>
      <c r="Z800" s="580"/>
      <c r="AC800" s="130"/>
      <c r="AD800" s="130"/>
      <c r="AE800" s="130"/>
    </row>
    <row r="801" spans="1:31" s="130" customFormat="1" ht="15.75" customHeight="1">
      <c r="A801" s="123" t="str">
        <f>IF(B801&lt;&gt;"",IF(AND(B801&gt;=_TM1,B801&lt;=_TM2,OR(TH!L801="1111",TH!M801="1111")),TH!D801,""),"")</f>
        <v/>
      </c>
      <c r="B801" s="12">
        <f t="shared" si="29"/>
        <v>12</v>
      </c>
      <c r="C801" s="108">
        <f t="shared" si="30"/>
        <v>42732</v>
      </c>
      <c r="D801" s="108" t="s">
        <v>967</v>
      </c>
      <c r="E801" s="113">
        <v>42732</v>
      </c>
      <c r="F801" s="114" t="s">
        <v>932</v>
      </c>
      <c r="G801" s="303" t="s">
        <v>926</v>
      </c>
      <c r="H801" s="4" t="s">
        <v>846</v>
      </c>
      <c r="I801" s="140">
        <v>244</v>
      </c>
      <c r="J801" s="139">
        <v>593</v>
      </c>
      <c r="K801" s="13">
        <f t="shared" si="31"/>
        <v>144692</v>
      </c>
      <c r="L801" s="116" t="s">
        <v>252</v>
      </c>
      <c r="M801" s="411" t="s">
        <v>169</v>
      </c>
      <c r="N801" s="22" t="str">
        <f>IF(AND('331-CT'!$E$7=TH!H801,OR(L801="331",M801="331")),"331",IF(AND(OR(L801="131",M801="131"),H801='131-CT'!$E$7),"131",""))</f>
        <v/>
      </c>
      <c r="O801" s="22" t="str">
        <f>IF(AND($B801&gt;='111'!$N$11,$B801&lt;='111'!$O$11,OR($L801=$O$7,$M801=$O$7)),"x","")</f>
        <v/>
      </c>
      <c r="P801" s="22" t="str">
        <f>IF(AND($L801=$O$7,$B801&lt;'111'!$N$11),"x","")</f>
        <v/>
      </c>
      <c r="Q801" s="22" t="str">
        <f>IF(AND($M801=$O$7,$B801&lt;'111'!$N$11),"x","")</f>
        <v/>
      </c>
      <c r="R801" s="22" t="str">
        <f>IF(ISERROR(FIND('112'!$M$9,G801,1)),"",IF((AND(FIND('112'!$M$9,G801,1)&gt;=1,$B801&gt;='112'!$N$8,$B801&lt;='112'!$O$8,OR($L801='112'!$I$6,$M801='112'!$I$6))),"x",""))</f>
        <v/>
      </c>
      <c r="S801" s="22" t="str">
        <f>IF(ISERROR(FIND('112'!$M$9,G801,1)),"",IF((AND(LEFT(G801,2)=LEFT('112'!$M$9,2),B801&lt;'112'!$N$8,$L801='112'!$I$6)),"x",""))</f>
        <v/>
      </c>
      <c r="T801" s="22" t="str">
        <f>IF(ISERROR(FIND('112'!$M$9,G801,1)),"",IF((AND(RIGHT(G801,2)=RIGHT('112'!$M$9,2),B801&lt;'112'!$N$8,$M801='112'!$I$6)),"x",""))</f>
        <v/>
      </c>
      <c r="U801" s="22" t="str">
        <f>IF(AND(B801&gt;='IN-NX'!$P$3,B801&lt;='IN-NX'!$Q$3,'IN-NX'!$D$7=D801,OR(LEFT(L801,2)="15",AND(LEFT(M801,2)&lt;&gt;"15",LEFT(M801,2)&lt;&gt;"33"))),"x","")</f>
        <v/>
      </c>
      <c r="V801" s="22" t="str">
        <f>IF(AND(OR(LEFT(TH!L801,2)="15",LEFT(TH!M801,2)="15"),'152-CT'!$J$8=TH!F801),"x","")</f>
        <v/>
      </c>
      <c r="W801" s="22" t="str">
        <f>IF(AND(OR(LEFT(TH!L801,2)="15",LEFT(TH!M801,2)="15"),TK!$E$7=TH!F801),"x","")</f>
        <v/>
      </c>
      <c r="X801" s="22" t="str">
        <f>IF(OR(TH!L801=TH!$X$7,M801=TH!$X$7),"x","")</f>
        <v/>
      </c>
      <c r="Y801" s="22" t="str">
        <f>IF(AND(B801&lt;=NKC!$N$8,B801&gt;=NKC!$M$8),"x","")</f>
        <v/>
      </c>
      <c r="Z801" s="580"/>
      <c r="AA801" s="406"/>
      <c r="AB801" s="406"/>
      <c r="AC801" s="406"/>
    </row>
    <row r="802" spans="1:31" s="130" customFormat="1" ht="15.75" customHeight="1">
      <c r="A802" s="123" t="str">
        <f>IF(B802&lt;&gt;"",IF(AND(B802&gt;=_TM1,B802&lt;=_TM2,OR(TH!L802="1111",TH!M802="1111")),TH!D802,""),"")</f>
        <v/>
      </c>
      <c r="B802" s="12">
        <f t="shared" si="29"/>
        <v>12</v>
      </c>
      <c r="C802" s="108">
        <f t="shared" si="30"/>
        <v>42732</v>
      </c>
      <c r="D802" s="108" t="s">
        <v>967</v>
      </c>
      <c r="E802" s="113">
        <v>42732</v>
      </c>
      <c r="F802" s="114" t="s">
        <v>933</v>
      </c>
      <c r="G802" s="303" t="s">
        <v>926</v>
      </c>
      <c r="H802" s="4" t="s">
        <v>846</v>
      </c>
      <c r="I802" s="140">
        <v>244</v>
      </c>
      <c r="J802" s="140">
        <v>502</v>
      </c>
      <c r="K802" s="13">
        <f t="shared" si="31"/>
        <v>122488</v>
      </c>
      <c r="L802" s="116" t="s">
        <v>252</v>
      </c>
      <c r="M802" s="411" t="s">
        <v>169</v>
      </c>
      <c r="N802" s="22" t="str">
        <f>IF(AND('331-CT'!$E$7=TH!H802,OR(L802="331",M802="331")),"331",IF(AND(OR(L802="131",M802="131"),H802='131-CT'!$E$7),"131",""))</f>
        <v/>
      </c>
      <c r="O802" s="22" t="str">
        <f>IF(AND($B802&gt;='111'!$N$11,$B802&lt;='111'!$O$11,OR($L802=$O$7,$M802=$O$7)),"x","")</f>
        <v/>
      </c>
      <c r="P802" s="22" t="str">
        <f>IF(AND($L802=$O$7,$B802&lt;'111'!$N$11),"x","")</f>
        <v/>
      </c>
      <c r="Q802" s="22" t="str">
        <f>IF(AND($M802=$O$7,$B802&lt;'111'!$N$11),"x","")</f>
        <v/>
      </c>
      <c r="R802" s="22" t="str">
        <f>IF(ISERROR(FIND('112'!$M$9,G802,1)),"",IF((AND(FIND('112'!$M$9,G802,1)&gt;=1,$B802&gt;='112'!$N$8,$B802&lt;='112'!$O$8,OR($L802='112'!$I$6,$M802='112'!$I$6))),"x",""))</f>
        <v/>
      </c>
      <c r="S802" s="22" t="str">
        <f>IF(ISERROR(FIND('112'!$M$9,G802,1)),"",IF((AND(LEFT(G802,2)=LEFT('112'!$M$9,2),B802&lt;'112'!$N$8,$L802='112'!$I$6)),"x",""))</f>
        <v/>
      </c>
      <c r="T802" s="22" t="str">
        <f>IF(ISERROR(FIND('112'!$M$9,G802,1)),"",IF((AND(RIGHT(G802,2)=RIGHT('112'!$M$9,2),B802&lt;'112'!$N$8,$M802='112'!$I$6)),"x",""))</f>
        <v/>
      </c>
      <c r="U802" s="22" t="str">
        <f>IF(AND(B802&gt;='IN-NX'!$P$3,B802&lt;='IN-NX'!$Q$3,'IN-NX'!$D$7=D802,OR(LEFT(L802,2)="15",AND(LEFT(M802,2)&lt;&gt;"15",LEFT(M802,2)&lt;&gt;"33"))),"x","")</f>
        <v/>
      </c>
      <c r="V802" s="22" t="str">
        <f>IF(AND(OR(LEFT(TH!L802,2)="15",LEFT(TH!M802,2)="15"),'152-CT'!$J$8=TH!F802),"x","")</f>
        <v/>
      </c>
      <c r="W802" s="22" t="str">
        <f>IF(AND(OR(LEFT(TH!L802,2)="15",LEFT(TH!M802,2)="15"),TK!$E$7=TH!F802),"x","")</f>
        <v/>
      </c>
      <c r="X802" s="22" t="str">
        <f>IF(OR(TH!L802=TH!$X$7,M802=TH!$X$7),"x","")</f>
        <v/>
      </c>
      <c r="Y802" s="22" t="str">
        <f>IF(AND(B802&lt;=NKC!$N$8,B802&gt;=NKC!$M$8),"x","")</f>
        <v/>
      </c>
      <c r="Z802" s="580"/>
      <c r="AA802" s="406"/>
      <c r="AB802" s="406"/>
      <c r="AC802" s="406"/>
    </row>
    <row r="803" spans="1:31" s="130" customFormat="1" ht="15.75" customHeight="1">
      <c r="A803" s="123" t="str">
        <f>IF(B803&lt;&gt;"",IF(AND(B803&gt;=_TM1,B803&lt;=_TM2,OR(TH!L803="1111",TH!M803="1111")),TH!D803,""),"")</f>
        <v/>
      </c>
      <c r="B803" s="12">
        <f t="shared" si="29"/>
        <v>12</v>
      </c>
      <c r="C803" s="108">
        <f t="shared" si="30"/>
        <v>42732</v>
      </c>
      <c r="D803" s="108" t="s">
        <v>967</v>
      </c>
      <c r="E803" s="113">
        <v>42732</v>
      </c>
      <c r="F803" s="112" t="s">
        <v>496</v>
      </c>
      <c r="G803" s="303" t="s">
        <v>926</v>
      </c>
      <c r="H803" s="4" t="s">
        <v>846</v>
      </c>
      <c r="I803" s="139"/>
      <c r="J803" s="139"/>
      <c r="K803" s="13">
        <v>1150606</v>
      </c>
      <c r="L803" s="116" t="s">
        <v>252</v>
      </c>
      <c r="M803" s="411" t="s">
        <v>352</v>
      </c>
      <c r="N803" s="22" t="str">
        <f>IF(AND('331-CT'!$E$7=TH!H803,OR(L803="331",M803="331")),"331",IF(AND(OR(L803="131",M803="131"),H803='131-CT'!$E$7),"131",""))</f>
        <v/>
      </c>
      <c r="O803" s="22" t="str">
        <f>IF(AND($B803&gt;='111'!$N$11,$B803&lt;='111'!$O$11,OR($L803=$O$7,$M803=$O$7)),"x","")</f>
        <v/>
      </c>
      <c r="P803" s="22" t="str">
        <f>IF(AND($L803=$O$7,$B803&lt;'111'!$N$11),"x","")</f>
        <v/>
      </c>
      <c r="Q803" s="22" t="str">
        <f>IF(AND($M803=$O$7,$B803&lt;'111'!$N$11),"x","")</f>
        <v/>
      </c>
      <c r="R803" s="22" t="str">
        <f>IF(ISERROR(FIND('112'!$M$9,G803,1)),"",IF((AND(FIND('112'!$M$9,G803,1)&gt;=1,$B803&gt;='112'!$N$8,$B803&lt;='112'!$O$8,OR($L803='112'!$I$6,$M803='112'!$I$6))),"x",""))</f>
        <v/>
      </c>
      <c r="S803" s="22" t="str">
        <f>IF(ISERROR(FIND('112'!$M$9,G803,1)),"",IF((AND(LEFT(G803,2)=LEFT('112'!$M$9,2),B803&lt;'112'!$N$8,$L803='112'!$I$6)),"x",""))</f>
        <v/>
      </c>
      <c r="T803" s="22" t="str">
        <f>IF(ISERROR(FIND('112'!$M$9,G803,1)),"",IF((AND(RIGHT(G803,2)=RIGHT('112'!$M$9,2),B803&lt;'112'!$N$8,$M803='112'!$I$6)),"x",""))</f>
        <v/>
      </c>
      <c r="U803" s="22" t="str">
        <f>IF(AND(B803&gt;='IN-NX'!$P$3,B803&lt;='IN-NX'!$Q$3,'IN-NX'!$D$7=D803,OR(LEFT(L803,2)="15",AND(LEFT(M803,2)&lt;&gt;"15",LEFT(M803,2)&lt;&gt;"33"))),"x","")</f>
        <v/>
      </c>
      <c r="V803" s="22" t="str">
        <f>IF(AND(OR(LEFT(TH!L803,2)="15",LEFT(TH!M803,2)="15"),'152-CT'!$J$8=TH!F803),"x","")</f>
        <v/>
      </c>
      <c r="W803" s="22" t="str">
        <f>IF(AND(OR(LEFT(TH!L803,2)="15",LEFT(TH!M803,2)="15"),TK!$E$7=TH!F803),"x","")</f>
        <v/>
      </c>
      <c r="X803" s="22" t="str">
        <f>IF(OR(TH!L803=TH!$X$7,M803=TH!$X$7),"x","")</f>
        <v/>
      </c>
      <c r="Y803" s="22" t="str">
        <f>IF(AND(B803&lt;=NKC!$N$8,B803&gt;=NKC!$M$8),"x","")</f>
        <v/>
      </c>
      <c r="Z803" s="580"/>
      <c r="AA803" s="406"/>
      <c r="AB803" s="406"/>
      <c r="AC803" s="406"/>
    </row>
    <row r="804" spans="1:31" s="130" customFormat="1" ht="15.75" customHeight="1">
      <c r="A804" s="123" t="str">
        <f>IF(B804&lt;&gt;"",IF(AND(B804&gt;=_TM1,B804&lt;=_TM2,OR(TH!L804="1111",TH!M804="1111")),TH!D804,""),"")</f>
        <v/>
      </c>
      <c r="B804" s="12">
        <f t="shared" si="29"/>
        <v>12</v>
      </c>
      <c r="C804" s="108">
        <f t="shared" si="30"/>
        <v>42733</v>
      </c>
      <c r="D804" s="108" t="s">
        <v>469</v>
      </c>
      <c r="E804" s="113">
        <v>42733</v>
      </c>
      <c r="F804" s="112" t="s">
        <v>484</v>
      </c>
      <c r="G804" s="114" t="s">
        <v>474</v>
      </c>
      <c r="H804" s="4" t="s">
        <v>894</v>
      </c>
      <c r="I804" s="139"/>
      <c r="J804" s="141"/>
      <c r="K804" s="13">
        <v>9494100</v>
      </c>
      <c r="L804" s="116" t="s">
        <v>24</v>
      </c>
      <c r="M804" s="411" t="s">
        <v>252</v>
      </c>
      <c r="N804" s="22" t="str">
        <f>IF(AND('331-CT'!$E$7=TH!H804,OR(L804="331",M804="331")),"331",IF(AND(OR(L804="131",M804="131"),H804='131-CT'!$E$7),"131",""))</f>
        <v/>
      </c>
      <c r="O804" s="22" t="str">
        <f>IF(AND($B804&gt;='111'!$N$11,$B804&lt;='111'!$O$11,OR($L804=$O$7,$M804=$O$7)),"x","")</f>
        <v/>
      </c>
      <c r="P804" s="22" t="str">
        <f>IF(AND($L804=$O$7,$B804&lt;'111'!$N$11),"x","")</f>
        <v/>
      </c>
      <c r="Q804" s="22" t="str">
        <f>IF(AND($M804=$O$7,$B804&lt;'111'!$N$11),"x","")</f>
        <v/>
      </c>
      <c r="R804" s="22" t="str">
        <f>IF(ISERROR(FIND('112'!$M$9,G804,1)),"",IF((AND(FIND('112'!$M$9,G804,1)&gt;=1,$B804&gt;='112'!$N$8,$B804&lt;='112'!$O$8,OR($L804='112'!$I$6,$M804='112'!$I$6))),"x",""))</f>
        <v>x</v>
      </c>
      <c r="S804" s="22" t="str">
        <f>IF(ISERROR(FIND('112'!$M$9,G804,1)),"",IF((AND(LEFT(G804,2)=LEFT('112'!$M$9,2),B804&lt;'112'!$N$8,$L804='112'!$I$6)),"x",""))</f>
        <v/>
      </c>
      <c r="T804" s="22" t="str">
        <f>IF(ISERROR(FIND('112'!$M$9,G804,1)),"",IF((AND(RIGHT(G804,2)=RIGHT('112'!$M$9,2),B804&lt;'112'!$N$8,$M804='112'!$I$6)),"x",""))</f>
        <v/>
      </c>
      <c r="U804" s="22" t="str">
        <f>IF(AND(B804&gt;='IN-NX'!$P$3,B804&lt;='IN-NX'!$Q$3,'IN-NX'!$D$7=D804,OR(LEFT(L804,2)="15",AND(LEFT(M804,2)&lt;&gt;"15",LEFT(M804,2)&lt;&gt;"33"))),"x","")</f>
        <v/>
      </c>
      <c r="V804" s="22" t="str">
        <f>IF(AND(OR(LEFT(TH!L804,2)="15",LEFT(TH!M804,2)="15"),'152-CT'!$J$8=TH!F804),"x","")</f>
        <v/>
      </c>
      <c r="W804" s="22" t="str">
        <f>IF(AND(OR(LEFT(TH!L804,2)="15",LEFT(TH!M804,2)="15"),TK!$E$7=TH!F804),"x","")</f>
        <v/>
      </c>
      <c r="X804" s="22" t="str">
        <f>IF(OR(TH!L804=TH!$X$7,M804=TH!$X$7),"x","")</f>
        <v/>
      </c>
      <c r="Y804" s="22" t="str">
        <f>IF(AND(B804&lt;=NKC!$N$8,B804&gt;=NKC!$M$8),"x","")</f>
        <v/>
      </c>
      <c r="Z804" s="580"/>
      <c r="AA804" s="406"/>
      <c r="AB804" s="406"/>
      <c r="AC804" s="406"/>
    </row>
    <row r="805" spans="1:31" s="130" customFormat="1" ht="15.75" customHeight="1">
      <c r="A805" s="123" t="str">
        <f>IF(B805&lt;&gt;"",IF(AND(B805&gt;=_TM1,B805&lt;=_TM2,OR(TH!L805="1111",TH!M805="1111")),TH!D805,""),"")</f>
        <v>C34</v>
      </c>
      <c r="B805" s="12">
        <f t="shared" si="29"/>
        <v>12</v>
      </c>
      <c r="C805" s="108">
        <f t="shared" si="30"/>
        <v>42733</v>
      </c>
      <c r="D805" s="108" t="s">
        <v>1050</v>
      </c>
      <c r="E805" s="113">
        <v>42733</v>
      </c>
      <c r="F805" s="112" t="s">
        <v>1032</v>
      </c>
      <c r="G805" s="114" t="s">
        <v>474</v>
      </c>
      <c r="H805" s="4" t="s">
        <v>894</v>
      </c>
      <c r="I805" s="139"/>
      <c r="J805" s="141"/>
      <c r="K805" s="13">
        <v>7592200</v>
      </c>
      <c r="L805" s="116" t="s">
        <v>252</v>
      </c>
      <c r="M805" s="411" t="s">
        <v>46</v>
      </c>
      <c r="N805" s="22" t="str">
        <f>IF(AND('331-CT'!$E$7=TH!H805,OR(L805="331",M805="331")),"331",IF(AND(OR(L805="131",M805="131"),H805='131-CT'!$E$7),"131",""))</f>
        <v/>
      </c>
      <c r="O805" s="22" t="str">
        <f>IF(AND($B805&gt;='111'!$N$11,$B805&lt;='111'!$O$11,OR($L805=$O$7,$M805=$O$7)),"x","")</f>
        <v>x</v>
      </c>
      <c r="P805" s="22" t="str">
        <f>IF(AND($L805=$O$7,$B805&lt;'111'!$N$11),"x","")</f>
        <v/>
      </c>
      <c r="Q805" s="22" t="str">
        <f>IF(AND($M805=$O$7,$B805&lt;'111'!$N$11),"x","")</f>
        <v/>
      </c>
      <c r="R805" s="22" t="str">
        <f>IF(ISERROR(FIND('112'!$M$9,G805,1)),"",IF((AND(FIND('112'!$M$9,G805,1)&gt;=1,$B805&gt;='112'!$N$8,$B805&lt;='112'!$O$8,OR($L805='112'!$I$6,$M805='112'!$I$6))),"x",""))</f>
        <v/>
      </c>
      <c r="S805" s="22" t="str">
        <f>IF(ISERROR(FIND('112'!$M$9,G805,1)),"",IF((AND(LEFT(G805,2)=LEFT('112'!$M$9,2),B805&lt;'112'!$N$8,$L805='112'!$I$6)),"x",""))</f>
        <v/>
      </c>
      <c r="T805" s="22" t="str">
        <f>IF(ISERROR(FIND('112'!$M$9,G805,1)),"",IF((AND(RIGHT(G805,2)=RIGHT('112'!$M$9,2),B805&lt;'112'!$N$8,$M805='112'!$I$6)),"x",""))</f>
        <v/>
      </c>
      <c r="U805" s="22" t="str">
        <f>IF(AND(B805&gt;='IN-NX'!$P$3,B805&lt;='IN-NX'!$Q$3,'IN-NX'!$D$7=D805,OR(LEFT(L805,2)="15",AND(LEFT(M805,2)&lt;&gt;"15",LEFT(M805,2)&lt;&gt;"33"))),"x","")</f>
        <v/>
      </c>
      <c r="V805" s="22" t="str">
        <f>IF(AND(OR(LEFT(TH!L805,2)="15",LEFT(TH!M805,2)="15"),'152-CT'!$J$8=TH!F805),"x","")</f>
        <v/>
      </c>
      <c r="W805" s="22" t="str">
        <f>IF(AND(OR(LEFT(TH!L805,2)="15",LEFT(TH!M805,2)="15"),TK!$E$7=TH!F805),"x","")</f>
        <v/>
      </c>
      <c r="X805" s="22" t="str">
        <f>IF(OR(TH!L805=TH!$X$7,M805=TH!$X$7),"x","")</f>
        <v/>
      </c>
      <c r="Y805" s="22" t="str">
        <f>IF(AND(B805&lt;=NKC!$N$8,B805&gt;=NKC!$M$8),"x","")</f>
        <v/>
      </c>
      <c r="Z805" s="580"/>
      <c r="AA805" s="406"/>
      <c r="AB805" s="406"/>
      <c r="AC805" s="406"/>
    </row>
    <row r="806" spans="1:31" s="406" customFormat="1" ht="15.75" customHeight="1">
      <c r="A806" s="123" t="str">
        <f>IF(B806&lt;&gt;"",IF(AND(B806&gt;=_TM1,B806&lt;=_TM2,OR(TH!L806="1111",TH!M806="1111")),TH!D806,""),"")</f>
        <v/>
      </c>
      <c r="B806" s="12">
        <f t="shared" si="29"/>
        <v>12</v>
      </c>
      <c r="C806" s="108">
        <f t="shared" si="30"/>
        <v>42733</v>
      </c>
      <c r="D806" s="108" t="s">
        <v>968</v>
      </c>
      <c r="E806" s="113">
        <v>42733</v>
      </c>
      <c r="F806" s="114" t="s">
        <v>937</v>
      </c>
      <c r="G806" s="303" t="s">
        <v>934</v>
      </c>
      <c r="H806" s="4" t="s">
        <v>935</v>
      </c>
      <c r="I806" s="139">
        <v>650</v>
      </c>
      <c r="J806" s="139">
        <v>4500</v>
      </c>
      <c r="K806" s="13">
        <f>ROUND(I806*J806,0)</f>
        <v>2925000</v>
      </c>
      <c r="L806" s="116" t="s">
        <v>252</v>
      </c>
      <c r="M806" s="411" t="s">
        <v>169</v>
      </c>
      <c r="N806" s="22" t="str">
        <f>IF(AND('331-CT'!$E$7=TH!H806,OR(L806="331",M806="331")),"331",IF(AND(OR(L806="131",M806="131"),H806='131-CT'!$E$7),"131",""))</f>
        <v/>
      </c>
      <c r="O806" s="22" t="str">
        <f>IF(AND($B806&gt;='111'!$N$11,$B806&lt;='111'!$O$11,OR($L806=$O$7,$M806=$O$7)),"x","")</f>
        <v/>
      </c>
      <c r="P806" s="22" t="str">
        <f>IF(AND($L806=$O$7,$B806&lt;'111'!$N$11),"x","")</f>
        <v/>
      </c>
      <c r="Q806" s="22" t="str">
        <f>IF(AND($M806=$O$7,$B806&lt;'111'!$N$11),"x","")</f>
        <v/>
      </c>
      <c r="R806" s="22" t="str">
        <f>IF(ISERROR(FIND('112'!$M$9,G806,1)),"",IF((AND(FIND('112'!$M$9,G806,1)&gt;=1,$B806&gt;='112'!$N$8,$B806&lt;='112'!$O$8,OR($L806='112'!$I$6,$M806='112'!$I$6))),"x",""))</f>
        <v/>
      </c>
      <c r="S806" s="22" t="str">
        <f>IF(ISERROR(FIND('112'!$M$9,G806,1)),"",IF((AND(LEFT(G806,2)=LEFT('112'!$M$9,2),B806&lt;'112'!$N$8,$L806='112'!$I$6)),"x",""))</f>
        <v/>
      </c>
      <c r="T806" s="22" t="str">
        <f>IF(ISERROR(FIND('112'!$M$9,G806,1)),"",IF((AND(RIGHT(G806,2)=RIGHT('112'!$M$9,2),B806&lt;'112'!$N$8,$M806='112'!$I$6)),"x",""))</f>
        <v/>
      </c>
      <c r="U806" s="22" t="str">
        <f>IF(AND(B806&gt;='IN-NX'!$P$3,B806&lt;='IN-NX'!$Q$3,'IN-NX'!$D$7=D806,OR(LEFT(L806,2)="15",AND(LEFT(M806,2)&lt;&gt;"15",LEFT(M806,2)&lt;&gt;"33"))),"x","")</f>
        <v/>
      </c>
      <c r="V806" s="22" t="str">
        <f>IF(AND(OR(LEFT(TH!L806,2)="15",LEFT(TH!M806,2)="15"),'152-CT'!$J$8=TH!F806),"x","")</f>
        <v/>
      </c>
      <c r="W806" s="22" t="str">
        <f>IF(AND(OR(LEFT(TH!L806,2)="15",LEFT(TH!M806,2)="15"),TK!$E$7=TH!F806),"x","")</f>
        <v/>
      </c>
      <c r="X806" s="22" t="str">
        <f>IF(OR(TH!L806=TH!$X$7,M806=TH!$X$7),"x","")</f>
        <v/>
      </c>
      <c r="Y806" s="22" t="str">
        <f>IF(AND(B806&lt;=NKC!$N$8,B806&gt;=NKC!$M$8),"x","")</f>
        <v/>
      </c>
      <c r="Z806" s="580"/>
      <c r="AD806" s="130"/>
      <c r="AE806" s="130"/>
    </row>
    <row r="807" spans="1:31" s="130" customFormat="1" ht="15.75" customHeight="1">
      <c r="A807" s="123" t="str">
        <f>IF(B807&lt;&gt;"",IF(AND(B807&gt;=_TM1,B807&lt;=_TM2,OR(TH!L807="1111",TH!M807="1111")),TH!D807,""),"")</f>
        <v/>
      </c>
      <c r="B807" s="12">
        <f t="shared" si="29"/>
        <v>12</v>
      </c>
      <c r="C807" s="108">
        <f t="shared" si="30"/>
        <v>42733</v>
      </c>
      <c r="D807" s="108" t="s">
        <v>968</v>
      </c>
      <c r="E807" s="113">
        <v>42733</v>
      </c>
      <c r="F807" s="112" t="s">
        <v>496</v>
      </c>
      <c r="G807" s="303" t="s">
        <v>934</v>
      </c>
      <c r="H807" s="4" t="s">
        <v>935</v>
      </c>
      <c r="I807" s="139"/>
      <c r="J807" s="139"/>
      <c r="K807" s="13">
        <v>292500</v>
      </c>
      <c r="L807" s="116" t="s">
        <v>252</v>
      </c>
      <c r="M807" s="411" t="s">
        <v>352</v>
      </c>
      <c r="N807" s="22" t="str">
        <f>IF(AND('331-CT'!$E$7=TH!H807,OR(L807="331",M807="331")),"331",IF(AND(OR(L807="131",M807="131"),H807='131-CT'!$E$7),"131",""))</f>
        <v/>
      </c>
      <c r="O807" s="22" t="str">
        <f>IF(AND($B807&gt;='111'!$N$11,$B807&lt;='111'!$O$11,OR($L807=$O$7,$M807=$O$7)),"x","")</f>
        <v/>
      </c>
      <c r="P807" s="22" t="str">
        <f>IF(AND($L807=$O$7,$B807&lt;'111'!$N$11),"x","")</f>
        <v/>
      </c>
      <c r="Q807" s="22" t="str">
        <f>IF(AND($M807=$O$7,$B807&lt;'111'!$N$11),"x","")</f>
        <v/>
      </c>
      <c r="R807" s="22" t="str">
        <f>IF(ISERROR(FIND('112'!$M$9,G807,1)),"",IF((AND(FIND('112'!$M$9,G807,1)&gt;=1,$B807&gt;='112'!$N$8,$B807&lt;='112'!$O$8,OR($L807='112'!$I$6,$M807='112'!$I$6))),"x",""))</f>
        <v/>
      </c>
      <c r="S807" s="22" t="str">
        <f>IF(ISERROR(FIND('112'!$M$9,G807,1)),"",IF((AND(LEFT(G807,2)=LEFT('112'!$M$9,2),B807&lt;'112'!$N$8,$L807='112'!$I$6)),"x",""))</f>
        <v/>
      </c>
      <c r="T807" s="22" t="str">
        <f>IF(ISERROR(FIND('112'!$M$9,G807,1)),"",IF((AND(RIGHT(G807,2)=RIGHT('112'!$M$9,2),B807&lt;'112'!$N$8,$M807='112'!$I$6)),"x",""))</f>
        <v/>
      </c>
      <c r="U807" s="22" t="str">
        <f>IF(AND(B807&gt;='IN-NX'!$P$3,B807&lt;='IN-NX'!$Q$3,'IN-NX'!$D$7=D807,OR(LEFT(L807,2)="15",AND(LEFT(M807,2)&lt;&gt;"15",LEFT(M807,2)&lt;&gt;"33"))),"x","")</f>
        <v/>
      </c>
      <c r="V807" s="22" t="str">
        <f>IF(AND(OR(LEFT(TH!L807,2)="15",LEFT(TH!M807,2)="15"),'152-CT'!$J$8=TH!F807),"x","")</f>
        <v/>
      </c>
      <c r="W807" s="22" t="str">
        <f>IF(AND(OR(LEFT(TH!L807,2)="15",LEFT(TH!M807,2)="15"),TK!$E$7=TH!F807),"x","")</f>
        <v/>
      </c>
      <c r="X807" s="22" t="str">
        <f>IF(OR(TH!L807=TH!$X$7,M807=TH!$X$7),"x","")</f>
        <v/>
      </c>
      <c r="Y807" s="22" t="str">
        <f>IF(AND(B807&lt;=NKC!$N$8,B807&gt;=NKC!$M$8),"x","")</f>
        <v/>
      </c>
      <c r="Z807" s="580"/>
      <c r="AA807" s="406"/>
      <c r="AB807" s="406"/>
    </row>
    <row r="808" spans="1:31" s="130" customFormat="1" ht="15.75" customHeight="1">
      <c r="A808" s="123" t="str">
        <f>IF(B808&lt;&gt;"",IF(AND(B808&gt;=_TM1,B808&lt;=_TM2,OR(TH!L808="1111",TH!M808="1111")),TH!D808,""),"")</f>
        <v/>
      </c>
      <c r="B808" s="12">
        <f t="shared" si="29"/>
        <v>12</v>
      </c>
      <c r="C808" s="108">
        <f t="shared" si="30"/>
        <v>42734</v>
      </c>
      <c r="D808" s="113" t="s">
        <v>954</v>
      </c>
      <c r="E808" s="108">
        <v>42734</v>
      </c>
      <c r="F808" s="112" t="s">
        <v>444</v>
      </c>
      <c r="G808" s="303" t="s">
        <v>941</v>
      </c>
      <c r="H808" s="115" t="s">
        <v>442</v>
      </c>
      <c r="I808" s="139">
        <v>7860</v>
      </c>
      <c r="J808" s="139">
        <v>800</v>
      </c>
      <c r="K808" s="13">
        <f>ROUND(I808*J808,0)</f>
        <v>6288000</v>
      </c>
      <c r="L808" s="116" t="s">
        <v>156</v>
      </c>
      <c r="M808" s="116" t="s">
        <v>8</v>
      </c>
      <c r="N808" s="22" t="str">
        <f>IF(AND('331-CT'!$E$7=TH!H808,OR(L808="331",M808="331")),"331",IF(AND(OR(L808="131",M808="131"),H808='131-CT'!$E$7),"131",""))</f>
        <v>331</v>
      </c>
      <c r="O808" s="22" t="str">
        <f>IF(AND($B808&gt;='111'!$N$11,$B808&lt;='111'!$O$11,OR($L808=$O$7,$M808=$O$7)),"x","")</f>
        <v/>
      </c>
      <c r="P808" s="22" t="str">
        <f>IF(AND($L808=$O$7,$B808&lt;'111'!$N$11),"x","")</f>
        <v/>
      </c>
      <c r="Q808" s="22" t="str">
        <f>IF(AND($M808=$O$7,$B808&lt;'111'!$N$11),"x","")</f>
        <v/>
      </c>
      <c r="R808" s="22" t="str">
        <f>IF(ISERROR(FIND('112'!$M$9,G808,1)),"",IF((AND(FIND('112'!$M$9,G808,1)&gt;=1,$B808&gt;='112'!$N$8,$B808&lt;='112'!$O$8,OR($L808='112'!$I$6,$M808='112'!$I$6))),"x",""))</f>
        <v/>
      </c>
      <c r="S808" s="22" t="str">
        <f>IF(ISERROR(FIND('112'!$M$9,G808,1)),"",IF((AND(LEFT(G808,2)=LEFT('112'!$M$9,2),B808&lt;'112'!$N$8,$L808='112'!$I$6)),"x",""))</f>
        <v/>
      </c>
      <c r="T808" s="22" t="str">
        <f>IF(ISERROR(FIND('112'!$M$9,G808,1)),"",IF((AND(RIGHT(G808,2)=RIGHT('112'!$M$9,2),B808&lt;'112'!$N$8,$M808='112'!$I$6)),"x",""))</f>
        <v/>
      </c>
      <c r="U808" s="22" t="str">
        <f>IF(AND(B808&gt;='IN-NX'!$P$3,B808&lt;='IN-NX'!$Q$3,'IN-NX'!$D$7=D808,OR(LEFT(L808,2)="15",AND(LEFT(M808,2)&lt;&gt;"15",LEFT(M808,2)&lt;&gt;"33"))),"x","")</f>
        <v/>
      </c>
      <c r="V808" s="22" t="str">
        <f>IF(AND(OR(LEFT(TH!L808,2)="15",LEFT(TH!M808,2)="15"),'152-CT'!$J$8=TH!F808),"x","")</f>
        <v/>
      </c>
      <c r="W808" s="22" t="str">
        <f>IF(AND(OR(LEFT(TH!L808,2)="15",LEFT(TH!M808,2)="15"),TK!$E$7=TH!F808),"x","")</f>
        <v>x</v>
      </c>
      <c r="X808" s="22" t="str">
        <f>IF(OR(TH!L808=TH!$X$7,M808=TH!$X$7),"x","")</f>
        <v/>
      </c>
      <c r="Y808" s="22" t="str">
        <f>IF(AND(B808&lt;=NKC!$N$8,B808&gt;=NKC!$M$8),"x","")</f>
        <v/>
      </c>
      <c r="Z808" s="580">
        <v>4</v>
      </c>
      <c r="AA808" s="406"/>
      <c r="AB808" s="406"/>
      <c r="AC808" s="406"/>
      <c r="AD808" s="406"/>
      <c r="AE808" s="406"/>
    </row>
    <row r="809" spans="1:31" s="130" customFormat="1" ht="15.75" customHeight="1">
      <c r="A809" s="123" t="str">
        <f>IF(B809&lt;&gt;"",IF(AND(B809&gt;=_TM1,B809&lt;=_TM2,OR(TH!L809="1111",TH!M809="1111")),TH!D809,""),"")</f>
        <v/>
      </c>
      <c r="B809" s="12">
        <f t="shared" si="29"/>
        <v>12</v>
      </c>
      <c r="C809" s="108">
        <f t="shared" si="30"/>
        <v>42734</v>
      </c>
      <c r="D809" s="113" t="s">
        <v>954</v>
      </c>
      <c r="E809" s="108">
        <v>42734</v>
      </c>
      <c r="F809" s="112" t="s">
        <v>445</v>
      </c>
      <c r="G809" s="303" t="s">
        <v>941</v>
      </c>
      <c r="H809" s="115" t="s">
        <v>442</v>
      </c>
      <c r="I809" s="139"/>
      <c r="J809" s="139"/>
      <c r="K809" s="410">
        <v>628800</v>
      </c>
      <c r="L809" s="116" t="s">
        <v>9</v>
      </c>
      <c r="M809" s="116" t="s">
        <v>8</v>
      </c>
      <c r="N809" s="22" t="str">
        <f>IF(AND('331-CT'!$E$7=TH!H809,OR(L809="331",M809="331")),"331",IF(AND(OR(L809="131",M809="131"),H809='131-CT'!$E$7),"131",""))</f>
        <v>331</v>
      </c>
      <c r="O809" s="22" t="str">
        <f>IF(AND($B809&gt;='111'!$N$11,$B809&lt;='111'!$O$11,OR($L809=$O$7,$M809=$O$7)),"x","")</f>
        <v/>
      </c>
      <c r="P809" s="22" t="str">
        <f>IF(AND($L809=$O$7,$B809&lt;'111'!$N$11),"x","")</f>
        <v/>
      </c>
      <c r="Q809" s="22" t="str">
        <f>IF(AND($M809=$O$7,$B809&lt;'111'!$N$11),"x","")</f>
        <v/>
      </c>
      <c r="R809" s="22" t="str">
        <f>IF(ISERROR(FIND('112'!$M$9,G809,1)),"",IF((AND(FIND('112'!$M$9,G809,1)&gt;=1,$B809&gt;='112'!$N$8,$B809&lt;='112'!$O$8,OR($L809='112'!$I$6,$M809='112'!$I$6))),"x",""))</f>
        <v/>
      </c>
      <c r="S809" s="22" t="str">
        <f>IF(ISERROR(FIND('112'!$M$9,G809,1)),"",IF((AND(LEFT(G809,2)=LEFT('112'!$M$9,2),B809&lt;'112'!$N$8,$L809='112'!$I$6)),"x",""))</f>
        <v/>
      </c>
      <c r="T809" s="22" t="str">
        <f>IF(ISERROR(FIND('112'!$M$9,G809,1)),"",IF((AND(RIGHT(G809,2)=RIGHT('112'!$M$9,2),B809&lt;'112'!$N$8,$M809='112'!$I$6)),"x",""))</f>
        <v/>
      </c>
      <c r="U809" s="22" t="str">
        <f>IF(AND(B809&gt;='IN-NX'!$P$3,B809&lt;='IN-NX'!$Q$3,'IN-NX'!$D$7=D809,OR(LEFT(L809,2)="15",AND(LEFT(M809,2)&lt;&gt;"15",LEFT(M809,2)&lt;&gt;"33"))),"x","")</f>
        <v/>
      </c>
      <c r="V809" s="22" t="str">
        <f>IF(AND(OR(LEFT(TH!L809,2)="15",LEFT(TH!M809,2)="15"),'152-CT'!$J$8=TH!F809),"x","")</f>
        <v/>
      </c>
      <c r="W809" s="22" t="str">
        <f>IF(AND(OR(LEFT(TH!L809,2)="15",LEFT(TH!M809,2)="15"),TK!$E$7=TH!F809),"x","")</f>
        <v/>
      </c>
      <c r="X809" s="22" t="str">
        <f>IF(OR(TH!L809=TH!$X$7,M809=TH!$X$7),"x","")</f>
        <v/>
      </c>
      <c r="Y809" s="22" t="str">
        <f>IF(AND(B809&lt;=NKC!$N$8,B809&gt;=NKC!$M$8),"x","")</f>
        <v/>
      </c>
      <c r="Z809" s="580">
        <v>4</v>
      </c>
      <c r="AA809" s="406"/>
      <c r="AB809" s="406"/>
      <c r="AC809" s="406"/>
      <c r="AD809" s="406"/>
      <c r="AE809" s="406"/>
    </row>
    <row r="810" spans="1:31" s="130" customFormat="1" ht="15.75" customHeight="1">
      <c r="A810" s="123" t="str">
        <f>IF(B810&lt;&gt;"",IF(AND(B810&gt;=_TM1,B810&lt;=_TM2,OR(TH!L810="1111",TH!M810="1111")),TH!D810,""),"")</f>
        <v>C35</v>
      </c>
      <c r="B810" s="12">
        <f t="shared" si="29"/>
        <v>12</v>
      </c>
      <c r="C810" s="108">
        <f t="shared" si="30"/>
        <v>42734</v>
      </c>
      <c r="D810" s="113" t="s">
        <v>1051</v>
      </c>
      <c r="E810" s="108">
        <v>42734</v>
      </c>
      <c r="F810" s="112" t="s">
        <v>465</v>
      </c>
      <c r="G810" s="303" t="s">
        <v>941</v>
      </c>
      <c r="H810" s="115" t="s">
        <v>442</v>
      </c>
      <c r="I810" s="139"/>
      <c r="J810" s="139"/>
      <c r="K810" s="410">
        <v>6916800</v>
      </c>
      <c r="L810" s="116" t="s">
        <v>8</v>
      </c>
      <c r="M810" s="116" t="s">
        <v>46</v>
      </c>
      <c r="N810" s="22" t="str">
        <f>IF(AND('331-CT'!$E$7=TH!H810,OR(L810="331",M810="331")),"331",IF(AND(OR(L810="131",M810="131"),H810='131-CT'!$E$7),"131",""))</f>
        <v>331</v>
      </c>
      <c r="O810" s="22" t="str">
        <f>IF(AND($B810&gt;='111'!$N$11,$B810&lt;='111'!$O$11,OR($L810=$O$7,$M810=$O$7)),"x","")</f>
        <v>x</v>
      </c>
      <c r="P810" s="22" t="str">
        <f>IF(AND($L810=$O$7,$B810&lt;'111'!$N$11),"x","")</f>
        <v/>
      </c>
      <c r="Q810" s="22" t="str">
        <f>IF(AND($M810=$O$7,$B810&lt;'111'!$N$11),"x","")</f>
        <v/>
      </c>
      <c r="R810" s="22" t="str">
        <f>IF(ISERROR(FIND('112'!$M$9,G810,1)),"",IF((AND(FIND('112'!$M$9,G810,1)&gt;=1,$B810&gt;='112'!$N$8,$B810&lt;='112'!$O$8,OR($L810='112'!$I$6,$M810='112'!$I$6))),"x",""))</f>
        <v/>
      </c>
      <c r="S810" s="22" t="str">
        <f>IF(ISERROR(FIND('112'!$M$9,G810,1)),"",IF((AND(LEFT(G810,2)=LEFT('112'!$M$9,2),B810&lt;'112'!$N$8,$L810='112'!$I$6)),"x",""))</f>
        <v/>
      </c>
      <c r="T810" s="22" t="str">
        <f>IF(ISERROR(FIND('112'!$M$9,G810,1)),"",IF((AND(RIGHT(G810,2)=RIGHT('112'!$M$9,2),B810&lt;'112'!$N$8,$M810='112'!$I$6)),"x",""))</f>
        <v/>
      </c>
      <c r="U810" s="22" t="str">
        <f>IF(AND(B810&gt;='IN-NX'!$P$3,B810&lt;='IN-NX'!$Q$3,'IN-NX'!$D$7=D810,OR(LEFT(L810,2)="15",AND(LEFT(M810,2)&lt;&gt;"15",LEFT(M810,2)&lt;&gt;"33"))),"x","")</f>
        <v/>
      </c>
      <c r="V810" s="22" t="str">
        <f>IF(AND(OR(LEFT(TH!L810,2)="15",LEFT(TH!M810,2)="15"),'152-CT'!$J$8=TH!F810),"x","")</f>
        <v/>
      </c>
      <c r="W810" s="22" t="str">
        <f>IF(AND(OR(LEFT(TH!L810,2)="15",LEFT(TH!M810,2)="15"),TK!$E$7=TH!F810),"x","")</f>
        <v/>
      </c>
      <c r="X810" s="22" t="str">
        <f>IF(OR(TH!L810=TH!$X$7,M810=TH!$X$7),"x","")</f>
        <v/>
      </c>
      <c r="Y810" s="22" t="str">
        <f>IF(AND(B810&lt;=NKC!$N$8,B810&gt;=NKC!$M$8),"x","")</f>
        <v/>
      </c>
      <c r="Z810" s="580"/>
      <c r="AA810" s="406"/>
      <c r="AB810" s="406"/>
      <c r="AC810" s="406"/>
      <c r="AD810" s="406"/>
      <c r="AE810" s="406"/>
    </row>
    <row r="811" spans="1:31" s="130" customFormat="1" ht="15.75" customHeight="1">
      <c r="A811" s="123" t="str">
        <f>IF(B811&lt;&gt;"",IF(AND(B811&gt;=_TM1,B811&lt;=_TM2,OR(TH!L811="1111",TH!M811="1111")),TH!D811,""),"")</f>
        <v/>
      </c>
      <c r="B811" s="12">
        <f t="shared" si="29"/>
        <v>12</v>
      </c>
      <c r="C811" s="108">
        <f t="shared" si="30"/>
        <v>42734</v>
      </c>
      <c r="D811" s="108" t="s">
        <v>469</v>
      </c>
      <c r="E811" s="113">
        <v>42734</v>
      </c>
      <c r="F811" s="112" t="s">
        <v>484</v>
      </c>
      <c r="G811" s="114" t="s">
        <v>474</v>
      </c>
      <c r="H811" s="4" t="s">
        <v>846</v>
      </c>
      <c r="I811" s="139"/>
      <c r="J811" s="141"/>
      <c r="K811" s="13">
        <v>14794287</v>
      </c>
      <c r="L811" s="116" t="s">
        <v>24</v>
      </c>
      <c r="M811" s="411" t="s">
        <v>252</v>
      </c>
      <c r="N811" s="22" t="str">
        <f>IF(AND('331-CT'!$E$7=TH!H811,OR(L811="331",M811="331")),"331",IF(AND(OR(L811="131",M811="131"),H811='131-CT'!$E$7),"131",""))</f>
        <v/>
      </c>
      <c r="O811" s="22" t="str">
        <f>IF(AND($B811&gt;='111'!$N$11,$B811&lt;='111'!$O$11,OR($L811=$O$7,$M811=$O$7)),"x","")</f>
        <v/>
      </c>
      <c r="P811" s="22" t="str">
        <f>IF(AND($L811=$O$7,$B811&lt;'111'!$N$11),"x","")</f>
        <v/>
      </c>
      <c r="Q811" s="22" t="str">
        <f>IF(AND($M811=$O$7,$B811&lt;'111'!$N$11),"x","")</f>
        <v/>
      </c>
      <c r="R811" s="22" t="str">
        <f>IF(ISERROR(FIND('112'!$M$9,G811,1)),"",IF((AND(FIND('112'!$M$9,G811,1)&gt;=1,$B811&gt;='112'!$N$8,$B811&lt;='112'!$O$8,OR($L811='112'!$I$6,$M811='112'!$I$6))),"x",""))</f>
        <v>x</v>
      </c>
      <c r="S811" s="22" t="str">
        <f>IF(ISERROR(FIND('112'!$M$9,G811,1)),"",IF((AND(LEFT(G811,2)=LEFT('112'!$M$9,2),B811&lt;'112'!$N$8,$L811='112'!$I$6)),"x",""))</f>
        <v/>
      </c>
      <c r="T811" s="22" t="str">
        <f>IF(ISERROR(FIND('112'!$M$9,G811,1)),"",IF((AND(RIGHT(G811,2)=RIGHT('112'!$M$9,2),B811&lt;'112'!$N$8,$M811='112'!$I$6)),"x",""))</f>
        <v/>
      </c>
      <c r="U811" s="22" t="str">
        <f>IF(AND(B811&gt;='IN-NX'!$P$3,B811&lt;='IN-NX'!$Q$3,'IN-NX'!$D$7=D811,OR(LEFT(L811,2)="15",AND(LEFT(M811,2)&lt;&gt;"15",LEFT(M811,2)&lt;&gt;"33"))),"x","")</f>
        <v/>
      </c>
      <c r="V811" s="22" t="str">
        <f>IF(AND(OR(LEFT(TH!L811,2)="15",LEFT(TH!M811,2)="15"),'152-CT'!$J$8=TH!F811),"x","")</f>
        <v/>
      </c>
      <c r="W811" s="22" t="str">
        <f>IF(AND(OR(LEFT(TH!L811,2)="15",LEFT(TH!M811,2)="15"),TK!$E$7=TH!F811),"x","")</f>
        <v/>
      </c>
      <c r="X811" s="22" t="str">
        <f>IF(OR(TH!L811=TH!$X$7,M811=TH!$X$7),"x","")</f>
        <v/>
      </c>
      <c r="Y811" s="22" t="str">
        <f>IF(AND(B811&lt;=NKC!$N$8,B811&gt;=NKC!$M$8),"x","")</f>
        <v/>
      </c>
      <c r="Z811" s="580"/>
      <c r="AA811" s="406"/>
      <c r="AB811" s="406"/>
      <c r="AC811" s="406"/>
    </row>
    <row r="812" spans="1:31" s="406" customFormat="1" ht="15.75" customHeight="1">
      <c r="A812" s="123" t="str">
        <f>IF(B812&lt;&gt;"",IF(AND(B812&gt;=_TM1,B812&lt;=_TM2,OR(TH!L812="1111",TH!M812="1111")),TH!D812,""),"")</f>
        <v>T49</v>
      </c>
      <c r="B812" s="12">
        <f t="shared" si="29"/>
        <v>12</v>
      </c>
      <c r="C812" s="108">
        <f t="shared" si="30"/>
        <v>42734</v>
      </c>
      <c r="D812" s="108" t="s">
        <v>1069</v>
      </c>
      <c r="E812" s="113">
        <v>42734</v>
      </c>
      <c r="F812" s="114" t="s">
        <v>485</v>
      </c>
      <c r="G812" s="114" t="s">
        <v>474</v>
      </c>
      <c r="H812" s="115" t="s">
        <v>475</v>
      </c>
      <c r="I812" s="139"/>
      <c r="J812" s="141"/>
      <c r="K812" s="13">
        <v>9500000</v>
      </c>
      <c r="L812" s="116" t="s">
        <v>46</v>
      </c>
      <c r="M812" s="411" t="s">
        <v>24</v>
      </c>
      <c r="N812" s="22" t="str">
        <f>IF(AND('331-CT'!$E$7=TH!H812,OR(L812="331",M812="331")),"331",IF(AND(OR(L812="131",M812="131"),H812='131-CT'!$E$7),"131",""))</f>
        <v/>
      </c>
      <c r="O812" s="22" t="str">
        <f>IF(AND($B812&gt;='111'!$N$11,$B812&lt;='111'!$O$11,OR($L812=$O$7,$M812=$O$7)),"x","")</f>
        <v>x</v>
      </c>
      <c r="P812" s="22" t="str">
        <f>IF(AND($L812=$O$7,$B812&lt;'111'!$N$11),"x","")</f>
        <v/>
      </c>
      <c r="Q812" s="22" t="str">
        <f>IF(AND($M812=$O$7,$B812&lt;'111'!$N$11),"x","")</f>
        <v/>
      </c>
      <c r="R812" s="22" t="str">
        <f>IF(ISERROR(FIND('112'!$M$9,G812,1)),"",IF((AND(FIND('112'!$M$9,G812,1)&gt;=1,$B812&gt;='112'!$N$8,$B812&lt;='112'!$O$8,OR($L812='112'!$I$6,$M812='112'!$I$6))),"x",""))</f>
        <v>x</v>
      </c>
      <c r="S812" s="22" t="str">
        <f>IF(ISERROR(FIND('112'!$M$9,G812,1)),"",IF((AND(LEFT(G812,2)=LEFT('112'!$M$9,2),B812&lt;'112'!$N$8,$L812='112'!$I$6)),"x",""))</f>
        <v/>
      </c>
      <c r="T812" s="22" t="str">
        <f>IF(ISERROR(FIND('112'!$M$9,G812,1)),"",IF((AND(RIGHT(G812,2)=RIGHT('112'!$M$9,2),B812&lt;'112'!$N$8,$M812='112'!$I$6)),"x",""))</f>
        <v/>
      </c>
      <c r="U812" s="22" t="str">
        <f>IF(AND(B812&gt;='IN-NX'!$P$3,B812&lt;='IN-NX'!$Q$3,'IN-NX'!$D$7=D812,OR(LEFT(L812,2)="15",AND(LEFT(M812,2)&lt;&gt;"15",LEFT(M812,2)&lt;&gt;"33"))),"x","")</f>
        <v/>
      </c>
      <c r="V812" s="22" t="str">
        <f>IF(AND(OR(LEFT(TH!L812,2)="15",LEFT(TH!M812,2)="15"),'152-CT'!$J$8=TH!F812),"x","")</f>
        <v/>
      </c>
      <c r="W812" s="22" t="str">
        <f>IF(AND(OR(LEFT(TH!L812,2)="15",LEFT(TH!M812,2)="15"),TK!$E$7=TH!F812),"x","")</f>
        <v/>
      </c>
      <c r="X812" s="22" t="str">
        <f>IF(OR(TH!L812=TH!$X$7,M812=TH!$X$7),"x","")</f>
        <v/>
      </c>
      <c r="Y812" s="22" t="str">
        <f>IF(AND(B812&lt;=NKC!$N$8,B812&gt;=NKC!$M$8),"x","")</f>
        <v/>
      </c>
      <c r="Z812" s="580"/>
      <c r="AD812" s="130"/>
      <c r="AE812" s="130"/>
    </row>
    <row r="813" spans="1:31" s="130" customFormat="1" ht="15.75" customHeight="1">
      <c r="A813" s="123" t="str">
        <f>IF(B813&lt;&gt;"",IF(AND(B813&gt;=_TM1,B813&lt;=_TM2,OR(TH!L813="1111",TH!M813="1111")),TH!D813,""),"")</f>
        <v/>
      </c>
      <c r="B813" s="12">
        <f t="shared" si="29"/>
        <v>12</v>
      </c>
      <c r="C813" s="108">
        <f t="shared" si="30"/>
        <v>42734</v>
      </c>
      <c r="D813" s="108" t="s">
        <v>969</v>
      </c>
      <c r="E813" s="113">
        <v>42734</v>
      </c>
      <c r="F813" s="114" t="s">
        <v>524</v>
      </c>
      <c r="G813" s="303" t="s">
        <v>936</v>
      </c>
      <c r="H813" s="115" t="s">
        <v>616</v>
      </c>
      <c r="I813" s="139">
        <v>525</v>
      </c>
      <c r="J813" s="139">
        <v>11000</v>
      </c>
      <c r="K813" s="13">
        <f>ROUND(I813*J813,0)</f>
        <v>5775000</v>
      </c>
      <c r="L813" s="116" t="s">
        <v>252</v>
      </c>
      <c r="M813" s="411" t="s">
        <v>169</v>
      </c>
      <c r="N813" s="22" t="str">
        <f>IF(AND('331-CT'!$E$7=TH!H813,OR(L813="331",M813="331")),"331",IF(AND(OR(L813="131",M813="131"),H813='131-CT'!$E$7),"131",""))</f>
        <v/>
      </c>
      <c r="O813" s="22" t="str">
        <f>IF(AND($B813&gt;='111'!$N$11,$B813&lt;='111'!$O$11,OR($L813=$O$7,$M813=$O$7)),"x","")</f>
        <v/>
      </c>
      <c r="P813" s="22" t="str">
        <f>IF(AND($L813=$O$7,$B813&lt;'111'!$N$11),"x","")</f>
        <v/>
      </c>
      <c r="Q813" s="22" t="str">
        <f>IF(AND($M813=$O$7,$B813&lt;'111'!$N$11),"x","")</f>
        <v/>
      </c>
      <c r="R813" s="22" t="str">
        <f>IF(ISERROR(FIND('112'!$M$9,G813,1)),"",IF((AND(FIND('112'!$M$9,G813,1)&gt;=1,$B813&gt;='112'!$N$8,$B813&lt;='112'!$O$8,OR($L813='112'!$I$6,$M813='112'!$I$6))),"x",""))</f>
        <v/>
      </c>
      <c r="S813" s="22" t="str">
        <f>IF(ISERROR(FIND('112'!$M$9,G813,1)),"",IF((AND(LEFT(G813,2)=LEFT('112'!$M$9,2),B813&lt;'112'!$N$8,$L813='112'!$I$6)),"x",""))</f>
        <v/>
      </c>
      <c r="T813" s="22" t="str">
        <f>IF(ISERROR(FIND('112'!$M$9,G813,1)),"",IF((AND(RIGHT(G813,2)=RIGHT('112'!$M$9,2),B813&lt;'112'!$N$8,$M813='112'!$I$6)),"x",""))</f>
        <v/>
      </c>
      <c r="U813" s="22" t="str">
        <f>IF(AND(B813&gt;='IN-NX'!$P$3,B813&lt;='IN-NX'!$Q$3,'IN-NX'!$D$7=D813,OR(LEFT(L813,2)="15",AND(LEFT(M813,2)&lt;&gt;"15",LEFT(M813,2)&lt;&gt;"33"))),"x","")</f>
        <v/>
      </c>
      <c r="V813" s="22" t="str">
        <f>IF(AND(OR(LEFT(TH!L813,2)="15",LEFT(TH!M813,2)="15"),'152-CT'!$J$8=TH!F813),"x","")</f>
        <v/>
      </c>
      <c r="W813" s="22" t="str">
        <f>IF(AND(OR(LEFT(TH!L813,2)="15",LEFT(TH!M813,2)="15"),TK!$E$7=TH!F813),"x","")</f>
        <v/>
      </c>
      <c r="X813" s="22" t="str">
        <f>IF(OR(TH!L813=TH!$X$7,M813=TH!$X$7),"x","")</f>
        <v/>
      </c>
      <c r="Y813" s="22" t="str">
        <f>IF(AND(B813&lt;=NKC!$N$8,B813&gt;=NKC!$M$8),"x","")</f>
        <v/>
      </c>
      <c r="Z813" s="580"/>
      <c r="AA813" s="406"/>
      <c r="AB813" s="406"/>
      <c r="AC813" s="406"/>
    </row>
    <row r="814" spans="1:31" s="406" customFormat="1" ht="15.75" customHeight="1">
      <c r="A814" s="123" t="str">
        <f>IF(B814&lt;&gt;"",IF(AND(B814&gt;=_TM1,B814&lt;=_TM2,OR(TH!L814="1111",TH!M814="1111")),TH!D814,""),"")</f>
        <v/>
      </c>
      <c r="B814" s="12">
        <f t="shared" si="29"/>
        <v>12</v>
      </c>
      <c r="C814" s="108">
        <f t="shared" si="30"/>
        <v>42734</v>
      </c>
      <c r="D814" s="108" t="s">
        <v>969</v>
      </c>
      <c r="E814" s="113">
        <v>42734</v>
      </c>
      <c r="F814" s="112" t="s">
        <v>496</v>
      </c>
      <c r="G814" s="303" t="s">
        <v>936</v>
      </c>
      <c r="H814" s="115" t="s">
        <v>616</v>
      </c>
      <c r="I814" s="140"/>
      <c r="J814" s="140"/>
      <c r="K814" s="13">
        <v>577500</v>
      </c>
      <c r="L814" s="116" t="s">
        <v>252</v>
      </c>
      <c r="M814" s="411" t="s">
        <v>352</v>
      </c>
      <c r="N814" s="22" t="str">
        <f>IF(AND('331-CT'!$E$7=TH!H814,OR(L814="331",M814="331")),"331",IF(AND(OR(L814="131",M814="131"),H814='131-CT'!$E$7),"131",""))</f>
        <v/>
      </c>
      <c r="O814" s="22" t="str">
        <f>IF(AND($B814&gt;='111'!$N$11,$B814&lt;='111'!$O$11,OR($L814=$O$7,$M814=$O$7)),"x","")</f>
        <v/>
      </c>
      <c r="P814" s="22" t="str">
        <f>IF(AND($L814=$O$7,$B814&lt;'111'!$N$11),"x","")</f>
        <v/>
      </c>
      <c r="Q814" s="22" t="str">
        <f>IF(AND($M814=$O$7,$B814&lt;'111'!$N$11),"x","")</f>
        <v/>
      </c>
      <c r="R814" s="22" t="str">
        <f>IF(ISERROR(FIND('112'!$M$9,G814,1)),"",IF((AND(FIND('112'!$M$9,G814,1)&gt;=1,$B814&gt;='112'!$N$8,$B814&lt;='112'!$O$8,OR($L814='112'!$I$6,$M814='112'!$I$6))),"x",""))</f>
        <v/>
      </c>
      <c r="S814" s="22" t="str">
        <f>IF(ISERROR(FIND('112'!$M$9,G814,1)),"",IF((AND(LEFT(G814,2)=LEFT('112'!$M$9,2),B814&lt;'112'!$N$8,$L814='112'!$I$6)),"x",""))</f>
        <v/>
      </c>
      <c r="T814" s="22" t="str">
        <f>IF(ISERROR(FIND('112'!$M$9,G814,1)),"",IF((AND(RIGHT(G814,2)=RIGHT('112'!$M$9,2),B814&lt;'112'!$N$8,$M814='112'!$I$6)),"x",""))</f>
        <v/>
      </c>
      <c r="U814" s="22" t="str">
        <f>IF(AND(B814&gt;='IN-NX'!$P$3,B814&lt;='IN-NX'!$Q$3,'IN-NX'!$D$7=D814,OR(LEFT(L814,2)="15",AND(LEFT(M814,2)&lt;&gt;"15",LEFT(M814,2)&lt;&gt;"33"))),"x","")</f>
        <v/>
      </c>
      <c r="V814" s="22" t="str">
        <f>IF(AND(OR(LEFT(TH!L814,2)="15",LEFT(TH!M814,2)="15"),'152-CT'!$J$8=TH!F814),"x","")</f>
        <v/>
      </c>
      <c r="W814" s="22" t="str">
        <f>IF(AND(OR(LEFT(TH!L814,2)="15",LEFT(TH!M814,2)="15"),TK!$E$7=TH!F814),"x","")</f>
        <v/>
      </c>
      <c r="X814" s="22" t="str">
        <f>IF(OR(TH!L814=TH!$X$7,M814=TH!$X$7),"x","")</f>
        <v/>
      </c>
      <c r="Y814" s="22" t="str">
        <f>IF(AND(B814&lt;=NKC!$N$8,B814&gt;=NKC!$M$8),"x","")</f>
        <v/>
      </c>
      <c r="Z814" s="580"/>
      <c r="AD814" s="130"/>
      <c r="AE814" s="130"/>
    </row>
    <row r="815" spans="1:31" s="130" customFormat="1" ht="15.75" customHeight="1">
      <c r="A815" s="123" t="str">
        <f>IF(B815&lt;&gt;"",IF(AND(B815&gt;=_TM1,B815&lt;=_TM2,OR(TH!L815="1111",TH!M815="1111")),TH!D815,""),"")</f>
        <v/>
      </c>
      <c r="B815" s="12">
        <f t="shared" si="29"/>
        <v>12</v>
      </c>
      <c r="C815" s="108">
        <f t="shared" si="30"/>
        <v>42734</v>
      </c>
      <c r="D815" s="108" t="s">
        <v>970</v>
      </c>
      <c r="E815" s="113">
        <v>42734</v>
      </c>
      <c r="F815" s="114" t="s">
        <v>1085</v>
      </c>
      <c r="G815" s="303" t="s">
        <v>1083</v>
      </c>
      <c r="H815" s="4" t="s">
        <v>1084</v>
      </c>
      <c r="I815" s="139">
        <v>7250</v>
      </c>
      <c r="J815" s="139">
        <v>1392</v>
      </c>
      <c r="K815" s="13">
        <f t="shared" ref="K815:K821" si="32">ROUND(I815*J815,0)</f>
        <v>10092000</v>
      </c>
      <c r="L815" s="116" t="s">
        <v>252</v>
      </c>
      <c r="M815" s="411" t="s">
        <v>169</v>
      </c>
      <c r="N815" s="22" t="str">
        <f>IF(AND('331-CT'!$E$7=TH!H815,OR(L815="331",M815="331")),"331",IF(AND(OR(L815="131",M815="131"),H815='131-CT'!$E$7),"131",""))</f>
        <v/>
      </c>
      <c r="O815" s="22" t="str">
        <f>IF(AND($B815&gt;='111'!$N$11,$B815&lt;='111'!$O$11,OR($L815=$O$7,$M815=$O$7)),"x","")</f>
        <v/>
      </c>
      <c r="P815" s="22" t="str">
        <f>IF(AND($L815=$O$7,$B815&lt;'111'!$N$11),"x","")</f>
        <v/>
      </c>
      <c r="Q815" s="22" t="str">
        <f>IF(AND($M815=$O$7,$B815&lt;'111'!$N$11),"x","")</f>
        <v/>
      </c>
      <c r="R815" s="22" t="str">
        <f>IF(ISERROR(FIND('112'!$M$9,G815,1)),"",IF((AND(FIND('112'!$M$9,G815,1)&gt;=1,$B815&gt;='112'!$N$8,$B815&lt;='112'!$O$8,OR($L815='112'!$I$6,$M815='112'!$I$6))),"x",""))</f>
        <v/>
      </c>
      <c r="S815" s="22" t="str">
        <f>IF(ISERROR(FIND('112'!$M$9,G815,1)),"",IF((AND(LEFT(G815,2)=LEFT('112'!$M$9,2),B815&lt;'112'!$N$8,$L815='112'!$I$6)),"x",""))</f>
        <v/>
      </c>
      <c r="T815" s="22" t="str">
        <f>IF(ISERROR(FIND('112'!$M$9,G815,1)),"",IF((AND(RIGHT(G815,2)=RIGHT('112'!$M$9,2),B815&lt;'112'!$N$8,$M815='112'!$I$6)),"x",""))</f>
        <v/>
      </c>
      <c r="U815" s="22" t="str">
        <f>IF(AND(B815&gt;='IN-NX'!$P$3,B815&lt;='IN-NX'!$Q$3,'IN-NX'!$D$7=D815,OR(LEFT(L815,2)="15",AND(LEFT(M815,2)&lt;&gt;"15",LEFT(M815,2)&lt;&gt;"33"))),"x","")</f>
        <v/>
      </c>
      <c r="V815" s="22" t="str">
        <f>IF(AND(OR(LEFT(TH!L815,2)="15",LEFT(TH!M815,2)="15"),'152-CT'!$J$8=TH!F815),"x","")</f>
        <v/>
      </c>
      <c r="W815" s="22" t="str">
        <f>IF(AND(OR(LEFT(TH!L815,2)="15",LEFT(TH!M815,2)="15"),TK!$E$7=TH!F815),"x","")</f>
        <v/>
      </c>
      <c r="X815" s="22" t="str">
        <f>IF(OR(TH!L815=TH!$X$7,M815=TH!$X$7),"x","")</f>
        <v/>
      </c>
      <c r="Y815" s="22" t="str">
        <f>IF(AND(B815&lt;=NKC!$N$8,B815&gt;=NKC!$M$8),"x","")</f>
        <v/>
      </c>
      <c r="Z815" s="580"/>
      <c r="AA815" s="406"/>
      <c r="AB815" s="406"/>
      <c r="AC815" s="406"/>
    </row>
    <row r="816" spans="1:31" s="130" customFormat="1" ht="15.75" customHeight="1">
      <c r="A816" s="123" t="str">
        <f>IF(B816&lt;&gt;"",IF(AND(B816&gt;=_TM1,B816&lt;=_TM2,OR(TH!L816="1111",TH!M816="1111")),TH!D816,""),"")</f>
        <v/>
      </c>
      <c r="B816" s="12">
        <f t="shared" si="29"/>
        <v>12</v>
      </c>
      <c r="C816" s="108">
        <f t="shared" si="30"/>
        <v>42734</v>
      </c>
      <c r="D816" s="108" t="s">
        <v>970</v>
      </c>
      <c r="E816" s="113">
        <v>42734</v>
      </c>
      <c r="F816" s="114" t="s">
        <v>1086</v>
      </c>
      <c r="G816" s="303" t="s">
        <v>1083</v>
      </c>
      <c r="H816" s="4" t="s">
        <v>1084</v>
      </c>
      <c r="I816" s="139">
        <v>9730</v>
      </c>
      <c r="J816" s="139">
        <v>1102</v>
      </c>
      <c r="K816" s="13">
        <f t="shared" si="32"/>
        <v>10722460</v>
      </c>
      <c r="L816" s="116" t="s">
        <v>252</v>
      </c>
      <c r="M816" s="411" t="s">
        <v>169</v>
      </c>
      <c r="N816" s="22" t="str">
        <f>IF(AND('331-CT'!$E$7=TH!H816,OR(L816="331",M816="331")),"331",IF(AND(OR(L816="131",M816="131"),H816='131-CT'!$E$7),"131",""))</f>
        <v/>
      </c>
      <c r="O816" s="22" t="str">
        <f>IF(AND($B816&gt;='111'!$N$11,$B816&lt;='111'!$O$11,OR($L816=$O$7,$M816=$O$7)),"x","")</f>
        <v/>
      </c>
      <c r="P816" s="22" t="str">
        <f>IF(AND($L816=$O$7,$B816&lt;'111'!$N$11),"x","")</f>
        <v/>
      </c>
      <c r="Q816" s="22" t="str">
        <f>IF(AND($M816=$O$7,$B816&lt;'111'!$N$11),"x","")</f>
        <v/>
      </c>
      <c r="R816" s="22" t="str">
        <f>IF(ISERROR(FIND('112'!$M$9,G816,1)),"",IF((AND(FIND('112'!$M$9,G816,1)&gt;=1,$B816&gt;='112'!$N$8,$B816&lt;='112'!$O$8,OR($L816='112'!$I$6,$M816='112'!$I$6))),"x",""))</f>
        <v/>
      </c>
      <c r="S816" s="22" t="str">
        <f>IF(ISERROR(FIND('112'!$M$9,G816,1)),"",IF((AND(LEFT(G816,2)=LEFT('112'!$M$9,2),B816&lt;'112'!$N$8,$L816='112'!$I$6)),"x",""))</f>
        <v/>
      </c>
      <c r="T816" s="22" t="str">
        <f>IF(ISERROR(FIND('112'!$M$9,G816,1)),"",IF((AND(RIGHT(G816,2)=RIGHT('112'!$M$9,2),B816&lt;'112'!$N$8,$M816='112'!$I$6)),"x",""))</f>
        <v/>
      </c>
      <c r="U816" s="22" t="str">
        <f>IF(AND(B816&gt;='IN-NX'!$P$3,B816&lt;='IN-NX'!$Q$3,'IN-NX'!$D$7=D816,OR(LEFT(L816,2)="15",AND(LEFT(M816,2)&lt;&gt;"15",LEFT(M816,2)&lt;&gt;"33"))),"x","")</f>
        <v/>
      </c>
      <c r="V816" s="22" t="str">
        <f>IF(AND(OR(LEFT(TH!L816,2)="15",LEFT(TH!M816,2)="15"),'152-CT'!$J$8=TH!F816),"x","")</f>
        <v/>
      </c>
      <c r="W816" s="22" t="str">
        <f>IF(AND(OR(LEFT(TH!L816,2)="15",LEFT(TH!M816,2)="15"),TK!$E$7=TH!F816),"x","")</f>
        <v/>
      </c>
      <c r="X816" s="22" t="str">
        <f>IF(OR(TH!L816=TH!$X$7,M816=TH!$X$7),"x","")</f>
        <v/>
      </c>
      <c r="Y816" s="22" t="str">
        <f>IF(AND(B816&lt;=NKC!$N$8,B816&gt;=NKC!$M$8),"x","")</f>
        <v/>
      </c>
      <c r="Z816" s="580"/>
      <c r="AA816" s="406"/>
      <c r="AB816" s="406"/>
      <c r="AC816" s="406"/>
    </row>
    <row r="817" spans="1:31" s="130" customFormat="1" ht="15.75" customHeight="1">
      <c r="A817" s="123" t="str">
        <f>IF(B817&lt;&gt;"",IF(AND(B817&gt;=_TM1,B817&lt;=_TM2,OR(TH!L817="1111",TH!M817="1111")),TH!D817,""),"")</f>
        <v/>
      </c>
      <c r="B817" s="12">
        <f t="shared" si="29"/>
        <v>12</v>
      </c>
      <c r="C817" s="108">
        <f t="shared" si="30"/>
        <v>42734</v>
      </c>
      <c r="D817" s="108" t="s">
        <v>970</v>
      </c>
      <c r="E817" s="113">
        <v>42734</v>
      </c>
      <c r="F817" s="114" t="s">
        <v>1087</v>
      </c>
      <c r="G817" s="303" t="s">
        <v>1083</v>
      </c>
      <c r="H817" s="4" t="s">
        <v>1084</v>
      </c>
      <c r="I817" s="139">
        <v>375</v>
      </c>
      <c r="J817" s="139">
        <v>5348</v>
      </c>
      <c r="K817" s="13">
        <f t="shared" si="32"/>
        <v>2005500</v>
      </c>
      <c r="L817" s="116" t="s">
        <v>252</v>
      </c>
      <c r="M817" s="411" t="s">
        <v>169</v>
      </c>
      <c r="N817" s="22" t="str">
        <f>IF(AND('331-CT'!$E$7=TH!H817,OR(L817="331",M817="331")),"331",IF(AND(OR(L817="131",M817="131"),H817='131-CT'!$E$7),"131",""))</f>
        <v/>
      </c>
      <c r="O817" s="22" t="str">
        <f>IF(AND($B817&gt;='111'!$N$11,$B817&lt;='111'!$O$11,OR($L817=$O$7,$M817=$O$7)),"x","")</f>
        <v/>
      </c>
      <c r="P817" s="22" t="str">
        <f>IF(AND($L817=$O$7,$B817&lt;'111'!$N$11),"x","")</f>
        <v/>
      </c>
      <c r="Q817" s="22" t="str">
        <f>IF(AND($M817=$O$7,$B817&lt;'111'!$N$11),"x","")</f>
        <v/>
      </c>
      <c r="R817" s="22" t="str">
        <f>IF(ISERROR(FIND('112'!$M$9,G817,1)),"",IF((AND(FIND('112'!$M$9,G817,1)&gt;=1,$B817&gt;='112'!$N$8,$B817&lt;='112'!$O$8,OR($L817='112'!$I$6,$M817='112'!$I$6))),"x",""))</f>
        <v/>
      </c>
      <c r="S817" s="22" t="str">
        <f>IF(ISERROR(FIND('112'!$M$9,G817,1)),"",IF((AND(LEFT(G817,2)=LEFT('112'!$M$9,2),B817&lt;'112'!$N$8,$L817='112'!$I$6)),"x",""))</f>
        <v/>
      </c>
      <c r="T817" s="22" t="str">
        <f>IF(ISERROR(FIND('112'!$M$9,G817,1)),"",IF((AND(RIGHT(G817,2)=RIGHT('112'!$M$9,2),B817&lt;'112'!$N$8,$M817='112'!$I$6)),"x",""))</f>
        <v/>
      </c>
      <c r="U817" s="22" t="str">
        <f>IF(AND(B817&gt;='IN-NX'!$P$3,B817&lt;='IN-NX'!$Q$3,'IN-NX'!$D$7=D817,OR(LEFT(L817,2)="15",AND(LEFT(M817,2)&lt;&gt;"15",LEFT(M817,2)&lt;&gt;"33"))),"x","")</f>
        <v/>
      </c>
      <c r="V817" s="22" t="str">
        <f>IF(AND(OR(LEFT(TH!L817,2)="15",LEFT(TH!M817,2)="15"),'152-CT'!$J$8=TH!F817),"x","")</f>
        <v/>
      </c>
      <c r="W817" s="22" t="str">
        <f>IF(AND(OR(LEFT(TH!L817,2)="15",LEFT(TH!M817,2)="15"),TK!$E$7=TH!F817),"x","")</f>
        <v/>
      </c>
      <c r="X817" s="22" t="str">
        <f>IF(OR(TH!L817=TH!$X$7,M817=TH!$X$7),"x","")</f>
        <v/>
      </c>
      <c r="Y817" s="22" t="str">
        <f>IF(AND(B817&lt;=NKC!$N$8,B817&gt;=NKC!$M$8),"x","")</f>
        <v/>
      </c>
      <c r="Z817" s="580"/>
      <c r="AA817" s="406"/>
      <c r="AB817" s="406"/>
      <c r="AC817" s="406"/>
    </row>
    <row r="818" spans="1:31" s="130" customFormat="1" ht="15.75" customHeight="1">
      <c r="A818" s="123" t="str">
        <f>IF(B818&lt;&gt;"",IF(AND(B818&gt;=_TM1,B818&lt;=_TM2,OR(TH!L818="1111",TH!M818="1111")),TH!D818,""),"")</f>
        <v/>
      </c>
      <c r="B818" s="12">
        <f t="shared" si="29"/>
        <v>12</v>
      </c>
      <c r="C818" s="108">
        <f t="shared" si="30"/>
        <v>42734</v>
      </c>
      <c r="D818" s="108" t="s">
        <v>970</v>
      </c>
      <c r="E818" s="113">
        <v>42734</v>
      </c>
      <c r="F818" s="114" t="s">
        <v>1088</v>
      </c>
      <c r="G818" s="303" t="s">
        <v>1083</v>
      </c>
      <c r="H818" s="4" t="s">
        <v>1084</v>
      </c>
      <c r="I818" s="139">
        <v>500</v>
      </c>
      <c r="J818" s="139">
        <v>14400</v>
      </c>
      <c r="K818" s="13">
        <f t="shared" si="32"/>
        <v>7200000</v>
      </c>
      <c r="L818" s="116" t="s">
        <v>252</v>
      </c>
      <c r="M818" s="411" t="s">
        <v>169</v>
      </c>
      <c r="N818" s="22" t="str">
        <f>IF(AND('331-CT'!$E$7=TH!H818,OR(L818="331",M818="331")),"331",IF(AND(OR(L818="131",M818="131"),H818='131-CT'!$E$7),"131",""))</f>
        <v/>
      </c>
      <c r="O818" s="22" t="str">
        <f>IF(AND($B818&gt;='111'!$N$11,$B818&lt;='111'!$O$11,OR($L818=$O$7,$M818=$O$7)),"x","")</f>
        <v/>
      </c>
      <c r="P818" s="22" t="str">
        <f>IF(AND($L818=$O$7,$B818&lt;'111'!$N$11),"x","")</f>
        <v/>
      </c>
      <c r="Q818" s="22" t="str">
        <f>IF(AND($M818=$O$7,$B818&lt;'111'!$N$11),"x","")</f>
        <v/>
      </c>
      <c r="R818" s="22" t="str">
        <f>IF(ISERROR(FIND('112'!$M$9,G818,1)),"",IF((AND(FIND('112'!$M$9,G818,1)&gt;=1,$B818&gt;='112'!$N$8,$B818&lt;='112'!$O$8,OR($L818='112'!$I$6,$M818='112'!$I$6))),"x",""))</f>
        <v/>
      </c>
      <c r="S818" s="22" t="str">
        <f>IF(ISERROR(FIND('112'!$M$9,G818,1)),"",IF((AND(LEFT(G818,2)=LEFT('112'!$M$9,2),B818&lt;'112'!$N$8,$L818='112'!$I$6)),"x",""))</f>
        <v/>
      </c>
      <c r="T818" s="22" t="str">
        <f>IF(ISERROR(FIND('112'!$M$9,G818,1)),"",IF((AND(RIGHT(G818,2)=RIGHT('112'!$M$9,2),B818&lt;'112'!$N$8,$M818='112'!$I$6)),"x",""))</f>
        <v/>
      </c>
      <c r="U818" s="22" t="str">
        <f>IF(AND(B818&gt;='IN-NX'!$P$3,B818&lt;='IN-NX'!$Q$3,'IN-NX'!$D$7=D818,OR(LEFT(L818,2)="15",AND(LEFT(M818,2)&lt;&gt;"15",LEFT(M818,2)&lt;&gt;"33"))),"x","")</f>
        <v/>
      </c>
      <c r="V818" s="22" t="str">
        <f>IF(AND(OR(LEFT(TH!L818,2)="15",LEFT(TH!M818,2)="15"),'152-CT'!$J$8=TH!F818),"x","")</f>
        <v/>
      </c>
      <c r="W818" s="22" t="str">
        <f>IF(AND(OR(LEFT(TH!L818,2)="15",LEFT(TH!M818,2)="15"),TK!$E$7=TH!F818),"x","")</f>
        <v/>
      </c>
      <c r="X818" s="22" t="str">
        <f>IF(OR(TH!L818=TH!$X$7,M818=TH!$X$7),"x","")</f>
        <v/>
      </c>
      <c r="Y818" s="22" t="str">
        <f>IF(AND(B818&lt;=NKC!$N$8,B818&gt;=NKC!$M$8),"x","")</f>
        <v/>
      </c>
      <c r="Z818" s="580"/>
      <c r="AA818" s="406"/>
      <c r="AB818" s="406"/>
      <c r="AC818" s="406"/>
    </row>
    <row r="819" spans="1:31" s="130" customFormat="1" ht="15.75" customHeight="1">
      <c r="A819" s="123" t="str">
        <f>IF(B819&lt;&gt;"",IF(AND(B819&gt;=_TM1,B819&lt;=_TM2,OR(TH!L819="1111",TH!M819="1111")),TH!D819,""),"")</f>
        <v/>
      </c>
      <c r="B819" s="12">
        <f t="shared" si="29"/>
        <v>12</v>
      </c>
      <c r="C819" s="108">
        <f t="shared" si="30"/>
        <v>42734</v>
      </c>
      <c r="D819" s="108" t="s">
        <v>970</v>
      </c>
      <c r="E819" s="113">
        <v>42734</v>
      </c>
      <c r="F819" s="114" t="s">
        <v>1089</v>
      </c>
      <c r="G819" s="303" t="s">
        <v>1083</v>
      </c>
      <c r="H819" s="4" t="s">
        <v>1084</v>
      </c>
      <c r="I819" s="139">
        <v>2375</v>
      </c>
      <c r="J819" s="139">
        <v>820</v>
      </c>
      <c r="K819" s="13">
        <f t="shared" si="32"/>
        <v>1947500</v>
      </c>
      <c r="L819" s="116" t="s">
        <v>252</v>
      </c>
      <c r="M819" s="411" t="s">
        <v>169</v>
      </c>
      <c r="N819" s="22" t="str">
        <f>IF(AND('331-CT'!$E$7=TH!H819,OR(L819="331",M819="331")),"331",IF(AND(OR(L819="131",M819="131"),H819='131-CT'!$E$7),"131",""))</f>
        <v/>
      </c>
      <c r="O819" s="22" t="str">
        <f>IF(AND($B819&gt;='111'!$N$11,$B819&lt;='111'!$O$11,OR($L819=$O$7,$M819=$O$7)),"x","")</f>
        <v/>
      </c>
      <c r="P819" s="22" t="str">
        <f>IF(AND($L819=$O$7,$B819&lt;'111'!$N$11),"x","")</f>
        <v/>
      </c>
      <c r="Q819" s="22" t="str">
        <f>IF(AND($M819=$O$7,$B819&lt;'111'!$N$11),"x","")</f>
        <v/>
      </c>
      <c r="R819" s="22" t="str">
        <f>IF(ISERROR(FIND('112'!$M$9,G819,1)),"",IF((AND(FIND('112'!$M$9,G819,1)&gt;=1,$B819&gt;='112'!$N$8,$B819&lt;='112'!$O$8,OR($L819='112'!$I$6,$M819='112'!$I$6))),"x",""))</f>
        <v/>
      </c>
      <c r="S819" s="22" t="str">
        <f>IF(ISERROR(FIND('112'!$M$9,G819,1)),"",IF((AND(LEFT(G819,2)=LEFT('112'!$M$9,2),B819&lt;'112'!$N$8,$L819='112'!$I$6)),"x",""))</f>
        <v/>
      </c>
      <c r="T819" s="22" t="str">
        <f>IF(ISERROR(FIND('112'!$M$9,G819,1)),"",IF((AND(RIGHT(G819,2)=RIGHT('112'!$M$9,2),B819&lt;'112'!$N$8,$M819='112'!$I$6)),"x",""))</f>
        <v/>
      </c>
      <c r="U819" s="22" t="str">
        <f>IF(AND(B819&gt;='IN-NX'!$P$3,B819&lt;='IN-NX'!$Q$3,'IN-NX'!$D$7=D819,OR(LEFT(L819,2)="15",AND(LEFT(M819,2)&lt;&gt;"15",LEFT(M819,2)&lt;&gt;"33"))),"x","")</f>
        <v/>
      </c>
      <c r="V819" s="22" t="str">
        <f>IF(AND(OR(LEFT(TH!L819,2)="15",LEFT(TH!M819,2)="15"),'152-CT'!$J$8=TH!F819),"x","")</f>
        <v/>
      </c>
      <c r="W819" s="22" t="str">
        <f>IF(AND(OR(LEFT(TH!L819,2)="15",LEFT(TH!M819,2)="15"),TK!$E$7=TH!F819),"x","")</f>
        <v/>
      </c>
      <c r="X819" s="22" t="str">
        <f>IF(OR(TH!L819=TH!$X$7,M819=TH!$X$7),"x","")</f>
        <v/>
      </c>
      <c r="Y819" s="22" t="str">
        <f>IF(AND(B819&lt;=NKC!$N$8,B819&gt;=NKC!$M$8),"x","")</f>
        <v/>
      </c>
      <c r="Z819" s="580"/>
      <c r="AA819" s="406"/>
      <c r="AB819" s="406"/>
      <c r="AC819" s="406"/>
    </row>
    <row r="820" spans="1:31" s="130" customFormat="1" ht="15.75" customHeight="1">
      <c r="A820" s="123" t="str">
        <f>IF(B820&lt;&gt;"",IF(AND(B820&gt;=_TM1,B820&lt;=_TM2,OR(TH!L820="1111",TH!M820="1111")),TH!D820,""),"")</f>
        <v/>
      </c>
      <c r="B820" s="12">
        <f t="shared" si="29"/>
        <v>12</v>
      </c>
      <c r="C820" s="108">
        <f t="shared" si="30"/>
        <v>42734</v>
      </c>
      <c r="D820" s="108" t="s">
        <v>970</v>
      </c>
      <c r="E820" s="113">
        <v>42734</v>
      </c>
      <c r="F820" s="114" t="s">
        <v>1090</v>
      </c>
      <c r="G820" s="303" t="s">
        <v>1083</v>
      </c>
      <c r="H820" s="4" t="s">
        <v>1084</v>
      </c>
      <c r="I820" s="139">
        <v>200</v>
      </c>
      <c r="J820" s="139">
        <v>1804</v>
      </c>
      <c r="K820" s="13">
        <f t="shared" si="32"/>
        <v>360800</v>
      </c>
      <c r="L820" s="116" t="s">
        <v>252</v>
      </c>
      <c r="M820" s="411" t="s">
        <v>169</v>
      </c>
      <c r="N820" s="22" t="str">
        <f>IF(AND('331-CT'!$E$7=TH!H820,OR(L820="331",M820="331")),"331",IF(AND(OR(L820="131",M820="131"),H820='131-CT'!$E$7),"131",""))</f>
        <v/>
      </c>
      <c r="O820" s="22" t="str">
        <f>IF(AND($B820&gt;='111'!$N$11,$B820&lt;='111'!$O$11,OR($L820=$O$7,$M820=$O$7)),"x","")</f>
        <v/>
      </c>
      <c r="P820" s="22" t="str">
        <f>IF(AND($L820=$O$7,$B820&lt;'111'!$N$11),"x","")</f>
        <v/>
      </c>
      <c r="Q820" s="22" t="str">
        <f>IF(AND($M820=$O$7,$B820&lt;'111'!$N$11),"x","")</f>
        <v/>
      </c>
      <c r="R820" s="22" t="str">
        <f>IF(ISERROR(FIND('112'!$M$9,G820,1)),"",IF((AND(FIND('112'!$M$9,G820,1)&gt;=1,$B820&gt;='112'!$N$8,$B820&lt;='112'!$O$8,OR($L820='112'!$I$6,$M820='112'!$I$6))),"x",""))</f>
        <v/>
      </c>
      <c r="S820" s="22" t="str">
        <f>IF(ISERROR(FIND('112'!$M$9,G820,1)),"",IF((AND(LEFT(G820,2)=LEFT('112'!$M$9,2),B820&lt;'112'!$N$8,$L820='112'!$I$6)),"x",""))</f>
        <v/>
      </c>
      <c r="T820" s="22" t="str">
        <f>IF(ISERROR(FIND('112'!$M$9,G820,1)),"",IF((AND(RIGHT(G820,2)=RIGHT('112'!$M$9,2),B820&lt;'112'!$N$8,$M820='112'!$I$6)),"x",""))</f>
        <v/>
      </c>
      <c r="U820" s="22" t="str">
        <f>IF(AND(B820&gt;='IN-NX'!$P$3,B820&lt;='IN-NX'!$Q$3,'IN-NX'!$D$7=D820,OR(LEFT(L820,2)="15",AND(LEFT(M820,2)&lt;&gt;"15",LEFT(M820,2)&lt;&gt;"33"))),"x","")</f>
        <v/>
      </c>
      <c r="V820" s="22" t="str">
        <f>IF(AND(OR(LEFT(TH!L820,2)="15",LEFT(TH!M820,2)="15"),'152-CT'!$J$8=TH!F820),"x","")</f>
        <v/>
      </c>
      <c r="W820" s="22" t="str">
        <f>IF(AND(OR(LEFT(TH!L820,2)="15",LEFT(TH!M820,2)="15"),TK!$E$7=TH!F820),"x","")</f>
        <v/>
      </c>
      <c r="X820" s="22" t="str">
        <f>IF(OR(TH!L820=TH!$X$7,M820=TH!$X$7),"x","")</f>
        <v/>
      </c>
      <c r="Y820" s="22" t="str">
        <f>IF(AND(B820&lt;=NKC!$N$8,B820&gt;=NKC!$M$8),"x","")</f>
        <v/>
      </c>
      <c r="Z820" s="580"/>
      <c r="AA820" s="406"/>
      <c r="AB820" s="406"/>
      <c r="AC820" s="406"/>
    </row>
    <row r="821" spans="1:31" s="130" customFormat="1" ht="15.75" customHeight="1">
      <c r="A821" s="123" t="str">
        <f>IF(B821&lt;&gt;"",IF(AND(B821&gt;=_TM1,B821&lt;=_TM2,OR(TH!L821="1111",TH!M821="1111")),TH!D821,""),"")</f>
        <v/>
      </c>
      <c r="B821" s="12">
        <f t="shared" si="29"/>
        <v>12</v>
      </c>
      <c r="C821" s="108">
        <f t="shared" si="30"/>
        <v>42734</v>
      </c>
      <c r="D821" s="108" t="s">
        <v>970</v>
      </c>
      <c r="E821" s="113">
        <v>42734</v>
      </c>
      <c r="F821" s="114" t="s">
        <v>1091</v>
      </c>
      <c r="G821" s="303" t="s">
        <v>1083</v>
      </c>
      <c r="H821" s="4" t="s">
        <v>1084</v>
      </c>
      <c r="I821" s="139">
        <v>2000</v>
      </c>
      <c r="J821" s="139">
        <v>705</v>
      </c>
      <c r="K821" s="13">
        <f t="shared" si="32"/>
        <v>1410000</v>
      </c>
      <c r="L821" s="116" t="s">
        <v>252</v>
      </c>
      <c r="M821" s="411" t="s">
        <v>169</v>
      </c>
      <c r="N821" s="22" t="str">
        <f>IF(AND('331-CT'!$E$7=TH!H821,OR(L821="331",M821="331")),"331",IF(AND(OR(L821="131",M821="131"),H821='131-CT'!$E$7),"131",""))</f>
        <v/>
      </c>
      <c r="O821" s="22" t="str">
        <f>IF(AND($B821&gt;='111'!$N$11,$B821&lt;='111'!$O$11,OR($L821=$O$7,$M821=$O$7)),"x","")</f>
        <v/>
      </c>
      <c r="P821" s="22" t="str">
        <f>IF(AND($L821=$O$7,$B821&lt;'111'!$N$11),"x","")</f>
        <v/>
      </c>
      <c r="Q821" s="22" t="str">
        <f>IF(AND($M821=$O$7,$B821&lt;'111'!$N$11),"x","")</f>
        <v/>
      </c>
      <c r="R821" s="22" t="str">
        <f>IF(ISERROR(FIND('112'!$M$9,G821,1)),"",IF((AND(FIND('112'!$M$9,G821,1)&gt;=1,$B821&gt;='112'!$N$8,$B821&lt;='112'!$O$8,OR($L821='112'!$I$6,$M821='112'!$I$6))),"x",""))</f>
        <v/>
      </c>
      <c r="S821" s="22" t="str">
        <f>IF(ISERROR(FIND('112'!$M$9,G821,1)),"",IF((AND(LEFT(G821,2)=LEFT('112'!$M$9,2),B821&lt;'112'!$N$8,$L821='112'!$I$6)),"x",""))</f>
        <v/>
      </c>
      <c r="T821" s="22" t="str">
        <f>IF(ISERROR(FIND('112'!$M$9,G821,1)),"",IF((AND(RIGHT(G821,2)=RIGHT('112'!$M$9,2),B821&lt;'112'!$N$8,$M821='112'!$I$6)),"x",""))</f>
        <v/>
      </c>
      <c r="U821" s="22" t="str">
        <f>IF(AND(B821&gt;='IN-NX'!$P$3,B821&lt;='IN-NX'!$Q$3,'IN-NX'!$D$7=D821,OR(LEFT(L821,2)="15",AND(LEFT(M821,2)&lt;&gt;"15",LEFT(M821,2)&lt;&gt;"33"))),"x","")</f>
        <v/>
      </c>
      <c r="V821" s="22" t="str">
        <f>IF(AND(OR(LEFT(TH!L821,2)="15",LEFT(TH!M821,2)="15"),'152-CT'!$J$8=TH!F821),"x","")</f>
        <v/>
      </c>
      <c r="W821" s="22" t="str">
        <f>IF(AND(OR(LEFT(TH!L821,2)="15",LEFT(TH!M821,2)="15"),TK!$E$7=TH!F821),"x","")</f>
        <v/>
      </c>
      <c r="X821" s="22" t="str">
        <f>IF(OR(TH!L821=TH!$X$7,M821=TH!$X$7),"x","")</f>
        <v/>
      </c>
      <c r="Y821" s="22" t="str">
        <f>IF(AND(B821&lt;=NKC!$N$8,B821&gt;=NKC!$M$8),"x","")</f>
        <v/>
      </c>
      <c r="Z821" s="580"/>
      <c r="AA821" s="406"/>
      <c r="AB821" s="406"/>
      <c r="AC821" s="406"/>
    </row>
    <row r="822" spans="1:31" s="406" customFormat="1" ht="15.75" customHeight="1">
      <c r="A822" s="123" t="str">
        <f>IF(B822&lt;&gt;"",IF(AND(B822&gt;=_TM1,B822&lt;=_TM2,OR(TH!L822="1111",TH!M822="1111")),TH!D822,""),"")</f>
        <v/>
      </c>
      <c r="B822" s="12">
        <f t="shared" si="29"/>
        <v>12</v>
      </c>
      <c r="C822" s="108">
        <f t="shared" si="30"/>
        <v>42734</v>
      </c>
      <c r="D822" s="108" t="s">
        <v>970</v>
      </c>
      <c r="E822" s="113">
        <v>42734</v>
      </c>
      <c r="F822" s="112" t="s">
        <v>496</v>
      </c>
      <c r="G822" s="303" t="s">
        <v>1083</v>
      </c>
      <c r="H822" s="4" t="s">
        <v>1084</v>
      </c>
      <c r="I822" s="140"/>
      <c r="J822" s="140"/>
      <c r="K822" s="13">
        <v>3373826</v>
      </c>
      <c r="L822" s="116" t="s">
        <v>252</v>
      </c>
      <c r="M822" s="411" t="s">
        <v>352</v>
      </c>
      <c r="N822" s="22" t="str">
        <f>IF(AND('331-CT'!$E$7=TH!H822,OR(L822="331",M822="331")),"331",IF(AND(OR(L822="131",M822="131"),H822='131-CT'!$E$7),"131",""))</f>
        <v/>
      </c>
      <c r="O822" s="22" t="str">
        <f>IF(AND($B822&gt;='111'!$N$11,$B822&lt;='111'!$O$11,OR($L822=$O$7,$M822=$O$7)),"x","")</f>
        <v/>
      </c>
      <c r="P822" s="22" t="str">
        <f>IF(AND($L822=$O$7,$B822&lt;'111'!$N$11),"x","")</f>
        <v/>
      </c>
      <c r="Q822" s="22" t="str">
        <f>IF(AND($M822=$O$7,$B822&lt;'111'!$N$11),"x","")</f>
        <v/>
      </c>
      <c r="R822" s="22" t="str">
        <f>IF(ISERROR(FIND('112'!$M$9,G822,1)),"",IF((AND(FIND('112'!$M$9,G822,1)&gt;=1,$B822&gt;='112'!$N$8,$B822&lt;='112'!$O$8,OR($L822='112'!$I$6,$M822='112'!$I$6))),"x",""))</f>
        <v/>
      </c>
      <c r="S822" s="22" t="str">
        <f>IF(ISERROR(FIND('112'!$M$9,G822,1)),"",IF((AND(LEFT(G822,2)=LEFT('112'!$M$9,2),B822&lt;'112'!$N$8,$L822='112'!$I$6)),"x",""))</f>
        <v/>
      </c>
      <c r="T822" s="22" t="str">
        <f>IF(ISERROR(FIND('112'!$M$9,G822,1)),"",IF((AND(RIGHT(G822,2)=RIGHT('112'!$M$9,2),B822&lt;'112'!$N$8,$M822='112'!$I$6)),"x",""))</f>
        <v/>
      </c>
      <c r="U822" s="22" t="str">
        <f>IF(AND(B822&gt;='IN-NX'!$P$3,B822&lt;='IN-NX'!$Q$3,'IN-NX'!$D$7=D822,OR(LEFT(L822,2)="15",AND(LEFT(M822,2)&lt;&gt;"15",LEFT(M822,2)&lt;&gt;"33"))),"x","")</f>
        <v/>
      </c>
      <c r="V822" s="22" t="str">
        <f>IF(AND(OR(LEFT(TH!L822,2)="15",LEFT(TH!M822,2)="15"),'152-CT'!$J$8=TH!F822),"x","")</f>
        <v/>
      </c>
      <c r="W822" s="22" t="str">
        <f>IF(AND(OR(LEFT(TH!L822,2)="15",LEFT(TH!M822,2)="15"),TK!$E$7=TH!F822),"x","")</f>
        <v/>
      </c>
      <c r="X822" s="22" t="str">
        <f>IF(OR(TH!L822=TH!$X$7,M822=TH!$X$7),"x","")</f>
        <v/>
      </c>
      <c r="Y822" s="22" t="str">
        <f>IF(AND(B822&lt;=NKC!$N$8,B822&gt;=NKC!$M$8),"x","")</f>
        <v/>
      </c>
      <c r="Z822" s="580"/>
      <c r="AD822" s="130"/>
      <c r="AE822" s="130"/>
    </row>
    <row r="823" spans="1:31" s="130" customFormat="1" ht="15.75" customHeight="1">
      <c r="A823" s="123" t="str">
        <f>IF(B823&lt;&gt;"",IF(AND(B823&gt;=_TM1,B823&lt;=_TM2,OR(TH!L823="1111",TH!M823="1111")),TH!D823,""),"")</f>
        <v/>
      </c>
      <c r="B823" s="599">
        <f t="shared" si="29"/>
        <v>12</v>
      </c>
      <c r="C823" s="574">
        <f t="shared" si="30"/>
        <v>42735</v>
      </c>
      <c r="D823" s="574" t="s">
        <v>324</v>
      </c>
      <c r="E823" s="574">
        <v>42735</v>
      </c>
      <c r="F823" s="577" t="s">
        <v>821</v>
      </c>
      <c r="G823" s="595"/>
      <c r="H823" s="596"/>
      <c r="I823" s="576"/>
      <c r="J823" s="576"/>
      <c r="K823" s="579">
        <v>4405000</v>
      </c>
      <c r="L823" s="597" t="s">
        <v>82</v>
      </c>
      <c r="M823" s="597" t="s">
        <v>255</v>
      </c>
      <c r="N823" s="22" t="str">
        <f>IF(AND('331-CT'!$E$7=TH!H823,OR(L823="331",M823="331")),"331",IF(AND(OR(L823="131",M823="131"),H823='131-CT'!$E$7),"131",""))</f>
        <v/>
      </c>
      <c r="O823" s="22" t="str">
        <f>IF(AND($B823&gt;='111'!$N$11,$B823&lt;='111'!$O$11,OR($L823=$O$7,$M823=$O$7)),"x","")</f>
        <v/>
      </c>
      <c r="P823" s="22" t="str">
        <f>IF(AND($L823=$O$7,$B823&lt;'111'!$N$11),"x","")</f>
        <v/>
      </c>
      <c r="Q823" s="22" t="str">
        <f>IF(AND($M823=$O$7,$B823&lt;'111'!$N$11),"x","")</f>
        <v/>
      </c>
      <c r="R823" s="22" t="str">
        <f>IF(ISERROR(FIND('112'!$M$9,G823,1)),"",IF((AND(FIND('112'!$M$9,G823,1)&gt;=1,$B823&gt;='112'!$N$8,$B823&lt;='112'!$O$8,OR($L823='112'!$I$6,$M823='112'!$I$6))),"x",""))</f>
        <v/>
      </c>
      <c r="S823" s="22" t="str">
        <f>IF(ISERROR(FIND('112'!$M$9,G823,1)),"",IF((AND(LEFT(G823,2)=LEFT('112'!$M$9,2),B823&lt;'112'!$N$8,$L823='112'!$I$6)),"x",""))</f>
        <v/>
      </c>
      <c r="T823" s="22" t="str">
        <f>IF(ISERROR(FIND('112'!$M$9,G823,1)),"",IF((AND(RIGHT(G823,2)=RIGHT('112'!$M$9,2),B823&lt;'112'!$N$8,$M823='112'!$I$6)),"x",""))</f>
        <v/>
      </c>
      <c r="U823" s="22" t="str">
        <f>IF(AND(B823&gt;='IN-NX'!$P$3,B823&lt;='IN-NX'!$Q$3,'IN-NX'!$D$7=D823,OR(LEFT(L823,2)="15",AND(LEFT(M823,2)&lt;&gt;"15",LEFT(M823,2)&lt;&gt;"33"))),"x","")</f>
        <v/>
      </c>
      <c r="V823" s="22" t="str">
        <f>IF(AND(OR(LEFT(TH!L823,2)="15",LEFT(TH!M823,2)="15"),'152-CT'!$J$8=TH!F823),"x","")</f>
        <v/>
      </c>
      <c r="W823" s="22" t="str">
        <f>IF(AND(OR(LEFT(TH!L823,2)="15",LEFT(TH!M823,2)="15"),TK!$E$7=TH!F823),"x","")</f>
        <v/>
      </c>
      <c r="X823" s="22" t="str">
        <f>IF(OR(TH!L823=TH!$X$7,M823=TH!$X$7),"x","")</f>
        <v>x</v>
      </c>
      <c r="Y823" s="22" t="str">
        <f>IF(AND(B823&lt;=NKC!$N$8,B823&gt;=NKC!$M$8),"x","")</f>
        <v/>
      </c>
      <c r="Z823" s="598"/>
      <c r="AA823" s="598"/>
      <c r="AB823" s="598"/>
      <c r="AC823" s="598"/>
      <c r="AD823" s="598"/>
      <c r="AE823" s="598"/>
    </row>
    <row r="824" spans="1:31" s="406" customFormat="1" ht="15.75" customHeight="1">
      <c r="A824" s="123" t="str">
        <f>IF(B824&lt;&gt;"",IF(AND(B824&gt;=_TM1,B824&lt;=_TM2,OR(TH!L824="1111",TH!M824="1111")),TH!D824,""),"")</f>
        <v/>
      </c>
      <c r="B824" s="599">
        <f t="shared" si="29"/>
        <v>12</v>
      </c>
      <c r="C824" s="574">
        <f t="shared" si="30"/>
        <v>42735</v>
      </c>
      <c r="D824" s="574" t="s">
        <v>324</v>
      </c>
      <c r="E824" s="574">
        <v>42735</v>
      </c>
      <c r="F824" s="577" t="s">
        <v>822</v>
      </c>
      <c r="G824" s="595"/>
      <c r="H824" s="596"/>
      <c r="I824" s="576"/>
      <c r="J824" s="576"/>
      <c r="K824" s="579">
        <v>14020000</v>
      </c>
      <c r="L824" s="597" t="s">
        <v>160</v>
      </c>
      <c r="M824" s="597" t="s">
        <v>255</v>
      </c>
      <c r="N824" s="22" t="str">
        <f>IF(AND('331-CT'!$E$7=TH!H824,OR(L824="331",M824="331")),"331",IF(AND(OR(L824="131",M824="131"),H824='131-CT'!$E$7),"131",""))</f>
        <v/>
      </c>
      <c r="O824" s="22" t="str">
        <f>IF(AND($B824&gt;='111'!$N$11,$B824&lt;='111'!$O$11,OR($L824=$O$7,$M824=$O$7)),"x","")</f>
        <v/>
      </c>
      <c r="P824" s="22" t="str">
        <f>IF(AND($L824=$O$7,$B824&lt;'111'!$N$11),"x","")</f>
        <v/>
      </c>
      <c r="Q824" s="22" t="str">
        <f>IF(AND($M824=$O$7,$B824&lt;'111'!$N$11),"x","")</f>
        <v/>
      </c>
      <c r="R824" s="22" t="str">
        <f>IF(ISERROR(FIND('112'!$M$9,G824,1)),"",IF((AND(FIND('112'!$M$9,G824,1)&gt;=1,$B824&gt;='112'!$N$8,$B824&lt;='112'!$O$8,OR($L824='112'!$I$6,$M824='112'!$I$6))),"x",""))</f>
        <v/>
      </c>
      <c r="S824" s="22" t="str">
        <f>IF(ISERROR(FIND('112'!$M$9,G824,1)),"",IF((AND(LEFT(G824,2)=LEFT('112'!$M$9,2),B824&lt;'112'!$N$8,$L824='112'!$I$6)),"x",""))</f>
        <v/>
      </c>
      <c r="T824" s="22" t="str">
        <f>IF(ISERROR(FIND('112'!$M$9,G824,1)),"",IF((AND(RIGHT(G824,2)=RIGHT('112'!$M$9,2),B824&lt;'112'!$N$8,$M824='112'!$I$6)),"x",""))</f>
        <v/>
      </c>
      <c r="U824" s="22" t="str">
        <f>IF(AND(B824&gt;='IN-NX'!$P$3,B824&lt;='IN-NX'!$Q$3,'IN-NX'!$D$7=D824,OR(LEFT(L824,2)="15",AND(LEFT(M824,2)&lt;&gt;"15",LEFT(M824,2)&lt;&gt;"33"))),"x","")</f>
        <v/>
      </c>
      <c r="V824" s="22" t="str">
        <f>IF(AND(OR(LEFT(TH!L824,2)="15",LEFT(TH!M824,2)="15"),'152-CT'!$J$8=TH!F824),"x","")</f>
        <v/>
      </c>
      <c r="W824" s="22" t="str">
        <f>IF(AND(OR(LEFT(TH!L824,2)="15",LEFT(TH!M824,2)="15"),TK!$E$7=TH!F824),"x","")</f>
        <v/>
      </c>
      <c r="X824" s="22" t="str">
        <f>IF(OR(TH!L824=TH!$X$7,M824=TH!$X$7),"x","")</f>
        <v/>
      </c>
      <c r="Y824" s="22" t="str">
        <f>IF(AND(B824&lt;=NKC!$N$8,B824&gt;=NKC!$M$8),"x","")</f>
        <v/>
      </c>
      <c r="Z824" s="598"/>
      <c r="AA824" s="598"/>
      <c r="AB824" s="598"/>
      <c r="AC824" s="598"/>
      <c r="AD824" s="598"/>
      <c r="AE824" s="598"/>
    </row>
    <row r="825" spans="1:31" s="130" customFormat="1" ht="15.75" customHeight="1">
      <c r="A825" s="123" t="str">
        <f>IF(B825&lt;&gt;"",IF(AND(B825&gt;=_TM1,B825&lt;=_TM2,OR(TH!L825="1111",TH!M825="1111")),TH!D825,""),"")</f>
        <v>C36</v>
      </c>
      <c r="B825" s="599">
        <f t="shared" si="29"/>
        <v>12</v>
      </c>
      <c r="C825" s="574">
        <f t="shared" si="30"/>
        <v>42735</v>
      </c>
      <c r="D825" s="574" t="s">
        <v>1052</v>
      </c>
      <c r="E825" s="574">
        <v>42735</v>
      </c>
      <c r="F825" s="577" t="str">
        <f>"Thanh toán tiền lương tháng "&amp;MONTH(E825)&amp;"/"&amp;YEAR(E825)</f>
        <v>Thanh toán tiền lương tháng 12/2016</v>
      </c>
      <c r="G825" s="595"/>
      <c r="H825" s="596" t="s">
        <v>796</v>
      </c>
      <c r="I825" s="576"/>
      <c r="J825" s="576"/>
      <c r="K825" s="579">
        <f>K823+K824</f>
        <v>18425000</v>
      </c>
      <c r="L825" s="597" t="s">
        <v>255</v>
      </c>
      <c r="M825" s="597" t="s">
        <v>46</v>
      </c>
      <c r="N825" s="22" t="str">
        <f>IF(AND('331-CT'!$E$7=TH!H825,OR(L825="331",M825="331")),"331",IF(AND(OR(L825="131",M825="131"),H825='131-CT'!$E$7),"131",""))</f>
        <v/>
      </c>
      <c r="O825" s="22" t="str">
        <f>IF(AND($B825&gt;='111'!$N$11,$B825&lt;='111'!$O$11,OR($L825=$O$7,$M825=$O$7)),"x","")</f>
        <v>x</v>
      </c>
      <c r="P825" s="22" t="str">
        <f>IF(AND($L825=$O$7,$B825&lt;'111'!$N$11),"x","")</f>
        <v/>
      </c>
      <c r="Q825" s="22" t="str">
        <f>IF(AND($M825=$O$7,$B825&lt;'111'!$N$11),"x","")</f>
        <v/>
      </c>
      <c r="R825" s="22" t="str">
        <f>IF(ISERROR(FIND('112'!$M$9,G825,1)),"",IF((AND(FIND('112'!$M$9,G825,1)&gt;=1,$B825&gt;='112'!$N$8,$B825&lt;='112'!$O$8,OR($L825='112'!$I$6,$M825='112'!$I$6))),"x",""))</f>
        <v/>
      </c>
      <c r="S825" s="22" t="str">
        <f>IF(ISERROR(FIND('112'!$M$9,G825,1)),"",IF((AND(LEFT(G825,2)=LEFT('112'!$M$9,2),B825&lt;'112'!$N$8,$L825='112'!$I$6)),"x",""))</f>
        <v/>
      </c>
      <c r="T825" s="22" t="str">
        <f>IF(ISERROR(FIND('112'!$M$9,G825,1)),"",IF((AND(RIGHT(G825,2)=RIGHT('112'!$M$9,2),B825&lt;'112'!$N$8,$M825='112'!$I$6)),"x",""))</f>
        <v/>
      </c>
      <c r="U825" s="22" t="str">
        <f>IF(AND(B825&gt;='IN-NX'!$P$3,B825&lt;='IN-NX'!$Q$3,'IN-NX'!$D$7=D825,OR(LEFT(L825,2)="15",AND(LEFT(M825,2)&lt;&gt;"15",LEFT(M825,2)&lt;&gt;"33"))),"x","")</f>
        <v/>
      </c>
      <c r="V825" s="22" t="str">
        <f>IF(AND(OR(LEFT(TH!L825,2)="15",LEFT(TH!M825,2)="15"),'152-CT'!$J$8=TH!F825),"x","")</f>
        <v/>
      </c>
      <c r="W825" s="22" t="str">
        <f>IF(AND(OR(LEFT(TH!L825,2)="15",LEFT(TH!M825,2)="15"),TK!$E$7=TH!F825),"x","")</f>
        <v/>
      </c>
      <c r="X825" s="22" t="str">
        <f>IF(OR(TH!L825=TH!$X$7,M825=TH!$X$7),"x","")</f>
        <v/>
      </c>
      <c r="Y825" s="22" t="str">
        <f>IF(AND(B825&lt;=NKC!$N$8,B825&gt;=NKC!$M$8),"x","")</f>
        <v/>
      </c>
      <c r="Z825" s="598"/>
      <c r="AA825" s="598"/>
      <c r="AB825" s="598"/>
      <c r="AC825" s="598"/>
      <c r="AD825" s="598"/>
      <c r="AE825" s="598"/>
    </row>
    <row r="826" spans="1:31" s="130" customFormat="1" ht="15.75" customHeight="1">
      <c r="A826" s="123" t="str">
        <f>IF(B826&lt;&gt;"",IF(AND(B826&gt;=_TM1,B826&lt;=_TM2,OR(TH!L826="1111",TH!M826="1111")),TH!D826,""),"")</f>
        <v/>
      </c>
      <c r="B826" s="12">
        <f t="shared" si="29"/>
        <v>12</v>
      </c>
      <c r="C826" s="108">
        <f t="shared" si="30"/>
        <v>42735</v>
      </c>
      <c r="D826" s="113" t="s">
        <v>1081</v>
      </c>
      <c r="E826" s="108">
        <v>42735</v>
      </c>
      <c r="F826" s="112" t="s">
        <v>879</v>
      </c>
      <c r="G826" s="305" t="s">
        <v>956</v>
      </c>
      <c r="H826" s="4" t="s">
        <v>881</v>
      </c>
      <c r="I826" s="139">
        <v>25500</v>
      </c>
      <c r="J826" s="139">
        <v>8400</v>
      </c>
      <c r="K826" s="13">
        <f>ROUND(I826*J826,0)</f>
        <v>214200000</v>
      </c>
      <c r="L826" s="116" t="s">
        <v>154</v>
      </c>
      <c r="M826" s="411" t="s">
        <v>8</v>
      </c>
      <c r="N826" s="22" t="str">
        <f>IF(AND('331-CT'!$E$7=TH!H826,OR(L826="331",M826="331")),"331",IF(AND(OR(L826="131",M826="131"),H826='131-CT'!$E$7),"131",""))</f>
        <v/>
      </c>
      <c r="O826" s="22" t="str">
        <f>IF(AND($B826&gt;='111'!$N$11,$B826&lt;='111'!$O$11,OR($L826=$O$7,$M826=$O$7)),"x","")</f>
        <v/>
      </c>
      <c r="P826" s="22" t="str">
        <f>IF(AND($L826=$O$7,$B826&lt;'111'!$N$11),"x","")</f>
        <v/>
      </c>
      <c r="Q826" s="22" t="str">
        <f>IF(AND($M826=$O$7,$B826&lt;'111'!$N$11),"x","")</f>
        <v/>
      </c>
      <c r="R826" s="22" t="str">
        <f>IF(ISERROR(FIND('112'!$M$9,G826,1)),"",IF((AND(FIND('112'!$M$9,G826,1)&gt;=1,$B826&gt;='112'!$N$8,$B826&lt;='112'!$O$8,OR($L826='112'!$I$6,$M826='112'!$I$6))),"x",""))</f>
        <v/>
      </c>
      <c r="S826" s="22" t="str">
        <f>IF(ISERROR(FIND('112'!$M$9,G826,1)),"",IF((AND(LEFT(G826,2)=LEFT('112'!$M$9,2),B826&lt;'112'!$N$8,$L826='112'!$I$6)),"x",""))</f>
        <v/>
      </c>
      <c r="T826" s="22" t="str">
        <f>IF(ISERROR(FIND('112'!$M$9,G826,1)),"",IF((AND(RIGHT(G826,2)=RIGHT('112'!$M$9,2),B826&lt;'112'!$N$8,$M826='112'!$I$6)),"x",""))</f>
        <v/>
      </c>
      <c r="U826" s="22" t="str">
        <f>IF(AND(B826&gt;='IN-NX'!$P$3,B826&lt;='IN-NX'!$Q$3,'IN-NX'!$D$7=D826,OR(LEFT(L826,2)="15",AND(LEFT(M826,2)&lt;&gt;"15",LEFT(M826,2)&lt;&gt;"33"))),"x","")</f>
        <v/>
      </c>
      <c r="V826" s="22" t="str">
        <f>IF(AND(OR(LEFT(TH!L826,2)="15",LEFT(TH!M826,2)="15"),'152-CT'!$J$8=TH!F826),"x","")</f>
        <v/>
      </c>
      <c r="W826" s="22" t="str">
        <f>IF(AND(OR(LEFT(TH!L826,2)="15",LEFT(TH!M826,2)="15"),TK!$E$7=TH!F826),"x","")</f>
        <v/>
      </c>
      <c r="X826" s="22" t="str">
        <f>IF(OR(TH!L826=TH!$X$7,M826=TH!$X$7),"x","")</f>
        <v/>
      </c>
      <c r="Y826" s="22" t="str">
        <f>IF(AND(B826&lt;=NKC!$N$8,B826&gt;=NKC!$M$8),"x","")</f>
        <v/>
      </c>
      <c r="Z826" s="580">
        <v>4</v>
      </c>
      <c r="AA826" s="406"/>
      <c r="AB826" s="406"/>
    </row>
    <row r="827" spans="1:31" s="130" customFormat="1" ht="15.75" customHeight="1">
      <c r="A827" s="123" t="str">
        <f>IF(B827&lt;&gt;"",IF(AND(B827&gt;=_TM1,B827&lt;=_TM2,OR(TH!L827="1111",TH!M827="1111")),TH!D827,""),"")</f>
        <v/>
      </c>
      <c r="B827" s="12">
        <f t="shared" si="29"/>
        <v>12</v>
      </c>
      <c r="C827" s="108">
        <f t="shared" si="30"/>
        <v>42735</v>
      </c>
      <c r="D827" s="113" t="s">
        <v>1081</v>
      </c>
      <c r="E827" s="108">
        <v>42735</v>
      </c>
      <c r="F827" s="112" t="s">
        <v>880</v>
      </c>
      <c r="G827" s="305" t="s">
        <v>956</v>
      </c>
      <c r="H827" s="4" t="s">
        <v>881</v>
      </c>
      <c r="I827" s="139"/>
      <c r="J827" s="139"/>
      <c r="K827" s="13">
        <v>21420000</v>
      </c>
      <c r="L827" s="116" t="s">
        <v>9</v>
      </c>
      <c r="M827" s="116" t="s">
        <v>8</v>
      </c>
      <c r="N827" s="22" t="str">
        <f>IF(AND('331-CT'!$E$7=TH!H827,OR(L827="331",M827="331")),"331",IF(AND(OR(L827="131",M827="131"),H827='131-CT'!$E$7),"131",""))</f>
        <v/>
      </c>
      <c r="O827" s="22" t="str">
        <f>IF(AND($B827&gt;='111'!$N$11,$B827&lt;='111'!$O$11,OR($L827=$O$7,$M827=$O$7)),"x","")</f>
        <v/>
      </c>
      <c r="P827" s="22" t="str">
        <f>IF(AND($L827=$O$7,$B827&lt;'111'!$N$11),"x","")</f>
        <v/>
      </c>
      <c r="Q827" s="22" t="str">
        <f>IF(AND($M827=$O$7,$B827&lt;'111'!$N$11),"x","")</f>
        <v/>
      </c>
      <c r="R827" s="22" t="str">
        <f>IF(ISERROR(FIND('112'!$M$9,G827,1)),"",IF((AND(FIND('112'!$M$9,G827,1)&gt;=1,$B827&gt;='112'!$N$8,$B827&lt;='112'!$O$8,OR($L827='112'!$I$6,$M827='112'!$I$6))),"x",""))</f>
        <v/>
      </c>
      <c r="S827" s="22" t="str">
        <f>IF(ISERROR(FIND('112'!$M$9,G827,1)),"",IF((AND(LEFT(G827,2)=LEFT('112'!$M$9,2),B827&lt;'112'!$N$8,$L827='112'!$I$6)),"x",""))</f>
        <v/>
      </c>
      <c r="T827" s="22" t="str">
        <f>IF(ISERROR(FIND('112'!$M$9,G827,1)),"",IF((AND(RIGHT(G827,2)=RIGHT('112'!$M$9,2),B827&lt;'112'!$N$8,$M827='112'!$I$6)),"x",""))</f>
        <v/>
      </c>
      <c r="U827" s="22" t="str">
        <f>IF(AND(B827&gt;='IN-NX'!$P$3,B827&lt;='IN-NX'!$Q$3,'IN-NX'!$D$7=D827,OR(LEFT(L827,2)="15",AND(LEFT(M827,2)&lt;&gt;"15",LEFT(M827,2)&lt;&gt;"33"))),"x","")</f>
        <v/>
      </c>
      <c r="V827" s="22" t="str">
        <f>IF(AND(OR(LEFT(TH!L827,2)="15",LEFT(TH!M827,2)="15"),'152-CT'!$J$8=TH!F827),"x","")</f>
        <v/>
      </c>
      <c r="W827" s="22" t="str">
        <f>IF(AND(OR(LEFT(TH!L827,2)="15",LEFT(TH!M827,2)="15"),TK!$E$7=TH!F827),"x","")</f>
        <v/>
      </c>
      <c r="X827" s="22" t="str">
        <f>IF(OR(TH!L827=TH!$X$7,M827=TH!$X$7),"x","")</f>
        <v/>
      </c>
      <c r="Y827" s="22" t="str">
        <f>IF(AND(B827&lt;=NKC!$N$8,B827&gt;=NKC!$M$8),"x","")</f>
        <v/>
      </c>
      <c r="Z827" s="580">
        <v>4</v>
      </c>
      <c r="AA827" s="406"/>
      <c r="AB827" s="406"/>
    </row>
    <row r="828" spans="1:31" s="130" customFormat="1" ht="15.75" customHeight="1">
      <c r="A828" s="123" t="str">
        <f>IF(B828&lt;&gt;"",IF(AND(B828&gt;=_TM1,B828&lt;=_TM2,OR(TH!L828="1111",TH!M828="1111")),TH!D828,""),"")</f>
        <v/>
      </c>
      <c r="B828" s="12">
        <f t="shared" si="29"/>
        <v>12</v>
      </c>
      <c r="C828" s="108">
        <f t="shared" si="30"/>
        <v>42735</v>
      </c>
      <c r="D828" s="108" t="s">
        <v>469</v>
      </c>
      <c r="E828" s="113">
        <v>42735</v>
      </c>
      <c r="F828" s="112" t="s">
        <v>476</v>
      </c>
      <c r="G828" s="114" t="s">
        <v>474</v>
      </c>
      <c r="H828" s="115"/>
      <c r="I828" s="139"/>
      <c r="J828" s="141"/>
      <c r="K828" s="13">
        <v>2749</v>
      </c>
      <c r="L828" s="116" t="s">
        <v>24</v>
      </c>
      <c r="M828" s="411" t="s">
        <v>39</v>
      </c>
      <c r="N828" s="22" t="str">
        <f>IF(AND('331-CT'!$E$7=TH!H828,OR(L828="331",M828="331")),"331",IF(AND(OR(L828="131",M828="131"),H828='131-CT'!$E$7),"131",""))</f>
        <v/>
      </c>
      <c r="O828" s="22" t="str">
        <f>IF(AND($B828&gt;='111'!$N$11,$B828&lt;='111'!$O$11,OR($L828=$O$7,$M828=$O$7)),"x","")</f>
        <v/>
      </c>
      <c r="P828" s="22" t="str">
        <f>IF(AND($L828=$O$7,$B828&lt;'111'!$N$11),"x","")</f>
        <v/>
      </c>
      <c r="Q828" s="22" t="str">
        <f>IF(AND($M828=$O$7,$B828&lt;'111'!$N$11),"x","")</f>
        <v/>
      </c>
      <c r="R828" s="22" t="str">
        <f>IF(ISERROR(FIND('112'!$M$9,G828,1)),"",IF((AND(FIND('112'!$M$9,G828,1)&gt;=1,$B828&gt;='112'!$N$8,$B828&lt;='112'!$O$8,OR($L828='112'!$I$6,$M828='112'!$I$6))),"x",""))</f>
        <v>x</v>
      </c>
      <c r="S828" s="22" t="str">
        <f>IF(ISERROR(FIND('112'!$M$9,G828,1)),"",IF((AND(LEFT(G828,2)=LEFT('112'!$M$9,2),B828&lt;'112'!$N$8,$L828='112'!$I$6)),"x",""))</f>
        <v/>
      </c>
      <c r="T828" s="22" t="str">
        <f>IF(ISERROR(FIND('112'!$M$9,G828,1)),"",IF((AND(RIGHT(G828,2)=RIGHT('112'!$M$9,2),B828&lt;'112'!$N$8,$M828='112'!$I$6)),"x",""))</f>
        <v/>
      </c>
      <c r="U828" s="22" t="str">
        <f>IF(AND(B828&gt;='IN-NX'!$P$3,B828&lt;='IN-NX'!$Q$3,'IN-NX'!$D$7=D828,OR(LEFT(L828,2)="15",AND(LEFT(M828,2)&lt;&gt;"15",LEFT(M828,2)&lt;&gt;"33"))),"x","")</f>
        <v/>
      </c>
      <c r="V828" s="22" t="str">
        <f>IF(AND(OR(LEFT(TH!L828,2)="15",LEFT(TH!M828,2)="15"),'152-CT'!$J$8=TH!F828),"x","")</f>
        <v/>
      </c>
      <c r="W828" s="22" t="str">
        <f>IF(AND(OR(LEFT(TH!L828,2)="15",LEFT(TH!M828,2)="15"),TK!$E$7=TH!F828),"x","")</f>
        <v/>
      </c>
      <c r="X828" s="22" t="str">
        <f>IF(OR(TH!L828=TH!$X$7,M828=TH!$X$7),"x","")</f>
        <v/>
      </c>
      <c r="Y828" s="22" t="str">
        <f>IF(AND(B828&lt;=NKC!$N$8,B828&gt;=NKC!$M$8),"x","")</f>
        <v/>
      </c>
      <c r="Z828" s="580"/>
      <c r="AA828" s="406"/>
      <c r="AB828" s="406"/>
      <c r="AC828" s="406"/>
    </row>
    <row r="829" spans="1:31" s="406" customFormat="1" ht="15.75" customHeight="1">
      <c r="A829" s="123" t="str">
        <f>IF(B829&lt;&gt;"",IF(AND(B829&gt;=_TM1,B829&lt;=_TM2,OR(TH!L829="1111",TH!M829="1111")),TH!D829,""),"")</f>
        <v/>
      </c>
      <c r="B829" s="12">
        <f t="shared" si="29"/>
        <v>12</v>
      </c>
      <c r="C829" s="108">
        <f t="shared" si="30"/>
        <v>42735</v>
      </c>
      <c r="D829" s="108" t="s">
        <v>470</v>
      </c>
      <c r="E829" s="113">
        <v>42735</v>
      </c>
      <c r="F829" s="114" t="s">
        <v>477</v>
      </c>
      <c r="G829" s="114" t="s">
        <v>474</v>
      </c>
      <c r="H829" s="115"/>
      <c r="I829" s="139"/>
      <c r="J829" s="141"/>
      <c r="K829" s="13">
        <v>10000</v>
      </c>
      <c r="L829" s="116" t="s">
        <v>82</v>
      </c>
      <c r="M829" s="411" t="s">
        <v>24</v>
      </c>
      <c r="N829" s="22" t="str">
        <f>IF(AND('331-CT'!$E$7=TH!H829,OR(L829="331",M829="331")),"331",IF(AND(OR(L829="131",M829="131"),H829='131-CT'!$E$7),"131",""))</f>
        <v/>
      </c>
      <c r="O829" s="22" t="str">
        <f>IF(AND($B829&gt;='111'!$N$11,$B829&lt;='111'!$O$11,OR($L829=$O$7,$M829=$O$7)),"x","")</f>
        <v/>
      </c>
      <c r="P829" s="22" t="str">
        <f>IF(AND($L829=$O$7,$B829&lt;'111'!$N$11),"x","")</f>
        <v/>
      </c>
      <c r="Q829" s="22" t="str">
        <f>IF(AND($M829=$O$7,$B829&lt;'111'!$N$11),"x","")</f>
        <v/>
      </c>
      <c r="R829" s="22" t="str">
        <f>IF(ISERROR(FIND('112'!$M$9,G829,1)),"",IF((AND(FIND('112'!$M$9,G829,1)&gt;=1,$B829&gt;='112'!$N$8,$B829&lt;='112'!$O$8,OR($L829='112'!$I$6,$M829='112'!$I$6))),"x",""))</f>
        <v>x</v>
      </c>
      <c r="S829" s="22" t="str">
        <f>IF(ISERROR(FIND('112'!$M$9,G829,1)),"",IF((AND(LEFT(G829,2)=LEFT('112'!$M$9,2),B829&lt;'112'!$N$8,$L829='112'!$I$6)),"x",""))</f>
        <v/>
      </c>
      <c r="T829" s="22" t="str">
        <f>IF(ISERROR(FIND('112'!$M$9,G829,1)),"",IF((AND(RIGHT(G829,2)=RIGHT('112'!$M$9,2),B829&lt;'112'!$N$8,$M829='112'!$I$6)),"x",""))</f>
        <v/>
      </c>
      <c r="U829" s="22" t="str">
        <f>IF(AND(B829&gt;='IN-NX'!$P$3,B829&lt;='IN-NX'!$Q$3,'IN-NX'!$D$7=D829,OR(LEFT(L829,2)="15",AND(LEFT(M829,2)&lt;&gt;"15",LEFT(M829,2)&lt;&gt;"33"))),"x","")</f>
        <v/>
      </c>
      <c r="V829" s="22" t="str">
        <f>IF(AND(OR(LEFT(TH!L829,2)="15",LEFT(TH!M829,2)="15"),'152-CT'!$J$8=TH!F829),"x","")</f>
        <v/>
      </c>
      <c r="W829" s="22" t="str">
        <f>IF(AND(OR(LEFT(TH!L829,2)="15",LEFT(TH!M829,2)="15"),TK!$E$7=TH!F829),"x","")</f>
        <v/>
      </c>
      <c r="X829" s="22" t="str">
        <f>IF(OR(TH!L829=TH!$X$7,M829=TH!$X$7),"x","")</f>
        <v>x</v>
      </c>
      <c r="Y829" s="22" t="str">
        <f>IF(AND(B829&lt;=NKC!$N$8,B829&gt;=NKC!$M$8),"x","")</f>
        <v/>
      </c>
      <c r="Z829" s="580">
        <v>4</v>
      </c>
      <c r="AD829" s="130"/>
      <c r="AE829" s="130"/>
    </row>
    <row r="830" spans="1:31" s="130" customFormat="1" ht="15.75" customHeight="1">
      <c r="A830" s="123" t="str">
        <f>IF(B830&lt;&gt;"",IF(AND(B830&gt;=_TM1,B830&lt;=_TM2,OR(TH!L830="1111",TH!M830="1111")),TH!D830,""),"")</f>
        <v/>
      </c>
      <c r="B830" s="12">
        <f t="shared" si="29"/>
        <v>12</v>
      </c>
      <c r="C830" s="108">
        <f t="shared" si="30"/>
        <v>42735</v>
      </c>
      <c r="D830" s="108" t="s">
        <v>470</v>
      </c>
      <c r="E830" s="113">
        <v>42735</v>
      </c>
      <c r="F830" s="114" t="s">
        <v>478</v>
      </c>
      <c r="G830" s="114" t="s">
        <v>474</v>
      </c>
      <c r="H830" s="115"/>
      <c r="I830" s="139"/>
      <c r="J830" s="141"/>
      <c r="K830" s="13">
        <v>1000</v>
      </c>
      <c r="L830" s="116" t="s">
        <v>9</v>
      </c>
      <c r="M830" s="411" t="s">
        <v>24</v>
      </c>
      <c r="N830" s="22" t="str">
        <f>IF(AND('331-CT'!$E$7=TH!H830,OR(L830="331",M830="331")),"331",IF(AND(OR(L830="131",M830="131"),H830='131-CT'!$E$7),"131",""))</f>
        <v/>
      </c>
      <c r="O830" s="22" t="str">
        <f>IF(AND($B830&gt;='111'!$N$11,$B830&lt;='111'!$O$11,OR($L830=$O$7,$M830=$O$7)),"x","")</f>
        <v/>
      </c>
      <c r="P830" s="22" t="str">
        <f>IF(AND($L830=$O$7,$B830&lt;'111'!$N$11),"x","")</f>
        <v/>
      </c>
      <c r="Q830" s="22" t="str">
        <f>IF(AND($M830=$O$7,$B830&lt;'111'!$N$11),"x","")</f>
        <v/>
      </c>
      <c r="R830" s="22" t="str">
        <f>IF(ISERROR(FIND('112'!$M$9,G830,1)),"",IF((AND(FIND('112'!$M$9,G830,1)&gt;=1,$B830&gt;='112'!$N$8,$B830&lt;='112'!$O$8,OR($L830='112'!$I$6,$M830='112'!$I$6))),"x",""))</f>
        <v>x</v>
      </c>
      <c r="S830" s="22" t="str">
        <f>IF(ISERROR(FIND('112'!$M$9,G830,1)),"",IF((AND(LEFT(G830,2)=LEFT('112'!$M$9,2),B830&lt;'112'!$N$8,$L830='112'!$I$6)),"x",""))</f>
        <v/>
      </c>
      <c r="T830" s="22" t="str">
        <f>IF(ISERROR(FIND('112'!$M$9,G830,1)),"",IF((AND(RIGHT(G830,2)=RIGHT('112'!$M$9,2),B830&lt;'112'!$N$8,$M830='112'!$I$6)),"x",""))</f>
        <v/>
      </c>
      <c r="U830" s="22" t="str">
        <f>IF(AND(B830&gt;='IN-NX'!$P$3,B830&lt;='IN-NX'!$Q$3,'IN-NX'!$D$7=D830,OR(LEFT(L830,2)="15",AND(LEFT(M830,2)&lt;&gt;"15",LEFT(M830,2)&lt;&gt;"33"))),"x","")</f>
        <v/>
      </c>
      <c r="V830" s="22" t="str">
        <f>IF(AND(OR(LEFT(TH!L830,2)="15",LEFT(TH!M830,2)="15"),'152-CT'!$J$8=TH!F830),"x","")</f>
        <v/>
      </c>
      <c r="W830" s="22" t="str">
        <f>IF(AND(OR(LEFT(TH!L830,2)="15",LEFT(TH!M830,2)="15"),TK!$E$7=TH!F830),"x","")</f>
        <v/>
      </c>
      <c r="X830" s="22" t="str">
        <f>IF(OR(TH!L830=TH!$X$7,M830=TH!$X$7),"x","")</f>
        <v/>
      </c>
      <c r="Y830" s="22" t="str">
        <f>IF(AND(B830&lt;=NKC!$N$8,B830&gt;=NKC!$M$8),"x","")</f>
        <v/>
      </c>
      <c r="Z830" s="580">
        <v>4</v>
      </c>
      <c r="AA830" s="406"/>
      <c r="AB830" s="406"/>
      <c r="AC830" s="406"/>
    </row>
    <row r="831" spans="1:31" s="130" customFormat="1" ht="15.75" customHeight="1">
      <c r="A831" s="123" t="str">
        <f>IF(B831&lt;&gt;"",IF(AND(B831&gt;=_TM1,B831&lt;=_TM2,OR(TH!L831="1111",TH!M831="1111")),TH!D831,""),"")</f>
        <v>C37</v>
      </c>
      <c r="B831" s="12">
        <f t="shared" si="29"/>
        <v>12</v>
      </c>
      <c r="C831" s="108">
        <f t="shared" si="30"/>
        <v>42735</v>
      </c>
      <c r="D831" s="113" t="s">
        <v>1053</v>
      </c>
      <c r="E831" s="113">
        <v>42735</v>
      </c>
      <c r="F831" s="112" t="s">
        <v>984</v>
      </c>
      <c r="G831" s="303" t="s">
        <v>986</v>
      </c>
      <c r="H831" s="115" t="s">
        <v>987</v>
      </c>
      <c r="I831" s="139"/>
      <c r="J831" s="139"/>
      <c r="K831" s="410">
        <v>50370</v>
      </c>
      <c r="L831" s="411" t="s">
        <v>82</v>
      </c>
      <c r="M831" s="411" t="s">
        <v>46</v>
      </c>
      <c r="N831" s="22" t="str">
        <f>IF(AND('331-CT'!$E$7=TH!H831,OR(L831="331",M831="331")),"331",IF(AND(OR(L831="131",M831="131"),H831='131-CT'!$E$7),"131",""))</f>
        <v/>
      </c>
      <c r="O831" s="22" t="str">
        <f>IF(AND($B831&gt;='111'!$N$11,$B831&lt;='111'!$O$11,OR($L831=$O$7,$M831=$O$7)),"x","")</f>
        <v>x</v>
      </c>
      <c r="P831" s="22" t="str">
        <f>IF(AND($L831=$O$7,$B831&lt;'111'!$N$11),"x","")</f>
        <v/>
      </c>
      <c r="Q831" s="22" t="str">
        <f>IF(AND($M831=$O$7,$B831&lt;'111'!$N$11),"x","")</f>
        <v/>
      </c>
      <c r="R831" s="22" t="str">
        <f>IF(ISERROR(FIND('112'!$M$9,G831,1)),"",IF((AND(FIND('112'!$M$9,G831,1)&gt;=1,$B831&gt;='112'!$N$8,$B831&lt;='112'!$O$8,OR($L831='112'!$I$6,$M831='112'!$I$6))),"x",""))</f>
        <v/>
      </c>
      <c r="S831" s="22" t="str">
        <f>IF(ISERROR(FIND('112'!$M$9,G831,1)),"",IF((AND(LEFT(G831,2)=LEFT('112'!$M$9,2),B831&lt;'112'!$N$8,$L831='112'!$I$6)),"x",""))</f>
        <v/>
      </c>
      <c r="T831" s="22" t="str">
        <f>IF(ISERROR(FIND('112'!$M$9,G831,1)),"",IF((AND(RIGHT(G831,2)=RIGHT('112'!$M$9,2),B831&lt;'112'!$N$8,$M831='112'!$I$6)),"x",""))</f>
        <v/>
      </c>
      <c r="U831" s="22" t="str">
        <f>IF(AND(B831&gt;='IN-NX'!$P$3,B831&lt;='IN-NX'!$Q$3,'IN-NX'!$D$7=D831,OR(LEFT(L831,2)="15",AND(LEFT(M831,2)&lt;&gt;"15",LEFT(M831,2)&lt;&gt;"33"))),"x","")</f>
        <v/>
      </c>
      <c r="V831" s="22" t="str">
        <f>IF(AND(OR(LEFT(TH!L831,2)="15",LEFT(TH!M831,2)="15"),'152-CT'!$J$8=TH!F831),"x","")</f>
        <v/>
      </c>
      <c r="W831" s="22" t="str">
        <f>IF(AND(OR(LEFT(TH!L831,2)="15",LEFT(TH!M831,2)="15"),TK!$E$7=TH!F831),"x","")</f>
        <v/>
      </c>
      <c r="X831" s="22" t="str">
        <f>IF(OR(TH!L831=TH!$X$7,M831=TH!$X$7),"x","")</f>
        <v>x</v>
      </c>
      <c r="Y831" s="22" t="str">
        <f>IF(AND(B831&lt;=NKC!$N$8,B831&gt;=NKC!$M$8),"x","")</f>
        <v/>
      </c>
      <c r="Z831" s="580">
        <v>4</v>
      </c>
      <c r="AA831" s="406"/>
      <c r="AB831" s="406"/>
      <c r="AC831" s="406"/>
    </row>
    <row r="832" spans="1:31" s="130" customFormat="1" ht="15.75" customHeight="1">
      <c r="A832" s="123" t="str">
        <f>IF(B832&lt;&gt;"",IF(AND(B832&gt;=_TM1,B832&lt;=_TM2,OR(TH!L832="1111",TH!M832="1111")),TH!D832,""),"")</f>
        <v>C37</v>
      </c>
      <c r="B832" s="12">
        <f t="shared" si="29"/>
        <v>12</v>
      </c>
      <c r="C832" s="108">
        <f t="shared" si="30"/>
        <v>42735</v>
      </c>
      <c r="D832" s="113" t="s">
        <v>1053</v>
      </c>
      <c r="E832" s="113">
        <v>42735</v>
      </c>
      <c r="F832" s="112" t="s">
        <v>985</v>
      </c>
      <c r="G832" s="303" t="s">
        <v>986</v>
      </c>
      <c r="H832" s="115" t="s">
        <v>987</v>
      </c>
      <c r="I832" s="139"/>
      <c r="J832" s="139"/>
      <c r="K832" s="410">
        <v>5037</v>
      </c>
      <c r="L832" s="411" t="s">
        <v>9</v>
      </c>
      <c r="M832" s="411" t="s">
        <v>46</v>
      </c>
      <c r="N832" s="22" t="str">
        <f>IF(AND('331-CT'!$E$7=TH!H832,OR(L832="331",M832="331")),"331",IF(AND(OR(L832="131",M832="131"),H832='131-CT'!$E$7),"131",""))</f>
        <v/>
      </c>
      <c r="O832" s="22" t="str">
        <f>IF(AND($B832&gt;='111'!$N$11,$B832&lt;='111'!$O$11,OR($L832=$O$7,$M832=$O$7)),"x","")</f>
        <v>x</v>
      </c>
      <c r="P832" s="22" t="str">
        <f>IF(AND($L832=$O$7,$B832&lt;'111'!$N$11),"x","")</f>
        <v/>
      </c>
      <c r="Q832" s="22" t="str">
        <f>IF(AND($M832=$O$7,$B832&lt;'111'!$N$11),"x","")</f>
        <v/>
      </c>
      <c r="R832" s="22" t="str">
        <f>IF(ISERROR(FIND('112'!$M$9,G832,1)),"",IF((AND(FIND('112'!$M$9,G832,1)&gt;=1,$B832&gt;='112'!$N$8,$B832&lt;='112'!$O$8,OR($L832='112'!$I$6,$M832='112'!$I$6))),"x",""))</f>
        <v/>
      </c>
      <c r="S832" s="22" t="str">
        <f>IF(ISERROR(FIND('112'!$M$9,G832,1)),"",IF((AND(LEFT(G832,2)=LEFT('112'!$M$9,2),B832&lt;'112'!$N$8,$L832='112'!$I$6)),"x",""))</f>
        <v/>
      </c>
      <c r="T832" s="22" t="str">
        <f>IF(ISERROR(FIND('112'!$M$9,G832,1)),"",IF((AND(RIGHT(G832,2)=RIGHT('112'!$M$9,2),B832&lt;'112'!$N$8,$M832='112'!$I$6)),"x",""))</f>
        <v/>
      </c>
      <c r="U832" s="22" t="str">
        <f>IF(AND(B832&gt;='IN-NX'!$P$3,B832&lt;='IN-NX'!$Q$3,'IN-NX'!$D$7=D832,OR(LEFT(L832,2)="15",AND(LEFT(M832,2)&lt;&gt;"15",LEFT(M832,2)&lt;&gt;"33"))),"x","")</f>
        <v/>
      </c>
      <c r="V832" s="22" t="str">
        <f>IF(AND(OR(LEFT(TH!L832,2)="15",LEFT(TH!M832,2)="15"),'152-CT'!$J$8=TH!F832),"x","")</f>
        <v/>
      </c>
      <c r="W832" s="22" t="str">
        <f>IF(AND(OR(LEFT(TH!L832,2)="15",LEFT(TH!M832,2)="15"),TK!$E$7=TH!F832),"x","")</f>
        <v/>
      </c>
      <c r="X832" s="22" t="str">
        <f>IF(OR(TH!L832=TH!$X$7,M832=TH!$X$7),"x","")</f>
        <v/>
      </c>
      <c r="Y832" s="22" t="str">
        <f>IF(AND(B832&lt;=NKC!$N$8,B832&gt;=NKC!$M$8),"x","")</f>
        <v/>
      </c>
      <c r="Z832" s="580">
        <v>4</v>
      </c>
      <c r="AA832" s="406"/>
      <c r="AB832" s="406"/>
      <c r="AC832" s="406"/>
    </row>
    <row r="833" spans="1:31" s="130" customFormat="1" ht="15.75" customHeight="1">
      <c r="A833" s="123" t="str">
        <f>IF(B833&lt;&gt;"",IF(AND(B833&gt;=_TM1,B833&lt;=_TM2,OR(TH!L833="1111",TH!M833="1111")),TH!D833,""),"")</f>
        <v>C38</v>
      </c>
      <c r="B833" s="12">
        <f t="shared" si="29"/>
        <v>12</v>
      </c>
      <c r="C833" s="108">
        <f t="shared" si="30"/>
        <v>42735</v>
      </c>
      <c r="D833" s="113" t="s">
        <v>1054</v>
      </c>
      <c r="E833" s="113">
        <v>42735</v>
      </c>
      <c r="F833" s="112" t="s">
        <v>626</v>
      </c>
      <c r="G833" s="303"/>
      <c r="H833" s="115" t="s">
        <v>488</v>
      </c>
      <c r="I833" s="139"/>
      <c r="J833" s="139"/>
      <c r="K833" s="410">
        <f>ROUND((2*5000+3*10000+10*15000+2*25000+30000+40000)/1.1,0)</f>
        <v>281818</v>
      </c>
      <c r="L833" s="411" t="s">
        <v>254</v>
      </c>
      <c r="M833" s="411" t="s">
        <v>46</v>
      </c>
      <c r="N833" s="22" t="str">
        <f>IF(AND('331-CT'!$E$7=TH!H833,OR(L833="331",M833="331")),"331",IF(AND(OR(L833="131",M833="131"),H833='131-CT'!$E$7),"131",""))</f>
        <v/>
      </c>
      <c r="O833" s="22" t="str">
        <f>IF(AND($B833&gt;='111'!$N$11,$B833&lt;='111'!$O$11,OR($L833=$O$7,$M833=$O$7)),"x","")</f>
        <v>x</v>
      </c>
      <c r="P833" s="22" t="str">
        <f>IF(AND($L833=$O$7,$B833&lt;'111'!$N$11),"x","")</f>
        <v/>
      </c>
      <c r="Q833" s="22" t="str">
        <f>IF(AND($M833=$O$7,$B833&lt;'111'!$N$11),"x","")</f>
        <v/>
      </c>
      <c r="R833" s="22" t="str">
        <f>IF(ISERROR(FIND('112'!$M$9,G833,1)),"",IF((AND(FIND('112'!$M$9,G833,1)&gt;=1,$B833&gt;='112'!$N$8,$B833&lt;='112'!$O$8,OR($L833='112'!$I$6,$M833='112'!$I$6))),"x",""))</f>
        <v/>
      </c>
      <c r="S833" s="22" t="str">
        <f>IF(ISERROR(FIND('112'!$M$9,G833,1)),"",IF((AND(LEFT(G833,2)=LEFT('112'!$M$9,2),B833&lt;'112'!$N$8,$L833='112'!$I$6)),"x",""))</f>
        <v/>
      </c>
      <c r="T833" s="22" t="str">
        <f>IF(ISERROR(FIND('112'!$M$9,G833,1)),"",IF((AND(RIGHT(G833,2)=RIGHT('112'!$M$9,2),B833&lt;'112'!$N$8,$M833='112'!$I$6)),"x",""))</f>
        <v/>
      </c>
      <c r="U833" s="22" t="str">
        <f>IF(AND(B833&gt;='IN-NX'!$P$3,B833&lt;='IN-NX'!$Q$3,'IN-NX'!$D$7=D833,OR(LEFT(L833,2)="15",AND(LEFT(M833,2)&lt;&gt;"15",LEFT(M833,2)&lt;&gt;"33"))),"x","")</f>
        <v/>
      </c>
      <c r="V833" s="22" t="str">
        <f>IF(AND(OR(LEFT(TH!L833,2)="15",LEFT(TH!M833,2)="15"),'152-CT'!$J$8=TH!F833),"x","")</f>
        <v/>
      </c>
      <c r="W833" s="22" t="str">
        <f>IF(AND(OR(LEFT(TH!L833,2)="15",LEFT(TH!M833,2)="15"),TK!$E$7=TH!F833),"x","")</f>
        <v/>
      </c>
      <c r="X833" s="22" t="str">
        <f>IF(OR(TH!L833=TH!$X$7,M833=TH!$X$7),"x","")</f>
        <v/>
      </c>
      <c r="Y833" s="22" t="str">
        <f>IF(AND(B833&lt;=NKC!$N$8,B833&gt;=NKC!$M$8),"x","")</f>
        <v/>
      </c>
      <c r="Z833" s="580">
        <v>4</v>
      </c>
      <c r="AA833" s="406"/>
      <c r="AB833" s="406"/>
      <c r="AC833" s="406"/>
    </row>
    <row r="834" spans="1:31" s="406" customFormat="1" ht="15.75" customHeight="1">
      <c r="A834" s="123" t="str">
        <f>IF(B834&lt;&gt;"",IF(AND(B834&gt;=_TM1,B834&lt;=_TM2,OR(TH!L834="1111",TH!M834="1111")),TH!D834,""),"")</f>
        <v>C38</v>
      </c>
      <c r="B834" s="12">
        <f t="shared" si="29"/>
        <v>12</v>
      </c>
      <c r="C834" s="108">
        <f t="shared" si="30"/>
        <v>42735</v>
      </c>
      <c r="D834" s="113" t="s">
        <v>1054</v>
      </c>
      <c r="E834" s="113">
        <v>42735</v>
      </c>
      <c r="F834" s="112" t="s">
        <v>627</v>
      </c>
      <c r="G834" s="303"/>
      <c r="H834" s="115" t="s">
        <v>488</v>
      </c>
      <c r="I834" s="139"/>
      <c r="J834" s="139"/>
      <c r="K834" s="410">
        <v>28182</v>
      </c>
      <c r="L834" s="411" t="s">
        <v>9</v>
      </c>
      <c r="M834" s="411" t="s">
        <v>46</v>
      </c>
      <c r="N834" s="22" t="str">
        <f>IF(AND('331-CT'!$E$7=TH!H834,OR(L834="331",M834="331")),"331",IF(AND(OR(L834="131",M834="131"),H834='131-CT'!$E$7),"131",""))</f>
        <v/>
      </c>
      <c r="O834" s="22" t="str">
        <f>IF(AND($B834&gt;='111'!$N$11,$B834&lt;='111'!$O$11,OR($L834=$O$7,$M834=$O$7)),"x","")</f>
        <v>x</v>
      </c>
      <c r="P834" s="22" t="str">
        <f>IF(AND($L834=$O$7,$B834&lt;'111'!$N$11),"x","")</f>
        <v/>
      </c>
      <c r="Q834" s="22" t="str">
        <f>IF(AND($M834=$O$7,$B834&lt;'111'!$N$11),"x","")</f>
        <v/>
      </c>
      <c r="R834" s="22" t="str">
        <f>IF(ISERROR(FIND('112'!$M$9,G834,1)),"",IF((AND(FIND('112'!$M$9,G834,1)&gt;=1,$B834&gt;='112'!$N$8,$B834&lt;='112'!$O$8,OR($L834='112'!$I$6,$M834='112'!$I$6))),"x",""))</f>
        <v/>
      </c>
      <c r="S834" s="22" t="str">
        <f>IF(ISERROR(FIND('112'!$M$9,G834,1)),"",IF((AND(LEFT(G834,2)=LEFT('112'!$M$9,2),B834&lt;'112'!$N$8,$L834='112'!$I$6)),"x",""))</f>
        <v/>
      </c>
      <c r="T834" s="22" t="str">
        <f>IF(ISERROR(FIND('112'!$M$9,G834,1)),"",IF((AND(RIGHT(G834,2)=RIGHT('112'!$M$9,2),B834&lt;'112'!$N$8,$M834='112'!$I$6)),"x",""))</f>
        <v/>
      </c>
      <c r="U834" s="22" t="str">
        <f>IF(AND(B834&gt;='IN-NX'!$P$3,B834&lt;='IN-NX'!$Q$3,'IN-NX'!$D$7=D834,OR(LEFT(L834,2)="15",AND(LEFT(M834,2)&lt;&gt;"15",LEFT(M834,2)&lt;&gt;"33"))),"x","")</f>
        <v/>
      </c>
      <c r="V834" s="22" t="str">
        <f>IF(AND(OR(LEFT(TH!L834,2)="15",LEFT(TH!M834,2)="15"),'152-CT'!$J$8=TH!F834),"x","")</f>
        <v/>
      </c>
      <c r="W834" s="22" t="str">
        <f>IF(AND(OR(LEFT(TH!L834,2)="15",LEFT(TH!M834,2)="15"),TK!$E$7=TH!F834),"x","")</f>
        <v/>
      </c>
      <c r="X834" s="22" t="str">
        <f>IF(OR(TH!L834=TH!$X$7,M834=TH!$X$7),"x","")</f>
        <v/>
      </c>
      <c r="Y834" s="22" t="str">
        <f>IF(AND(B834&lt;=NKC!$N$8,B834&gt;=NKC!$M$8),"x","")</f>
        <v/>
      </c>
      <c r="Z834" s="580">
        <v>4</v>
      </c>
      <c r="AD834" s="130"/>
      <c r="AE834" s="130"/>
    </row>
    <row r="835" spans="1:31" s="130" customFormat="1" ht="15.75" customHeight="1">
      <c r="A835" s="123" t="str">
        <f>IF(B835&lt;&gt;"",IF(AND(B835&gt;=_TM1,B835&lt;=_TM2,OR(TH!L835="1111",TH!M835="1111")),TH!D835,""),"")</f>
        <v/>
      </c>
      <c r="B835" s="12">
        <f t="shared" si="29"/>
        <v>12</v>
      </c>
      <c r="C835" s="108">
        <f t="shared" si="30"/>
        <v>42735</v>
      </c>
      <c r="D835" s="108" t="s">
        <v>1082</v>
      </c>
      <c r="E835" s="113">
        <v>42735</v>
      </c>
      <c r="F835" s="114" t="s">
        <v>502</v>
      </c>
      <c r="G835" s="303" t="s">
        <v>944</v>
      </c>
      <c r="H835" s="4" t="s">
        <v>367</v>
      </c>
      <c r="I835" s="139">
        <f>1600+208</f>
        <v>1808</v>
      </c>
      <c r="J835" s="139">
        <v>13800</v>
      </c>
      <c r="K835" s="13">
        <f>ROUND(I835*J835,0)</f>
        <v>24950400</v>
      </c>
      <c r="L835" s="116" t="s">
        <v>252</v>
      </c>
      <c r="M835" s="411" t="s">
        <v>169</v>
      </c>
      <c r="N835" s="22" t="str">
        <f>IF(AND('331-CT'!$E$7=TH!H835,OR(L835="331",M835="331")),"331",IF(AND(OR(L835="131",M835="131"),H835='131-CT'!$E$7),"131",""))</f>
        <v/>
      </c>
      <c r="O835" s="22" t="str">
        <f>IF(AND($B835&gt;='111'!$N$11,$B835&lt;='111'!$O$11,OR($L835=$O$7,$M835=$O$7)),"x","")</f>
        <v/>
      </c>
      <c r="P835" s="22" t="str">
        <f>IF(AND($L835=$O$7,$B835&lt;'111'!$N$11),"x","")</f>
        <v/>
      </c>
      <c r="Q835" s="22" t="str">
        <f>IF(AND($M835=$O$7,$B835&lt;'111'!$N$11),"x","")</f>
        <v/>
      </c>
      <c r="R835" s="22" t="str">
        <f>IF(ISERROR(FIND('112'!$M$9,G835,1)),"",IF((AND(FIND('112'!$M$9,G835,1)&gt;=1,$B835&gt;='112'!$N$8,$B835&lt;='112'!$O$8,OR($L835='112'!$I$6,$M835='112'!$I$6))),"x",""))</f>
        <v/>
      </c>
      <c r="S835" s="22" t="str">
        <f>IF(ISERROR(FIND('112'!$M$9,G835,1)),"",IF((AND(LEFT(G835,2)=LEFT('112'!$M$9,2),B835&lt;'112'!$N$8,$L835='112'!$I$6)),"x",""))</f>
        <v/>
      </c>
      <c r="T835" s="22" t="str">
        <f>IF(ISERROR(FIND('112'!$M$9,G835,1)),"",IF((AND(RIGHT(G835,2)=RIGHT('112'!$M$9,2),B835&lt;'112'!$N$8,$M835='112'!$I$6)),"x",""))</f>
        <v/>
      </c>
      <c r="U835" s="22" t="str">
        <f>IF(AND(B835&gt;='IN-NX'!$P$3,B835&lt;='IN-NX'!$Q$3,'IN-NX'!$D$7=D835,OR(LEFT(L835,2)="15",AND(LEFT(M835,2)&lt;&gt;"15",LEFT(M835,2)&lt;&gt;"33"))),"x","")</f>
        <v>x</v>
      </c>
      <c r="V835" s="22" t="str">
        <f>IF(AND(OR(LEFT(TH!L835,2)="15",LEFT(TH!M835,2)="15"),'152-CT'!$J$8=TH!F835),"x","")</f>
        <v/>
      </c>
      <c r="W835" s="22" t="str">
        <f>IF(AND(OR(LEFT(TH!L835,2)="15",LEFT(TH!M835,2)="15"),TK!$E$7=TH!F835),"x","")</f>
        <v/>
      </c>
      <c r="X835" s="22" t="str">
        <f>IF(OR(TH!L835=TH!$X$7,M835=TH!$X$7),"x","")</f>
        <v/>
      </c>
      <c r="Y835" s="22" t="str">
        <f>IF(AND(B835&lt;=NKC!$N$8,B835&gt;=NKC!$M$8),"x","")</f>
        <v/>
      </c>
      <c r="Z835" s="580"/>
      <c r="AA835" s="406"/>
      <c r="AB835" s="406"/>
      <c r="AC835" s="406"/>
    </row>
    <row r="836" spans="1:31" s="406" customFormat="1" ht="15.75" customHeight="1">
      <c r="A836" s="123" t="str">
        <f>IF(B836&lt;&gt;"",IF(AND(B836&gt;=_TM1,B836&lt;=_TM2,OR(TH!L836="1111",TH!M836="1111")),TH!D836,""),"")</f>
        <v/>
      </c>
      <c r="B836" s="12">
        <f t="shared" si="29"/>
        <v>12</v>
      </c>
      <c r="C836" s="108">
        <f t="shared" si="30"/>
        <v>42735</v>
      </c>
      <c r="D836" s="108" t="s">
        <v>1082</v>
      </c>
      <c r="E836" s="113">
        <v>42735</v>
      </c>
      <c r="F836" s="114" t="s">
        <v>377</v>
      </c>
      <c r="G836" s="303" t="s">
        <v>944</v>
      </c>
      <c r="H836" s="4" t="s">
        <v>367</v>
      </c>
      <c r="I836" s="140">
        <v>3616</v>
      </c>
      <c r="J836" s="139">
        <v>1300</v>
      </c>
      <c r="K836" s="13">
        <f>ROUND(I836*J836,0)</f>
        <v>4700800</v>
      </c>
      <c r="L836" s="116" t="s">
        <v>252</v>
      </c>
      <c r="M836" s="411" t="s">
        <v>169</v>
      </c>
      <c r="N836" s="22" t="str">
        <f>IF(AND('331-CT'!$E$7=TH!H836,OR(L836="331",M836="331")),"331",IF(AND(OR(L836="131",M836="131"),H836='131-CT'!$E$7),"131",""))</f>
        <v/>
      </c>
      <c r="O836" s="22" t="str">
        <f>IF(AND($B836&gt;='111'!$N$11,$B836&lt;='111'!$O$11,OR($L836=$O$7,$M836=$O$7)),"x","")</f>
        <v/>
      </c>
      <c r="P836" s="22" t="str">
        <f>IF(AND($L836=$O$7,$B836&lt;'111'!$N$11),"x","")</f>
        <v/>
      </c>
      <c r="Q836" s="22" t="str">
        <f>IF(AND($M836=$O$7,$B836&lt;'111'!$N$11),"x","")</f>
        <v/>
      </c>
      <c r="R836" s="22" t="str">
        <f>IF(ISERROR(FIND('112'!$M$9,G836,1)),"",IF((AND(FIND('112'!$M$9,G836,1)&gt;=1,$B836&gt;='112'!$N$8,$B836&lt;='112'!$O$8,OR($L836='112'!$I$6,$M836='112'!$I$6))),"x",""))</f>
        <v/>
      </c>
      <c r="S836" s="22" t="str">
        <f>IF(ISERROR(FIND('112'!$M$9,G836,1)),"",IF((AND(LEFT(G836,2)=LEFT('112'!$M$9,2),B836&lt;'112'!$N$8,$L836='112'!$I$6)),"x",""))</f>
        <v/>
      </c>
      <c r="T836" s="22" t="str">
        <f>IF(ISERROR(FIND('112'!$M$9,G836,1)),"",IF((AND(RIGHT(G836,2)=RIGHT('112'!$M$9,2),B836&lt;'112'!$N$8,$M836='112'!$I$6)),"x",""))</f>
        <v/>
      </c>
      <c r="U836" s="22" t="str">
        <f>IF(AND(B836&gt;='IN-NX'!$P$3,B836&lt;='IN-NX'!$Q$3,'IN-NX'!$D$7=D836,OR(LEFT(L836,2)="15",AND(LEFT(M836,2)&lt;&gt;"15",LEFT(M836,2)&lt;&gt;"33"))),"x","")</f>
        <v>x</v>
      </c>
      <c r="V836" s="22" t="str">
        <f>IF(AND(OR(LEFT(TH!L836,2)="15",LEFT(TH!M836,2)="15"),'152-CT'!$J$8=TH!F836),"x","")</f>
        <v/>
      </c>
      <c r="W836" s="22" t="str">
        <f>IF(AND(OR(LEFT(TH!L836,2)="15",LEFT(TH!M836,2)="15"),TK!$E$7=TH!F836),"x","")</f>
        <v/>
      </c>
      <c r="X836" s="22" t="str">
        <f>IF(OR(TH!L836=TH!$X$7,M836=TH!$X$7),"x","")</f>
        <v/>
      </c>
      <c r="Y836" s="22" t="str">
        <f>IF(AND(B836&lt;=NKC!$N$8,B836&gt;=NKC!$M$8),"x","")</f>
        <v/>
      </c>
      <c r="Z836" s="580"/>
      <c r="AD836" s="130"/>
      <c r="AE836" s="130"/>
    </row>
    <row r="837" spans="1:31" s="130" customFormat="1" ht="15.75" customHeight="1">
      <c r="A837" s="123" t="str">
        <f>IF(B837&lt;&gt;"",IF(AND(B837&gt;=_TM1,B837&lt;=_TM2,OR(TH!L837="1111",TH!M837="1111")),TH!D837,""),"")</f>
        <v/>
      </c>
      <c r="B837" s="12">
        <f t="shared" si="29"/>
        <v>12</v>
      </c>
      <c r="C837" s="108">
        <f t="shared" si="30"/>
        <v>42735</v>
      </c>
      <c r="D837" s="108" t="s">
        <v>1082</v>
      </c>
      <c r="E837" s="113">
        <v>42735</v>
      </c>
      <c r="F837" s="112" t="s">
        <v>496</v>
      </c>
      <c r="G837" s="303" t="s">
        <v>944</v>
      </c>
      <c r="H837" s="4" t="s">
        <v>367</v>
      </c>
      <c r="I837" s="139"/>
      <c r="J837" s="139"/>
      <c r="K837" s="13">
        <v>2965120</v>
      </c>
      <c r="L837" s="116" t="s">
        <v>252</v>
      </c>
      <c r="M837" s="411" t="s">
        <v>352</v>
      </c>
      <c r="N837" s="22" t="str">
        <f>IF(AND('331-CT'!$E$7=TH!H837,OR(L837="331",M837="331")),"331",IF(AND(OR(L837="131",M837="131"),H837='131-CT'!$E$7),"131",""))</f>
        <v/>
      </c>
      <c r="O837" s="22" t="str">
        <f>IF(AND($B837&gt;='111'!$N$11,$B837&lt;='111'!$O$11,OR($L837=$O$7,$M837=$O$7)),"x","")</f>
        <v/>
      </c>
      <c r="P837" s="22" t="str">
        <f>IF(AND($L837=$O$7,$B837&lt;'111'!$N$11),"x","")</f>
        <v/>
      </c>
      <c r="Q837" s="22" t="str">
        <f>IF(AND($M837=$O$7,$B837&lt;'111'!$N$11),"x","")</f>
        <v/>
      </c>
      <c r="R837" s="22" t="str">
        <f>IF(ISERROR(FIND('112'!$M$9,G837,1)),"",IF((AND(FIND('112'!$M$9,G837,1)&gt;=1,$B837&gt;='112'!$N$8,$B837&lt;='112'!$O$8,OR($L837='112'!$I$6,$M837='112'!$I$6))),"x",""))</f>
        <v/>
      </c>
      <c r="S837" s="22" t="str">
        <f>IF(ISERROR(FIND('112'!$M$9,G837,1)),"",IF((AND(LEFT(G837,2)=LEFT('112'!$M$9,2),B837&lt;'112'!$N$8,$L837='112'!$I$6)),"x",""))</f>
        <v/>
      </c>
      <c r="T837" s="22" t="str">
        <f>IF(ISERROR(FIND('112'!$M$9,G837,1)),"",IF((AND(RIGHT(G837,2)=RIGHT('112'!$M$9,2),B837&lt;'112'!$N$8,$M837='112'!$I$6)),"x",""))</f>
        <v/>
      </c>
      <c r="U837" s="22" t="str">
        <f>IF(AND(B837&gt;='IN-NX'!$P$3,B837&lt;='IN-NX'!$Q$3,'IN-NX'!$D$7=D837,OR(LEFT(L837,2)="15",AND(LEFT(M837,2)&lt;&gt;"15",LEFT(M837,2)&lt;&gt;"33"))),"x","")</f>
        <v/>
      </c>
      <c r="V837" s="22" t="str">
        <f>IF(AND(OR(LEFT(TH!L837,2)="15",LEFT(TH!M837,2)="15"),'152-CT'!$J$8=TH!F837),"x","")</f>
        <v/>
      </c>
      <c r="W837" s="22" t="str">
        <f>IF(AND(OR(LEFT(TH!L837,2)="15",LEFT(TH!M837,2)="15"),TK!$E$7=TH!F837),"x","")</f>
        <v/>
      </c>
      <c r="X837" s="22" t="str">
        <f>IF(OR(TH!L837=TH!$X$7,M837=TH!$X$7),"x","")</f>
        <v/>
      </c>
      <c r="Y837" s="22" t="str">
        <f>IF(AND(B837&lt;=NKC!$N$8,B837&gt;=NKC!$M$8),"x","")</f>
        <v/>
      </c>
      <c r="Z837" s="580"/>
      <c r="AA837" s="406"/>
      <c r="AB837" s="406"/>
      <c r="AC837" s="406"/>
    </row>
    <row r="838" spans="1:31" s="588" customFormat="1" ht="15.75" customHeight="1">
      <c r="A838" s="123" t="str">
        <f>IF(B838&lt;&gt;"",IF(AND(B838&gt;=_TM1,B838&lt;=_TM2,OR(TH!L838="1111",TH!M838="1111")),TH!D838,""),"")</f>
        <v/>
      </c>
      <c r="B838" s="585">
        <f t="shared" ref="B838:B868" si="33">IF(C838&lt;&gt;"",MONTH(C838),"")</f>
        <v>8</v>
      </c>
      <c r="C838" s="586">
        <f t="shared" ref="C838" si="34">E838</f>
        <v>42599</v>
      </c>
      <c r="D838" s="569" t="s">
        <v>1022</v>
      </c>
      <c r="E838" s="569">
        <v>42599</v>
      </c>
      <c r="F838" s="570" t="s">
        <v>449</v>
      </c>
      <c r="G838" s="570" t="s">
        <v>728</v>
      </c>
      <c r="H838" s="587" t="s">
        <v>617</v>
      </c>
      <c r="I838" s="137">
        <v>206</v>
      </c>
      <c r="J838" s="137">
        <v>8900</v>
      </c>
      <c r="K838" s="21">
        <f t="shared" ref="K838" si="35">ROUND(I838*J838,0)</f>
        <v>1833400</v>
      </c>
      <c r="L838" s="567" t="s">
        <v>167</v>
      </c>
      <c r="M838" s="567" t="s">
        <v>154</v>
      </c>
      <c r="N838" s="22" t="str">
        <f>IF(AND('331-CT'!$E$7=TH!H838,OR(L838="331",M838="331")),"331",IF(AND(OR(L838="131",M838="131"),H838='131-CT'!$E$7),"131",""))</f>
        <v/>
      </c>
      <c r="O838" s="22" t="str">
        <f>IF(AND($B838&gt;='111'!$N$11,$B838&lt;='111'!$O$11,OR($L838=$O$7,$M838=$O$7)),"x","")</f>
        <v/>
      </c>
      <c r="P838" s="22" t="str">
        <f>IF(AND($L838=$O$7,$B838&lt;'111'!$N$11),"x","")</f>
        <v/>
      </c>
      <c r="Q838" s="22" t="str">
        <f>IF(AND($M838=$O$7,$B838&lt;'111'!$N$11),"x","")</f>
        <v/>
      </c>
      <c r="R838" s="22" t="str">
        <f>IF(ISERROR(FIND('112'!$M$9,G838,1)),"",IF((AND(FIND('112'!$M$9,G838,1)&gt;=1,$B838&gt;='112'!$N$8,$B838&lt;='112'!$O$8,OR($L838='112'!$I$6,$M838='112'!$I$6))),"x",""))</f>
        <v/>
      </c>
      <c r="S838" s="22" t="str">
        <f>IF(ISERROR(FIND('112'!$M$9,G838,1)),"",IF((AND(LEFT(G838,2)=LEFT('112'!$M$9,2),B838&lt;'112'!$N$8,$L838='112'!$I$6)),"x",""))</f>
        <v/>
      </c>
      <c r="T838" s="22" t="str">
        <f>IF(ISERROR(FIND('112'!$M$9,G838,1)),"",IF((AND(RIGHT(G838,2)=RIGHT('112'!$M$9,2),B838&lt;'112'!$N$8,$M838='112'!$I$6)),"x",""))</f>
        <v/>
      </c>
      <c r="U838" s="22" t="str">
        <f>IF(AND(B838&gt;='IN-NX'!$P$3,B838&lt;='IN-NX'!$Q$3,'IN-NX'!$D$7=D838,OR(LEFT(L838,2)="15",AND(LEFT(M838,2)&lt;&gt;"15",LEFT(M838,2)&lt;&gt;"33"))),"x","")</f>
        <v/>
      </c>
      <c r="V838" s="22" t="str">
        <f>IF(AND(OR(LEFT(TH!L838,2)="15",LEFT(TH!M838,2)="15"),'152-CT'!$J$8=TH!F838),"x","")</f>
        <v/>
      </c>
      <c r="W838" s="22" t="str">
        <f>IF(AND(OR(LEFT(TH!L838,2)="15",LEFT(TH!M838,2)="15"),TK!$E$7=TH!F838),"x","")</f>
        <v/>
      </c>
      <c r="X838" s="22" t="str">
        <f>IF(OR(TH!L838=TH!$X$7,M838=TH!$X$7),"x","")</f>
        <v/>
      </c>
      <c r="Y838" s="22" t="str">
        <f>IF(AND(B838&lt;=NKC!$N$8,B838&gt;=NKC!$M$8),"x","")</f>
        <v>x</v>
      </c>
      <c r="Z838" s="580"/>
      <c r="AD838" s="589"/>
      <c r="AE838" s="589"/>
    </row>
    <row r="839" spans="1:31" s="588" customFormat="1" ht="15.75" customHeight="1">
      <c r="A839" s="123" t="str">
        <f>IF(B839&lt;&gt;"",IF(AND(B839&gt;=_TM1,B839&lt;=_TM2,OR(TH!L839="1111",TH!M839="1111")),TH!D839,""),"")</f>
        <v/>
      </c>
      <c r="B839" s="585">
        <f t="shared" si="33"/>
        <v>8</v>
      </c>
      <c r="C839" s="586">
        <f t="shared" ref="C839:C849" si="36">E839</f>
        <v>42601</v>
      </c>
      <c r="D839" s="569" t="s">
        <v>1022</v>
      </c>
      <c r="E839" s="569">
        <v>42601</v>
      </c>
      <c r="F839" s="570" t="s">
        <v>449</v>
      </c>
      <c r="G839" s="570" t="s">
        <v>729</v>
      </c>
      <c r="H839" s="570" t="s">
        <v>551</v>
      </c>
      <c r="I839" s="137">
        <v>166</v>
      </c>
      <c r="J839" s="137">
        <v>8900</v>
      </c>
      <c r="K839" s="21">
        <f t="shared" ref="K839:K842" si="37">ROUND(I839*J839,0)</f>
        <v>1477400</v>
      </c>
      <c r="L839" s="567" t="s">
        <v>167</v>
      </c>
      <c r="M839" s="567" t="s">
        <v>154</v>
      </c>
      <c r="N839" s="22" t="str">
        <f>IF(AND('331-CT'!$E$7=TH!H839,OR(L839="331",M839="331")),"331",IF(AND(OR(L839="131",M839="131"),H839='131-CT'!$E$7),"131",""))</f>
        <v/>
      </c>
      <c r="O839" s="22" t="str">
        <f>IF(AND($B839&gt;='111'!$N$11,$B839&lt;='111'!$O$11,OR($L839=$O$7,$M839=$O$7)),"x","")</f>
        <v/>
      </c>
      <c r="P839" s="22" t="str">
        <f>IF(AND($L839=$O$7,$B839&lt;'111'!$N$11),"x","")</f>
        <v/>
      </c>
      <c r="Q839" s="22" t="str">
        <f>IF(AND($M839=$O$7,$B839&lt;'111'!$N$11),"x","")</f>
        <v/>
      </c>
      <c r="R839" s="22" t="str">
        <f>IF(ISERROR(FIND('112'!$M$9,G839,1)),"",IF((AND(FIND('112'!$M$9,G839,1)&gt;=1,$B839&gt;='112'!$N$8,$B839&lt;='112'!$O$8,OR($L839='112'!$I$6,$M839='112'!$I$6))),"x",""))</f>
        <v/>
      </c>
      <c r="S839" s="22" t="str">
        <f>IF(ISERROR(FIND('112'!$M$9,G839,1)),"",IF((AND(LEFT(G839,2)=LEFT('112'!$M$9,2),B839&lt;'112'!$N$8,$L839='112'!$I$6)),"x",""))</f>
        <v/>
      </c>
      <c r="T839" s="22" t="str">
        <f>IF(ISERROR(FIND('112'!$M$9,G839,1)),"",IF((AND(RIGHT(G839,2)=RIGHT('112'!$M$9,2),B839&lt;'112'!$N$8,$M839='112'!$I$6)),"x",""))</f>
        <v/>
      </c>
      <c r="U839" s="22" t="str">
        <f>IF(AND(B839&gt;='IN-NX'!$P$3,B839&lt;='IN-NX'!$Q$3,'IN-NX'!$D$7=D839,OR(LEFT(L839,2)="15",AND(LEFT(M839,2)&lt;&gt;"15",LEFT(M839,2)&lt;&gt;"33"))),"x","")</f>
        <v/>
      </c>
      <c r="V839" s="22" t="str">
        <f>IF(AND(OR(LEFT(TH!L839,2)="15",LEFT(TH!M839,2)="15"),'152-CT'!$J$8=TH!F839),"x","")</f>
        <v/>
      </c>
      <c r="W839" s="22" t="str">
        <f>IF(AND(OR(LEFT(TH!L839,2)="15",LEFT(TH!M839,2)="15"),TK!$E$7=TH!F839),"x","")</f>
        <v/>
      </c>
      <c r="X839" s="22" t="str">
        <f>IF(OR(TH!L839=TH!$X$7,M839=TH!$X$7),"x","")</f>
        <v/>
      </c>
      <c r="Y839" s="22" t="str">
        <f>IF(AND(B839&lt;=NKC!$N$8,B839&gt;=NKC!$M$8),"x","")</f>
        <v>x</v>
      </c>
      <c r="Z839" s="580"/>
      <c r="AD839" s="589"/>
      <c r="AE839" s="589"/>
    </row>
    <row r="840" spans="1:31" s="588" customFormat="1" ht="15.75" customHeight="1">
      <c r="A840" s="123" t="str">
        <f>IF(B840&lt;&gt;"",IF(AND(B840&gt;=_TM1,B840&lt;=_TM2,OR(TH!L840="1111",TH!M840="1111")),TH!D840,""),"")</f>
        <v/>
      </c>
      <c r="B840" s="585">
        <f t="shared" si="33"/>
        <v>9</v>
      </c>
      <c r="C840" s="586">
        <f t="shared" si="36"/>
        <v>42619</v>
      </c>
      <c r="D840" s="569" t="s">
        <v>1022</v>
      </c>
      <c r="E840" s="569">
        <v>42619</v>
      </c>
      <c r="F840" s="570" t="s">
        <v>449</v>
      </c>
      <c r="G840" s="571" t="s">
        <v>747</v>
      </c>
      <c r="H840" s="590" t="s">
        <v>617</v>
      </c>
      <c r="I840" s="591">
        <v>212</v>
      </c>
      <c r="J840" s="137">
        <v>8900</v>
      </c>
      <c r="K840" s="21">
        <f t="shared" si="37"/>
        <v>1886800</v>
      </c>
      <c r="L840" s="567" t="s">
        <v>167</v>
      </c>
      <c r="M840" s="567" t="s">
        <v>154</v>
      </c>
      <c r="N840" s="22" t="str">
        <f>IF(AND('331-CT'!$E$7=TH!H840,OR(L840="331",M840="331")),"331",IF(AND(OR(L840="131",M840="131"),H840='131-CT'!$E$7),"131",""))</f>
        <v/>
      </c>
      <c r="O840" s="22" t="str">
        <f>IF(AND($B840&gt;='111'!$N$11,$B840&lt;='111'!$O$11,OR($L840=$O$7,$M840=$O$7)),"x","")</f>
        <v/>
      </c>
      <c r="P840" s="22" t="str">
        <f>IF(AND($L840=$O$7,$B840&lt;'111'!$N$11),"x","")</f>
        <v/>
      </c>
      <c r="Q840" s="22" t="str">
        <f>IF(AND($M840=$O$7,$B840&lt;'111'!$N$11),"x","")</f>
        <v/>
      </c>
      <c r="R840" s="22" t="str">
        <f>IF(ISERROR(FIND('112'!$M$9,G840,1)),"",IF((AND(FIND('112'!$M$9,G840,1)&gt;=1,$B840&gt;='112'!$N$8,$B840&lt;='112'!$O$8,OR($L840='112'!$I$6,$M840='112'!$I$6))),"x",""))</f>
        <v/>
      </c>
      <c r="S840" s="22" t="str">
        <f>IF(ISERROR(FIND('112'!$M$9,G840,1)),"",IF((AND(LEFT(G840,2)=LEFT('112'!$M$9,2),B840&lt;'112'!$N$8,$L840='112'!$I$6)),"x",""))</f>
        <v/>
      </c>
      <c r="T840" s="22" t="str">
        <f>IF(ISERROR(FIND('112'!$M$9,G840,1)),"",IF((AND(RIGHT(G840,2)=RIGHT('112'!$M$9,2),B840&lt;'112'!$N$8,$M840='112'!$I$6)),"x",""))</f>
        <v/>
      </c>
      <c r="U840" s="22" t="str">
        <f>IF(AND(B840&gt;='IN-NX'!$P$3,B840&lt;='IN-NX'!$Q$3,'IN-NX'!$D$7=D840,OR(LEFT(L840,2)="15",AND(LEFT(M840,2)&lt;&gt;"15",LEFT(M840,2)&lt;&gt;"33"))),"x","")</f>
        <v/>
      </c>
      <c r="V840" s="22" t="str">
        <f>IF(AND(OR(LEFT(TH!L840,2)="15",LEFT(TH!M840,2)="15"),'152-CT'!$J$8=TH!F840),"x","")</f>
        <v/>
      </c>
      <c r="W840" s="22" t="str">
        <f>IF(AND(OR(LEFT(TH!L840,2)="15",LEFT(TH!M840,2)="15"),TK!$E$7=TH!F840),"x","")</f>
        <v/>
      </c>
      <c r="X840" s="22" t="str">
        <f>IF(OR(TH!L840=TH!$X$7,M840=TH!$X$7),"x","")</f>
        <v/>
      </c>
      <c r="Y840" s="22" t="str">
        <f>IF(AND(B840&lt;=NKC!$N$8,B840&gt;=NKC!$M$8),"x","")</f>
        <v>x</v>
      </c>
      <c r="Z840" s="580"/>
      <c r="AB840" s="589"/>
      <c r="AC840" s="589"/>
    </row>
    <row r="841" spans="1:31" s="588" customFormat="1" ht="15.75" customHeight="1">
      <c r="A841" s="123" t="str">
        <f>IF(B841&lt;&gt;"",IF(AND(B841&gt;=_TM1,B841&lt;=_TM2,OR(TH!L841="1111",TH!M841="1111")),TH!D841,""),"")</f>
        <v/>
      </c>
      <c r="B841" s="585">
        <f t="shared" si="33"/>
        <v>9</v>
      </c>
      <c r="C841" s="586">
        <f t="shared" si="36"/>
        <v>42619</v>
      </c>
      <c r="D841" s="569" t="s">
        <v>1022</v>
      </c>
      <c r="E841" s="569">
        <v>42619</v>
      </c>
      <c r="F841" s="570" t="s">
        <v>449</v>
      </c>
      <c r="G841" s="571" t="s">
        <v>749</v>
      </c>
      <c r="H841" s="590" t="s">
        <v>551</v>
      </c>
      <c r="I841" s="137">
        <v>247</v>
      </c>
      <c r="J841" s="137">
        <v>8900</v>
      </c>
      <c r="K841" s="21">
        <f t="shared" si="37"/>
        <v>2198300</v>
      </c>
      <c r="L841" s="567" t="s">
        <v>167</v>
      </c>
      <c r="M841" s="567" t="s">
        <v>154</v>
      </c>
      <c r="N841" s="22" t="str">
        <f>IF(AND('331-CT'!$E$7=TH!H841,OR(L841="331",M841="331")),"331",IF(AND(OR(L841="131",M841="131"),H841='131-CT'!$E$7),"131",""))</f>
        <v/>
      </c>
      <c r="O841" s="22" t="str">
        <f>IF(AND($B841&gt;='111'!$N$11,$B841&lt;='111'!$O$11,OR($L841=$O$7,$M841=$O$7)),"x","")</f>
        <v/>
      </c>
      <c r="P841" s="22" t="str">
        <f>IF(AND($L841=$O$7,$B841&lt;'111'!$N$11),"x","")</f>
        <v/>
      </c>
      <c r="Q841" s="22" t="str">
        <f>IF(AND($M841=$O$7,$B841&lt;'111'!$N$11),"x","")</f>
        <v/>
      </c>
      <c r="R841" s="22" t="str">
        <f>IF(ISERROR(FIND('112'!$M$9,G841,1)),"",IF((AND(FIND('112'!$M$9,G841,1)&gt;=1,$B841&gt;='112'!$N$8,$B841&lt;='112'!$O$8,OR($L841='112'!$I$6,$M841='112'!$I$6))),"x",""))</f>
        <v/>
      </c>
      <c r="S841" s="22" t="str">
        <f>IF(ISERROR(FIND('112'!$M$9,G841,1)),"",IF((AND(LEFT(G841,2)=LEFT('112'!$M$9,2),B841&lt;'112'!$N$8,$L841='112'!$I$6)),"x",""))</f>
        <v/>
      </c>
      <c r="T841" s="22" t="str">
        <f>IF(ISERROR(FIND('112'!$M$9,G841,1)),"",IF((AND(RIGHT(G841,2)=RIGHT('112'!$M$9,2),B841&lt;'112'!$N$8,$M841='112'!$I$6)),"x",""))</f>
        <v/>
      </c>
      <c r="U841" s="22" t="str">
        <f>IF(AND(B841&gt;='IN-NX'!$P$3,B841&lt;='IN-NX'!$Q$3,'IN-NX'!$D$7=D841,OR(LEFT(L841,2)="15",AND(LEFT(M841,2)&lt;&gt;"15",LEFT(M841,2)&lt;&gt;"33"))),"x","")</f>
        <v/>
      </c>
      <c r="V841" s="22" t="str">
        <f>IF(AND(OR(LEFT(TH!L841,2)="15",LEFT(TH!M841,2)="15"),'152-CT'!$J$8=TH!F841),"x","")</f>
        <v/>
      </c>
      <c r="W841" s="22" t="str">
        <f>IF(AND(OR(LEFT(TH!L841,2)="15",LEFT(TH!M841,2)="15"),TK!$E$7=TH!F841),"x","")</f>
        <v/>
      </c>
      <c r="X841" s="22" t="str">
        <f>IF(OR(TH!L841=TH!$X$7,M841=TH!$X$7),"x","")</f>
        <v/>
      </c>
      <c r="Y841" s="22" t="str">
        <f>IF(AND(B841&lt;=NKC!$N$8,B841&gt;=NKC!$M$8),"x","")</f>
        <v>x</v>
      </c>
      <c r="Z841" s="580"/>
      <c r="AC841" s="589"/>
    </row>
    <row r="842" spans="1:31" s="588" customFormat="1" ht="15.75" customHeight="1">
      <c r="A842" s="123" t="str">
        <f>IF(B842&lt;&gt;"",IF(AND(B842&gt;=_TM1,B842&lt;=_TM2,OR(TH!L842="1111",TH!M842="1111")),TH!D842,""),"")</f>
        <v/>
      </c>
      <c r="B842" s="585">
        <f t="shared" si="33"/>
        <v>9</v>
      </c>
      <c r="C842" s="586">
        <f t="shared" si="36"/>
        <v>42640</v>
      </c>
      <c r="D842" s="569" t="s">
        <v>1022</v>
      </c>
      <c r="E842" s="569">
        <v>42640</v>
      </c>
      <c r="F842" s="570" t="s">
        <v>449</v>
      </c>
      <c r="G842" s="571" t="s">
        <v>434</v>
      </c>
      <c r="H842" s="590" t="s">
        <v>551</v>
      </c>
      <c r="I842" s="137">
        <v>309</v>
      </c>
      <c r="J842" s="137">
        <v>8900</v>
      </c>
      <c r="K842" s="21">
        <f t="shared" si="37"/>
        <v>2750100</v>
      </c>
      <c r="L842" s="567" t="s">
        <v>167</v>
      </c>
      <c r="M842" s="567" t="s">
        <v>154</v>
      </c>
      <c r="N842" s="22" t="str">
        <f>IF(AND('331-CT'!$E$7=TH!H842,OR(L842="331",M842="331")),"331",IF(AND(OR(L842="131",M842="131"),H842='131-CT'!$E$7),"131",""))</f>
        <v/>
      </c>
      <c r="O842" s="22" t="str">
        <f>IF(AND($B842&gt;='111'!$N$11,$B842&lt;='111'!$O$11,OR($L842=$O$7,$M842=$O$7)),"x","")</f>
        <v/>
      </c>
      <c r="P842" s="22" t="str">
        <f>IF(AND($L842=$O$7,$B842&lt;'111'!$N$11),"x","")</f>
        <v/>
      </c>
      <c r="Q842" s="22" t="str">
        <f>IF(AND($M842=$O$7,$B842&lt;'111'!$N$11),"x","")</f>
        <v/>
      </c>
      <c r="R842" s="22" t="str">
        <f>IF(ISERROR(FIND('112'!$M$9,G842,1)),"",IF((AND(FIND('112'!$M$9,G842,1)&gt;=1,$B842&gt;='112'!$N$8,$B842&lt;='112'!$O$8,OR($L842='112'!$I$6,$M842='112'!$I$6))),"x",""))</f>
        <v/>
      </c>
      <c r="S842" s="22" t="str">
        <f>IF(ISERROR(FIND('112'!$M$9,G842,1)),"",IF((AND(LEFT(G842,2)=LEFT('112'!$M$9,2),B842&lt;'112'!$N$8,$L842='112'!$I$6)),"x",""))</f>
        <v/>
      </c>
      <c r="T842" s="22" t="str">
        <f>IF(ISERROR(FIND('112'!$M$9,G842,1)),"",IF((AND(RIGHT(G842,2)=RIGHT('112'!$M$9,2),B842&lt;'112'!$N$8,$M842='112'!$I$6)),"x",""))</f>
        <v/>
      </c>
      <c r="U842" s="22" t="str">
        <f>IF(AND(B842&gt;='IN-NX'!$P$3,B842&lt;='IN-NX'!$Q$3,'IN-NX'!$D$7=D842,OR(LEFT(L842,2)="15",AND(LEFT(M842,2)&lt;&gt;"15",LEFT(M842,2)&lt;&gt;"33"))),"x","")</f>
        <v/>
      </c>
      <c r="V842" s="22" t="str">
        <f>IF(AND(OR(LEFT(TH!L842,2)="15",LEFT(TH!M842,2)="15"),'152-CT'!$J$8=TH!F842),"x","")</f>
        <v/>
      </c>
      <c r="W842" s="22" t="str">
        <f>IF(AND(OR(LEFT(TH!L842,2)="15",LEFT(TH!M842,2)="15"),TK!$E$7=TH!F842),"x","")</f>
        <v/>
      </c>
      <c r="X842" s="22" t="str">
        <f>IF(OR(TH!L842=TH!$X$7,M842=TH!$X$7),"x","")</f>
        <v/>
      </c>
      <c r="Y842" s="22" t="str">
        <f>IF(AND(B842&lt;=NKC!$N$8,B842&gt;=NKC!$M$8),"x","")</f>
        <v>x</v>
      </c>
      <c r="Z842" s="580"/>
      <c r="AC842" s="589"/>
    </row>
    <row r="843" spans="1:31" s="588" customFormat="1" ht="15.75" customHeight="1">
      <c r="A843" s="123" t="str">
        <f>IF(B843&lt;&gt;"",IF(AND(B843&gt;=_TM1,B843&lt;=_TM2,OR(TH!L843="1111",TH!M843="1111")),TH!D843,""),"")</f>
        <v/>
      </c>
      <c r="B843" s="585">
        <f t="shared" si="33"/>
        <v>12</v>
      </c>
      <c r="C843" s="586">
        <f t="shared" si="36"/>
        <v>42724</v>
      </c>
      <c r="D843" s="569" t="s">
        <v>1022</v>
      </c>
      <c r="E843" s="569">
        <v>42724</v>
      </c>
      <c r="F843" s="570" t="s">
        <v>449</v>
      </c>
      <c r="G843" s="600" t="s">
        <v>890</v>
      </c>
      <c r="H843" s="590" t="s">
        <v>617</v>
      </c>
      <c r="I843" s="137">
        <v>243</v>
      </c>
      <c r="J843" s="137">
        <v>8900</v>
      </c>
      <c r="K843" s="21">
        <f t="shared" ref="K843:K844" si="38">ROUND(I843*J843,0)</f>
        <v>2162700</v>
      </c>
      <c r="L843" s="567" t="s">
        <v>167</v>
      </c>
      <c r="M843" s="567" t="s">
        <v>154</v>
      </c>
      <c r="N843" s="22" t="str">
        <f>IF(AND('331-CT'!$E$7=TH!H843,OR(L843="331",M843="331")),"331",IF(AND(OR(L843="131",M843="131"),H843='131-CT'!$E$7),"131",""))</f>
        <v/>
      </c>
      <c r="O843" s="22" t="str">
        <f>IF(AND($B843&gt;='111'!$N$11,$B843&lt;='111'!$O$11,OR($L843=$O$7,$M843=$O$7)),"x","")</f>
        <v/>
      </c>
      <c r="P843" s="22" t="str">
        <f>IF(AND($L843=$O$7,$B843&lt;'111'!$N$11),"x","")</f>
        <v/>
      </c>
      <c r="Q843" s="22" t="str">
        <f>IF(AND($M843=$O$7,$B843&lt;'111'!$N$11),"x","")</f>
        <v/>
      </c>
      <c r="R843" s="22" t="str">
        <f>IF(ISERROR(FIND('112'!$M$9,G843,1)),"",IF((AND(FIND('112'!$M$9,G843,1)&gt;=1,$B843&gt;='112'!$N$8,$B843&lt;='112'!$O$8,OR($L843='112'!$I$6,$M843='112'!$I$6))),"x",""))</f>
        <v/>
      </c>
      <c r="S843" s="22" t="str">
        <f>IF(ISERROR(FIND('112'!$M$9,G843,1)),"",IF((AND(LEFT(G843,2)=LEFT('112'!$M$9,2),B843&lt;'112'!$N$8,$L843='112'!$I$6)),"x",""))</f>
        <v/>
      </c>
      <c r="T843" s="22" t="str">
        <f>IF(ISERROR(FIND('112'!$M$9,G843,1)),"",IF((AND(RIGHT(G843,2)=RIGHT('112'!$M$9,2),B843&lt;'112'!$N$8,$M843='112'!$I$6)),"x",""))</f>
        <v/>
      </c>
      <c r="U843" s="22" t="str">
        <f>IF(AND(B843&gt;='IN-NX'!$P$3,B843&lt;='IN-NX'!$Q$3,'IN-NX'!$D$7=D843,OR(LEFT(L843,2)="15",AND(LEFT(M843,2)&lt;&gt;"15",LEFT(M843,2)&lt;&gt;"33"))),"x","")</f>
        <v/>
      </c>
      <c r="V843" s="22" t="str">
        <f>IF(AND(OR(LEFT(TH!L843,2)="15",LEFT(TH!M843,2)="15"),'152-CT'!$J$8=TH!F843),"x","")</f>
        <v/>
      </c>
      <c r="W843" s="22" t="str">
        <f>IF(AND(OR(LEFT(TH!L843,2)="15",LEFT(TH!M843,2)="15"),TK!$E$7=TH!F843),"x","")</f>
        <v/>
      </c>
      <c r="X843" s="22" t="str">
        <f>IF(OR(TH!L843=TH!$X$7,M843=TH!$X$7),"x","")</f>
        <v/>
      </c>
      <c r="Y843" s="22" t="str">
        <f>IF(AND(B843&lt;=NKC!$N$8,B843&gt;=NKC!$M$8),"x","")</f>
        <v/>
      </c>
      <c r="Z843" s="580"/>
      <c r="AC843" s="589"/>
      <c r="AD843" s="589"/>
      <c r="AE843" s="589"/>
    </row>
    <row r="844" spans="1:31" s="563" customFormat="1" ht="15.75" customHeight="1">
      <c r="A844" s="603" t="str">
        <f>IF(B844&lt;&gt;"",IF(AND(B844&gt;=_TM1,B844&lt;=_TM2,OR(TH!L844="1111",TH!M844="1111")),TH!D844,""),"")</f>
        <v/>
      </c>
      <c r="B844" s="556">
        <f t="shared" si="33"/>
        <v>6</v>
      </c>
      <c r="C844" s="557">
        <f t="shared" si="36"/>
        <v>42529</v>
      </c>
      <c r="D844" s="558" t="s">
        <v>1021</v>
      </c>
      <c r="E844" s="558">
        <v>42529</v>
      </c>
      <c r="F844" s="559" t="s">
        <v>405</v>
      </c>
      <c r="G844" s="559"/>
      <c r="H844" s="604" t="s">
        <v>1071</v>
      </c>
      <c r="I844" s="562">
        <v>10288</v>
      </c>
      <c r="J844" s="562">
        <v>7500</v>
      </c>
      <c r="K844" s="568">
        <f t="shared" si="38"/>
        <v>77160000</v>
      </c>
      <c r="L844" s="573" t="s">
        <v>160</v>
      </c>
      <c r="M844" s="573" t="s">
        <v>154</v>
      </c>
      <c r="N844" s="22" t="str">
        <f>IF(AND('331-CT'!$E$7=TH!H844,OR(L844="331",M844="331")),"331",IF(AND(OR(L844="131",M844="131"),H844='131-CT'!$E$7),"131",""))</f>
        <v/>
      </c>
      <c r="O844" s="22" t="str">
        <f>IF(AND($B844&gt;='111'!$N$11,$B844&lt;='111'!$O$11,OR($L844=$O$7,$M844=$O$7)),"x","")</f>
        <v/>
      </c>
      <c r="P844" s="22" t="str">
        <f>IF(AND($L844=$O$7,$B844&lt;'111'!$N$11),"x","")</f>
        <v/>
      </c>
      <c r="Q844" s="22" t="str">
        <f>IF(AND($M844=$O$7,$B844&lt;'111'!$N$11),"x","")</f>
        <v/>
      </c>
      <c r="R844" s="22" t="str">
        <f>IF(ISERROR(FIND('112'!$M$9,G844,1)),"",IF((AND(FIND('112'!$M$9,G844,1)&gt;=1,$B844&gt;='112'!$N$8,$B844&lt;='112'!$O$8,OR($L844='112'!$I$6,$M844='112'!$I$6))),"x",""))</f>
        <v/>
      </c>
      <c r="S844" s="22" t="str">
        <f>IF(ISERROR(FIND('112'!$M$9,G844,1)),"",IF((AND(LEFT(G844,2)=LEFT('112'!$M$9,2),B844&lt;'112'!$N$8,$L844='112'!$I$6)),"x",""))</f>
        <v/>
      </c>
      <c r="T844" s="22" t="str">
        <f>IF(ISERROR(FIND('112'!$M$9,G844,1)),"",IF((AND(RIGHT(G844,2)=RIGHT('112'!$M$9,2),B844&lt;'112'!$N$8,$M844='112'!$I$6)),"x",""))</f>
        <v/>
      </c>
      <c r="U844" s="22" t="str">
        <f>IF(AND(B844&gt;='IN-NX'!$P$3,B844&lt;='IN-NX'!$Q$3,'IN-NX'!$D$7=D844,OR(LEFT(L844,2)="15",AND(LEFT(M844,2)&lt;&gt;"15",LEFT(M844,2)&lt;&gt;"33"))),"x","")</f>
        <v/>
      </c>
      <c r="V844" s="22" t="str">
        <f>IF(AND(OR(LEFT(TH!L844,2)="15",LEFT(TH!M844,2)="15"),'152-CT'!$J$8=TH!F844),"x","")</f>
        <v/>
      </c>
      <c r="W844" s="22" t="str">
        <f>IF(AND(OR(LEFT(TH!L844,2)="15",LEFT(TH!M844,2)="15"),TK!$E$7=TH!F844),"x","")</f>
        <v/>
      </c>
      <c r="X844" s="22" t="str">
        <f>IF(OR(TH!L844=TH!$X$7,M844=TH!$X$7),"x","")</f>
        <v/>
      </c>
      <c r="Y844" s="22" t="str">
        <f>IF(AND(B844&lt;=NKC!$N$8,B844&gt;=NKC!$M$8),"x","")</f>
        <v/>
      </c>
      <c r="Z844" s="582"/>
      <c r="AC844" s="564"/>
      <c r="AD844" s="564"/>
      <c r="AE844" s="564"/>
    </row>
    <row r="845" spans="1:31" s="406" customFormat="1" ht="15.75" customHeight="1">
      <c r="A845" s="123" t="str">
        <f>IF(B845&lt;&gt;"",IF(AND(B845&gt;=_TM1,B845&lt;=_TM2,OR(TH!L845="1111",TH!M845="1111")),TH!D845,""),"")</f>
        <v/>
      </c>
      <c r="B845" s="12">
        <f t="shared" si="33"/>
        <v>6</v>
      </c>
      <c r="C845" s="108">
        <f t="shared" si="36"/>
        <v>42542</v>
      </c>
      <c r="D845" s="113" t="s">
        <v>1021</v>
      </c>
      <c r="E845" s="498">
        <v>42542</v>
      </c>
      <c r="F845" s="114" t="s">
        <v>405</v>
      </c>
      <c r="G845" s="114"/>
      <c r="H845" s="129" t="s">
        <v>1071</v>
      </c>
      <c r="I845" s="142">
        <v>4094</v>
      </c>
      <c r="J845" s="142">
        <v>7600</v>
      </c>
      <c r="K845" s="13">
        <f t="shared" ref="K845:K862" si="39">ROUND(I845*J845,0)</f>
        <v>31114400</v>
      </c>
      <c r="L845" s="116" t="s">
        <v>160</v>
      </c>
      <c r="M845" s="116" t="s">
        <v>154</v>
      </c>
      <c r="N845" s="22" t="str">
        <f>IF(AND('331-CT'!$E$7=TH!H845,OR(L845="331",M845="331")),"331",IF(AND(OR(L845="131",M845="131"),H845='131-CT'!$E$7),"131",""))</f>
        <v/>
      </c>
      <c r="O845" s="22" t="str">
        <f>IF(AND($B845&gt;='111'!$N$11,$B845&lt;='111'!$O$11,OR($L845=$O$7,$M845=$O$7)),"x","")</f>
        <v/>
      </c>
      <c r="P845" s="22" t="str">
        <f>IF(AND($L845=$O$7,$B845&lt;'111'!$N$11),"x","")</f>
        <v/>
      </c>
      <c r="Q845" s="22" t="str">
        <f>IF(AND($M845=$O$7,$B845&lt;'111'!$N$11),"x","")</f>
        <v/>
      </c>
      <c r="R845" s="22" t="str">
        <f>IF(ISERROR(FIND('112'!$M$9,G845,1)),"",IF((AND(FIND('112'!$M$9,G845,1)&gt;=1,$B845&gt;='112'!$N$8,$B845&lt;='112'!$O$8,OR($L845='112'!$I$6,$M845='112'!$I$6))),"x",""))</f>
        <v/>
      </c>
      <c r="S845" s="22" t="str">
        <f>IF(ISERROR(FIND('112'!$M$9,G845,1)),"",IF((AND(LEFT(G845,2)=LEFT('112'!$M$9,2),B845&lt;'112'!$N$8,$L845='112'!$I$6)),"x",""))</f>
        <v/>
      </c>
      <c r="T845" s="22" t="str">
        <f>IF(ISERROR(FIND('112'!$M$9,G845,1)),"",IF((AND(RIGHT(G845,2)=RIGHT('112'!$M$9,2),B845&lt;'112'!$N$8,$M845='112'!$I$6)),"x",""))</f>
        <v/>
      </c>
      <c r="U845" s="22" t="str">
        <f>IF(AND(B845&gt;='IN-NX'!$P$3,B845&lt;='IN-NX'!$Q$3,'IN-NX'!$D$7=D845,OR(LEFT(L845,2)="15",AND(LEFT(M845,2)&lt;&gt;"15",LEFT(M845,2)&lt;&gt;"33"))),"x","")</f>
        <v/>
      </c>
      <c r="V845" s="22" t="str">
        <f>IF(AND(OR(LEFT(TH!L845,2)="15",LEFT(TH!M845,2)="15"),'152-CT'!$J$8=TH!F845),"x","")</f>
        <v/>
      </c>
      <c r="W845" s="22" t="str">
        <f>IF(AND(OR(LEFT(TH!L845,2)="15",LEFT(TH!M845,2)="15"),TK!$E$7=TH!F845),"x","")</f>
        <v/>
      </c>
      <c r="X845" s="22" t="str">
        <f>IF(OR(TH!L845=TH!$X$7,M845=TH!$X$7),"x","")</f>
        <v/>
      </c>
      <c r="Y845" s="22" t="str">
        <f>IF(AND(B845&lt;=NKC!$N$8,B845&gt;=NKC!$M$8),"x","")</f>
        <v/>
      </c>
      <c r="Z845" s="581"/>
      <c r="AC845" s="130"/>
      <c r="AD845" s="130"/>
      <c r="AE845" s="130"/>
    </row>
    <row r="846" spans="1:31" s="406" customFormat="1" ht="15.75" customHeight="1">
      <c r="A846" s="123" t="str">
        <f>IF(B846&lt;&gt;"",IF(AND(B846&gt;=_TM1,B846&lt;=_TM2,OR(TH!L846="1111",TH!M846="1111")),TH!D846,""),"")</f>
        <v/>
      </c>
      <c r="B846" s="12">
        <f t="shared" si="33"/>
        <v>6</v>
      </c>
      <c r="C846" s="108">
        <f t="shared" si="36"/>
        <v>42542</v>
      </c>
      <c r="D846" s="113" t="s">
        <v>1021</v>
      </c>
      <c r="E846" s="113">
        <v>42542</v>
      </c>
      <c r="F846" s="114" t="s">
        <v>407</v>
      </c>
      <c r="G846" s="305"/>
      <c r="H846" s="129" t="s">
        <v>1071</v>
      </c>
      <c r="I846" s="139">
        <v>4522</v>
      </c>
      <c r="J846" s="139">
        <v>8500</v>
      </c>
      <c r="K846" s="13">
        <f t="shared" si="39"/>
        <v>38437000</v>
      </c>
      <c r="L846" s="116" t="s">
        <v>160</v>
      </c>
      <c r="M846" s="116" t="s">
        <v>154</v>
      </c>
      <c r="N846" s="22" t="str">
        <f>IF(AND('331-CT'!$E$7=TH!H846,OR(L846="331",M846="331")),"331",IF(AND(OR(L846="131",M846="131"),H846='131-CT'!$E$7),"131",""))</f>
        <v/>
      </c>
      <c r="O846" s="22" t="str">
        <f>IF(AND($B846&gt;='111'!$N$11,$B846&lt;='111'!$O$11,OR($L846=$O$7,$M846=$O$7)),"x","")</f>
        <v/>
      </c>
      <c r="P846" s="22" t="str">
        <f>IF(AND($L846=$O$7,$B846&lt;'111'!$N$11),"x","")</f>
        <v/>
      </c>
      <c r="Q846" s="22" t="str">
        <f>IF(AND($M846=$O$7,$B846&lt;'111'!$N$11),"x","")</f>
        <v/>
      </c>
      <c r="R846" s="22" t="str">
        <f>IF(ISERROR(FIND('112'!$M$9,G846,1)),"",IF((AND(FIND('112'!$M$9,G846,1)&gt;=1,$B846&gt;='112'!$N$8,$B846&lt;='112'!$O$8,OR($L846='112'!$I$6,$M846='112'!$I$6))),"x",""))</f>
        <v/>
      </c>
      <c r="S846" s="22" t="str">
        <f>IF(ISERROR(FIND('112'!$M$9,G846,1)),"",IF((AND(LEFT(G846,2)=LEFT('112'!$M$9,2),B846&lt;'112'!$N$8,$L846='112'!$I$6)),"x",""))</f>
        <v/>
      </c>
      <c r="T846" s="22" t="str">
        <f>IF(ISERROR(FIND('112'!$M$9,G846,1)),"",IF((AND(RIGHT(G846,2)=RIGHT('112'!$M$9,2),B846&lt;'112'!$N$8,$M846='112'!$I$6)),"x",""))</f>
        <v/>
      </c>
      <c r="U846" s="22" t="str">
        <f>IF(AND(B846&gt;='IN-NX'!$P$3,B846&lt;='IN-NX'!$Q$3,'IN-NX'!$D$7=D846,OR(LEFT(L846,2)="15",AND(LEFT(M846,2)&lt;&gt;"15",LEFT(M846,2)&lt;&gt;"33"))),"x","")</f>
        <v/>
      </c>
      <c r="V846" s="22" t="str">
        <f>IF(AND(OR(LEFT(TH!L846,2)="15",LEFT(TH!M846,2)="15"),'152-CT'!$J$8=TH!F846),"x","")</f>
        <v/>
      </c>
      <c r="W846" s="22" t="str">
        <f>IF(AND(OR(LEFT(TH!L846,2)="15",LEFT(TH!M846,2)="15"),TK!$E$7=TH!F846),"x","")</f>
        <v/>
      </c>
      <c r="X846" s="22" t="str">
        <f>IF(OR(TH!L846=TH!$X$7,M846=TH!$X$7),"x","")</f>
        <v/>
      </c>
      <c r="Y846" s="22" t="str">
        <f>IF(AND(B846&lt;=NKC!$N$8,B846&gt;=NKC!$M$8),"x","")</f>
        <v/>
      </c>
      <c r="Z846" s="581"/>
      <c r="AD846" s="130"/>
      <c r="AE846" s="130"/>
    </row>
    <row r="847" spans="1:31" s="406" customFormat="1" ht="15.75" customHeight="1">
      <c r="A847" s="123" t="str">
        <f>IF(B847&lt;&gt;"",IF(AND(B847&gt;=_TM1,B847&lt;=_TM2,OR(TH!L847="1111",TH!M847="1111")),TH!D847,""),"")</f>
        <v/>
      </c>
      <c r="B847" s="12">
        <f t="shared" si="33"/>
        <v>6</v>
      </c>
      <c r="C847" s="108">
        <f t="shared" si="36"/>
        <v>42542</v>
      </c>
      <c r="D847" s="113" t="s">
        <v>1021</v>
      </c>
      <c r="E847" s="113">
        <v>42542</v>
      </c>
      <c r="F847" s="114" t="s">
        <v>450</v>
      </c>
      <c r="G847" s="114"/>
      <c r="H847" s="129" t="s">
        <v>1071</v>
      </c>
      <c r="I847" s="139">
        <v>2633</v>
      </c>
      <c r="J847" s="139">
        <v>8500</v>
      </c>
      <c r="K847" s="13">
        <f t="shared" si="39"/>
        <v>22380500</v>
      </c>
      <c r="L847" s="116" t="s">
        <v>160</v>
      </c>
      <c r="M847" s="116" t="s">
        <v>154</v>
      </c>
      <c r="N847" s="22" t="str">
        <f>IF(AND('331-CT'!$E$7=TH!H847,OR(L847="331",M847="331")),"331",IF(AND(OR(L847="131",M847="131"),H847='131-CT'!$E$7),"131",""))</f>
        <v/>
      </c>
      <c r="O847" s="22" t="str">
        <f>IF(AND($B847&gt;='111'!$N$11,$B847&lt;='111'!$O$11,OR($L847=$O$7,$M847=$O$7)),"x","")</f>
        <v/>
      </c>
      <c r="P847" s="22" t="str">
        <f>IF(AND($L847=$O$7,$B847&lt;'111'!$N$11),"x","")</f>
        <v/>
      </c>
      <c r="Q847" s="22" t="str">
        <f>IF(AND($M847=$O$7,$B847&lt;'111'!$N$11),"x","")</f>
        <v/>
      </c>
      <c r="R847" s="22" t="str">
        <f>IF(ISERROR(FIND('112'!$M$9,G847,1)),"",IF((AND(FIND('112'!$M$9,G847,1)&gt;=1,$B847&gt;='112'!$N$8,$B847&lt;='112'!$O$8,OR($L847='112'!$I$6,$M847='112'!$I$6))),"x",""))</f>
        <v/>
      </c>
      <c r="S847" s="22" t="str">
        <f>IF(ISERROR(FIND('112'!$M$9,G847,1)),"",IF((AND(LEFT(G847,2)=LEFT('112'!$M$9,2),B847&lt;'112'!$N$8,$L847='112'!$I$6)),"x",""))</f>
        <v/>
      </c>
      <c r="T847" s="22" t="str">
        <f>IF(ISERROR(FIND('112'!$M$9,G847,1)),"",IF((AND(RIGHT(G847,2)=RIGHT('112'!$M$9,2),B847&lt;'112'!$N$8,$M847='112'!$I$6)),"x",""))</f>
        <v/>
      </c>
      <c r="U847" s="22" t="str">
        <f>IF(AND(B847&gt;='IN-NX'!$P$3,B847&lt;='IN-NX'!$Q$3,'IN-NX'!$D$7=D847,OR(LEFT(L847,2)="15",AND(LEFT(M847,2)&lt;&gt;"15",LEFT(M847,2)&lt;&gt;"33"))),"x","")</f>
        <v/>
      </c>
      <c r="V847" s="22" t="str">
        <f>IF(AND(OR(LEFT(TH!L847,2)="15",LEFT(TH!M847,2)="15"),'152-CT'!$J$8=TH!F847),"x","")</f>
        <v/>
      </c>
      <c r="W847" s="22" t="str">
        <f>IF(AND(OR(LEFT(TH!L847,2)="15",LEFT(TH!M847,2)="15"),TK!$E$7=TH!F847),"x","")</f>
        <v/>
      </c>
      <c r="X847" s="22" t="str">
        <f>IF(OR(TH!L847=TH!$X$7,M847=TH!$X$7),"x","")</f>
        <v/>
      </c>
      <c r="Y847" s="22" t="str">
        <f>IF(AND(B847&lt;=NKC!$N$8,B847&gt;=NKC!$M$8),"x","")</f>
        <v/>
      </c>
      <c r="Z847" s="581"/>
      <c r="AD847" s="130"/>
      <c r="AE847" s="130"/>
    </row>
    <row r="848" spans="1:31" s="406" customFormat="1" ht="15.75" customHeight="1">
      <c r="A848" s="123" t="str">
        <f>IF(B848&lt;&gt;"",IF(AND(B848&gt;=_TM1,B848&lt;=_TM2,OR(TH!L848="1111",TH!M848="1111")),TH!D848,""),"")</f>
        <v/>
      </c>
      <c r="B848" s="12">
        <f t="shared" si="33"/>
        <v>6</v>
      </c>
      <c r="C848" s="108">
        <f t="shared" si="36"/>
        <v>42551</v>
      </c>
      <c r="D848" s="113" t="s">
        <v>1021</v>
      </c>
      <c r="E848" s="113">
        <v>42551</v>
      </c>
      <c r="F848" s="114" t="s">
        <v>405</v>
      </c>
      <c r="G848" s="305"/>
      <c r="H848" s="129" t="s">
        <v>1071</v>
      </c>
      <c r="I848" s="139">
        <v>6226</v>
      </c>
      <c r="J848" s="139">
        <v>7600</v>
      </c>
      <c r="K848" s="13">
        <f t="shared" si="39"/>
        <v>47317600</v>
      </c>
      <c r="L848" s="116" t="s">
        <v>160</v>
      </c>
      <c r="M848" s="116" t="s">
        <v>154</v>
      </c>
      <c r="N848" s="22" t="str">
        <f>IF(AND('331-CT'!$E$7=TH!H848,OR(L848="331",M848="331")),"331",IF(AND(OR(L848="131",M848="131"),H848='131-CT'!$E$7),"131",""))</f>
        <v/>
      </c>
      <c r="O848" s="22" t="str">
        <f>IF(AND($B848&gt;='111'!$N$11,$B848&lt;='111'!$O$11,OR($L848=$O$7,$M848=$O$7)),"x","")</f>
        <v/>
      </c>
      <c r="P848" s="22" t="str">
        <f>IF(AND($L848=$O$7,$B848&lt;'111'!$N$11),"x","")</f>
        <v/>
      </c>
      <c r="Q848" s="22" t="str">
        <f>IF(AND($M848=$O$7,$B848&lt;'111'!$N$11),"x","")</f>
        <v/>
      </c>
      <c r="R848" s="22" t="str">
        <f>IF(ISERROR(FIND('112'!$M$9,G848,1)),"",IF((AND(FIND('112'!$M$9,G848,1)&gt;=1,$B848&gt;='112'!$N$8,$B848&lt;='112'!$O$8,OR($L848='112'!$I$6,$M848='112'!$I$6))),"x",""))</f>
        <v/>
      </c>
      <c r="S848" s="22" t="str">
        <f>IF(ISERROR(FIND('112'!$M$9,G848,1)),"",IF((AND(LEFT(G848,2)=LEFT('112'!$M$9,2),B848&lt;'112'!$N$8,$L848='112'!$I$6)),"x",""))</f>
        <v/>
      </c>
      <c r="T848" s="22" t="str">
        <f>IF(ISERROR(FIND('112'!$M$9,G848,1)),"",IF((AND(RIGHT(G848,2)=RIGHT('112'!$M$9,2),B848&lt;'112'!$N$8,$M848='112'!$I$6)),"x",""))</f>
        <v/>
      </c>
      <c r="U848" s="22" t="str">
        <f>IF(AND(B848&gt;='IN-NX'!$P$3,B848&lt;='IN-NX'!$Q$3,'IN-NX'!$D$7=D848,OR(LEFT(L848,2)="15",AND(LEFT(M848,2)&lt;&gt;"15",LEFT(M848,2)&lt;&gt;"33"))),"x","")</f>
        <v/>
      </c>
      <c r="V848" s="22" t="str">
        <f>IF(AND(OR(LEFT(TH!L848,2)="15",LEFT(TH!M848,2)="15"),'152-CT'!$J$8=TH!F848),"x","")</f>
        <v/>
      </c>
      <c r="W848" s="22" t="str">
        <f>IF(AND(OR(LEFT(TH!L848,2)="15",LEFT(TH!M848,2)="15"),TK!$E$7=TH!F848),"x","")</f>
        <v/>
      </c>
      <c r="X848" s="22" t="str">
        <f>IF(OR(TH!L848=TH!$X$7,M848=TH!$X$7),"x","")</f>
        <v/>
      </c>
      <c r="Y848" s="22" t="str">
        <f>IF(AND(B848&lt;=NKC!$N$8,B848&gt;=NKC!$M$8),"x","")</f>
        <v/>
      </c>
      <c r="Z848" s="581"/>
      <c r="AC848" s="130"/>
      <c r="AD848" s="130"/>
      <c r="AE848" s="130"/>
    </row>
    <row r="849" spans="1:31" s="406" customFormat="1" ht="15.75" customHeight="1">
      <c r="A849" s="123" t="str">
        <f>IF(B849&lt;&gt;"",IF(AND(B849&gt;=_TM1,B849&lt;=_TM2,OR(TH!L849="1111",TH!M849="1111")),TH!D849,""),"")</f>
        <v/>
      </c>
      <c r="B849" s="12">
        <f t="shared" si="33"/>
        <v>6</v>
      </c>
      <c r="C849" s="108">
        <f t="shared" si="36"/>
        <v>42551</v>
      </c>
      <c r="D849" s="113" t="s">
        <v>1021</v>
      </c>
      <c r="E849" s="113">
        <v>42551</v>
      </c>
      <c r="F849" s="114" t="s">
        <v>407</v>
      </c>
      <c r="G849" s="114"/>
      <c r="H849" s="129" t="s">
        <v>1071</v>
      </c>
      <c r="I849" s="139">
        <v>8730</v>
      </c>
      <c r="J849" s="139">
        <v>8500</v>
      </c>
      <c r="K849" s="13">
        <f t="shared" si="39"/>
        <v>74205000</v>
      </c>
      <c r="L849" s="116" t="s">
        <v>160</v>
      </c>
      <c r="M849" s="116" t="s">
        <v>154</v>
      </c>
      <c r="N849" s="22" t="str">
        <f>IF(AND('331-CT'!$E$7=TH!H849,OR(L849="331",M849="331")),"331",IF(AND(OR(L849="131",M849="131"),H849='131-CT'!$E$7),"131",""))</f>
        <v/>
      </c>
      <c r="O849" s="22" t="str">
        <f>IF(AND($B849&gt;='111'!$N$11,$B849&lt;='111'!$O$11,OR($L849=$O$7,$M849=$O$7)),"x","")</f>
        <v/>
      </c>
      <c r="P849" s="22" t="str">
        <f>IF(AND($L849=$O$7,$B849&lt;'111'!$N$11),"x","")</f>
        <v/>
      </c>
      <c r="Q849" s="22" t="str">
        <f>IF(AND($M849=$O$7,$B849&lt;'111'!$N$11),"x","")</f>
        <v/>
      </c>
      <c r="R849" s="22" t="str">
        <f>IF(ISERROR(FIND('112'!$M$9,G849,1)),"",IF((AND(FIND('112'!$M$9,G849,1)&gt;=1,$B849&gt;='112'!$N$8,$B849&lt;='112'!$O$8,OR($L849='112'!$I$6,$M849='112'!$I$6))),"x",""))</f>
        <v/>
      </c>
      <c r="S849" s="22" t="str">
        <f>IF(ISERROR(FIND('112'!$M$9,G849,1)),"",IF((AND(LEFT(G849,2)=LEFT('112'!$M$9,2),B849&lt;'112'!$N$8,$L849='112'!$I$6)),"x",""))</f>
        <v/>
      </c>
      <c r="T849" s="22" t="str">
        <f>IF(ISERROR(FIND('112'!$M$9,G849,1)),"",IF((AND(RIGHT(G849,2)=RIGHT('112'!$M$9,2),B849&lt;'112'!$N$8,$M849='112'!$I$6)),"x",""))</f>
        <v/>
      </c>
      <c r="U849" s="22" t="str">
        <f>IF(AND(B849&gt;='IN-NX'!$P$3,B849&lt;='IN-NX'!$Q$3,'IN-NX'!$D$7=D849,OR(LEFT(L849,2)="15",AND(LEFT(M849,2)&lt;&gt;"15",LEFT(M849,2)&lt;&gt;"33"))),"x","")</f>
        <v/>
      </c>
      <c r="V849" s="22" t="str">
        <f>IF(AND(OR(LEFT(TH!L849,2)="15",LEFT(TH!M849,2)="15"),'152-CT'!$J$8=TH!F849),"x","")</f>
        <v/>
      </c>
      <c r="W849" s="22" t="str">
        <f>IF(AND(OR(LEFT(TH!L849,2)="15",LEFT(TH!M849,2)="15"),TK!$E$7=TH!F849),"x","")</f>
        <v/>
      </c>
      <c r="X849" s="22" t="str">
        <f>IF(OR(TH!L849=TH!$X$7,M849=TH!$X$7),"x","")</f>
        <v/>
      </c>
      <c r="Y849" s="22" t="str">
        <f>IF(AND(B849&lt;=NKC!$N$8,B849&gt;=NKC!$M$8),"x","")</f>
        <v/>
      </c>
      <c r="Z849" s="581"/>
      <c r="AC849" s="130"/>
      <c r="AD849" s="130"/>
      <c r="AE849" s="130"/>
    </row>
    <row r="850" spans="1:31" s="406" customFormat="1" ht="15.75" customHeight="1">
      <c r="A850" s="123" t="str">
        <f>IF(B850&lt;&gt;"",IF(AND(B850&gt;=_TM1,B850&lt;=_TM2,OR(TH!L850="1111",TH!M850="1111")),TH!D850,""),"")</f>
        <v/>
      </c>
      <c r="B850" s="12">
        <f t="shared" si="33"/>
        <v>6</v>
      </c>
      <c r="C850" s="108">
        <f t="shared" ref="C850:C916" si="40">E850</f>
        <v>42551</v>
      </c>
      <c r="D850" s="113" t="s">
        <v>1021</v>
      </c>
      <c r="E850" s="113">
        <v>42551</v>
      </c>
      <c r="F850" s="114" t="s">
        <v>450</v>
      </c>
      <c r="G850" s="114"/>
      <c r="H850" s="129" t="s">
        <v>1071</v>
      </c>
      <c r="I850" s="139">
        <v>8191</v>
      </c>
      <c r="J850" s="139">
        <v>8500</v>
      </c>
      <c r="K850" s="13">
        <f t="shared" si="39"/>
        <v>69623500</v>
      </c>
      <c r="L850" s="116" t="s">
        <v>160</v>
      </c>
      <c r="M850" s="116" t="s">
        <v>154</v>
      </c>
      <c r="N850" s="22" t="str">
        <f>IF(AND('331-CT'!$E$7=TH!H850,OR(L850="331",M850="331")),"331",IF(AND(OR(L850="131",M850="131"),H850='131-CT'!$E$7),"131",""))</f>
        <v/>
      </c>
      <c r="O850" s="22" t="str">
        <f>IF(AND($B850&gt;='111'!$N$11,$B850&lt;='111'!$O$11,OR($L850=$O$7,$M850=$O$7)),"x","")</f>
        <v/>
      </c>
      <c r="P850" s="22" t="str">
        <f>IF(AND($L850=$O$7,$B850&lt;'111'!$N$11),"x","")</f>
        <v/>
      </c>
      <c r="Q850" s="22" t="str">
        <f>IF(AND($M850=$O$7,$B850&lt;'111'!$N$11),"x","")</f>
        <v/>
      </c>
      <c r="R850" s="22" t="str">
        <f>IF(ISERROR(FIND('112'!$M$9,G850,1)),"",IF((AND(FIND('112'!$M$9,G850,1)&gt;=1,$B850&gt;='112'!$N$8,$B850&lt;='112'!$O$8,OR($L850='112'!$I$6,$M850='112'!$I$6))),"x",""))</f>
        <v/>
      </c>
      <c r="S850" s="22" t="str">
        <f>IF(ISERROR(FIND('112'!$M$9,G850,1)),"",IF((AND(LEFT(G850,2)=LEFT('112'!$M$9,2),B850&lt;'112'!$N$8,$L850='112'!$I$6)),"x",""))</f>
        <v/>
      </c>
      <c r="T850" s="22" t="str">
        <f>IF(ISERROR(FIND('112'!$M$9,G850,1)),"",IF((AND(RIGHT(G850,2)=RIGHT('112'!$M$9,2),B850&lt;'112'!$N$8,$M850='112'!$I$6)),"x",""))</f>
        <v/>
      </c>
      <c r="U850" s="22" t="str">
        <f>IF(AND(B850&gt;='IN-NX'!$P$3,B850&lt;='IN-NX'!$Q$3,'IN-NX'!$D$7=D850,OR(LEFT(L850,2)="15",AND(LEFT(M850,2)&lt;&gt;"15",LEFT(M850,2)&lt;&gt;"33"))),"x","")</f>
        <v/>
      </c>
      <c r="V850" s="22" t="str">
        <f>IF(AND(OR(LEFT(TH!L850,2)="15",LEFT(TH!M850,2)="15"),'152-CT'!$J$8=TH!F850),"x","")</f>
        <v/>
      </c>
      <c r="W850" s="22" t="str">
        <f>IF(AND(OR(LEFT(TH!L850,2)="15",LEFT(TH!M850,2)="15"),TK!$E$7=TH!F850),"x","")</f>
        <v/>
      </c>
      <c r="X850" s="22" t="str">
        <f>IF(OR(TH!L850=TH!$X$7,M850=TH!$X$7),"x","")</f>
        <v/>
      </c>
      <c r="Y850" s="22" t="str">
        <f>IF(AND(B850&lt;=NKC!$N$8,B850&gt;=NKC!$M$8),"x","")</f>
        <v/>
      </c>
      <c r="Z850" s="581"/>
      <c r="AB850" s="130"/>
      <c r="AC850" s="130"/>
      <c r="AD850" s="130"/>
      <c r="AE850" s="130"/>
    </row>
    <row r="851" spans="1:31" s="563" customFormat="1" ht="15.75" customHeight="1">
      <c r="A851" s="603" t="str">
        <f>IF(B851&lt;&gt;"",IF(AND(B851&gt;=_TM1,B851&lt;=_TM2,OR(TH!L851="1111",TH!M851="1111")),TH!D851,""),"")</f>
        <v/>
      </c>
      <c r="B851" s="556">
        <f t="shared" si="33"/>
        <v>7</v>
      </c>
      <c r="C851" s="557">
        <f t="shared" si="40"/>
        <v>42563</v>
      </c>
      <c r="D851" s="558" t="s">
        <v>1021</v>
      </c>
      <c r="E851" s="605">
        <v>42563</v>
      </c>
      <c r="F851" s="606" t="s">
        <v>405</v>
      </c>
      <c r="G851" s="559"/>
      <c r="H851" s="604" t="s">
        <v>1071</v>
      </c>
      <c r="I851" s="562">
        <v>11536</v>
      </c>
      <c r="J851" s="562">
        <v>7600</v>
      </c>
      <c r="K851" s="568">
        <f t="shared" si="39"/>
        <v>87673600</v>
      </c>
      <c r="L851" s="573" t="s">
        <v>160</v>
      </c>
      <c r="M851" s="573" t="s">
        <v>154</v>
      </c>
      <c r="N851" s="22" t="str">
        <f>IF(AND('331-CT'!$E$7=TH!H851,OR(L851="331",M851="331")),"331",IF(AND(OR(L851="131",M851="131"),H851='131-CT'!$E$7),"131",""))</f>
        <v/>
      </c>
      <c r="O851" s="22" t="str">
        <f>IF(AND($B851&gt;='111'!$N$11,$B851&lt;='111'!$O$11,OR($L851=$O$7,$M851=$O$7)),"x","")</f>
        <v/>
      </c>
      <c r="P851" s="22" t="str">
        <f>IF(AND($L851=$O$7,$B851&lt;'111'!$N$11),"x","")</f>
        <v/>
      </c>
      <c r="Q851" s="22" t="str">
        <f>IF(AND($M851=$O$7,$B851&lt;'111'!$N$11),"x","")</f>
        <v/>
      </c>
      <c r="R851" s="22" t="str">
        <f>IF(ISERROR(FIND('112'!$M$9,G851,1)),"",IF((AND(FIND('112'!$M$9,G851,1)&gt;=1,$B851&gt;='112'!$N$8,$B851&lt;='112'!$O$8,OR($L851='112'!$I$6,$M851='112'!$I$6))),"x",""))</f>
        <v/>
      </c>
      <c r="S851" s="22" t="str">
        <f>IF(ISERROR(FIND('112'!$M$9,G851,1)),"",IF((AND(LEFT(G851,2)=LEFT('112'!$M$9,2),B851&lt;'112'!$N$8,$L851='112'!$I$6)),"x",""))</f>
        <v/>
      </c>
      <c r="T851" s="22" t="str">
        <f>IF(ISERROR(FIND('112'!$M$9,G851,1)),"",IF((AND(RIGHT(G851,2)=RIGHT('112'!$M$9,2),B851&lt;'112'!$N$8,$M851='112'!$I$6)),"x",""))</f>
        <v/>
      </c>
      <c r="U851" s="22" t="str">
        <f>IF(AND(B851&gt;='IN-NX'!$P$3,B851&lt;='IN-NX'!$Q$3,'IN-NX'!$D$7=D851,OR(LEFT(L851,2)="15",AND(LEFT(M851,2)&lt;&gt;"15",LEFT(M851,2)&lt;&gt;"33"))),"x","")</f>
        <v/>
      </c>
      <c r="V851" s="22" t="str">
        <f>IF(AND(OR(LEFT(TH!L851,2)="15",LEFT(TH!M851,2)="15"),'152-CT'!$J$8=TH!F851),"x","")</f>
        <v/>
      </c>
      <c r="W851" s="22" t="str">
        <f>IF(AND(OR(LEFT(TH!L851,2)="15",LEFT(TH!M851,2)="15"),TK!$E$7=TH!F851),"x","")</f>
        <v/>
      </c>
      <c r="X851" s="22" t="str">
        <f>IF(OR(TH!L851=TH!$X$7,M851=TH!$X$7),"x","")</f>
        <v/>
      </c>
      <c r="Y851" s="22" t="str">
        <f>IF(AND(B851&lt;=NKC!$N$8,B851&gt;=NKC!$M$8),"x","")</f>
        <v>x</v>
      </c>
      <c r="Z851" s="582"/>
      <c r="AC851" s="564"/>
      <c r="AD851" s="564"/>
      <c r="AE851" s="564"/>
    </row>
    <row r="852" spans="1:31" s="406" customFormat="1" ht="15.75" customHeight="1">
      <c r="A852" s="123" t="str">
        <f>IF(B852&lt;&gt;"",IF(AND(B852&gt;=_TM1,B852&lt;=_TM2,OR(TH!L852="1111",TH!M852="1111")),TH!D852,""),"")</f>
        <v/>
      </c>
      <c r="B852" s="12">
        <f t="shared" si="33"/>
        <v>7</v>
      </c>
      <c r="C852" s="108">
        <f t="shared" si="40"/>
        <v>42563</v>
      </c>
      <c r="D852" s="113" t="s">
        <v>1021</v>
      </c>
      <c r="E852" s="113">
        <v>42563</v>
      </c>
      <c r="F852" s="112" t="s">
        <v>449</v>
      </c>
      <c r="G852" s="114"/>
      <c r="H852" s="129" t="s">
        <v>1071</v>
      </c>
      <c r="I852" s="139">
        <v>5979</v>
      </c>
      <c r="J852" s="139">
        <v>8900</v>
      </c>
      <c r="K852" s="13">
        <f t="shared" si="39"/>
        <v>53213100</v>
      </c>
      <c r="L852" s="116" t="s">
        <v>160</v>
      </c>
      <c r="M852" s="116" t="s">
        <v>154</v>
      </c>
      <c r="N852" s="22" t="str">
        <f>IF(AND('331-CT'!$E$7=TH!H852,OR(L852="331",M852="331")),"331",IF(AND(OR(L852="131",M852="131"),H852='131-CT'!$E$7),"131",""))</f>
        <v/>
      </c>
      <c r="O852" s="22" t="str">
        <f>IF(AND($B852&gt;='111'!$N$11,$B852&lt;='111'!$O$11,OR($L852=$O$7,$M852=$O$7)),"x","")</f>
        <v/>
      </c>
      <c r="P852" s="22" t="str">
        <f>IF(AND($L852=$O$7,$B852&lt;'111'!$N$11),"x","")</f>
        <v/>
      </c>
      <c r="Q852" s="22" t="str">
        <f>IF(AND($M852=$O$7,$B852&lt;'111'!$N$11),"x","")</f>
        <v/>
      </c>
      <c r="R852" s="22" t="str">
        <f>IF(ISERROR(FIND('112'!$M$9,G852,1)),"",IF((AND(FIND('112'!$M$9,G852,1)&gt;=1,$B852&gt;='112'!$N$8,$B852&lt;='112'!$O$8,OR($L852='112'!$I$6,$M852='112'!$I$6))),"x",""))</f>
        <v/>
      </c>
      <c r="S852" s="22" t="str">
        <f>IF(ISERROR(FIND('112'!$M$9,G852,1)),"",IF((AND(LEFT(G852,2)=LEFT('112'!$M$9,2),B852&lt;'112'!$N$8,$L852='112'!$I$6)),"x",""))</f>
        <v/>
      </c>
      <c r="T852" s="22" t="str">
        <f>IF(ISERROR(FIND('112'!$M$9,G852,1)),"",IF((AND(RIGHT(G852,2)=RIGHT('112'!$M$9,2),B852&lt;'112'!$N$8,$M852='112'!$I$6)),"x",""))</f>
        <v/>
      </c>
      <c r="U852" s="22" t="str">
        <f>IF(AND(B852&gt;='IN-NX'!$P$3,B852&lt;='IN-NX'!$Q$3,'IN-NX'!$D$7=D852,OR(LEFT(L852,2)="15",AND(LEFT(M852,2)&lt;&gt;"15",LEFT(M852,2)&lt;&gt;"33"))),"x","")</f>
        <v/>
      </c>
      <c r="V852" s="22" t="str">
        <f>IF(AND(OR(LEFT(TH!L852,2)="15",LEFT(TH!M852,2)="15"),'152-CT'!$J$8=TH!F852),"x","")</f>
        <v/>
      </c>
      <c r="W852" s="22" t="str">
        <f>IF(AND(OR(LEFT(TH!L852,2)="15",LEFT(TH!M852,2)="15"),TK!$E$7=TH!F852),"x","")</f>
        <v/>
      </c>
      <c r="X852" s="22" t="str">
        <f>IF(OR(TH!L852=TH!$X$7,M852=TH!$X$7),"x","")</f>
        <v/>
      </c>
      <c r="Y852" s="22" t="str">
        <f>IF(AND(B852&lt;=NKC!$N$8,B852&gt;=NKC!$M$8),"x","")</f>
        <v>x</v>
      </c>
      <c r="Z852" s="581"/>
      <c r="AC852" s="130"/>
      <c r="AD852" s="130"/>
      <c r="AE852" s="130"/>
    </row>
    <row r="853" spans="1:31" s="406" customFormat="1" ht="15.75" customHeight="1">
      <c r="A853" s="123" t="str">
        <f>IF(B853&lt;&gt;"",IF(AND(B853&gt;=_TM1,B853&lt;=_TM2,OR(TH!L853="1111",TH!M853="1111")),TH!D853,""),"")</f>
        <v/>
      </c>
      <c r="B853" s="12">
        <f t="shared" si="33"/>
        <v>7</v>
      </c>
      <c r="C853" s="108">
        <f t="shared" si="40"/>
        <v>42563</v>
      </c>
      <c r="D853" s="113" t="s">
        <v>1021</v>
      </c>
      <c r="E853" s="113">
        <v>42563</v>
      </c>
      <c r="F853" s="112" t="s">
        <v>450</v>
      </c>
      <c r="G853" s="114"/>
      <c r="H853" s="129" t="s">
        <v>1071</v>
      </c>
      <c r="I853" s="139">
        <v>4011</v>
      </c>
      <c r="J853" s="139">
        <v>8500</v>
      </c>
      <c r="K853" s="13">
        <f t="shared" si="39"/>
        <v>34093500</v>
      </c>
      <c r="L853" s="116" t="s">
        <v>160</v>
      </c>
      <c r="M853" s="116" t="s">
        <v>154</v>
      </c>
      <c r="N853" s="22" t="str">
        <f>IF(AND('331-CT'!$E$7=TH!H853,OR(L853="331",M853="331")),"331",IF(AND(OR(L853="131",M853="131"),H853='131-CT'!$E$7),"131",""))</f>
        <v/>
      </c>
      <c r="O853" s="22" t="str">
        <f>IF(AND($B853&gt;='111'!$N$11,$B853&lt;='111'!$O$11,OR($L853=$O$7,$M853=$O$7)),"x","")</f>
        <v/>
      </c>
      <c r="P853" s="22" t="str">
        <f>IF(AND($L853=$O$7,$B853&lt;'111'!$N$11),"x","")</f>
        <v/>
      </c>
      <c r="Q853" s="22" t="str">
        <f>IF(AND($M853=$O$7,$B853&lt;'111'!$N$11),"x","")</f>
        <v/>
      </c>
      <c r="R853" s="22" t="str">
        <f>IF(ISERROR(FIND('112'!$M$9,G853,1)),"",IF((AND(FIND('112'!$M$9,G853,1)&gt;=1,$B853&gt;='112'!$N$8,$B853&lt;='112'!$O$8,OR($L853='112'!$I$6,$M853='112'!$I$6))),"x",""))</f>
        <v/>
      </c>
      <c r="S853" s="22" t="str">
        <f>IF(ISERROR(FIND('112'!$M$9,G853,1)),"",IF((AND(LEFT(G853,2)=LEFT('112'!$M$9,2),B853&lt;'112'!$N$8,$L853='112'!$I$6)),"x",""))</f>
        <v/>
      </c>
      <c r="T853" s="22" t="str">
        <f>IF(ISERROR(FIND('112'!$M$9,G853,1)),"",IF((AND(RIGHT(G853,2)=RIGHT('112'!$M$9,2),B853&lt;'112'!$N$8,$M853='112'!$I$6)),"x",""))</f>
        <v/>
      </c>
      <c r="U853" s="22" t="str">
        <f>IF(AND(B853&gt;='IN-NX'!$P$3,B853&lt;='IN-NX'!$Q$3,'IN-NX'!$D$7=D853,OR(LEFT(L853,2)="15",AND(LEFT(M853,2)&lt;&gt;"15",LEFT(M853,2)&lt;&gt;"33"))),"x","")</f>
        <v/>
      </c>
      <c r="V853" s="22" t="str">
        <f>IF(AND(OR(LEFT(TH!L853,2)="15",LEFT(TH!M853,2)="15"),'152-CT'!$J$8=TH!F853),"x","")</f>
        <v/>
      </c>
      <c r="W853" s="22" t="str">
        <f>IF(AND(OR(LEFT(TH!L853,2)="15",LEFT(TH!M853,2)="15"),TK!$E$7=TH!F853),"x","")</f>
        <v/>
      </c>
      <c r="X853" s="22" t="str">
        <f>IF(OR(TH!L853=TH!$X$7,M853=TH!$X$7),"x","")</f>
        <v/>
      </c>
      <c r="Y853" s="22" t="str">
        <f>IF(AND(B853&lt;=NKC!$N$8,B853&gt;=NKC!$M$8),"x","")</f>
        <v>x</v>
      </c>
      <c r="Z853" s="581"/>
      <c r="AC853" s="130"/>
      <c r="AD853" s="130"/>
      <c r="AE853" s="130"/>
    </row>
    <row r="854" spans="1:31" s="406" customFormat="1" ht="15.75" customHeight="1">
      <c r="A854" s="123" t="str">
        <f>IF(B854&lt;&gt;"",IF(AND(B854&gt;=_TM1,B854&lt;=_TM2,OR(TH!L854="1111",TH!M854="1111")),TH!D854,""),"")</f>
        <v/>
      </c>
      <c r="B854" s="12">
        <f t="shared" si="33"/>
        <v>7</v>
      </c>
      <c r="C854" s="108">
        <f t="shared" si="40"/>
        <v>42580</v>
      </c>
      <c r="D854" s="113" t="s">
        <v>1021</v>
      </c>
      <c r="E854" s="113">
        <v>42580</v>
      </c>
      <c r="F854" s="112" t="s">
        <v>405</v>
      </c>
      <c r="G854" s="114"/>
      <c r="H854" s="129" t="s">
        <v>1071</v>
      </c>
      <c r="I854" s="139">
        <v>7756</v>
      </c>
      <c r="J854" s="139">
        <v>7600</v>
      </c>
      <c r="K854" s="13">
        <f t="shared" si="39"/>
        <v>58945600</v>
      </c>
      <c r="L854" s="116" t="s">
        <v>160</v>
      </c>
      <c r="M854" s="116" t="s">
        <v>154</v>
      </c>
      <c r="N854" s="22" t="str">
        <f>IF(AND('331-CT'!$E$7=TH!H854,OR(L854="331",M854="331")),"331",IF(AND(OR(L854="131",M854="131"),H854='131-CT'!$E$7),"131",""))</f>
        <v/>
      </c>
      <c r="O854" s="22" t="str">
        <f>IF(AND($B854&gt;='111'!$N$11,$B854&lt;='111'!$O$11,OR($L854=$O$7,$M854=$O$7)),"x","")</f>
        <v/>
      </c>
      <c r="P854" s="22" t="str">
        <f>IF(AND($L854=$O$7,$B854&lt;'111'!$N$11),"x","")</f>
        <v/>
      </c>
      <c r="Q854" s="22" t="str">
        <f>IF(AND($M854=$O$7,$B854&lt;'111'!$N$11),"x","")</f>
        <v/>
      </c>
      <c r="R854" s="22" t="str">
        <f>IF(ISERROR(FIND('112'!$M$9,G854,1)),"",IF((AND(FIND('112'!$M$9,G854,1)&gt;=1,$B854&gt;='112'!$N$8,$B854&lt;='112'!$O$8,OR($L854='112'!$I$6,$M854='112'!$I$6))),"x",""))</f>
        <v/>
      </c>
      <c r="S854" s="22" t="str">
        <f>IF(ISERROR(FIND('112'!$M$9,G854,1)),"",IF((AND(LEFT(G854,2)=LEFT('112'!$M$9,2),B854&lt;'112'!$N$8,$L854='112'!$I$6)),"x",""))</f>
        <v/>
      </c>
      <c r="T854" s="22" t="str">
        <f>IF(ISERROR(FIND('112'!$M$9,G854,1)),"",IF((AND(RIGHT(G854,2)=RIGHT('112'!$M$9,2),B854&lt;'112'!$N$8,$M854='112'!$I$6)),"x",""))</f>
        <v/>
      </c>
      <c r="U854" s="22" t="str">
        <f>IF(AND(B854&gt;='IN-NX'!$P$3,B854&lt;='IN-NX'!$Q$3,'IN-NX'!$D$7=D854,OR(LEFT(L854,2)="15",AND(LEFT(M854,2)&lt;&gt;"15",LEFT(M854,2)&lt;&gt;"33"))),"x","")</f>
        <v/>
      </c>
      <c r="V854" s="22" t="str">
        <f>IF(AND(OR(LEFT(TH!L854,2)="15",LEFT(TH!M854,2)="15"),'152-CT'!$J$8=TH!F854),"x","")</f>
        <v/>
      </c>
      <c r="W854" s="22" t="str">
        <f>IF(AND(OR(LEFT(TH!L854,2)="15",LEFT(TH!M854,2)="15"),TK!$E$7=TH!F854),"x","")</f>
        <v/>
      </c>
      <c r="X854" s="22" t="str">
        <f>IF(OR(TH!L854=TH!$X$7,M854=TH!$X$7),"x","")</f>
        <v/>
      </c>
      <c r="Y854" s="22" t="str">
        <f>IF(AND(B854&lt;=NKC!$N$8,B854&gt;=NKC!$M$8),"x","")</f>
        <v>x</v>
      </c>
      <c r="Z854" s="581"/>
      <c r="AC854" s="130"/>
      <c r="AD854" s="130"/>
      <c r="AE854" s="130"/>
    </row>
    <row r="855" spans="1:31" s="406" customFormat="1" ht="15.75" customHeight="1">
      <c r="A855" s="123" t="str">
        <f>IF(B855&lt;&gt;"",IF(AND(B855&gt;=_TM1,B855&lt;=_TM2,OR(TH!L855="1111",TH!M855="1111")),TH!D855,""),"")</f>
        <v/>
      </c>
      <c r="B855" s="12">
        <f t="shared" si="33"/>
        <v>7</v>
      </c>
      <c r="C855" s="108">
        <f t="shared" si="40"/>
        <v>42580</v>
      </c>
      <c r="D855" s="113" t="s">
        <v>1021</v>
      </c>
      <c r="E855" s="113">
        <v>42580</v>
      </c>
      <c r="F855" s="112" t="s">
        <v>449</v>
      </c>
      <c r="G855" s="114"/>
      <c r="H855" s="129" t="s">
        <v>1071</v>
      </c>
      <c r="I855" s="139">
        <v>2840</v>
      </c>
      <c r="J855" s="139">
        <v>8900</v>
      </c>
      <c r="K855" s="13">
        <f t="shared" si="39"/>
        <v>25276000</v>
      </c>
      <c r="L855" s="116" t="s">
        <v>160</v>
      </c>
      <c r="M855" s="116" t="s">
        <v>154</v>
      </c>
      <c r="N855" s="22" t="str">
        <f>IF(AND('331-CT'!$E$7=TH!H855,OR(L855="331",M855="331")),"331",IF(AND(OR(L855="131",M855="131"),H855='131-CT'!$E$7),"131",""))</f>
        <v/>
      </c>
      <c r="O855" s="22" t="str">
        <f>IF(AND($B855&gt;='111'!$N$11,$B855&lt;='111'!$O$11,OR($L855=$O$7,$M855=$O$7)),"x","")</f>
        <v/>
      </c>
      <c r="P855" s="22" t="str">
        <f>IF(AND($L855=$O$7,$B855&lt;'111'!$N$11),"x","")</f>
        <v/>
      </c>
      <c r="Q855" s="22" t="str">
        <f>IF(AND($M855=$O$7,$B855&lt;'111'!$N$11),"x","")</f>
        <v/>
      </c>
      <c r="R855" s="22" t="str">
        <f>IF(ISERROR(FIND('112'!$M$9,G855,1)),"",IF((AND(FIND('112'!$M$9,G855,1)&gt;=1,$B855&gt;='112'!$N$8,$B855&lt;='112'!$O$8,OR($L855='112'!$I$6,$M855='112'!$I$6))),"x",""))</f>
        <v/>
      </c>
      <c r="S855" s="22" t="str">
        <f>IF(ISERROR(FIND('112'!$M$9,G855,1)),"",IF((AND(LEFT(G855,2)=LEFT('112'!$M$9,2),B855&lt;'112'!$N$8,$L855='112'!$I$6)),"x",""))</f>
        <v/>
      </c>
      <c r="T855" s="22" t="str">
        <f>IF(ISERROR(FIND('112'!$M$9,G855,1)),"",IF((AND(RIGHT(G855,2)=RIGHT('112'!$M$9,2),B855&lt;'112'!$N$8,$M855='112'!$I$6)),"x",""))</f>
        <v/>
      </c>
      <c r="U855" s="22" t="str">
        <f>IF(AND(B855&gt;='IN-NX'!$P$3,B855&lt;='IN-NX'!$Q$3,'IN-NX'!$D$7=D855,OR(LEFT(L855,2)="15",AND(LEFT(M855,2)&lt;&gt;"15",LEFT(M855,2)&lt;&gt;"33"))),"x","")</f>
        <v/>
      </c>
      <c r="V855" s="22" t="str">
        <f>IF(AND(OR(LEFT(TH!L855,2)="15",LEFT(TH!M855,2)="15"),'152-CT'!$J$8=TH!F855),"x","")</f>
        <v/>
      </c>
      <c r="W855" s="22" t="str">
        <f>IF(AND(OR(LEFT(TH!L855,2)="15",LEFT(TH!M855,2)="15"),TK!$E$7=TH!F855),"x","")</f>
        <v/>
      </c>
      <c r="X855" s="22" t="str">
        <f>IF(OR(TH!L855=TH!$X$7,M855=TH!$X$7),"x","")</f>
        <v/>
      </c>
      <c r="Y855" s="22" t="str">
        <f>IF(AND(B855&lt;=NKC!$N$8,B855&gt;=NKC!$M$8),"x","")</f>
        <v>x</v>
      </c>
      <c r="Z855" s="581"/>
      <c r="AC855" s="130"/>
      <c r="AD855" s="130"/>
      <c r="AE855" s="130"/>
    </row>
    <row r="856" spans="1:31" s="406" customFormat="1" ht="15.75" customHeight="1">
      <c r="A856" s="123" t="str">
        <f>IF(B856&lt;&gt;"",IF(AND(B856&gt;=_TM1,B856&lt;=_TM2,OR(TH!L856="1111",TH!M856="1111")),TH!D856,""),"")</f>
        <v/>
      </c>
      <c r="B856" s="12">
        <f t="shared" si="33"/>
        <v>7</v>
      </c>
      <c r="C856" s="108">
        <f t="shared" si="40"/>
        <v>42580</v>
      </c>
      <c r="D856" s="113" t="s">
        <v>1021</v>
      </c>
      <c r="E856" s="113">
        <v>42580</v>
      </c>
      <c r="F856" s="112" t="s">
        <v>450</v>
      </c>
      <c r="G856" s="114"/>
      <c r="H856" s="129" t="s">
        <v>1071</v>
      </c>
      <c r="I856" s="139">
        <v>6881</v>
      </c>
      <c r="J856" s="139">
        <v>8500</v>
      </c>
      <c r="K856" s="13">
        <f t="shared" si="39"/>
        <v>58488500</v>
      </c>
      <c r="L856" s="116" t="s">
        <v>160</v>
      </c>
      <c r="M856" s="116" t="s">
        <v>154</v>
      </c>
      <c r="N856" s="22" t="str">
        <f>IF(AND('331-CT'!$E$7=TH!H856,OR(L856="331",M856="331")),"331",IF(AND(OR(L856="131",M856="131"),H856='131-CT'!$E$7),"131",""))</f>
        <v/>
      </c>
      <c r="O856" s="22" t="str">
        <f>IF(AND($B856&gt;='111'!$N$11,$B856&lt;='111'!$O$11,OR($L856=$O$7,$M856=$O$7)),"x","")</f>
        <v/>
      </c>
      <c r="P856" s="22" t="str">
        <f>IF(AND($L856=$O$7,$B856&lt;'111'!$N$11),"x","")</f>
        <v/>
      </c>
      <c r="Q856" s="22" t="str">
        <f>IF(AND($M856=$O$7,$B856&lt;'111'!$N$11),"x","")</f>
        <v/>
      </c>
      <c r="R856" s="22" t="str">
        <f>IF(ISERROR(FIND('112'!$M$9,G856,1)),"",IF((AND(FIND('112'!$M$9,G856,1)&gt;=1,$B856&gt;='112'!$N$8,$B856&lt;='112'!$O$8,OR($L856='112'!$I$6,$M856='112'!$I$6))),"x",""))</f>
        <v/>
      </c>
      <c r="S856" s="22" t="str">
        <f>IF(ISERROR(FIND('112'!$M$9,G856,1)),"",IF((AND(LEFT(G856,2)=LEFT('112'!$M$9,2),B856&lt;'112'!$N$8,$L856='112'!$I$6)),"x",""))</f>
        <v/>
      </c>
      <c r="T856" s="22" t="str">
        <f>IF(ISERROR(FIND('112'!$M$9,G856,1)),"",IF((AND(RIGHT(G856,2)=RIGHT('112'!$M$9,2),B856&lt;'112'!$N$8,$M856='112'!$I$6)),"x",""))</f>
        <v/>
      </c>
      <c r="U856" s="22" t="str">
        <f>IF(AND(B856&gt;='IN-NX'!$P$3,B856&lt;='IN-NX'!$Q$3,'IN-NX'!$D$7=D856,OR(LEFT(L856,2)="15",AND(LEFT(M856,2)&lt;&gt;"15",LEFT(M856,2)&lt;&gt;"33"))),"x","")</f>
        <v/>
      </c>
      <c r="V856" s="22" t="str">
        <f>IF(AND(OR(LEFT(TH!L856,2)="15",LEFT(TH!M856,2)="15"),'152-CT'!$J$8=TH!F856),"x","")</f>
        <v/>
      </c>
      <c r="W856" s="22" t="str">
        <f>IF(AND(OR(LEFT(TH!L856,2)="15",LEFT(TH!M856,2)="15"),TK!$E$7=TH!F856),"x","")</f>
        <v/>
      </c>
      <c r="X856" s="22" t="str">
        <f>IF(OR(TH!L856=TH!$X$7,M856=TH!$X$7),"x","")</f>
        <v/>
      </c>
      <c r="Y856" s="22" t="str">
        <f>IF(AND(B856&lt;=NKC!$N$8,B856&gt;=NKC!$M$8),"x","")</f>
        <v>x</v>
      </c>
      <c r="Z856" s="581"/>
      <c r="AC856" s="130"/>
      <c r="AD856" s="130"/>
      <c r="AE856" s="130"/>
    </row>
    <row r="857" spans="1:31" s="406" customFormat="1" ht="15.75" customHeight="1">
      <c r="A857" s="123" t="str">
        <f>IF(B857&lt;&gt;"",IF(AND(B857&gt;=_TM1,B857&lt;=_TM2,OR(TH!L857="1111",TH!M857="1111")),TH!D857,""),"")</f>
        <v/>
      </c>
      <c r="B857" s="12">
        <f t="shared" si="33"/>
        <v>10</v>
      </c>
      <c r="C857" s="108">
        <f t="shared" si="40"/>
        <v>42660</v>
      </c>
      <c r="D857" s="113" t="s">
        <v>1021</v>
      </c>
      <c r="E857" s="113">
        <v>42660</v>
      </c>
      <c r="F857" s="112" t="s">
        <v>783</v>
      </c>
      <c r="G857" s="305"/>
      <c r="H857" s="129" t="s">
        <v>1071</v>
      </c>
      <c r="I857" s="139">
        <v>8032</v>
      </c>
      <c r="J857" s="139">
        <v>7800</v>
      </c>
      <c r="K857" s="13">
        <f t="shared" si="39"/>
        <v>62649600</v>
      </c>
      <c r="L857" s="116" t="s">
        <v>160</v>
      </c>
      <c r="M857" s="116" t="s">
        <v>154</v>
      </c>
      <c r="N857" s="22" t="str">
        <f>IF(AND('331-CT'!$E$7=TH!H857,OR(L857="331",M857="331")),"331",IF(AND(OR(L857="131",M857="131"),H857='131-CT'!$E$7),"131",""))</f>
        <v/>
      </c>
      <c r="O857" s="22" t="str">
        <f>IF(AND($B857&gt;='111'!$N$11,$B857&lt;='111'!$O$11,OR($L857=$O$7,$M857=$O$7)),"x","")</f>
        <v/>
      </c>
      <c r="P857" s="22" t="str">
        <f>IF(AND($L857=$O$7,$B857&lt;'111'!$N$11),"x","")</f>
        <v/>
      </c>
      <c r="Q857" s="22" t="str">
        <f>IF(AND($M857=$O$7,$B857&lt;'111'!$N$11),"x","")</f>
        <v/>
      </c>
      <c r="R857" s="22" t="str">
        <f>IF(ISERROR(FIND('112'!$M$9,G857,1)),"",IF((AND(FIND('112'!$M$9,G857,1)&gt;=1,$B857&gt;='112'!$N$8,$B857&lt;='112'!$O$8,OR($L857='112'!$I$6,$M857='112'!$I$6))),"x",""))</f>
        <v/>
      </c>
      <c r="S857" s="22" t="str">
        <f>IF(ISERROR(FIND('112'!$M$9,G857,1)),"",IF((AND(LEFT(G857,2)=LEFT('112'!$M$9,2),B857&lt;'112'!$N$8,$L857='112'!$I$6)),"x",""))</f>
        <v/>
      </c>
      <c r="T857" s="22" t="str">
        <f>IF(ISERROR(FIND('112'!$M$9,G857,1)),"",IF((AND(RIGHT(G857,2)=RIGHT('112'!$M$9,2),B857&lt;'112'!$N$8,$M857='112'!$I$6)),"x",""))</f>
        <v/>
      </c>
      <c r="U857" s="22" t="str">
        <f>IF(AND(B857&gt;='IN-NX'!$P$3,B857&lt;='IN-NX'!$Q$3,'IN-NX'!$D$7=D857,OR(LEFT(L857,2)="15",AND(LEFT(M857,2)&lt;&gt;"15",LEFT(M857,2)&lt;&gt;"33"))),"x","")</f>
        <v/>
      </c>
      <c r="V857" s="22" t="str">
        <f>IF(AND(OR(LEFT(TH!L857,2)="15",LEFT(TH!M857,2)="15"),'152-CT'!$J$8=TH!F857),"x","")</f>
        <v>x</v>
      </c>
      <c r="W857" s="22" t="str">
        <f>IF(AND(OR(LEFT(TH!L857,2)="15",LEFT(TH!M857,2)="15"),TK!$E$7=TH!F857),"x","")</f>
        <v/>
      </c>
      <c r="X857" s="22" t="str">
        <f>IF(OR(TH!L857=TH!$X$7,M857=TH!$X$7),"x","")</f>
        <v/>
      </c>
      <c r="Y857" s="22" t="str">
        <f>IF(AND(B857&lt;=NKC!$N$8,B857&gt;=NKC!$M$8),"x","")</f>
        <v/>
      </c>
      <c r="Z857" s="581"/>
      <c r="AC857" s="130"/>
      <c r="AD857" s="130"/>
      <c r="AE857" s="130"/>
    </row>
    <row r="858" spans="1:31" s="406" customFormat="1" ht="15.75" customHeight="1">
      <c r="A858" s="123" t="str">
        <f>IF(B858&lt;&gt;"",IF(AND(B858&gt;=_TM1,B858&lt;=_TM2,OR(TH!L858="1111",TH!M858="1111")),TH!D858,""),"")</f>
        <v/>
      </c>
      <c r="B858" s="12">
        <f t="shared" si="33"/>
        <v>10</v>
      </c>
      <c r="C858" s="108">
        <f t="shared" si="40"/>
        <v>42660</v>
      </c>
      <c r="D858" s="113" t="s">
        <v>1021</v>
      </c>
      <c r="E858" s="113">
        <v>42660</v>
      </c>
      <c r="F858" s="112" t="s">
        <v>783</v>
      </c>
      <c r="G858" s="114"/>
      <c r="H858" s="129" t="s">
        <v>1071</v>
      </c>
      <c r="I858" s="139">
        <v>7448</v>
      </c>
      <c r="J858" s="139">
        <v>8200</v>
      </c>
      <c r="K858" s="13">
        <f t="shared" si="39"/>
        <v>61073600</v>
      </c>
      <c r="L858" s="116" t="s">
        <v>160</v>
      </c>
      <c r="M858" s="116" t="s">
        <v>154</v>
      </c>
      <c r="N858" s="22" t="str">
        <f>IF(AND('331-CT'!$E$7=TH!H858,OR(L858="331",M858="331")),"331",IF(AND(OR(L858="131",M858="131"),H858='131-CT'!$E$7),"131",""))</f>
        <v/>
      </c>
      <c r="O858" s="22" t="str">
        <f>IF(AND($B858&gt;='111'!$N$11,$B858&lt;='111'!$O$11,OR($L858=$O$7,$M858=$O$7)),"x","")</f>
        <v/>
      </c>
      <c r="P858" s="22" t="str">
        <f>IF(AND($L858=$O$7,$B858&lt;'111'!$N$11),"x","")</f>
        <v/>
      </c>
      <c r="Q858" s="22" t="str">
        <f>IF(AND($M858=$O$7,$B858&lt;'111'!$N$11),"x","")</f>
        <v/>
      </c>
      <c r="R858" s="22" t="str">
        <f>IF(ISERROR(FIND('112'!$M$9,G858,1)),"",IF((AND(FIND('112'!$M$9,G858,1)&gt;=1,$B858&gt;='112'!$N$8,$B858&lt;='112'!$O$8,OR($L858='112'!$I$6,$M858='112'!$I$6))),"x",""))</f>
        <v/>
      </c>
      <c r="S858" s="22" t="str">
        <f>IF(ISERROR(FIND('112'!$M$9,G858,1)),"",IF((AND(LEFT(G858,2)=LEFT('112'!$M$9,2),B858&lt;'112'!$N$8,$L858='112'!$I$6)),"x",""))</f>
        <v/>
      </c>
      <c r="T858" s="22" t="str">
        <f>IF(ISERROR(FIND('112'!$M$9,G858,1)),"",IF((AND(RIGHT(G858,2)=RIGHT('112'!$M$9,2),B858&lt;'112'!$N$8,$M858='112'!$I$6)),"x",""))</f>
        <v/>
      </c>
      <c r="U858" s="22" t="str">
        <f>IF(AND(B858&gt;='IN-NX'!$P$3,B858&lt;='IN-NX'!$Q$3,'IN-NX'!$D$7=D858,OR(LEFT(L858,2)="15",AND(LEFT(M858,2)&lt;&gt;"15",LEFT(M858,2)&lt;&gt;"33"))),"x","")</f>
        <v/>
      </c>
      <c r="V858" s="22" t="str">
        <f>IF(AND(OR(LEFT(TH!L858,2)="15",LEFT(TH!M858,2)="15"),'152-CT'!$J$8=TH!F858),"x","")</f>
        <v>x</v>
      </c>
      <c r="W858" s="22" t="str">
        <f>IF(AND(OR(LEFT(TH!L858,2)="15",LEFT(TH!M858,2)="15"),TK!$E$7=TH!F858),"x","")</f>
        <v/>
      </c>
      <c r="X858" s="22" t="str">
        <f>IF(OR(TH!L858=TH!$X$7,M858=TH!$X$7),"x","")</f>
        <v/>
      </c>
      <c r="Y858" s="22" t="str">
        <f>IF(AND(B858&lt;=NKC!$N$8,B858&gt;=NKC!$M$8),"x","")</f>
        <v/>
      </c>
      <c r="Z858" s="581"/>
      <c r="AC858" s="130"/>
      <c r="AD858" s="130"/>
      <c r="AE858" s="130"/>
    </row>
    <row r="859" spans="1:31" s="406" customFormat="1" ht="15.75" customHeight="1">
      <c r="A859" s="123" t="str">
        <f>IF(B859&lt;&gt;"",IF(AND(B859&gt;=_TM1,B859&lt;=_TM2,OR(TH!L859="1111",TH!M859="1111")),TH!D859,""),"")</f>
        <v/>
      </c>
      <c r="B859" s="12">
        <f t="shared" si="33"/>
        <v>10</v>
      </c>
      <c r="C859" s="108">
        <f t="shared" si="40"/>
        <v>42660</v>
      </c>
      <c r="D859" s="113" t="s">
        <v>1021</v>
      </c>
      <c r="E859" s="113">
        <v>42660</v>
      </c>
      <c r="F859" s="112" t="s">
        <v>783</v>
      </c>
      <c r="G859" s="305"/>
      <c r="H859" s="129" t="s">
        <v>1071</v>
      </c>
      <c r="I859" s="139">
        <v>2161</v>
      </c>
      <c r="J859" s="139">
        <v>8200</v>
      </c>
      <c r="K859" s="13">
        <f t="shared" si="39"/>
        <v>17720200</v>
      </c>
      <c r="L859" s="116" t="s">
        <v>160</v>
      </c>
      <c r="M859" s="116" t="s">
        <v>154</v>
      </c>
      <c r="N859" s="22" t="str">
        <f>IF(AND('331-CT'!$E$7=TH!H859,OR(L859="331",M859="331")),"331",IF(AND(OR(L859="131",M859="131"),H859='131-CT'!$E$7),"131",""))</f>
        <v/>
      </c>
      <c r="O859" s="22" t="str">
        <f>IF(AND($B859&gt;='111'!$N$11,$B859&lt;='111'!$O$11,OR($L859=$O$7,$M859=$O$7)),"x","")</f>
        <v/>
      </c>
      <c r="P859" s="22" t="str">
        <f>IF(AND($L859=$O$7,$B859&lt;'111'!$N$11),"x","")</f>
        <v/>
      </c>
      <c r="Q859" s="22" t="str">
        <f>IF(AND($M859=$O$7,$B859&lt;'111'!$N$11),"x","")</f>
        <v/>
      </c>
      <c r="R859" s="22" t="str">
        <f>IF(ISERROR(FIND('112'!$M$9,G859,1)),"",IF((AND(FIND('112'!$M$9,G859,1)&gt;=1,$B859&gt;='112'!$N$8,$B859&lt;='112'!$O$8,OR($L859='112'!$I$6,$M859='112'!$I$6))),"x",""))</f>
        <v/>
      </c>
      <c r="S859" s="22" t="str">
        <f>IF(ISERROR(FIND('112'!$M$9,G859,1)),"",IF((AND(LEFT(G859,2)=LEFT('112'!$M$9,2),B859&lt;'112'!$N$8,$L859='112'!$I$6)),"x",""))</f>
        <v/>
      </c>
      <c r="T859" s="22" t="str">
        <f>IF(ISERROR(FIND('112'!$M$9,G859,1)),"",IF((AND(RIGHT(G859,2)=RIGHT('112'!$M$9,2),B859&lt;'112'!$N$8,$M859='112'!$I$6)),"x",""))</f>
        <v/>
      </c>
      <c r="U859" s="22" t="str">
        <f>IF(AND(B859&gt;='IN-NX'!$P$3,B859&lt;='IN-NX'!$Q$3,'IN-NX'!$D$7=D859,OR(LEFT(L859,2)="15",AND(LEFT(M859,2)&lt;&gt;"15",LEFT(M859,2)&lt;&gt;"33"))),"x","")</f>
        <v/>
      </c>
      <c r="V859" s="22" t="str">
        <f>IF(AND(OR(LEFT(TH!L859,2)="15",LEFT(TH!M859,2)="15"),'152-CT'!$J$8=TH!F859),"x","")</f>
        <v>x</v>
      </c>
      <c r="W859" s="22" t="str">
        <f>IF(AND(OR(LEFT(TH!L859,2)="15",LEFT(TH!M859,2)="15"),TK!$E$7=TH!F859),"x","")</f>
        <v/>
      </c>
      <c r="X859" s="22" t="str">
        <f>IF(OR(TH!L859=TH!$X$7,M859=TH!$X$7),"x","")</f>
        <v/>
      </c>
      <c r="Y859" s="22" t="str">
        <f>IF(AND(B859&lt;=NKC!$N$8,B859&gt;=NKC!$M$8),"x","")</f>
        <v/>
      </c>
      <c r="Z859" s="581"/>
      <c r="AC859" s="130"/>
      <c r="AD859" s="130"/>
      <c r="AE859" s="130"/>
    </row>
    <row r="860" spans="1:31" s="406" customFormat="1" ht="15.75" customHeight="1">
      <c r="A860" s="123" t="str">
        <f>IF(B860&lt;&gt;"",IF(AND(B860&gt;=_TM1,B860&lt;=_TM2,OR(TH!L860="1111",TH!M860="1111")),TH!D860,""),"")</f>
        <v/>
      </c>
      <c r="B860" s="12">
        <f t="shared" si="33"/>
        <v>10</v>
      </c>
      <c r="C860" s="108">
        <f t="shared" si="40"/>
        <v>42662</v>
      </c>
      <c r="D860" s="113" t="s">
        <v>1021</v>
      </c>
      <c r="E860" s="113">
        <v>42662</v>
      </c>
      <c r="F860" s="112" t="s">
        <v>783</v>
      </c>
      <c r="G860" s="114"/>
      <c r="H860" s="129" t="s">
        <v>1071</v>
      </c>
      <c r="I860" s="139">
        <v>6632</v>
      </c>
      <c r="J860" s="139">
        <v>8200</v>
      </c>
      <c r="K860" s="13">
        <f t="shared" si="39"/>
        <v>54382400</v>
      </c>
      <c r="L860" s="116" t="s">
        <v>160</v>
      </c>
      <c r="M860" s="116" t="s">
        <v>154</v>
      </c>
      <c r="N860" s="22" t="str">
        <f>IF(AND('331-CT'!$E$7=TH!H860,OR(L860="331",M860="331")),"331",IF(AND(OR(L860="131",M860="131"),H860='131-CT'!$E$7),"131",""))</f>
        <v/>
      </c>
      <c r="O860" s="22" t="str">
        <f>IF(AND($B860&gt;='111'!$N$11,$B860&lt;='111'!$O$11,OR($L860=$O$7,$M860=$O$7)),"x","")</f>
        <v/>
      </c>
      <c r="P860" s="22" t="str">
        <f>IF(AND($L860=$O$7,$B860&lt;'111'!$N$11),"x","")</f>
        <v/>
      </c>
      <c r="Q860" s="22" t="str">
        <f>IF(AND($M860=$O$7,$B860&lt;'111'!$N$11),"x","")</f>
        <v/>
      </c>
      <c r="R860" s="22" t="str">
        <f>IF(ISERROR(FIND('112'!$M$9,G860,1)),"",IF((AND(FIND('112'!$M$9,G860,1)&gt;=1,$B860&gt;='112'!$N$8,$B860&lt;='112'!$O$8,OR($L860='112'!$I$6,$M860='112'!$I$6))),"x",""))</f>
        <v/>
      </c>
      <c r="S860" s="22" t="str">
        <f>IF(ISERROR(FIND('112'!$M$9,G860,1)),"",IF((AND(LEFT(G860,2)=LEFT('112'!$M$9,2),B860&lt;'112'!$N$8,$L860='112'!$I$6)),"x",""))</f>
        <v/>
      </c>
      <c r="T860" s="22" t="str">
        <f>IF(ISERROR(FIND('112'!$M$9,G860,1)),"",IF((AND(RIGHT(G860,2)=RIGHT('112'!$M$9,2),B860&lt;'112'!$N$8,$M860='112'!$I$6)),"x",""))</f>
        <v/>
      </c>
      <c r="U860" s="22" t="str">
        <f>IF(AND(B860&gt;='IN-NX'!$P$3,B860&lt;='IN-NX'!$Q$3,'IN-NX'!$D$7=D860,OR(LEFT(L860,2)="15",AND(LEFT(M860,2)&lt;&gt;"15",LEFT(M860,2)&lt;&gt;"33"))),"x","")</f>
        <v/>
      </c>
      <c r="V860" s="22" t="str">
        <f>IF(AND(OR(LEFT(TH!L860,2)="15",LEFT(TH!M860,2)="15"),'152-CT'!$J$8=TH!F860),"x","")</f>
        <v>x</v>
      </c>
      <c r="W860" s="22" t="str">
        <f>IF(AND(OR(LEFT(TH!L860,2)="15",LEFT(TH!M860,2)="15"),TK!$E$7=TH!F860),"x","")</f>
        <v/>
      </c>
      <c r="X860" s="22" t="str">
        <f>IF(OR(TH!L860=TH!$X$7,M860=TH!$X$7),"x","")</f>
        <v/>
      </c>
      <c r="Y860" s="22" t="str">
        <f>IF(AND(B860&lt;=NKC!$N$8,B860&gt;=NKC!$M$8),"x","")</f>
        <v/>
      </c>
      <c r="Z860" s="581"/>
      <c r="AC860" s="130"/>
      <c r="AD860" s="130"/>
      <c r="AE860" s="130"/>
    </row>
    <row r="861" spans="1:31" s="406" customFormat="1" ht="15.75" customHeight="1">
      <c r="A861" s="123" t="str">
        <f>IF(B861&lt;&gt;"",IF(AND(B861&gt;=_TM1,B861&lt;=_TM2,OR(TH!L861="1111",TH!M861="1111")),TH!D861,""),"")</f>
        <v/>
      </c>
      <c r="B861" s="12">
        <f t="shared" si="33"/>
        <v>10</v>
      </c>
      <c r="C861" s="108">
        <f t="shared" si="40"/>
        <v>42674</v>
      </c>
      <c r="D861" s="113" t="s">
        <v>1021</v>
      </c>
      <c r="E861" s="113">
        <v>42674</v>
      </c>
      <c r="F861" s="112" t="s">
        <v>879</v>
      </c>
      <c r="G861" s="305"/>
      <c r="H861" s="129" t="s">
        <v>1071</v>
      </c>
      <c r="I861" s="139">
        <v>28000</v>
      </c>
      <c r="J861" s="139">
        <v>8400</v>
      </c>
      <c r="K861" s="13">
        <f t="shared" si="39"/>
        <v>235200000</v>
      </c>
      <c r="L861" s="116" t="s">
        <v>160</v>
      </c>
      <c r="M861" s="116" t="s">
        <v>154</v>
      </c>
      <c r="N861" s="22" t="str">
        <f>IF(AND('331-CT'!$E$7=TH!H861,OR(L861="331",M861="331")),"331",IF(AND(OR(L861="131",M861="131"),H861='131-CT'!$E$7),"131",""))</f>
        <v/>
      </c>
      <c r="O861" s="22" t="str">
        <f>IF(AND($B861&gt;='111'!$N$11,$B861&lt;='111'!$O$11,OR($L861=$O$7,$M861=$O$7)),"x","")</f>
        <v/>
      </c>
      <c r="P861" s="22" t="str">
        <f>IF(AND($L861=$O$7,$B861&lt;'111'!$N$11),"x","")</f>
        <v/>
      </c>
      <c r="Q861" s="22" t="str">
        <f>IF(AND($M861=$O$7,$B861&lt;'111'!$N$11),"x","")</f>
        <v/>
      </c>
      <c r="R861" s="22" t="str">
        <f>IF(ISERROR(FIND('112'!$M$9,G861,1)),"",IF((AND(FIND('112'!$M$9,G861,1)&gt;=1,$B861&gt;='112'!$N$8,$B861&lt;='112'!$O$8,OR($L861='112'!$I$6,$M861='112'!$I$6))),"x",""))</f>
        <v/>
      </c>
      <c r="S861" s="22" t="str">
        <f>IF(ISERROR(FIND('112'!$M$9,G861,1)),"",IF((AND(LEFT(G861,2)=LEFT('112'!$M$9,2),B861&lt;'112'!$N$8,$L861='112'!$I$6)),"x",""))</f>
        <v/>
      </c>
      <c r="T861" s="22" t="str">
        <f>IF(ISERROR(FIND('112'!$M$9,G861,1)),"",IF((AND(RIGHT(G861,2)=RIGHT('112'!$M$9,2),B861&lt;'112'!$N$8,$M861='112'!$I$6)),"x",""))</f>
        <v/>
      </c>
      <c r="U861" s="22" t="str">
        <f>IF(AND(B861&gt;='IN-NX'!$P$3,B861&lt;='IN-NX'!$Q$3,'IN-NX'!$D$7=D861,OR(LEFT(L861,2)="15",AND(LEFT(M861,2)&lt;&gt;"15",LEFT(M861,2)&lt;&gt;"33"))),"x","")</f>
        <v/>
      </c>
      <c r="V861" s="22" t="str">
        <f>IF(AND(OR(LEFT(TH!L861,2)="15",LEFT(TH!M861,2)="15"),'152-CT'!$J$8=TH!F861),"x","")</f>
        <v/>
      </c>
      <c r="W861" s="22" t="str">
        <f>IF(AND(OR(LEFT(TH!L861,2)="15",LEFT(TH!M861,2)="15"),TK!$E$7=TH!F861),"x","")</f>
        <v/>
      </c>
      <c r="X861" s="22" t="str">
        <f>IF(OR(TH!L861=TH!$X$7,M861=TH!$X$7),"x","")</f>
        <v/>
      </c>
      <c r="Y861" s="22" t="str">
        <f>IF(AND(B861&lt;=NKC!$N$8,B861&gt;=NKC!$M$8),"x","")</f>
        <v/>
      </c>
      <c r="Z861" s="581"/>
      <c r="AB861" s="130"/>
      <c r="AC861" s="130"/>
      <c r="AD861" s="130"/>
      <c r="AE861" s="130"/>
    </row>
    <row r="862" spans="1:31" s="563" customFormat="1" ht="15.75" customHeight="1">
      <c r="A862" s="603" t="str">
        <f>IF(B862&lt;&gt;"",IF(AND(B862&gt;=_TM1,B862&lt;=_TM2,OR(TH!L862="1111",TH!M862="1111")),TH!D862,""),"")</f>
        <v/>
      </c>
      <c r="B862" s="556">
        <f t="shared" si="33"/>
        <v>8</v>
      </c>
      <c r="C862" s="557">
        <f t="shared" si="40"/>
        <v>42595</v>
      </c>
      <c r="D862" s="558" t="s">
        <v>1072</v>
      </c>
      <c r="E862" s="558">
        <v>42595</v>
      </c>
      <c r="F862" s="559" t="s">
        <v>444</v>
      </c>
      <c r="G862" s="559"/>
      <c r="H862" s="604" t="s">
        <v>1071</v>
      </c>
      <c r="I862" s="608">
        <v>19810</v>
      </c>
      <c r="J862" s="608">
        <v>780</v>
      </c>
      <c r="K862" s="568">
        <f t="shared" si="39"/>
        <v>15451800</v>
      </c>
      <c r="L862" s="573" t="s">
        <v>160</v>
      </c>
      <c r="M862" s="573" t="s">
        <v>156</v>
      </c>
      <c r="N862" s="22" t="str">
        <f>IF(AND('331-CT'!$E$7=TH!H862,OR(L862="331",M862="331")),"331",IF(AND(OR(L862="131",M862="131"),H862='131-CT'!$E$7),"131",""))</f>
        <v/>
      </c>
      <c r="O862" s="22" t="str">
        <f>IF(AND($B862&gt;='111'!$N$11,$B862&lt;='111'!$O$11,OR($L862=$O$7,$M862=$O$7)),"x","")</f>
        <v/>
      </c>
      <c r="P862" s="22" t="str">
        <f>IF(AND($L862=$O$7,$B862&lt;'111'!$N$11),"x","")</f>
        <v/>
      </c>
      <c r="Q862" s="22" t="str">
        <f>IF(AND($M862=$O$7,$B862&lt;'111'!$N$11),"x","")</f>
        <v/>
      </c>
      <c r="R862" s="22" t="str">
        <f>IF(ISERROR(FIND('112'!$M$9,G862,1)),"",IF((AND(FIND('112'!$M$9,G862,1)&gt;=1,$B862&gt;='112'!$N$8,$B862&lt;='112'!$O$8,OR($L862='112'!$I$6,$M862='112'!$I$6))),"x",""))</f>
        <v/>
      </c>
      <c r="S862" s="22" t="str">
        <f>IF(ISERROR(FIND('112'!$M$9,G862,1)),"",IF((AND(LEFT(G862,2)=LEFT('112'!$M$9,2),B862&lt;'112'!$N$8,$L862='112'!$I$6)),"x",""))</f>
        <v/>
      </c>
      <c r="T862" s="22" t="str">
        <f>IF(ISERROR(FIND('112'!$M$9,G862,1)),"",IF((AND(RIGHT(G862,2)=RIGHT('112'!$M$9,2),B862&lt;'112'!$N$8,$M862='112'!$I$6)),"x",""))</f>
        <v/>
      </c>
      <c r="U862" s="22" t="str">
        <f>IF(AND(B862&gt;='IN-NX'!$P$3,B862&lt;='IN-NX'!$Q$3,'IN-NX'!$D$7=D862,OR(LEFT(L862,2)="15",AND(LEFT(M862,2)&lt;&gt;"15",LEFT(M862,2)&lt;&gt;"33"))),"x","")</f>
        <v/>
      </c>
      <c r="V862" s="22" t="str">
        <f>IF(AND(OR(LEFT(TH!L862,2)="15",LEFT(TH!M862,2)="15"),'152-CT'!$J$8=TH!F862),"x","")</f>
        <v/>
      </c>
      <c r="W862" s="22" t="str">
        <f>IF(AND(OR(LEFT(TH!L862,2)="15",LEFT(TH!M862,2)="15"),TK!$E$7=TH!F862),"x","")</f>
        <v>x</v>
      </c>
      <c r="X862" s="22" t="str">
        <f>IF(OR(TH!L862=TH!$X$7,M862=TH!$X$7),"x","")</f>
        <v/>
      </c>
      <c r="Y862" s="22" t="str">
        <f>IF(AND(B862&lt;=NKC!$N$8,B862&gt;=NKC!$M$8),"x","")</f>
        <v>x</v>
      </c>
      <c r="Z862" s="582"/>
      <c r="AD862" s="564"/>
      <c r="AE862" s="564"/>
    </row>
    <row r="863" spans="1:31" s="588" customFormat="1" ht="15.75" customHeight="1">
      <c r="A863" s="607" t="str">
        <f>IF(B863&lt;&gt;"",IF(AND(B863&gt;=_TM1,B863&lt;=_TM2,OR(TH!L863="1111",TH!M863="1111")),TH!D863,""),"")</f>
        <v/>
      </c>
      <c r="B863" s="585">
        <f t="shared" si="33"/>
        <v>8</v>
      </c>
      <c r="C863" s="586">
        <f t="shared" si="40"/>
        <v>42601</v>
      </c>
      <c r="D863" s="569" t="s">
        <v>1072</v>
      </c>
      <c r="E863" s="569">
        <v>42601</v>
      </c>
      <c r="F863" s="570" t="s">
        <v>444</v>
      </c>
      <c r="G863" s="571"/>
      <c r="H863" s="587" t="s">
        <v>1071</v>
      </c>
      <c r="I863" s="137">
        <v>14330</v>
      </c>
      <c r="J863" s="137">
        <v>780</v>
      </c>
      <c r="K863" s="21">
        <f t="shared" ref="K863:K879" si="41">ROUND(I863*J863,0)</f>
        <v>11177400</v>
      </c>
      <c r="L863" s="567" t="s">
        <v>160</v>
      </c>
      <c r="M863" s="567" t="s">
        <v>156</v>
      </c>
      <c r="N863" s="22" t="str">
        <f>IF(AND('331-CT'!$E$7=TH!H863,OR(L863="331",M863="331")),"331",IF(AND(OR(L863="131",M863="131"),H863='131-CT'!$E$7),"131",""))</f>
        <v/>
      </c>
      <c r="O863" s="22" t="str">
        <f>IF(AND($B863&gt;='111'!$N$11,$B863&lt;='111'!$O$11,OR($L863=$O$7,$M863=$O$7)),"x","")</f>
        <v/>
      </c>
      <c r="P863" s="22" t="str">
        <f>IF(AND($L863=$O$7,$B863&lt;'111'!$N$11),"x","")</f>
        <v/>
      </c>
      <c r="Q863" s="22" t="str">
        <f>IF(AND($M863=$O$7,$B863&lt;'111'!$N$11),"x","")</f>
        <v/>
      </c>
      <c r="R863" s="22" t="str">
        <f>IF(ISERROR(FIND('112'!$M$9,G863,1)),"",IF((AND(FIND('112'!$M$9,G863,1)&gt;=1,$B863&gt;='112'!$N$8,$B863&lt;='112'!$O$8,OR($L863='112'!$I$6,$M863='112'!$I$6))),"x",""))</f>
        <v/>
      </c>
      <c r="S863" s="22" t="str">
        <f>IF(ISERROR(FIND('112'!$M$9,G863,1)),"",IF((AND(LEFT(G863,2)=LEFT('112'!$M$9,2),B863&lt;'112'!$N$8,$L863='112'!$I$6)),"x",""))</f>
        <v/>
      </c>
      <c r="T863" s="22" t="str">
        <f>IF(ISERROR(FIND('112'!$M$9,G863,1)),"",IF((AND(RIGHT(G863,2)=RIGHT('112'!$M$9,2),B863&lt;'112'!$N$8,$M863='112'!$I$6)),"x",""))</f>
        <v/>
      </c>
      <c r="U863" s="22" t="str">
        <f>IF(AND(B863&gt;='IN-NX'!$P$3,B863&lt;='IN-NX'!$Q$3,'IN-NX'!$D$7=D863,OR(LEFT(L863,2)="15",AND(LEFT(M863,2)&lt;&gt;"15",LEFT(M863,2)&lt;&gt;"33"))),"x","")</f>
        <v/>
      </c>
      <c r="V863" s="22" t="str">
        <f>IF(AND(OR(LEFT(TH!L863,2)="15",LEFT(TH!M863,2)="15"),'152-CT'!$J$8=TH!F863),"x","")</f>
        <v/>
      </c>
      <c r="W863" s="22" t="str">
        <f>IF(AND(OR(LEFT(TH!L863,2)="15",LEFT(TH!M863,2)="15"),TK!$E$7=TH!F863),"x","")</f>
        <v>x</v>
      </c>
      <c r="X863" s="22" t="str">
        <f>IF(OR(TH!L863=TH!$X$7,M863=TH!$X$7),"x","")</f>
        <v/>
      </c>
      <c r="Y863" s="22" t="str">
        <f>IF(AND(B863&lt;=NKC!$N$8,B863&gt;=NKC!$M$8),"x","")</f>
        <v>x</v>
      </c>
      <c r="Z863" s="580"/>
      <c r="AD863" s="589"/>
      <c r="AE863" s="589"/>
    </row>
    <row r="864" spans="1:31" s="588" customFormat="1" ht="15.75" customHeight="1">
      <c r="A864" s="607" t="str">
        <f>IF(B864&lt;&gt;"",IF(AND(B864&gt;=_TM1,B864&lt;=_TM2,OR(TH!L864="1111",TH!M864="1111")),TH!D864,""),"")</f>
        <v/>
      </c>
      <c r="B864" s="585">
        <f t="shared" si="33"/>
        <v>8</v>
      </c>
      <c r="C864" s="586">
        <f t="shared" si="40"/>
        <v>42613</v>
      </c>
      <c r="D864" s="569" t="s">
        <v>1072</v>
      </c>
      <c r="E864" s="569">
        <v>42613</v>
      </c>
      <c r="F864" s="570" t="s">
        <v>444</v>
      </c>
      <c r="G864" s="570"/>
      <c r="H864" s="587" t="s">
        <v>1071</v>
      </c>
      <c r="I864" s="591">
        <v>12830</v>
      </c>
      <c r="J864" s="591">
        <v>780</v>
      </c>
      <c r="K864" s="21">
        <f t="shared" si="41"/>
        <v>10007400</v>
      </c>
      <c r="L864" s="567" t="s">
        <v>160</v>
      </c>
      <c r="M864" s="567" t="s">
        <v>156</v>
      </c>
      <c r="N864" s="22" t="str">
        <f>IF(AND('331-CT'!$E$7=TH!H864,OR(L864="331",M864="331")),"331",IF(AND(OR(L864="131",M864="131"),H864='131-CT'!$E$7),"131",""))</f>
        <v/>
      </c>
      <c r="O864" s="22" t="str">
        <f>IF(AND($B864&gt;='111'!$N$11,$B864&lt;='111'!$O$11,OR($L864=$O$7,$M864=$O$7)),"x","")</f>
        <v/>
      </c>
      <c r="P864" s="22" t="str">
        <f>IF(AND($L864=$O$7,$B864&lt;'111'!$N$11),"x","")</f>
        <v/>
      </c>
      <c r="Q864" s="22" t="str">
        <f>IF(AND($M864=$O$7,$B864&lt;'111'!$N$11),"x","")</f>
        <v/>
      </c>
      <c r="R864" s="22" t="str">
        <f>IF(ISERROR(FIND('112'!$M$9,G864,1)),"",IF((AND(FIND('112'!$M$9,G864,1)&gt;=1,$B864&gt;='112'!$N$8,$B864&lt;='112'!$O$8,OR($L864='112'!$I$6,$M864='112'!$I$6))),"x",""))</f>
        <v/>
      </c>
      <c r="S864" s="22" t="str">
        <f>IF(ISERROR(FIND('112'!$M$9,G864,1)),"",IF((AND(LEFT(G864,2)=LEFT('112'!$M$9,2),B864&lt;'112'!$N$8,$L864='112'!$I$6)),"x",""))</f>
        <v/>
      </c>
      <c r="T864" s="22" t="str">
        <f>IF(ISERROR(FIND('112'!$M$9,G864,1)),"",IF((AND(RIGHT(G864,2)=RIGHT('112'!$M$9,2),B864&lt;'112'!$N$8,$M864='112'!$I$6)),"x",""))</f>
        <v/>
      </c>
      <c r="U864" s="22" t="str">
        <f>IF(AND(B864&gt;='IN-NX'!$P$3,B864&lt;='IN-NX'!$Q$3,'IN-NX'!$D$7=D864,OR(LEFT(L864,2)="15",AND(LEFT(M864,2)&lt;&gt;"15",LEFT(M864,2)&lt;&gt;"33"))),"x","")</f>
        <v/>
      </c>
      <c r="V864" s="22" t="str">
        <f>IF(AND(OR(LEFT(TH!L864,2)="15",LEFT(TH!M864,2)="15"),'152-CT'!$J$8=TH!F864),"x","")</f>
        <v/>
      </c>
      <c r="W864" s="22" t="str">
        <f>IF(AND(OR(LEFT(TH!L864,2)="15",LEFT(TH!M864,2)="15"),TK!$E$7=TH!F864),"x","")</f>
        <v>x</v>
      </c>
      <c r="X864" s="22" t="str">
        <f>IF(OR(TH!L864=TH!$X$7,M864=TH!$X$7),"x","")</f>
        <v/>
      </c>
      <c r="Y864" s="22" t="str">
        <f>IF(AND(B864&lt;=NKC!$N$8,B864&gt;=NKC!$M$8),"x","")</f>
        <v>x</v>
      </c>
      <c r="Z864" s="580"/>
      <c r="AD864" s="589"/>
      <c r="AE864" s="589"/>
    </row>
    <row r="865" spans="1:31" s="588" customFormat="1" ht="15.75" customHeight="1">
      <c r="A865" s="607" t="str">
        <f>IF(B865&lt;&gt;"",IF(AND(B865&gt;=_TM1,B865&lt;=_TM2,OR(TH!L865="1111",TH!M865="1111")),TH!D865,""),"")</f>
        <v/>
      </c>
      <c r="B865" s="585">
        <f t="shared" si="33"/>
        <v>9</v>
      </c>
      <c r="C865" s="586">
        <f t="shared" si="40"/>
        <v>42625</v>
      </c>
      <c r="D865" s="569" t="s">
        <v>1072</v>
      </c>
      <c r="E865" s="569">
        <v>42625</v>
      </c>
      <c r="F865" s="570" t="s">
        <v>777</v>
      </c>
      <c r="G865" s="570"/>
      <c r="H865" s="587" t="s">
        <v>1071</v>
      </c>
      <c r="I865" s="137">
        <v>21050</v>
      </c>
      <c r="J865" s="137">
        <v>750</v>
      </c>
      <c r="K865" s="21">
        <f t="shared" si="41"/>
        <v>15787500</v>
      </c>
      <c r="L865" s="567" t="s">
        <v>160</v>
      </c>
      <c r="M865" s="567" t="s">
        <v>156</v>
      </c>
      <c r="N865" s="22" t="str">
        <f>IF(AND('331-CT'!$E$7=TH!H865,OR(L865="331",M865="331")),"331",IF(AND(OR(L865="131",M865="131"),H865='131-CT'!$E$7),"131",""))</f>
        <v/>
      </c>
      <c r="O865" s="22" t="str">
        <f>IF(AND($B865&gt;='111'!$N$11,$B865&lt;='111'!$O$11,OR($L865=$O$7,$M865=$O$7)),"x","")</f>
        <v/>
      </c>
      <c r="P865" s="22" t="str">
        <f>IF(AND($L865=$O$7,$B865&lt;'111'!$N$11),"x","")</f>
        <v/>
      </c>
      <c r="Q865" s="22" t="str">
        <f>IF(AND($M865=$O$7,$B865&lt;'111'!$N$11),"x","")</f>
        <v/>
      </c>
      <c r="R865" s="22" t="str">
        <f>IF(ISERROR(FIND('112'!$M$9,G865,1)),"",IF((AND(FIND('112'!$M$9,G865,1)&gt;=1,$B865&gt;='112'!$N$8,$B865&lt;='112'!$O$8,OR($L865='112'!$I$6,$M865='112'!$I$6))),"x",""))</f>
        <v/>
      </c>
      <c r="S865" s="22" t="str">
        <f>IF(ISERROR(FIND('112'!$M$9,G865,1)),"",IF((AND(LEFT(G865,2)=LEFT('112'!$M$9,2),B865&lt;'112'!$N$8,$L865='112'!$I$6)),"x",""))</f>
        <v/>
      </c>
      <c r="T865" s="22" t="str">
        <f>IF(ISERROR(FIND('112'!$M$9,G865,1)),"",IF((AND(RIGHT(G865,2)=RIGHT('112'!$M$9,2),B865&lt;'112'!$N$8,$M865='112'!$I$6)),"x",""))</f>
        <v/>
      </c>
      <c r="U865" s="22" t="str">
        <f>IF(AND(B865&gt;='IN-NX'!$P$3,B865&lt;='IN-NX'!$Q$3,'IN-NX'!$D$7=D865,OR(LEFT(L865,2)="15",AND(LEFT(M865,2)&lt;&gt;"15",LEFT(M865,2)&lt;&gt;"33"))),"x","")</f>
        <v/>
      </c>
      <c r="V865" s="22" t="str">
        <f>IF(AND(OR(LEFT(TH!L865,2)="15",LEFT(TH!M865,2)="15"),'152-CT'!$J$8=TH!F865),"x","")</f>
        <v/>
      </c>
      <c r="W865" s="22" t="str">
        <f>IF(AND(OR(LEFT(TH!L865,2)="15",LEFT(TH!M865,2)="15"),TK!$E$7=TH!F865),"x","")</f>
        <v/>
      </c>
      <c r="X865" s="22" t="str">
        <f>IF(OR(TH!L865=TH!$X$7,M865=TH!$X$7),"x","")</f>
        <v/>
      </c>
      <c r="Y865" s="22" t="str">
        <f>IF(AND(B865&lt;=NKC!$N$8,B865&gt;=NKC!$M$8),"x","")</f>
        <v>x</v>
      </c>
      <c r="Z865" s="580"/>
      <c r="AD865" s="589"/>
      <c r="AE865" s="589"/>
    </row>
    <row r="866" spans="1:31" s="588" customFormat="1" ht="15.75" customHeight="1">
      <c r="A866" s="607" t="str">
        <f>IF(B866&lt;&gt;"",IF(AND(B866&gt;=_TM1,B866&lt;=_TM2,OR(TH!L866="1111",TH!M866="1111")),TH!D866,""),"")</f>
        <v/>
      </c>
      <c r="B866" s="585">
        <f t="shared" si="33"/>
        <v>9</v>
      </c>
      <c r="C866" s="586">
        <f t="shared" si="40"/>
        <v>42630</v>
      </c>
      <c r="D866" s="569" t="s">
        <v>1072</v>
      </c>
      <c r="E866" s="569">
        <v>42630</v>
      </c>
      <c r="F866" s="570" t="s">
        <v>444</v>
      </c>
      <c r="G866" s="570"/>
      <c r="H866" s="587" t="s">
        <v>1071</v>
      </c>
      <c r="I866" s="591">
        <v>18500</v>
      </c>
      <c r="J866" s="591">
        <v>780</v>
      </c>
      <c r="K866" s="21">
        <f t="shared" si="41"/>
        <v>14430000</v>
      </c>
      <c r="L866" s="567" t="s">
        <v>160</v>
      </c>
      <c r="M866" s="567" t="s">
        <v>156</v>
      </c>
      <c r="N866" s="22" t="str">
        <f>IF(AND('331-CT'!$E$7=TH!H866,OR(L866="331",M866="331")),"331",IF(AND(OR(L866="131",M866="131"),H866='131-CT'!$E$7),"131",""))</f>
        <v/>
      </c>
      <c r="O866" s="22" t="str">
        <f>IF(AND($B866&gt;='111'!$N$11,$B866&lt;='111'!$O$11,OR($L866=$O$7,$M866=$O$7)),"x","")</f>
        <v/>
      </c>
      <c r="P866" s="22" t="str">
        <f>IF(AND($L866=$O$7,$B866&lt;'111'!$N$11),"x","")</f>
        <v/>
      </c>
      <c r="Q866" s="22" t="str">
        <f>IF(AND($M866=$O$7,$B866&lt;'111'!$N$11),"x","")</f>
        <v/>
      </c>
      <c r="R866" s="22" t="str">
        <f>IF(ISERROR(FIND('112'!$M$9,G866,1)),"",IF((AND(FIND('112'!$M$9,G866,1)&gt;=1,$B866&gt;='112'!$N$8,$B866&lt;='112'!$O$8,OR($L866='112'!$I$6,$M866='112'!$I$6))),"x",""))</f>
        <v/>
      </c>
      <c r="S866" s="22" t="str">
        <f>IF(ISERROR(FIND('112'!$M$9,G866,1)),"",IF((AND(LEFT(G866,2)=LEFT('112'!$M$9,2),B866&lt;'112'!$N$8,$L866='112'!$I$6)),"x",""))</f>
        <v/>
      </c>
      <c r="T866" s="22" t="str">
        <f>IF(ISERROR(FIND('112'!$M$9,G866,1)),"",IF((AND(RIGHT(G866,2)=RIGHT('112'!$M$9,2),B866&lt;'112'!$N$8,$M866='112'!$I$6)),"x",""))</f>
        <v/>
      </c>
      <c r="U866" s="22" t="str">
        <f>IF(AND(B866&gt;='IN-NX'!$P$3,B866&lt;='IN-NX'!$Q$3,'IN-NX'!$D$7=D866,OR(LEFT(L866,2)="15",AND(LEFT(M866,2)&lt;&gt;"15",LEFT(M866,2)&lt;&gt;"33"))),"x","")</f>
        <v/>
      </c>
      <c r="V866" s="22" t="str">
        <f>IF(AND(OR(LEFT(TH!L866,2)="15",LEFT(TH!M866,2)="15"),'152-CT'!$J$8=TH!F866),"x","")</f>
        <v/>
      </c>
      <c r="W866" s="22" t="str">
        <f>IF(AND(OR(LEFT(TH!L866,2)="15",LEFT(TH!M866,2)="15"),TK!$E$7=TH!F866),"x","")</f>
        <v>x</v>
      </c>
      <c r="X866" s="22" t="str">
        <f>IF(OR(TH!L866=TH!$X$7,M866=TH!$X$7),"x","")</f>
        <v/>
      </c>
      <c r="Y866" s="22" t="str">
        <f>IF(AND(B866&lt;=NKC!$N$8,B866&gt;=NKC!$M$8),"x","")</f>
        <v>x</v>
      </c>
      <c r="Z866" s="580"/>
      <c r="AD866" s="589"/>
      <c r="AE866" s="589"/>
    </row>
    <row r="867" spans="1:31" s="588" customFormat="1" ht="15.75" customHeight="1">
      <c r="A867" s="607" t="str">
        <f>IF(B867&lt;&gt;"",IF(AND(B867&gt;=_TM1,B867&lt;=_TM2,OR(TH!L867="1111",TH!M867="1111")),TH!D867,""),"")</f>
        <v/>
      </c>
      <c r="B867" s="585">
        <f t="shared" si="33"/>
        <v>9</v>
      </c>
      <c r="C867" s="586">
        <f t="shared" si="40"/>
        <v>42633</v>
      </c>
      <c r="D867" s="569" t="s">
        <v>1072</v>
      </c>
      <c r="E867" s="569">
        <v>42633</v>
      </c>
      <c r="F867" s="570" t="s">
        <v>777</v>
      </c>
      <c r="G867" s="570"/>
      <c r="H867" s="587" t="s">
        <v>1071</v>
      </c>
      <c r="I867" s="137">
        <v>22450</v>
      </c>
      <c r="J867" s="137">
        <v>750</v>
      </c>
      <c r="K867" s="21">
        <f t="shared" si="41"/>
        <v>16837500</v>
      </c>
      <c r="L867" s="567" t="s">
        <v>160</v>
      </c>
      <c r="M867" s="567" t="s">
        <v>156</v>
      </c>
      <c r="N867" s="22" t="str">
        <f>IF(AND('331-CT'!$E$7=TH!H867,OR(L867="331",M867="331")),"331",IF(AND(OR(L867="131",M867="131"),H867='131-CT'!$E$7),"131",""))</f>
        <v/>
      </c>
      <c r="O867" s="22" t="str">
        <f>IF(AND($B867&gt;='111'!$N$11,$B867&lt;='111'!$O$11,OR($L867=$O$7,$M867=$O$7)),"x","")</f>
        <v/>
      </c>
      <c r="P867" s="22" t="str">
        <f>IF(AND($L867=$O$7,$B867&lt;'111'!$N$11),"x","")</f>
        <v/>
      </c>
      <c r="Q867" s="22" t="str">
        <f>IF(AND($M867=$O$7,$B867&lt;'111'!$N$11),"x","")</f>
        <v/>
      </c>
      <c r="R867" s="22" t="str">
        <f>IF(ISERROR(FIND('112'!$M$9,G867,1)),"",IF((AND(FIND('112'!$M$9,G867,1)&gt;=1,$B867&gt;='112'!$N$8,$B867&lt;='112'!$O$8,OR($L867='112'!$I$6,$M867='112'!$I$6))),"x",""))</f>
        <v/>
      </c>
      <c r="S867" s="22" t="str">
        <f>IF(ISERROR(FIND('112'!$M$9,G867,1)),"",IF((AND(LEFT(G867,2)=LEFT('112'!$M$9,2),B867&lt;'112'!$N$8,$L867='112'!$I$6)),"x",""))</f>
        <v/>
      </c>
      <c r="T867" s="22" t="str">
        <f>IF(ISERROR(FIND('112'!$M$9,G867,1)),"",IF((AND(RIGHT(G867,2)=RIGHT('112'!$M$9,2),B867&lt;'112'!$N$8,$M867='112'!$I$6)),"x",""))</f>
        <v/>
      </c>
      <c r="U867" s="22" t="str">
        <f>IF(AND(B867&gt;='IN-NX'!$P$3,B867&lt;='IN-NX'!$Q$3,'IN-NX'!$D$7=D867,OR(LEFT(L867,2)="15",AND(LEFT(M867,2)&lt;&gt;"15",LEFT(M867,2)&lt;&gt;"33"))),"x","")</f>
        <v/>
      </c>
      <c r="V867" s="22" t="str">
        <f>IF(AND(OR(LEFT(TH!L867,2)="15",LEFT(TH!M867,2)="15"),'152-CT'!$J$8=TH!F867),"x","")</f>
        <v/>
      </c>
      <c r="W867" s="22" t="str">
        <f>IF(AND(OR(LEFT(TH!L867,2)="15",LEFT(TH!M867,2)="15"),TK!$E$7=TH!F867),"x","")</f>
        <v/>
      </c>
      <c r="X867" s="22" t="str">
        <f>IF(OR(TH!L867=TH!$X$7,M867=TH!$X$7),"x","")</f>
        <v/>
      </c>
      <c r="Y867" s="22" t="str">
        <f>IF(AND(B867&lt;=NKC!$N$8,B867&gt;=NKC!$M$8),"x","")</f>
        <v>x</v>
      </c>
      <c r="Z867" s="580"/>
      <c r="AD867" s="589"/>
      <c r="AE867" s="589"/>
    </row>
    <row r="868" spans="1:31" s="563" customFormat="1" ht="15.75" customHeight="1">
      <c r="A868" s="603" t="str">
        <f>IF(B868&lt;&gt;"",IF(AND(B868&gt;=_TM1,B868&lt;=_TM2,OR(TH!L868="1111",TH!M868="1111")),TH!D868,""),"")</f>
        <v/>
      </c>
      <c r="B868" s="556">
        <f t="shared" si="33"/>
        <v>10</v>
      </c>
      <c r="C868" s="557">
        <f t="shared" si="40"/>
        <v>42652</v>
      </c>
      <c r="D868" s="558" t="s">
        <v>1072</v>
      </c>
      <c r="E868" s="558">
        <v>42652</v>
      </c>
      <c r="F868" s="559" t="s">
        <v>777</v>
      </c>
      <c r="G868" s="560"/>
      <c r="H868" s="604" t="s">
        <v>1071</v>
      </c>
      <c r="I868" s="609">
        <v>13490</v>
      </c>
      <c r="J868" s="609">
        <v>750</v>
      </c>
      <c r="K868" s="568">
        <f t="shared" si="41"/>
        <v>10117500</v>
      </c>
      <c r="L868" s="573" t="s">
        <v>160</v>
      </c>
      <c r="M868" s="573" t="s">
        <v>156</v>
      </c>
      <c r="N868" s="22" t="str">
        <f>IF(AND('331-CT'!$E$7=TH!H868,OR(L868="331",M868="331")),"331",IF(AND(OR(L868="131",M868="131"),H868='131-CT'!$E$7),"131",""))</f>
        <v/>
      </c>
      <c r="O868" s="22" t="str">
        <f>IF(AND($B868&gt;='111'!$N$11,$B868&lt;='111'!$O$11,OR($L868=$O$7,$M868=$O$7)),"x","")</f>
        <v/>
      </c>
      <c r="P868" s="22" t="str">
        <f>IF(AND($L868=$O$7,$B868&lt;'111'!$N$11),"x","")</f>
        <v/>
      </c>
      <c r="Q868" s="22" t="str">
        <f>IF(AND($M868=$O$7,$B868&lt;'111'!$N$11),"x","")</f>
        <v/>
      </c>
      <c r="R868" s="22" t="str">
        <f>IF(ISERROR(FIND('112'!$M$9,G868,1)),"",IF((AND(FIND('112'!$M$9,G868,1)&gt;=1,$B868&gt;='112'!$N$8,$B868&lt;='112'!$O$8,OR($L868='112'!$I$6,$M868='112'!$I$6))),"x",""))</f>
        <v/>
      </c>
      <c r="S868" s="22" t="str">
        <f>IF(ISERROR(FIND('112'!$M$9,G868,1)),"",IF((AND(LEFT(G868,2)=LEFT('112'!$M$9,2),B868&lt;'112'!$N$8,$L868='112'!$I$6)),"x",""))</f>
        <v/>
      </c>
      <c r="T868" s="22" t="str">
        <f>IF(ISERROR(FIND('112'!$M$9,G868,1)),"",IF((AND(RIGHT(G868,2)=RIGHT('112'!$M$9,2),B868&lt;'112'!$N$8,$M868='112'!$I$6)),"x",""))</f>
        <v/>
      </c>
      <c r="U868" s="22" t="str">
        <f>IF(AND(B868&gt;='IN-NX'!$P$3,B868&lt;='IN-NX'!$Q$3,'IN-NX'!$D$7=D868,OR(LEFT(L868,2)="15",AND(LEFT(M868,2)&lt;&gt;"15",LEFT(M868,2)&lt;&gt;"33"))),"x","")</f>
        <v/>
      </c>
      <c r="V868" s="22" t="str">
        <f>IF(AND(OR(LEFT(TH!L868,2)="15",LEFT(TH!M868,2)="15"),'152-CT'!$J$8=TH!F868),"x","")</f>
        <v/>
      </c>
      <c r="W868" s="22" t="str">
        <f>IF(AND(OR(LEFT(TH!L868,2)="15",LEFT(TH!M868,2)="15"),TK!$E$7=TH!F868),"x","")</f>
        <v/>
      </c>
      <c r="X868" s="22" t="str">
        <f>IF(OR(TH!L868=TH!$X$7,M868=TH!$X$7),"x","")</f>
        <v/>
      </c>
      <c r="Y868" s="22" t="str">
        <f>IF(AND(B868&lt;=NKC!$N$8,B868&gt;=NKC!$M$8),"x","")</f>
        <v/>
      </c>
      <c r="Z868" s="582"/>
      <c r="AC868" s="564"/>
    </row>
    <row r="869" spans="1:31" s="588" customFormat="1" ht="15.75" customHeight="1">
      <c r="A869" s="607" t="str">
        <f>IF(B869&lt;&gt;"",IF(AND(B869&gt;=_TM1,B869&lt;=_TM2,OR(TH!L869="1111",TH!M869="1111")),TH!D869,""),"")</f>
        <v/>
      </c>
      <c r="B869" s="585">
        <f t="shared" ref="B869:B935" si="42">IF(C869&lt;&gt;"",MONTH(C869),"")</f>
        <v>10</v>
      </c>
      <c r="C869" s="586">
        <f t="shared" si="40"/>
        <v>42657</v>
      </c>
      <c r="D869" s="569" t="s">
        <v>1072</v>
      </c>
      <c r="E869" s="569">
        <v>42657</v>
      </c>
      <c r="F869" s="570" t="s">
        <v>777</v>
      </c>
      <c r="G869" s="571"/>
      <c r="H869" s="587" t="s">
        <v>1071</v>
      </c>
      <c r="I869" s="137">
        <v>16010</v>
      </c>
      <c r="J869" s="138">
        <v>800</v>
      </c>
      <c r="K869" s="21">
        <f t="shared" si="41"/>
        <v>12808000</v>
      </c>
      <c r="L869" s="567" t="s">
        <v>160</v>
      </c>
      <c r="M869" s="567" t="s">
        <v>156</v>
      </c>
      <c r="N869" s="22" t="str">
        <f>IF(AND('331-CT'!$E$7=TH!H869,OR(L869="331",M869="331")),"331",IF(AND(OR(L869="131",M869="131"),H869='131-CT'!$E$7),"131",""))</f>
        <v/>
      </c>
      <c r="O869" s="22" t="str">
        <f>IF(AND($B869&gt;='111'!$N$11,$B869&lt;='111'!$O$11,OR($L869=$O$7,$M869=$O$7)),"x","")</f>
        <v/>
      </c>
      <c r="P869" s="22" t="str">
        <f>IF(AND($L869=$O$7,$B869&lt;'111'!$N$11),"x","")</f>
        <v/>
      </c>
      <c r="Q869" s="22" t="str">
        <f>IF(AND($M869=$O$7,$B869&lt;'111'!$N$11),"x","")</f>
        <v/>
      </c>
      <c r="R869" s="22" t="str">
        <f>IF(ISERROR(FIND('112'!$M$9,G869,1)),"",IF((AND(FIND('112'!$M$9,G869,1)&gt;=1,$B869&gt;='112'!$N$8,$B869&lt;='112'!$O$8,OR($L869='112'!$I$6,$M869='112'!$I$6))),"x",""))</f>
        <v/>
      </c>
      <c r="S869" s="22" t="str">
        <f>IF(ISERROR(FIND('112'!$M$9,G869,1)),"",IF((AND(LEFT(G869,2)=LEFT('112'!$M$9,2),B869&lt;'112'!$N$8,$L869='112'!$I$6)),"x",""))</f>
        <v/>
      </c>
      <c r="T869" s="22" t="str">
        <f>IF(ISERROR(FIND('112'!$M$9,G869,1)),"",IF((AND(RIGHT(G869,2)=RIGHT('112'!$M$9,2),B869&lt;'112'!$N$8,$M869='112'!$I$6)),"x",""))</f>
        <v/>
      </c>
      <c r="U869" s="22" t="str">
        <f>IF(AND(B869&gt;='IN-NX'!$P$3,B869&lt;='IN-NX'!$Q$3,'IN-NX'!$D$7=D869,OR(LEFT(L869,2)="15",AND(LEFT(M869,2)&lt;&gt;"15",LEFT(M869,2)&lt;&gt;"33"))),"x","")</f>
        <v/>
      </c>
      <c r="V869" s="22" t="str">
        <f>IF(AND(OR(LEFT(TH!L869,2)="15",LEFT(TH!M869,2)="15"),'152-CT'!$J$8=TH!F869),"x","")</f>
        <v/>
      </c>
      <c r="W869" s="22" t="str">
        <f>IF(AND(OR(LEFT(TH!L869,2)="15",LEFT(TH!M869,2)="15"),TK!$E$7=TH!F869),"x","")</f>
        <v/>
      </c>
      <c r="X869" s="22" t="str">
        <f>IF(OR(TH!L869=TH!$X$7,M869=TH!$X$7),"x","")</f>
        <v/>
      </c>
      <c r="Y869" s="22" t="str">
        <f>IF(AND(B869&lt;=NKC!$N$8,B869&gt;=NKC!$M$8),"x","")</f>
        <v/>
      </c>
      <c r="Z869" s="580"/>
      <c r="AC869" s="589"/>
    </row>
    <row r="870" spans="1:31" s="589" customFormat="1" ht="15.75" customHeight="1">
      <c r="A870" s="607" t="str">
        <f>IF(B870&lt;&gt;"",IF(AND(B870&gt;=_TM1,B870&lt;=_TM2,OR(TH!L870="1111",TH!M870="1111")),TH!D870,""),"")</f>
        <v/>
      </c>
      <c r="B870" s="585">
        <f t="shared" si="42"/>
        <v>10</v>
      </c>
      <c r="C870" s="586">
        <f t="shared" si="40"/>
        <v>42665</v>
      </c>
      <c r="D870" s="569" t="s">
        <v>1072</v>
      </c>
      <c r="E870" s="569">
        <v>42665</v>
      </c>
      <c r="F870" s="570" t="s">
        <v>777</v>
      </c>
      <c r="G870" s="571"/>
      <c r="H870" s="587" t="s">
        <v>1071</v>
      </c>
      <c r="I870" s="137">
        <v>13030</v>
      </c>
      <c r="J870" s="137">
        <v>800</v>
      </c>
      <c r="K870" s="21">
        <f t="shared" si="41"/>
        <v>10424000</v>
      </c>
      <c r="L870" s="567" t="s">
        <v>160</v>
      </c>
      <c r="M870" s="567" t="s">
        <v>156</v>
      </c>
      <c r="N870" s="22" t="str">
        <f>IF(AND('331-CT'!$E$7=TH!H870,OR(L870="331",M870="331")),"331",IF(AND(OR(L870="131",M870="131"),H870='131-CT'!$E$7),"131",""))</f>
        <v/>
      </c>
      <c r="O870" s="22" t="str">
        <f>IF(AND($B870&gt;='111'!$N$11,$B870&lt;='111'!$O$11,OR($L870=$O$7,$M870=$O$7)),"x","")</f>
        <v/>
      </c>
      <c r="P870" s="22" t="str">
        <f>IF(AND($L870=$O$7,$B870&lt;'111'!$N$11),"x","")</f>
        <v/>
      </c>
      <c r="Q870" s="22" t="str">
        <f>IF(AND($M870=$O$7,$B870&lt;'111'!$N$11),"x","")</f>
        <v/>
      </c>
      <c r="R870" s="22" t="str">
        <f>IF(ISERROR(FIND('112'!$M$9,G870,1)),"",IF((AND(FIND('112'!$M$9,G870,1)&gt;=1,$B870&gt;='112'!$N$8,$B870&lt;='112'!$O$8,OR($L870='112'!$I$6,$M870='112'!$I$6))),"x",""))</f>
        <v/>
      </c>
      <c r="S870" s="22" t="str">
        <f>IF(ISERROR(FIND('112'!$M$9,G870,1)),"",IF((AND(LEFT(G870,2)=LEFT('112'!$M$9,2),B870&lt;'112'!$N$8,$L870='112'!$I$6)),"x",""))</f>
        <v/>
      </c>
      <c r="T870" s="22" t="str">
        <f>IF(ISERROR(FIND('112'!$M$9,G870,1)),"",IF((AND(RIGHT(G870,2)=RIGHT('112'!$M$9,2),B870&lt;'112'!$N$8,$M870='112'!$I$6)),"x",""))</f>
        <v/>
      </c>
      <c r="U870" s="22" t="str">
        <f>IF(AND(B870&gt;='IN-NX'!$P$3,B870&lt;='IN-NX'!$Q$3,'IN-NX'!$D$7=D870,OR(LEFT(L870,2)="15",AND(LEFT(M870,2)&lt;&gt;"15",LEFT(M870,2)&lt;&gt;"33"))),"x","")</f>
        <v/>
      </c>
      <c r="V870" s="22" t="str">
        <f>IF(AND(OR(LEFT(TH!L870,2)="15",LEFT(TH!M870,2)="15"),'152-CT'!$J$8=TH!F870),"x","")</f>
        <v/>
      </c>
      <c r="W870" s="22" t="str">
        <f>IF(AND(OR(LEFT(TH!L870,2)="15",LEFT(TH!M870,2)="15"),TK!$E$7=TH!F870),"x","")</f>
        <v/>
      </c>
      <c r="X870" s="22" t="str">
        <f>IF(OR(TH!L870=TH!$X$7,M870=TH!$X$7),"x","")</f>
        <v/>
      </c>
      <c r="Y870" s="22" t="str">
        <f>IF(AND(B870&lt;=NKC!$N$8,B870&gt;=NKC!$M$8),"x","")</f>
        <v/>
      </c>
      <c r="Z870" s="580"/>
      <c r="AA870" s="588"/>
      <c r="AB870" s="588"/>
      <c r="AD870" s="588"/>
      <c r="AE870" s="588"/>
    </row>
    <row r="871" spans="1:31" s="589" customFormat="1" ht="15.75" customHeight="1">
      <c r="A871" s="607" t="str">
        <f>IF(B871&lt;&gt;"",IF(AND(B871&gt;=_TM1,B871&lt;=_TM2,OR(TH!L871="1111",TH!M871="1111")),TH!D871,""),"")</f>
        <v/>
      </c>
      <c r="B871" s="585">
        <f t="shared" si="42"/>
        <v>11</v>
      </c>
      <c r="C871" s="586">
        <f t="shared" si="40"/>
        <v>42678</v>
      </c>
      <c r="D871" s="569" t="s">
        <v>1072</v>
      </c>
      <c r="E871" s="569">
        <v>42678</v>
      </c>
      <c r="F871" s="570" t="s">
        <v>862</v>
      </c>
      <c r="G871" s="570"/>
      <c r="H871" s="587" t="s">
        <v>1071</v>
      </c>
      <c r="I871" s="137">
        <v>430</v>
      </c>
      <c r="J871" s="137">
        <v>23500</v>
      </c>
      <c r="K871" s="21">
        <f t="shared" si="41"/>
        <v>10105000</v>
      </c>
      <c r="L871" s="567" t="s">
        <v>160</v>
      </c>
      <c r="M871" s="567" t="s">
        <v>156</v>
      </c>
      <c r="N871" s="22" t="str">
        <f>IF(AND('331-CT'!$E$7=TH!H871,OR(L871="331",M871="331")),"331",IF(AND(OR(L871="131",M871="131"),H871='131-CT'!$E$7),"131",""))</f>
        <v/>
      </c>
      <c r="O871" s="22" t="str">
        <f>IF(AND($B871&gt;='111'!$N$11,$B871&lt;='111'!$O$11,OR($L871=$O$7,$M871=$O$7)),"x","")</f>
        <v/>
      </c>
      <c r="P871" s="22" t="str">
        <f>IF(AND($L871=$O$7,$B871&lt;'111'!$N$11),"x","")</f>
        <v/>
      </c>
      <c r="Q871" s="22" t="str">
        <f>IF(AND($M871=$O$7,$B871&lt;'111'!$N$11),"x","")</f>
        <v/>
      </c>
      <c r="R871" s="22" t="str">
        <f>IF(ISERROR(FIND('112'!$M$9,G871,1)),"",IF((AND(FIND('112'!$M$9,G871,1)&gt;=1,$B871&gt;='112'!$N$8,$B871&lt;='112'!$O$8,OR($L871='112'!$I$6,$M871='112'!$I$6))),"x",""))</f>
        <v/>
      </c>
      <c r="S871" s="22" t="str">
        <f>IF(ISERROR(FIND('112'!$M$9,G871,1)),"",IF((AND(LEFT(G871,2)=LEFT('112'!$M$9,2),B871&lt;'112'!$N$8,$L871='112'!$I$6)),"x",""))</f>
        <v/>
      </c>
      <c r="T871" s="22" t="str">
        <f>IF(ISERROR(FIND('112'!$M$9,G871,1)),"",IF((AND(RIGHT(G871,2)=RIGHT('112'!$M$9,2),B871&lt;'112'!$N$8,$M871='112'!$I$6)),"x",""))</f>
        <v/>
      </c>
      <c r="U871" s="22" t="str">
        <f>IF(AND(B871&gt;='IN-NX'!$P$3,B871&lt;='IN-NX'!$Q$3,'IN-NX'!$D$7=D871,OR(LEFT(L871,2)="15",AND(LEFT(M871,2)&lt;&gt;"15",LEFT(M871,2)&lt;&gt;"33"))),"x","")</f>
        <v/>
      </c>
      <c r="V871" s="22" t="str">
        <f>IF(AND(OR(LEFT(TH!L871,2)="15",LEFT(TH!M871,2)="15"),'152-CT'!$J$8=TH!F871),"x","")</f>
        <v/>
      </c>
      <c r="W871" s="22" t="str">
        <f>IF(AND(OR(LEFT(TH!L871,2)="15",LEFT(TH!M871,2)="15"),TK!$E$7=TH!F871),"x","")</f>
        <v/>
      </c>
      <c r="X871" s="22" t="str">
        <f>IF(OR(TH!L871=TH!$X$7,M871=TH!$X$7),"x","")</f>
        <v/>
      </c>
      <c r="Y871" s="22" t="str">
        <f>IF(AND(B871&lt;=NKC!$N$8,B871&gt;=NKC!$M$8),"x","")</f>
        <v/>
      </c>
      <c r="Z871" s="580"/>
      <c r="AA871" s="588"/>
      <c r="AB871" s="588"/>
    </row>
    <row r="872" spans="1:31" s="589" customFormat="1" ht="15.75" customHeight="1">
      <c r="A872" s="607" t="str">
        <f>IF(B872&lt;&gt;"",IF(AND(B872&gt;=_TM1,B872&lt;=_TM2,OR(TH!L872="1111",TH!M872="1111")),TH!D872,""),"")</f>
        <v/>
      </c>
      <c r="B872" s="585">
        <f t="shared" si="42"/>
        <v>11</v>
      </c>
      <c r="C872" s="586">
        <f t="shared" si="40"/>
        <v>42678</v>
      </c>
      <c r="D872" s="569" t="s">
        <v>1072</v>
      </c>
      <c r="E872" s="569">
        <v>42678</v>
      </c>
      <c r="F872" s="570" t="s">
        <v>864</v>
      </c>
      <c r="G872" s="570"/>
      <c r="H872" s="587" t="s">
        <v>1071</v>
      </c>
      <c r="I872" s="137">
        <v>250</v>
      </c>
      <c r="J872" s="137">
        <v>9000</v>
      </c>
      <c r="K872" s="21">
        <f t="shared" si="41"/>
        <v>2250000</v>
      </c>
      <c r="L872" s="567" t="s">
        <v>160</v>
      </c>
      <c r="M872" s="567" t="s">
        <v>156</v>
      </c>
      <c r="N872" s="22" t="str">
        <f>IF(AND('331-CT'!$E$7=TH!H872,OR(L872="331",M872="331")),"331",IF(AND(OR(L872="131",M872="131"),H872='131-CT'!$E$7),"131",""))</f>
        <v/>
      </c>
      <c r="O872" s="22" t="str">
        <f>IF(AND($B872&gt;='111'!$N$11,$B872&lt;='111'!$O$11,OR($L872=$O$7,$M872=$O$7)),"x","")</f>
        <v/>
      </c>
      <c r="P872" s="22" t="str">
        <f>IF(AND($L872=$O$7,$B872&lt;'111'!$N$11),"x","")</f>
        <v/>
      </c>
      <c r="Q872" s="22" t="str">
        <f>IF(AND($M872=$O$7,$B872&lt;'111'!$N$11),"x","")</f>
        <v/>
      </c>
      <c r="R872" s="22" t="str">
        <f>IF(ISERROR(FIND('112'!$M$9,G872,1)),"",IF((AND(FIND('112'!$M$9,G872,1)&gt;=1,$B872&gt;='112'!$N$8,$B872&lt;='112'!$O$8,OR($L872='112'!$I$6,$M872='112'!$I$6))),"x",""))</f>
        <v/>
      </c>
      <c r="S872" s="22" t="str">
        <f>IF(ISERROR(FIND('112'!$M$9,G872,1)),"",IF((AND(LEFT(G872,2)=LEFT('112'!$M$9,2),B872&lt;'112'!$N$8,$L872='112'!$I$6)),"x",""))</f>
        <v/>
      </c>
      <c r="T872" s="22" t="str">
        <f>IF(ISERROR(FIND('112'!$M$9,G872,1)),"",IF((AND(RIGHT(G872,2)=RIGHT('112'!$M$9,2),B872&lt;'112'!$N$8,$M872='112'!$I$6)),"x",""))</f>
        <v/>
      </c>
      <c r="U872" s="22" t="str">
        <f>IF(AND(B872&gt;='IN-NX'!$P$3,B872&lt;='IN-NX'!$Q$3,'IN-NX'!$D$7=D872,OR(LEFT(L872,2)="15",AND(LEFT(M872,2)&lt;&gt;"15",LEFT(M872,2)&lt;&gt;"33"))),"x","")</f>
        <v/>
      </c>
      <c r="V872" s="22" t="str">
        <f>IF(AND(OR(LEFT(TH!L872,2)="15",LEFT(TH!M872,2)="15"),'152-CT'!$J$8=TH!F872),"x","")</f>
        <v/>
      </c>
      <c r="W872" s="22" t="str">
        <f>IF(AND(OR(LEFT(TH!L872,2)="15",LEFT(TH!M872,2)="15"),TK!$E$7=TH!F872),"x","")</f>
        <v/>
      </c>
      <c r="X872" s="22" t="str">
        <f>IF(OR(TH!L872=TH!$X$7,M872=TH!$X$7),"x","")</f>
        <v/>
      </c>
      <c r="Y872" s="22" t="str">
        <f>IF(AND(B872&lt;=NKC!$N$8,B872&gt;=NKC!$M$8),"x","")</f>
        <v/>
      </c>
      <c r="Z872" s="580"/>
      <c r="AA872" s="588"/>
      <c r="AB872" s="588"/>
    </row>
    <row r="873" spans="1:31" s="589" customFormat="1" ht="15.75" customHeight="1">
      <c r="A873" s="607" t="str">
        <f>IF(B873&lt;&gt;"",IF(AND(B873&gt;=_TM1,B873&lt;=_TM2,OR(TH!L873="1111",TH!M873="1111")),TH!D873,""),"")</f>
        <v/>
      </c>
      <c r="B873" s="585">
        <f t="shared" ref="B873:B875" si="43">IF(C873&lt;&gt;"",MONTH(C873),"")</f>
        <v>11</v>
      </c>
      <c r="C873" s="586">
        <f t="shared" ref="C873:C875" si="44">E873</f>
        <v>42684</v>
      </c>
      <c r="D873" s="569" t="s">
        <v>1072</v>
      </c>
      <c r="E873" s="569">
        <v>42684</v>
      </c>
      <c r="F873" s="570" t="s">
        <v>864</v>
      </c>
      <c r="G873" s="570"/>
      <c r="H873" s="587" t="s">
        <v>1071</v>
      </c>
      <c r="I873" s="137">
        <v>2000</v>
      </c>
      <c r="J873" s="137">
        <v>9000</v>
      </c>
      <c r="K873" s="21">
        <f t="shared" ref="K873:K875" si="45">ROUND(I873*J873,0)</f>
        <v>18000000</v>
      </c>
      <c r="L873" s="567" t="s">
        <v>160</v>
      </c>
      <c r="M873" s="567" t="s">
        <v>156</v>
      </c>
      <c r="N873" s="22" t="str">
        <f>IF(AND('331-CT'!$E$7=TH!H873,OR(L873="331",M873="331")),"331",IF(AND(OR(L873="131",M873="131"),H873='131-CT'!$E$7),"131",""))</f>
        <v/>
      </c>
      <c r="O873" s="22" t="str">
        <f>IF(AND($B873&gt;='111'!$N$11,$B873&lt;='111'!$O$11,OR($L873=$O$7,$M873=$O$7)),"x","")</f>
        <v/>
      </c>
      <c r="P873" s="22" t="str">
        <f>IF(AND($L873=$O$7,$B873&lt;'111'!$N$11),"x","")</f>
        <v/>
      </c>
      <c r="Q873" s="22" t="str">
        <f>IF(AND($M873=$O$7,$B873&lt;'111'!$N$11),"x","")</f>
        <v/>
      </c>
      <c r="R873" s="22" t="str">
        <f>IF(ISERROR(FIND('112'!$M$9,G873,1)),"",IF((AND(FIND('112'!$M$9,G873,1)&gt;=1,$B873&gt;='112'!$N$8,$B873&lt;='112'!$O$8,OR($L873='112'!$I$6,$M873='112'!$I$6))),"x",""))</f>
        <v/>
      </c>
      <c r="S873" s="22" t="str">
        <f>IF(ISERROR(FIND('112'!$M$9,G873,1)),"",IF((AND(LEFT(G873,2)=LEFT('112'!$M$9,2),B873&lt;'112'!$N$8,$L873='112'!$I$6)),"x",""))</f>
        <v/>
      </c>
      <c r="T873" s="22" t="str">
        <f>IF(ISERROR(FIND('112'!$M$9,G873,1)),"",IF((AND(RIGHT(G873,2)=RIGHT('112'!$M$9,2),B873&lt;'112'!$N$8,$M873='112'!$I$6)),"x",""))</f>
        <v/>
      </c>
      <c r="U873" s="22" t="str">
        <f>IF(AND(B873&gt;='IN-NX'!$P$3,B873&lt;='IN-NX'!$Q$3,'IN-NX'!$D$7=D873,OR(LEFT(L873,2)="15",AND(LEFT(M873,2)&lt;&gt;"15",LEFT(M873,2)&lt;&gt;"33"))),"x","")</f>
        <v/>
      </c>
      <c r="V873" s="22" t="str">
        <f>IF(AND(OR(LEFT(TH!L873,2)="15",LEFT(TH!M873,2)="15"),'152-CT'!$J$8=TH!F873),"x","")</f>
        <v/>
      </c>
      <c r="W873" s="22" t="str">
        <f>IF(AND(OR(LEFT(TH!L873,2)="15",LEFT(TH!M873,2)="15"),TK!$E$7=TH!F873),"x","")</f>
        <v/>
      </c>
      <c r="X873" s="22" t="str">
        <f>IF(OR(TH!L873=TH!$X$7,M873=TH!$X$7),"x","")</f>
        <v/>
      </c>
      <c r="Y873" s="22" t="str">
        <f>IF(AND(B873&lt;=NKC!$N$8,B873&gt;=NKC!$M$8),"x","")</f>
        <v/>
      </c>
      <c r="Z873" s="580"/>
      <c r="AA873" s="588"/>
      <c r="AB873" s="588"/>
    </row>
    <row r="874" spans="1:31" s="589" customFormat="1" ht="15.75" customHeight="1">
      <c r="A874" s="607" t="str">
        <f>IF(B874&lt;&gt;"",IF(AND(B874&gt;=_TM1,B874&lt;=_TM2,OR(TH!L874="1111",TH!M874="1111")),TH!D874,""),"")</f>
        <v/>
      </c>
      <c r="B874" s="585">
        <f t="shared" si="43"/>
        <v>11</v>
      </c>
      <c r="C874" s="586">
        <f t="shared" si="44"/>
        <v>42688</v>
      </c>
      <c r="D874" s="569" t="s">
        <v>1072</v>
      </c>
      <c r="E874" s="569">
        <v>42688</v>
      </c>
      <c r="F874" s="570" t="s">
        <v>777</v>
      </c>
      <c r="G874" s="570"/>
      <c r="H874" s="587" t="s">
        <v>1071</v>
      </c>
      <c r="I874" s="137">
        <v>18190</v>
      </c>
      <c r="J874" s="137">
        <v>800</v>
      </c>
      <c r="K874" s="21">
        <f t="shared" si="45"/>
        <v>14552000</v>
      </c>
      <c r="L874" s="567" t="s">
        <v>160</v>
      </c>
      <c r="M874" s="567" t="s">
        <v>156</v>
      </c>
      <c r="N874" s="22" t="str">
        <f>IF(AND('331-CT'!$E$7=TH!H874,OR(L874="331",M874="331")),"331",IF(AND(OR(L874="131",M874="131"),H874='131-CT'!$E$7),"131",""))</f>
        <v/>
      </c>
      <c r="O874" s="22" t="str">
        <f>IF(AND($B874&gt;='111'!$N$11,$B874&lt;='111'!$O$11,OR($L874=$O$7,$M874=$O$7)),"x","")</f>
        <v/>
      </c>
      <c r="P874" s="22" t="str">
        <f>IF(AND($L874=$O$7,$B874&lt;'111'!$N$11),"x","")</f>
        <v/>
      </c>
      <c r="Q874" s="22" t="str">
        <f>IF(AND($M874=$O$7,$B874&lt;'111'!$N$11),"x","")</f>
        <v/>
      </c>
      <c r="R874" s="22" t="str">
        <f>IF(ISERROR(FIND('112'!$M$9,G874,1)),"",IF((AND(FIND('112'!$M$9,G874,1)&gt;=1,$B874&gt;='112'!$N$8,$B874&lt;='112'!$O$8,OR($L874='112'!$I$6,$M874='112'!$I$6))),"x",""))</f>
        <v/>
      </c>
      <c r="S874" s="22" t="str">
        <f>IF(ISERROR(FIND('112'!$M$9,G874,1)),"",IF((AND(LEFT(G874,2)=LEFT('112'!$M$9,2),B874&lt;'112'!$N$8,$L874='112'!$I$6)),"x",""))</f>
        <v/>
      </c>
      <c r="T874" s="22" t="str">
        <f>IF(ISERROR(FIND('112'!$M$9,G874,1)),"",IF((AND(RIGHT(G874,2)=RIGHT('112'!$M$9,2),B874&lt;'112'!$N$8,$M874='112'!$I$6)),"x",""))</f>
        <v/>
      </c>
      <c r="U874" s="22" t="str">
        <f>IF(AND(B874&gt;='IN-NX'!$P$3,B874&lt;='IN-NX'!$Q$3,'IN-NX'!$D$7=D874,OR(LEFT(L874,2)="15",AND(LEFT(M874,2)&lt;&gt;"15",LEFT(M874,2)&lt;&gt;"33"))),"x","")</f>
        <v/>
      </c>
      <c r="V874" s="22" t="str">
        <f>IF(AND(OR(LEFT(TH!L874,2)="15",LEFT(TH!M874,2)="15"),'152-CT'!$J$8=TH!F874),"x","")</f>
        <v/>
      </c>
      <c r="W874" s="22" t="str">
        <f>IF(AND(OR(LEFT(TH!L874,2)="15",LEFT(TH!M874,2)="15"),TK!$E$7=TH!F874),"x","")</f>
        <v/>
      </c>
      <c r="X874" s="22" t="str">
        <f>IF(OR(TH!L874=TH!$X$7,M874=TH!$X$7),"x","")</f>
        <v/>
      </c>
      <c r="Y874" s="22" t="str">
        <f>IF(AND(B874&lt;=NKC!$N$8,B874&gt;=NKC!$M$8),"x","")</f>
        <v/>
      </c>
      <c r="Z874" s="580"/>
      <c r="AA874" s="588"/>
      <c r="AB874" s="588"/>
    </row>
    <row r="875" spans="1:31" s="589" customFormat="1" ht="15.75" customHeight="1">
      <c r="A875" s="607" t="str">
        <f>IF(B875&lt;&gt;"",IF(AND(B875&gt;=_TM1,B875&lt;=_TM2,OR(TH!L875="1111",TH!M875="1111")),TH!D875,""),"")</f>
        <v/>
      </c>
      <c r="B875" s="585">
        <f t="shared" si="43"/>
        <v>11</v>
      </c>
      <c r="C875" s="586">
        <f t="shared" si="44"/>
        <v>42698</v>
      </c>
      <c r="D875" s="569" t="s">
        <v>1072</v>
      </c>
      <c r="E875" s="569">
        <v>42698</v>
      </c>
      <c r="F875" s="570" t="s">
        <v>777</v>
      </c>
      <c r="G875" s="570"/>
      <c r="H875" s="587" t="s">
        <v>1071</v>
      </c>
      <c r="I875" s="591">
        <v>17050</v>
      </c>
      <c r="J875" s="591">
        <v>800</v>
      </c>
      <c r="K875" s="21">
        <f t="shared" si="45"/>
        <v>13640000</v>
      </c>
      <c r="L875" s="567" t="s">
        <v>160</v>
      </c>
      <c r="M875" s="567" t="s">
        <v>156</v>
      </c>
      <c r="N875" s="22" t="str">
        <f>IF(AND('331-CT'!$E$7=TH!H875,OR(L875="331",M875="331")),"331",IF(AND(OR(L875="131",M875="131"),H875='131-CT'!$E$7),"131",""))</f>
        <v/>
      </c>
      <c r="O875" s="22" t="str">
        <f>IF(AND($B875&gt;='111'!$N$11,$B875&lt;='111'!$O$11,OR($L875=$O$7,$M875=$O$7)),"x","")</f>
        <v/>
      </c>
      <c r="P875" s="22" t="str">
        <f>IF(AND($L875=$O$7,$B875&lt;'111'!$N$11),"x","")</f>
        <v/>
      </c>
      <c r="Q875" s="22" t="str">
        <f>IF(AND($M875=$O$7,$B875&lt;'111'!$N$11),"x","")</f>
        <v/>
      </c>
      <c r="R875" s="22" t="str">
        <f>IF(ISERROR(FIND('112'!$M$9,G875,1)),"",IF((AND(FIND('112'!$M$9,G875,1)&gt;=1,$B875&gt;='112'!$N$8,$B875&lt;='112'!$O$8,OR($L875='112'!$I$6,$M875='112'!$I$6))),"x",""))</f>
        <v/>
      </c>
      <c r="S875" s="22" t="str">
        <f>IF(ISERROR(FIND('112'!$M$9,G875,1)),"",IF((AND(LEFT(G875,2)=LEFT('112'!$M$9,2),B875&lt;'112'!$N$8,$L875='112'!$I$6)),"x",""))</f>
        <v/>
      </c>
      <c r="T875" s="22" t="str">
        <f>IF(ISERROR(FIND('112'!$M$9,G875,1)),"",IF((AND(RIGHT(G875,2)=RIGHT('112'!$M$9,2),B875&lt;'112'!$N$8,$M875='112'!$I$6)),"x",""))</f>
        <v/>
      </c>
      <c r="U875" s="22" t="str">
        <f>IF(AND(B875&gt;='IN-NX'!$P$3,B875&lt;='IN-NX'!$Q$3,'IN-NX'!$D$7=D875,OR(LEFT(L875,2)="15",AND(LEFT(M875,2)&lt;&gt;"15",LEFT(M875,2)&lt;&gt;"33"))),"x","")</f>
        <v/>
      </c>
      <c r="V875" s="22" t="str">
        <f>IF(AND(OR(LEFT(TH!L875,2)="15",LEFT(TH!M875,2)="15"),'152-CT'!$J$8=TH!F875),"x","")</f>
        <v/>
      </c>
      <c r="W875" s="22" t="str">
        <f>IF(AND(OR(LEFT(TH!L875,2)="15",LEFT(TH!M875,2)="15"),TK!$E$7=TH!F875),"x","")</f>
        <v/>
      </c>
      <c r="X875" s="22" t="str">
        <f>IF(OR(TH!L875=TH!$X$7,M875=TH!$X$7),"x","")</f>
        <v/>
      </c>
      <c r="Y875" s="22" t="str">
        <f>IF(AND(B875&lt;=NKC!$N$8,B875&gt;=NKC!$M$8),"x","")</f>
        <v/>
      </c>
      <c r="Z875" s="580"/>
      <c r="AA875" s="588"/>
      <c r="AB875" s="588"/>
      <c r="AC875" s="588"/>
    </row>
    <row r="876" spans="1:31" s="589" customFormat="1" ht="15.75" customHeight="1">
      <c r="A876" s="607" t="str">
        <f>IF(B876&lt;&gt;"",IF(AND(B876&gt;=_TM1,B876&lt;=_TM2,OR(TH!L876="1111",TH!M876="1111")),TH!D876,""),"")</f>
        <v/>
      </c>
      <c r="B876" s="585">
        <f t="shared" si="42"/>
        <v>12</v>
      </c>
      <c r="C876" s="586">
        <f t="shared" si="40"/>
        <v>42712</v>
      </c>
      <c r="D876" s="569" t="s">
        <v>1072</v>
      </c>
      <c r="E876" s="569">
        <v>42712</v>
      </c>
      <c r="F876" s="570" t="s">
        <v>444</v>
      </c>
      <c r="G876" s="570"/>
      <c r="H876" s="587" t="s">
        <v>1071</v>
      </c>
      <c r="I876" s="137">
        <v>19820</v>
      </c>
      <c r="J876" s="137">
        <v>800</v>
      </c>
      <c r="K876" s="21">
        <f t="shared" si="41"/>
        <v>15856000</v>
      </c>
      <c r="L876" s="567" t="s">
        <v>160</v>
      </c>
      <c r="M876" s="567" t="s">
        <v>156</v>
      </c>
      <c r="N876" s="22" t="str">
        <f>IF(AND('331-CT'!$E$7=TH!H876,OR(L876="331",M876="331")),"331",IF(AND(OR(L876="131",M876="131"),H876='131-CT'!$E$7),"131",""))</f>
        <v/>
      </c>
      <c r="O876" s="22" t="str">
        <f>IF(AND($B876&gt;='111'!$N$11,$B876&lt;='111'!$O$11,OR($L876=$O$7,$M876=$O$7)),"x","")</f>
        <v/>
      </c>
      <c r="P876" s="22" t="str">
        <f>IF(AND($L876=$O$7,$B876&lt;'111'!$N$11),"x","")</f>
        <v/>
      </c>
      <c r="Q876" s="22" t="str">
        <f>IF(AND($M876=$O$7,$B876&lt;'111'!$N$11),"x","")</f>
        <v/>
      </c>
      <c r="R876" s="22" t="str">
        <f>IF(ISERROR(FIND('112'!$M$9,G876,1)),"",IF((AND(FIND('112'!$M$9,G876,1)&gt;=1,$B876&gt;='112'!$N$8,$B876&lt;='112'!$O$8,OR($L876='112'!$I$6,$M876='112'!$I$6))),"x",""))</f>
        <v/>
      </c>
      <c r="S876" s="22" t="str">
        <f>IF(ISERROR(FIND('112'!$M$9,G876,1)),"",IF((AND(LEFT(G876,2)=LEFT('112'!$M$9,2),B876&lt;'112'!$N$8,$L876='112'!$I$6)),"x",""))</f>
        <v/>
      </c>
      <c r="T876" s="22" t="str">
        <f>IF(ISERROR(FIND('112'!$M$9,G876,1)),"",IF((AND(RIGHT(G876,2)=RIGHT('112'!$M$9,2),B876&lt;'112'!$N$8,$M876='112'!$I$6)),"x",""))</f>
        <v/>
      </c>
      <c r="U876" s="22" t="str">
        <f>IF(AND(B876&gt;='IN-NX'!$P$3,B876&lt;='IN-NX'!$Q$3,'IN-NX'!$D$7=D876,OR(LEFT(L876,2)="15",AND(LEFT(M876,2)&lt;&gt;"15",LEFT(M876,2)&lt;&gt;"33"))),"x","")</f>
        <v/>
      </c>
      <c r="V876" s="22" t="str">
        <f>IF(AND(OR(LEFT(TH!L876,2)="15",LEFT(TH!M876,2)="15"),'152-CT'!$J$8=TH!F876),"x","")</f>
        <v/>
      </c>
      <c r="W876" s="22" t="str">
        <f>IF(AND(OR(LEFT(TH!L876,2)="15",LEFT(TH!M876,2)="15"),TK!$E$7=TH!F876),"x","")</f>
        <v>x</v>
      </c>
      <c r="X876" s="22" t="str">
        <f>IF(OR(TH!L876=TH!$X$7,M876=TH!$X$7),"x","")</f>
        <v/>
      </c>
      <c r="Y876" s="22" t="str">
        <f>IF(AND(B876&lt;=NKC!$N$8,B876&gt;=NKC!$M$8),"x","")</f>
        <v/>
      </c>
      <c r="Z876" s="580"/>
      <c r="AA876" s="588"/>
      <c r="AB876" s="588"/>
    </row>
    <row r="877" spans="1:31" s="589" customFormat="1" ht="15.75" customHeight="1">
      <c r="A877" s="607" t="str">
        <f>IF(B877&lt;&gt;"",IF(AND(B877&gt;=_TM1,B877&lt;=_TM2,OR(TH!L877="1111",TH!M877="1111")),TH!D877,""),"")</f>
        <v/>
      </c>
      <c r="B877" s="585">
        <f t="shared" si="42"/>
        <v>12</v>
      </c>
      <c r="C877" s="586">
        <f t="shared" si="40"/>
        <v>42723</v>
      </c>
      <c r="D877" s="569" t="s">
        <v>1072</v>
      </c>
      <c r="E877" s="569">
        <v>42723</v>
      </c>
      <c r="F877" s="570" t="s">
        <v>444</v>
      </c>
      <c r="G877" s="570"/>
      <c r="H877" s="587" t="s">
        <v>1071</v>
      </c>
      <c r="I877" s="137">
        <v>6950</v>
      </c>
      <c r="J877" s="137">
        <v>800</v>
      </c>
      <c r="K877" s="21">
        <f t="shared" si="41"/>
        <v>5560000</v>
      </c>
      <c r="L877" s="567" t="s">
        <v>160</v>
      </c>
      <c r="M877" s="567" t="s">
        <v>156</v>
      </c>
      <c r="N877" s="22" t="str">
        <f>IF(AND('331-CT'!$E$7=TH!H877,OR(L877="331",M877="331")),"331",IF(AND(OR(L877="131",M877="131"),H877='131-CT'!$E$7),"131",""))</f>
        <v/>
      </c>
      <c r="O877" s="22" t="str">
        <f>IF(AND($B877&gt;='111'!$N$11,$B877&lt;='111'!$O$11,OR($L877=$O$7,$M877=$O$7)),"x","")</f>
        <v/>
      </c>
      <c r="P877" s="22" t="str">
        <f>IF(AND($L877=$O$7,$B877&lt;'111'!$N$11),"x","")</f>
        <v/>
      </c>
      <c r="Q877" s="22" t="str">
        <f>IF(AND($M877=$O$7,$B877&lt;'111'!$N$11),"x","")</f>
        <v/>
      </c>
      <c r="R877" s="22" t="str">
        <f>IF(ISERROR(FIND('112'!$M$9,G877,1)),"",IF((AND(FIND('112'!$M$9,G877,1)&gt;=1,$B877&gt;='112'!$N$8,$B877&lt;='112'!$O$8,OR($L877='112'!$I$6,$M877='112'!$I$6))),"x",""))</f>
        <v/>
      </c>
      <c r="S877" s="22" t="str">
        <f>IF(ISERROR(FIND('112'!$M$9,G877,1)),"",IF((AND(LEFT(G877,2)=LEFT('112'!$M$9,2),B877&lt;'112'!$N$8,$L877='112'!$I$6)),"x",""))</f>
        <v/>
      </c>
      <c r="T877" s="22" t="str">
        <f>IF(ISERROR(FIND('112'!$M$9,G877,1)),"",IF((AND(RIGHT(G877,2)=RIGHT('112'!$M$9,2),B877&lt;'112'!$N$8,$M877='112'!$I$6)),"x",""))</f>
        <v/>
      </c>
      <c r="U877" s="22" t="str">
        <f>IF(AND(B877&gt;='IN-NX'!$P$3,B877&lt;='IN-NX'!$Q$3,'IN-NX'!$D$7=D877,OR(LEFT(L877,2)="15",AND(LEFT(M877,2)&lt;&gt;"15",LEFT(M877,2)&lt;&gt;"33"))),"x","")</f>
        <v/>
      </c>
      <c r="V877" s="22" t="str">
        <f>IF(AND(OR(LEFT(TH!L877,2)="15",LEFT(TH!M877,2)="15"),'152-CT'!$J$8=TH!F877),"x","")</f>
        <v/>
      </c>
      <c r="W877" s="22" t="str">
        <f>IF(AND(OR(LEFT(TH!L877,2)="15",LEFT(TH!M877,2)="15"),TK!$E$7=TH!F877),"x","")</f>
        <v>x</v>
      </c>
      <c r="X877" s="22" t="str">
        <f>IF(OR(TH!L877=TH!$X$7,M877=TH!$X$7),"x","")</f>
        <v/>
      </c>
      <c r="Y877" s="22" t="str">
        <f>IF(AND(B877&lt;=NKC!$N$8,B877&gt;=NKC!$M$8),"x","")</f>
        <v/>
      </c>
      <c r="Z877" s="580"/>
      <c r="AA877" s="588"/>
      <c r="AB877" s="588"/>
    </row>
    <row r="878" spans="1:31" s="589" customFormat="1" ht="15.75" customHeight="1">
      <c r="A878" s="607" t="str">
        <f>IF(B878&lt;&gt;"",IF(AND(B878&gt;=_TM1,B878&lt;=_TM2,OR(TH!L878="1111",TH!M878="1111")),TH!D878,""),"")</f>
        <v/>
      </c>
      <c r="B878" s="585">
        <f t="shared" si="42"/>
        <v>12</v>
      </c>
      <c r="C878" s="586">
        <f t="shared" si="40"/>
        <v>42730</v>
      </c>
      <c r="D878" s="569" t="s">
        <v>1072</v>
      </c>
      <c r="E878" s="569">
        <v>42730</v>
      </c>
      <c r="F878" s="570" t="s">
        <v>862</v>
      </c>
      <c r="G878" s="570"/>
      <c r="H878" s="587" t="s">
        <v>1071</v>
      </c>
      <c r="I878" s="591">
        <v>400</v>
      </c>
      <c r="J878" s="591">
        <v>23500</v>
      </c>
      <c r="K878" s="21">
        <f t="shared" si="41"/>
        <v>9400000</v>
      </c>
      <c r="L878" s="567" t="s">
        <v>160</v>
      </c>
      <c r="M878" s="567" t="s">
        <v>156</v>
      </c>
      <c r="N878" s="22" t="str">
        <f>IF(AND('331-CT'!$E$7=TH!H878,OR(L878="331",M878="331")),"331",IF(AND(OR(L878="131",M878="131"),H878='131-CT'!$E$7),"131",""))</f>
        <v/>
      </c>
      <c r="O878" s="22" t="str">
        <f>IF(AND($B878&gt;='111'!$N$11,$B878&lt;='111'!$O$11,OR($L878=$O$7,$M878=$O$7)),"x","")</f>
        <v/>
      </c>
      <c r="P878" s="22" t="str">
        <f>IF(AND($L878=$O$7,$B878&lt;'111'!$N$11),"x","")</f>
        <v/>
      </c>
      <c r="Q878" s="22" t="str">
        <f>IF(AND($M878=$O$7,$B878&lt;'111'!$N$11),"x","")</f>
        <v/>
      </c>
      <c r="R878" s="22" t="str">
        <f>IF(ISERROR(FIND('112'!$M$9,G878,1)),"",IF((AND(FIND('112'!$M$9,G878,1)&gt;=1,$B878&gt;='112'!$N$8,$B878&lt;='112'!$O$8,OR($L878='112'!$I$6,$M878='112'!$I$6))),"x",""))</f>
        <v/>
      </c>
      <c r="S878" s="22" t="str">
        <f>IF(ISERROR(FIND('112'!$M$9,G878,1)),"",IF((AND(LEFT(G878,2)=LEFT('112'!$M$9,2),B878&lt;'112'!$N$8,$L878='112'!$I$6)),"x",""))</f>
        <v/>
      </c>
      <c r="T878" s="22" t="str">
        <f>IF(ISERROR(FIND('112'!$M$9,G878,1)),"",IF((AND(RIGHT(G878,2)=RIGHT('112'!$M$9,2),B878&lt;'112'!$N$8,$M878='112'!$I$6)),"x",""))</f>
        <v/>
      </c>
      <c r="U878" s="22" t="str">
        <f>IF(AND(B878&gt;='IN-NX'!$P$3,B878&lt;='IN-NX'!$Q$3,'IN-NX'!$D$7=D878,OR(LEFT(L878,2)="15",AND(LEFT(M878,2)&lt;&gt;"15",LEFT(M878,2)&lt;&gt;"33"))),"x","")</f>
        <v/>
      </c>
      <c r="V878" s="22" t="str">
        <f>IF(AND(OR(LEFT(TH!L878,2)="15",LEFT(TH!M878,2)="15"),'152-CT'!$J$8=TH!F878),"x","")</f>
        <v/>
      </c>
      <c r="W878" s="22" t="str">
        <f>IF(AND(OR(LEFT(TH!L878,2)="15",LEFT(TH!M878,2)="15"),TK!$E$7=TH!F878),"x","")</f>
        <v/>
      </c>
      <c r="X878" s="22" t="str">
        <f>IF(OR(TH!L878=TH!$X$7,M878=TH!$X$7),"x","")</f>
        <v/>
      </c>
      <c r="Y878" s="22" t="str">
        <f>IF(AND(B878&lt;=NKC!$N$8,B878&gt;=NKC!$M$8),"x","")</f>
        <v/>
      </c>
      <c r="Z878" s="580"/>
      <c r="AA878" s="588"/>
      <c r="AB878" s="588"/>
      <c r="AC878" s="588"/>
    </row>
    <row r="879" spans="1:31" s="564" customFormat="1" ht="15.75" customHeight="1">
      <c r="A879" s="603" t="str">
        <f>IF(B879&lt;&gt;"",IF(AND(B879&gt;=_TM1,B879&lt;=_TM2,OR(TH!L879="1111",TH!M879="1111")),TH!D879,""),"")</f>
        <v/>
      </c>
      <c r="B879" s="556">
        <f t="shared" si="42"/>
        <v>7</v>
      </c>
      <c r="C879" s="557">
        <f t="shared" si="40"/>
        <v>42566</v>
      </c>
      <c r="D879" s="558" t="s">
        <v>1073</v>
      </c>
      <c r="E879" s="617">
        <v>42566</v>
      </c>
      <c r="F879" s="618" t="s">
        <v>493</v>
      </c>
      <c r="G879" s="619" t="s">
        <v>699</v>
      </c>
      <c r="H879" s="620" t="s">
        <v>1074</v>
      </c>
      <c r="I879" s="562">
        <v>73</v>
      </c>
      <c r="J879" s="562">
        <v>43030.791972046798</v>
      </c>
      <c r="K879" s="568">
        <f t="shared" si="41"/>
        <v>3141248</v>
      </c>
      <c r="L879" s="573" t="s">
        <v>162</v>
      </c>
      <c r="M879" s="573" t="s">
        <v>160</v>
      </c>
      <c r="N879" s="22" t="str">
        <f>IF(AND('331-CT'!$E$7=TH!H879,OR(L879="331",M879="331")),"331",IF(AND(OR(L879="131",M879="131"),H879='131-CT'!$E$7),"131",""))</f>
        <v/>
      </c>
      <c r="O879" s="22" t="str">
        <f>IF(AND($B879&gt;='111'!$N$11,$B879&lt;='111'!$O$11,OR($L879=$O$7,$M879=$O$7)),"x","")</f>
        <v/>
      </c>
      <c r="P879" s="22" t="str">
        <f>IF(AND($L879=$O$7,$B879&lt;'111'!$N$11),"x","")</f>
        <v/>
      </c>
      <c r="Q879" s="22" t="str">
        <f>IF(AND($M879=$O$7,$B879&lt;'111'!$N$11),"x","")</f>
        <v/>
      </c>
      <c r="R879" s="22" t="str">
        <f>IF(ISERROR(FIND('112'!$M$9,G879,1)),"",IF((AND(FIND('112'!$M$9,G879,1)&gt;=1,$B879&gt;='112'!$N$8,$B879&lt;='112'!$O$8,OR($L879='112'!$I$6,$M879='112'!$I$6))),"x",""))</f>
        <v/>
      </c>
      <c r="S879" s="22" t="str">
        <f>IF(ISERROR(FIND('112'!$M$9,G879,1)),"",IF((AND(LEFT(G879,2)=LEFT('112'!$M$9,2),B879&lt;'112'!$N$8,$L879='112'!$I$6)),"x",""))</f>
        <v/>
      </c>
      <c r="T879" s="22" t="str">
        <f>IF(ISERROR(FIND('112'!$M$9,G879,1)),"",IF((AND(RIGHT(G879,2)=RIGHT('112'!$M$9,2),B879&lt;'112'!$N$8,$M879='112'!$I$6)),"x",""))</f>
        <v/>
      </c>
      <c r="U879" s="22" t="str">
        <f>IF(AND(B879&gt;='IN-NX'!$P$3,B879&lt;='IN-NX'!$Q$3,'IN-NX'!$D$7=D879,OR(LEFT(L879,2)="15",AND(LEFT(M879,2)&lt;&gt;"15",LEFT(M879,2)&lt;&gt;"33"))),"x","")</f>
        <v/>
      </c>
      <c r="V879" s="22" t="str">
        <f>IF(AND(OR(LEFT(TH!L879,2)="15",LEFT(TH!M879,2)="15"),'152-CT'!$J$8=TH!F879),"x","")</f>
        <v/>
      </c>
      <c r="W879" s="22" t="str">
        <f>IF(AND(OR(LEFT(TH!L879,2)="15",LEFT(TH!M879,2)="15"),TK!$E$7=TH!F879),"x","")</f>
        <v/>
      </c>
      <c r="X879" s="22" t="str">
        <f>IF(OR(TH!L879=TH!$X$7,M879=TH!$X$7),"x","")</f>
        <v/>
      </c>
      <c r="Y879" s="22" t="str">
        <f>IF(AND(B879&lt;=NKC!$N$8,B879&gt;=NKC!$M$8),"x","")</f>
        <v>x</v>
      </c>
      <c r="Z879" s="582"/>
      <c r="AA879" s="563"/>
      <c r="AB879" s="563"/>
      <c r="AC879" s="622"/>
    </row>
    <row r="880" spans="1:31" s="130" customFormat="1" ht="15.75" customHeight="1">
      <c r="A880" s="123" t="str">
        <f>IF(B880&lt;&gt;"",IF(AND(B880&gt;=_TM1,B880&lt;=_TM2,OR(TH!L880="1111",TH!M880="1111")),TH!D880,""),"")</f>
        <v/>
      </c>
      <c r="B880" s="12">
        <f t="shared" si="42"/>
        <v>7</v>
      </c>
      <c r="C880" s="108">
        <f t="shared" si="40"/>
        <v>42566</v>
      </c>
      <c r="D880" s="113" t="s">
        <v>1073</v>
      </c>
      <c r="E880" s="486">
        <v>42566</v>
      </c>
      <c r="F880" s="167" t="s">
        <v>497</v>
      </c>
      <c r="G880" s="487" t="s">
        <v>700</v>
      </c>
      <c r="H880" s="115" t="s">
        <v>1074</v>
      </c>
      <c r="I880" s="140">
        <v>100</v>
      </c>
      <c r="J880" s="140">
        <v>32314.311212724799</v>
      </c>
      <c r="K880" s="13">
        <f t="shared" ref="K880:K933" si="46">ROUND(I880*J880,0)</f>
        <v>3231431</v>
      </c>
      <c r="L880" s="116" t="s">
        <v>162</v>
      </c>
      <c r="M880" s="116" t="s">
        <v>160</v>
      </c>
      <c r="N880" s="22" t="str">
        <f>IF(AND('331-CT'!$E$7=TH!H880,OR(L880="331",M880="331")),"331",IF(AND(OR(L880="131",M880="131"),H880='131-CT'!$E$7),"131",""))</f>
        <v/>
      </c>
      <c r="O880" s="22" t="str">
        <f>IF(AND($B880&gt;='111'!$N$11,$B880&lt;='111'!$O$11,OR($L880=$O$7,$M880=$O$7)),"x","")</f>
        <v/>
      </c>
      <c r="P880" s="22" t="str">
        <f>IF(AND($L880=$O$7,$B880&lt;'111'!$N$11),"x","")</f>
        <v/>
      </c>
      <c r="Q880" s="22" t="str">
        <f>IF(AND($M880=$O$7,$B880&lt;'111'!$N$11),"x","")</f>
        <v/>
      </c>
      <c r="R880" s="22" t="str">
        <f>IF(ISERROR(FIND('112'!$M$9,G880,1)),"",IF((AND(FIND('112'!$M$9,G880,1)&gt;=1,$B880&gt;='112'!$N$8,$B880&lt;='112'!$O$8,OR($L880='112'!$I$6,$M880='112'!$I$6))),"x",""))</f>
        <v/>
      </c>
      <c r="S880" s="22" t="str">
        <f>IF(ISERROR(FIND('112'!$M$9,G880,1)),"",IF((AND(LEFT(G880,2)=LEFT('112'!$M$9,2),B880&lt;'112'!$N$8,$L880='112'!$I$6)),"x",""))</f>
        <v/>
      </c>
      <c r="T880" s="22" t="str">
        <f>IF(ISERROR(FIND('112'!$M$9,G880,1)),"",IF((AND(RIGHT(G880,2)=RIGHT('112'!$M$9,2),B880&lt;'112'!$N$8,$M880='112'!$I$6)),"x",""))</f>
        <v/>
      </c>
      <c r="U880" s="22" t="str">
        <f>IF(AND(B880&gt;='IN-NX'!$P$3,B880&lt;='IN-NX'!$Q$3,'IN-NX'!$D$7=D880,OR(LEFT(L880,2)="15",AND(LEFT(M880,2)&lt;&gt;"15",LEFT(M880,2)&lt;&gt;"33"))),"x","")</f>
        <v/>
      </c>
      <c r="V880" s="22" t="str">
        <f>IF(AND(OR(LEFT(TH!L880,2)="15",LEFT(TH!M880,2)="15"),'152-CT'!$J$8=TH!F880),"x","")</f>
        <v/>
      </c>
      <c r="W880" s="22" t="str">
        <f>IF(AND(OR(LEFT(TH!L880,2)="15",LEFT(TH!M880,2)="15"),TK!$E$7=TH!F880),"x","")</f>
        <v/>
      </c>
      <c r="X880" s="22" t="str">
        <f>IF(OR(TH!L880=TH!$X$7,M880=TH!$X$7),"x","")</f>
        <v/>
      </c>
      <c r="Y880" s="22" t="str">
        <f>IF(AND(B880&lt;=NKC!$N$8,B880&gt;=NKC!$M$8),"x","")</f>
        <v>x</v>
      </c>
      <c r="Z880" s="581"/>
      <c r="AA880" s="406"/>
      <c r="AB880" s="406"/>
      <c r="AC880" s="610"/>
    </row>
    <row r="881" spans="1:29" s="130" customFormat="1" ht="15.75" customHeight="1">
      <c r="A881" s="123" t="str">
        <f>IF(B881&lt;&gt;"",IF(AND(B881&gt;=_TM1,B881&lt;=_TM2,OR(TH!L881="1111",TH!M881="1111")),TH!D881,""),"")</f>
        <v/>
      </c>
      <c r="B881" s="12">
        <f t="shared" si="42"/>
        <v>7</v>
      </c>
      <c r="C881" s="108">
        <f t="shared" si="40"/>
        <v>42566</v>
      </c>
      <c r="D881" s="113" t="s">
        <v>1073</v>
      </c>
      <c r="E881" s="486">
        <v>42566</v>
      </c>
      <c r="F881" s="167" t="s">
        <v>498</v>
      </c>
      <c r="G881" s="487" t="s">
        <v>700</v>
      </c>
      <c r="H881" s="115" t="s">
        <v>1074</v>
      </c>
      <c r="I881" s="139">
        <v>116</v>
      </c>
      <c r="J881" s="139">
        <v>62320.457338826389</v>
      </c>
      <c r="K881" s="13">
        <f t="shared" si="46"/>
        <v>7229173</v>
      </c>
      <c r="L881" s="116" t="s">
        <v>162</v>
      </c>
      <c r="M881" s="116" t="s">
        <v>160</v>
      </c>
      <c r="N881" s="22" t="str">
        <f>IF(AND('331-CT'!$E$7=TH!H881,OR(L881="331",M881="331")),"331",IF(AND(OR(L881="131",M881="131"),H881='131-CT'!$E$7),"131",""))</f>
        <v/>
      </c>
      <c r="O881" s="22" t="str">
        <f>IF(AND($B881&gt;='111'!$N$11,$B881&lt;='111'!$O$11,OR($L881=$O$7,$M881=$O$7)),"x","")</f>
        <v/>
      </c>
      <c r="P881" s="22" t="str">
        <f>IF(AND($L881=$O$7,$B881&lt;'111'!$N$11),"x","")</f>
        <v/>
      </c>
      <c r="Q881" s="22" t="str">
        <f>IF(AND($M881=$O$7,$B881&lt;'111'!$N$11),"x","")</f>
        <v/>
      </c>
      <c r="R881" s="22" t="str">
        <f>IF(ISERROR(FIND('112'!$M$9,G881,1)),"",IF((AND(FIND('112'!$M$9,G881,1)&gt;=1,$B881&gt;='112'!$N$8,$B881&lt;='112'!$O$8,OR($L881='112'!$I$6,$M881='112'!$I$6))),"x",""))</f>
        <v/>
      </c>
      <c r="S881" s="22" t="str">
        <f>IF(ISERROR(FIND('112'!$M$9,G881,1)),"",IF((AND(LEFT(G881,2)=LEFT('112'!$M$9,2),B881&lt;'112'!$N$8,$L881='112'!$I$6)),"x",""))</f>
        <v/>
      </c>
      <c r="T881" s="22" t="str">
        <f>IF(ISERROR(FIND('112'!$M$9,G881,1)),"",IF((AND(RIGHT(G881,2)=RIGHT('112'!$M$9,2),B881&lt;'112'!$N$8,$M881='112'!$I$6)),"x",""))</f>
        <v/>
      </c>
      <c r="U881" s="22" t="str">
        <f>IF(AND(B881&gt;='IN-NX'!$P$3,B881&lt;='IN-NX'!$Q$3,'IN-NX'!$D$7=D881,OR(LEFT(L881,2)="15",AND(LEFT(M881,2)&lt;&gt;"15",LEFT(M881,2)&lt;&gt;"33"))),"x","")</f>
        <v/>
      </c>
      <c r="V881" s="22" t="str">
        <f>IF(AND(OR(LEFT(TH!L881,2)="15",LEFT(TH!M881,2)="15"),'152-CT'!$J$8=TH!F881),"x","")</f>
        <v/>
      </c>
      <c r="W881" s="22" t="str">
        <f>IF(AND(OR(LEFT(TH!L881,2)="15",LEFT(TH!M881,2)="15"),TK!$E$7=TH!F881),"x","")</f>
        <v/>
      </c>
      <c r="X881" s="22" t="str">
        <f>IF(OR(TH!L881=TH!$X$7,M881=TH!$X$7),"x","")</f>
        <v/>
      </c>
      <c r="Y881" s="22" t="str">
        <f>IF(AND(B881&lt;=NKC!$N$8,B881&gt;=NKC!$M$8),"x","")</f>
        <v>x</v>
      </c>
      <c r="Z881" s="581"/>
      <c r="AA881" s="406"/>
      <c r="AC881" s="610"/>
    </row>
    <row r="882" spans="1:29" s="130" customFormat="1" ht="15.75" customHeight="1">
      <c r="A882" s="123" t="str">
        <f>IF(B882&lt;&gt;"",IF(AND(B882&gt;=_TM1,B882&lt;=_TM2,OR(TH!L882="1111",TH!M882="1111")),TH!D882,""),"")</f>
        <v/>
      </c>
      <c r="B882" s="12">
        <f t="shared" si="42"/>
        <v>7</v>
      </c>
      <c r="C882" s="108">
        <f t="shared" si="40"/>
        <v>42566</v>
      </c>
      <c r="D882" s="113" t="s">
        <v>1073</v>
      </c>
      <c r="E882" s="486">
        <v>42566</v>
      </c>
      <c r="F882" s="167" t="s">
        <v>499</v>
      </c>
      <c r="G882" s="487" t="s">
        <v>701</v>
      </c>
      <c r="H882" s="115" t="s">
        <v>1074</v>
      </c>
      <c r="I882" s="139">
        <v>220</v>
      </c>
      <c r="J882" s="139">
        <v>22504.609594576199</v>
      </c>
      <c r="K882" s="13">
        <f t="shared" si="46"/>
        <v>4951014</v>
      </c>
      <c r="L882" s="116" t="s">
        <v>162</v>
      </c>
      <c r="M882" s="116" t="s">
        <v>160</v>
      </c>
      <c r="N882" s="22" t="str">
        <f>IF(AND('331-CT'!$E$7=TH!H882,OR(L882="331",M882="331")),"331",IF(AND(OR(L882="131",M882="131"),H882='131-CT'!$E$7),"131",""))</f>
        <v/>
      </c>
      <c r="O882" s="22" t="str">
        <f>IF(AND($B882&gt;='111'!$N$11,$B882&lt;='111'!$O$11,OR($L882=$O$7,$M882=$O$7)),"x","")</f>
        <v/>
      </c>
      <c r="P882" s="22" t="str">
        <f>IF(AND($L882=$O$7,$B882&lt;'111'!$N$11),"x","")</f>
        <v/>
      </c>
      <c r="Q882" s="22" t="str">
        <f>IF(AND($M882=$O$7,$B882&lt;'111'!$N$11),"x","")</f>
        <v/>
      </c>
      <c r="R882" s="22" t="str">
        <f>IF(ISERROR(FIND('112'!$M$9,G882,1)),"",IF((AND(FIND('112'!$M$9,G882,1)&gt;=1,$B882&gt;='112'!$N$8,$B882&lt;='112'!$O$8,OR($L882='112'!$I$6,$M882='112'!$I$6))),"x",""))</f>
        <v/>
      </c>
      <c r="S882" s="22" t="str">
        <f>IF(ISERROR(FIND('112'!$M$9,G882,1)),"",IF((AND(LEFT(G882,2)=LEFT('112'!$M$9,2),B882&lt;'112'!$N$8,$L882='112'!$I$6)),"x",""))</f>
        <v/>
      </c>
      <c r="T882" s="22" t="str">
        <f>IF(ISERROR(FIND('112'!$M$9,G882,1)),"",IF((AND(RIGHT(G882,2)=RIGHT('112'!$M$9,2),B882&lt;'112'!$N$8,$M882='112'!$I$6)),"x",""))</f>
        <v/>
      </c>
      <c r="U882" s="22" t="str">
        <f>IF(AND(B882&gt;='IN-NX'!$P$3,B882&lt;='IN-NX'!$Q$3,'IN-NX'!$D$7=D882,OR(LEFT(L882,2)="15",AND(LEFT(M882,2)&lt;&gt;"15",LEFT(M882,2)&lt;&gt;"33"))),"x","")</f>
        <v/>
      </c>
      <c r="V882" s="22" t="str">
        <f>IF(AND(OR(LEFT(TH!L882,2)="15",LEFT(TH!M882,2)="15"),'152-CT'!$J$8=TH!F882),"x","")</f>
        <v/>
      </c>
      <c r="W882" s="22" t="str">
        <f>IF(AND(OR(LEFT(TH!L882,2)="15",LEFT(TH!M882,2)="15"),TK!$E$7=TH!F882),"x","")</f>
        <v/>
      </c>
      <c r="X882" s="22" t="str">
        <f>IF(OR(TH!L882=TH!$X$7,M882=TH!$X$7),"x","")</f>
        <v/>
      </c>
      <c r="Y882" s="22" t="str">
        <f>IF(AND(B882&lt;=NKC!$N$8,B882&gt;=NKC!$M$8),"x","")</f>
        <v>x</v>
      </c>
      <c r="Z882" s="581"/>
      <c r="AA882" s="406"/>
      <c r="AB882" s="406"/>
      <c r="AC882" s="610"/>
    </row>
    <row r="883" spans="1:29" s="130" customFormat="1" ht="15.75" customHeight="1">
      <c r="A883" s="123" t="str">
        <f>IF(B883&lt;&gt;"",IF(AND(B883&gt;=_TM1,B883&lt;=_TM2,OR(TH!L883="1111",TH!M883="1111")),TH!D883,""),"")</f>
        <v/>
      </c>
      <c r="B883" s="12">
        <f t="shared" si="42"/>
        <v>7</v>
      </c>
      <c r="C883" s="108">
        <f t="shared" si="40"/>
        <v>42566</v>
      </c>
      <c r="D883" s="113" t="s">
        <v>1073</v>
      </c>
      <c r="E883" s="486">
        <v>42566</v>
      </c>
      <c r="F883" s="167" t="s">
        <v>500</v>
      </c>
      <c r="G883" s="487" t="s">
        <v>701</v>
      </c>
      <c r="H883" s="115" t="s">
        <v>1074</v>
      </c>
      <c r="I883" s="139">
        <v>357</v>
      </c>
      <c r="J883" s="139">
        <v>10551.611824563199</v>
      </c>
      <c r="K883" s="13">
        <f t="shared" si="46"/>
        <v>3766925</v>
      </c>
      <c r="L883" s="116" t="s">
        <v>162</v>
      </c>
      <c r="M883" s="116" t="s">
        <v>160</v>
      </c>
      <c r="N883" s="22" t="str">
        <f>IF(AND('331-CT'!$E$7=TH!H883,OR(L883="331",M883="331")),"331",IF(AND(OR(L883="131",M883="131"),H883='131-CT'!$E$7),"131",""))</f>
        <v/>
      </c>
      <c r="O883" s="22" t="str">
        <f>IF(AND($B883&gt;='111'!$N$11,$B883&lt;='111'!$O$11,OR($L883=$O$7,$M883=$O$7)),"x","")</f>
        <v/>
      </c>
      <c r="P883" s="22" t="str">
        <f>IF(AND($L883=$O$7,$B883&lt;'111'!$N$11),"x","")</f>
        <v/>
      </c>
      <c r="Q883" s="22" t="str">
        <f>IF(AND($M883=$O$7,$B883&lt;'111'!$N$11),"x","")</f>
        <v/>
      </c>
      <c r="R883" s="22" t="str">
        <f>IF(ISERROR(FIND('112'!$M$9,G883,1)),"",IF((AND(FIND('112'!$M$9,G883,1)&gt;=1,$B883&gt;='112'!$N$8,$B883&lt;='112'!$O$8,OR($L883='112'!$I$6,$M883='112'!$I$6))),"x",""))</f>
        <v/>
      </c>
      <c r="S883" s="22" t="str">
        <f>IF(ISERROR(FIND('112'!$M$9,G883,1)),"",IF((AND(LEFT(G883,2)=LEFT('112'!$M$9,2),B883&lt;'112'!$N$8,$L883='112'!$I$6)),"x",""))</f>
        <v/>
      </c>
      <c r="T883" s="22" t="str">
        <f>IF(ISERROR(FIND('112'!$M$9,G883,1)),"",IF((AND(RIGHT(G883,2)=RIGHT('112'!$M$9,2),B883&lt;'112'!$N$8,$M883='112'!$I$6)),"x",""))</f>
        <v/>
      </c>
      <c r="U883" s="22" t="str">
        <f>IF(AND(B883&gt;='IN-NX'!$P$3,B883&lt;='IN-NX'!$Q$3,'IN-NX'!$D$7=D883,OR(LEFT(L883,2)="15",AND(LEFT(M883,2)&lt;&gt;"15",LEFT(M883,2)&lt;&gt;"33"))),"x","")</f>
        <v/>
      </c>
      <c r="V883" s="22" t="str">
        <f>IF(AND(OR(LEFT(TH!L883,2)="15",LEFT(TH!M883,2)="15"),'152-CT'!$J$8=TH!F883),"x","")</f>
        <v/>
      </c>
      <c r="W883" s="22" t="str">
        <f>IF(AND(OR(LEFT(TH!L883,2)="15",LEFT(TH!M883,2)="15"),TK!$E$7=TH!F883),"x","")</f>
        <v/>
      </c>
      <c r="X883" s="22" t="str">
        <f>IF(OR(TH!L883=TH!$X$7,M883=TH!$X$7),"x","")</f>
        <v/>
      </c>
      <c r="Y883" s="22" t="str">
        <f>IF(AND(B883&lt;=NKC!$N$8,B883&gt;=NKC!$M$8),"x","")</f>
        <v>x</v>
      </c>
      <c r="Z883" s="581"/>
      <c r="AA883" s="406"/>
      <c r="AB883" s="406"/>
      <c r="AC883" s="610"/>
    </row>
    <row r="884" spans="1:29" s="130" customFormat="1" ht="15.75" customHeight="1">
      <c r="A884" s="123" t="str">
        <f>IF(B884&lt;&gt;"",IF(AND(B884&gt;=_TM1,B884&lt;=_TM2,OR(TH!L884="1111",TH!M884="1111")),TH!D884,""),"")</f>
        <v/>
      </c>
      <c r="B884" s="12">
        <f t="shared" si="42"/>
        <v>7</v>
      </c>
      <c r="C884" s="108">
        <f t="shared" si="40"/>
        <v>42566</v>
      </c>
      <c r="D884" s="113" t="s">
        <v>1073</v>
      </c>
      <c r="E884" s="486">
        <v>42566</v>
      </c>
      <c r="F884" s="167" t="s">
        <v>501</v>
      </c>
      <c r="G884" s="487" t="s">
        <v>701</v>
      </c>
      <c r="H884" s="115" t="s">
        <v>1074</v>
      </c>
      <c r="I884" s="139">
        <v>70</v>
      </c>
      <c r="J884" s="139">
        <v>11046.218628839601</v>
      </c>
      <c r="K884" s="13">
        <f t="shared" si="46"/>
        <v>773235</v>
      </c>
      <c r="L884" s="116" t="s">
        <v>162</v>
      </c>
      <c r="M884" s="116" t="s">
        <v>160</v>
      </c>
      <c r="N884" s="22" t="str">
        <f>IF(AND('331-CT'!$E$7=TH!H884,OR(L884="331",M884="331")),"331",IF(AND(OR(L884="131",M884="131"),H884='131-CT'!$E$7),"131",""))</f>
        <v/>
      </c>
      <c r="O884" s="22" t="str">
        <f>IF(AND($B884&gt;='111'!$N$11,$B884&lt;='111'!$O$11,OR($L884=$O$7,$M884=$O$7)),"x","")</f>
        <v/>
      </c>
      <c r="P884" s="22" t="str">
        <f>IF(AND($L884=$O$7,$B884&lt;'111'!$N$11),"x","")</f>
        <v/>
      </c>
      <c r="Q884" s="22" t="str">
        <f>IF(AND($M884=$O$7,$B884&lt;'111'!$N$11),"x","")</f>
        <v/>
      </c>
      <c r="R884" s="22" t="str">
        <f>IF(ISERROR(FIND('112'!$M$9,G884,1)),"",IF((AND(FIND('112'!$M$9,G884,1)&gt;=1,$B884&gt;='112'!$N$8,$B884&lt;='112'!$O$8,OR($L884='112'!$I$6,$M884='112'!$I$6))),"x",""))</f>
        <v/>
      </c>
      <c r="S884" s="22" t="str">
        <f>IF(ISERROR(FIND('112'!$M$9,G884,1)),"",IF((AND(LEFT(G884,2)=LEFT('112'!$M$9,2),B884&lt;'112'!$N$8,$L884='112'!$I$6)),"x",""))</f>
        <v/>
      </c>
      <c r="T884" s="22" t="str">
        <f>IF(ISERROR(FIND('112'!$M$9,G884,1)),"",IF((AND(RIGHT(G884,2)=RIGHT('112'!$M$9,2),B884&lt;'112'!$N$8,$M884='112'!$I$6)),"x",""))</f>
        <v/>
      </c>
      <c r="U884" s="22" t="str">
        <f>IF(AND(B884&gt;='IN-NX'!$P$3,B884&lt;='IN-NX'!$Q$3,'IN-NX'!$D$7=D884,OR(LEFT(L884,2)="15",AND(LEFT(M884,2)&lt;&gt;"15",LEFT(M884,2)&lt;&gt;"33"))),"x","")</f>
        <v/>
      </c>
      <c r="V884" s="22" t="str">
        <f>IF(AND(OR(LEFT(TH!L884,2)="15",LEFT(TH!M884,2)="15"),'152-CT'!$J$8=TH!F884),"x","")</f>
        <v/>
      </c>
      <c r="W884" s="22" t="str">
        <f>IF(AND(OR(LEFT(TH!L884,2)="15",LEFT(TH!M884,2)="15"),TK!$E$7=TH!F884),"x","")</f>
        <v/>
      </c>
      <c r="X884" s="22" t="str">
        <f>IF(OR(TH!L884=TH!$X$7,M884=TH!$X$7),"x","")</f>
        <v/>
      </c>
      <c r="Y884" s="22" t="str">
        <f>IF(AND(B884&lt;=NKC!$N$8,B884&gt;=NKC!$M$8),"x","")</f>
        <v>x</v>
      </c>
      <c r="Z884" s="581"/>
      <c r="AA884" s="406"/>
      <c r="AB884" s="406"/>
      <c r="AC884" s="610"/>
    </row>
    <row r="885" spans="1:29" s="130" customFormat="1" ht="15.75" customHeight="1">
      <c r="A885" s="123" t="str">
        <f>IF(B885&lt;&gt;"",IF(AND(B885&gt;=_TM1,B885&lt;=_TM2,OR(TH!L885="1111",TH!M885="1111")),TH!D885,""),"")</f>
        <v/>
      </c>
      <c r="B885" s="12">
        <f t="shared" si="42"/>
        <v>7</v>
      </c>
      <c r="C885" s="108">
        <f t="shared" si="40"/>
        <v>42567</v>
      </c>
      <c r="D885" s="113" t="s">
        <v>1073</v>
      </c>
      <c r="E885" s="486">
        <v>42567</v>
      </c>
      <c r="F885" s="167" t="s">
        <v>502</v>
      </c>
      <c r="G885" s="487" t="s">
        <v>702</v>
      </c>
      <c r="H885" s="115" t="s">
        <v>1074</v>
      </c>
      <c r="I885" s="139">
        <v>300</v>
      </c>
      <c r="J885" s="139">
        <v>9397.5292812515981</v>
      </c>
      <c r="K885" s="13">
        <f t="shared" si="46"/>
        <v>2819259</v>
      </c>
      <c r="L885" s="116" t="s">
        <v>162</v>
      </c>
      <c r="M885" s="116" t="s">
        <v>160</v>
      </c>
      <c r="N885" s="22" t="str">
        <f>IF(AND('331-CT'!$E$7=TH!H885,OR(L885="331",M885="331")),"331",IF(AND(OR(L885="131",M885="131"),H885='131-CT'!$E$7),"131",""))</f>
        <v/>
      </c>
      <c r="O885" s="22" t="str">
        <f>IF(AND($B885&gt;='111'!$N$11,$B885&lt;='111'!$O$11,OR($L885=$O$7,$M885=$O$7)),"x","")</f>
        <v/>
      </c>
      <c r="P885" s="22" t="str">
        <f>IF(AND($L885=$O$7,$B885&lt;'111'!$N$11),"x","")</f>
        <v/>
      </c>
      <c r="Q885" s="22" t="str">
        <f>IF(AND($M885=$O$7,$B885&lt;'111'!$N$11),"x","")</f>
        <v/>
      </c>
      <c r="R885" s="22" t="str">
        <f>IF(ISERROR(FIND('112'!$M$9,G885,1)),"",IF((AND(FIND('112'!$M$9,G885,1)&gt;=1,$B885&gt;='112'!$N$8,$B885&lt;='112'!$O$8,OR($L885='112'!$I$6,$M885='112'!$I$6))),"x",""))</f>
        <v/>
      </c>
      <c r="S885" s="22" t="str">
        <f>IF(ISERROR(FIND('112'!$M$9,G885,1)),"",IF((AND(LEFT(G885,2)=LEFT('112'!$M$9,2),B885&lt;'112'!$N$8,$L885='112'!$I$6)),"x",""))</f>
        <v/>
      </c>
      <c r="T885" s="22" t="str">
        <f>IF(ISERROR(FIND('112'!$M$9,G885,1)),"",IF((AND(RIGHT(G885,2)=RIGHT('112'!$M$9,2),B885&lt;'112'!$N$8,$M885='112'!$I$6)),"x",""))</f>
        <v/>
      </c>
      <c r="U885" s="22" t="str">
        <f>IF(AND(B885&gt;='IN-NX'!$P$3,B885&lt;='IN-NX'!$Q$3,'IN-NX'!$D$7=D885,OR(LEFT(L885,2)="15",AND(LEFT(M885,2)&lt;&gt;"15",LEFT(M885,2)&lt;&gt;"33"))),"x","")</f>
        <v/>
      </c>
      <c r="V885" s="22" t="str">
        <f>IF(AND(OR(LEFT(TH!L885,2)="15",LEFT(TH!M885,2)="15"),'152-CT'!$J$8=TH!F885),"x","")</f>
        <v/>
      </c>
      <c r="W885" s="22" t="str">
        <f>IF(AND(OR(LEFT(TH!L885,2)="15",LEFT(TH!M885,2)="15"),TK!$E$7=TH!F885),"x","")</f>
        <v/>
      </c>
      <c r="X885" s="22" t="str">
        <f>IF(OR(TH!L885=TH!$X$7,M885=TH!$X$7),"x","")</f>
        <v/>
      </c>
      <c r="Y885" s="22" t="str">
        <f>IF(AND(B885&lt;=NKC!$N$8,B885&gt;=NKC!$M$8),"x","")</f>
        <v>x</v>
      </c>
      <c r="Z885" s="581"/>
      <c r="AA885" s="406"/>
      <c r="AB885" s="406"/>
      <c r="AC885" s="610"/>
    </row>
    <row r="886" spans="1:29" s="130" customFormat="1" ht="15.75" customHeight="1">
      <c r="A886" s="123" t="str">
        <f>IF(B886&lt;&gt;"",IF(AND(B886&gt;=_TM1,B886&lt;=_TM2,OR(TH!L886="1111",TH!M886="1111")),TH!D886,""),"")</f>
        <v/>
      </c>
      <c r="B886" s="12">
        <f t="shared" si="42"/>
        <v>7</v>
      </c>
      <c r="C886" s="108">
        <f t="shared" si="40"/>
        <v>42567</v>
      </c>
      <c r="D886" s="113" t="s">
        <v>1073</v>
      </c>
      <c r="E886" s="486">
        <v>42567</v>
      </c>
      <c r="F886" s="167" t="s">
        <v>502</v>
      </c>
      <c r="G886" s="487" t="s">
        <v>702</v>
      </c>
      <c r="H886" s="115" t="s">
        <v>1074</v>
      </c>
      <c r="I886" s="139">
        <v>500</v>
      </c>
      <c r="J886" s="139">
        <v>9397.5292812515981</v>
      </c>
      <c r="K886" s="13">
        <f t="shared" si="46"/>
        <v>4698765</v>
      </c>
      <c r="L886" s="116" t="s">
        <v>162</v>
      </c>
      <c r="M886" s="116" t="s">
        <v>160</v>
      </c>
      <c r="N886" s="22" t="str">
        <f>IF(AND('331-CT'!$E$7=TH!H886,OR(L886="331",M886="331")),"331",IF(AND(OR(L886="131",M886="131"),H886='131-CT'!$E$7),"131",""))</f>
        <v/>
      </c>
      <c r="O886" s="22" t="str">
        <f>IF(AND($B886&gt;='111'!$N$11,$B886&lt;='111'!$O$11,OR($L886=$O$7,$M886=$O$7)),"x","")</f>
        <v/>
      </c>
      <c r="P886" s="22" t="str">
        <f>IF(AND($L886=$O$7,$B886&lt;'111'!$N$11),"x","")</f>
        <v/>
      </c>
      <c r="Q886" s="22" t="str">
        <f>IF(AND($M886=$O$7,$B886&lt;'111'!$N$11),"x","")</f>
        <v/>
      </c>
      <c r="R886" s="22" t="str">
        <f>IF(ISERROR(FIND('112'!$M$9,G886,1)),"",IF((AND(FIND('112'!$M$9,G886,1)&gt;=1,$B886&gt;='112'!$N$8,$B886&lt;='112'!$O$8,OR($L886='112'!$I$6,$M886='112'!$I$6))),"x",""))</f>
        <v/>
      </c>
      <c r="S886" s="22" t="str">
        <f>IF(ISERROR(FIND('112'!$M$9,G886,1)),"",IF((AND(LEFT(G886,2)=LEFT('112'!$M$9,2),B886&lt;'112'!$N$8,$L886='112'!$I$6)),"x",""))</f>
        <v/>
      </c>
      <c r="T886" s="22" t="str">
        <f>IF(ISERROR(FIND('112'!$M$9,G886,1)),"",IF((AND(RIGHT(G886,2)=RIGHT('112'!$M$9,2),B886&lt;'112'!$N$8,$M886='112'!$I$6)),"x",""))</f>
        <v/>
      </c>
      <c r="U886" s="22" t="str">
        <f>IF(AND(B886&gt;='IN-NX'!$P$3,B886&lt;='IN-NX'!$Q$3,'IN-NX'!$D$7=D886,OR(LEFT(L886,2)="15",AND(LEFT(M886,2)&lt;&gt;"15",LEFT(M886,2)&lt;&gt;"33"))),"x","")</f>
        <v/>
      </c>
      <c r="V886" s="22" t="str">
        <f>IF(AND(OR(LEFT(TH!L886,2)="15",LEFT(TH!M886,2)="15"),'152-CT'!$J$8=TH!F886),"x","")</f>
        <v/>
      </c>
      <c r="W886" s="22" t="str">
        <f>IF(AND(OR(LEFT(TH!L886,2)="15",LEFT(TH!M886,2)="15"),TK!$E$7=TH!F886),"x","")</f>
        <v/>
      </c>
      <c r="X886" s="22" t="str">
        <f>IF(OR(TH!L886=TH!$X$7,M886=TH!$X$7),"x","")</f>
        <v/>
      </c>
      <c r="Y886" s="22" t="str">
        <f>IF(AND(B886&lt;=NKC!$N$8,B886&gt;=NKC!$M$8),"x","")</f>
        <v>x</v>
      </c>
      <c r="Z886" s="581"/>
      <c r="AA886" s="406"/>
      <c r="AB886" s="406"/>
      <c r="AC886" s="610"/>
    </row>
    <row r="887" spans="1:29" s="130" customFormat="1" ht="15.75" customHeight="1">
      <c r="A887" s="123" t="str">
        <f>IF(B887&lt;&gt;"",IF(AND(B887&gt;=_TM1,B887&lt;=_TM2,OR(TH!L887="1111",TH!M887="1111")),TH!D887,""),"")</f>
        <v/>
      </c>
      <c r="B887" s="12">
        <f t="shared" si="42"/>
        <v>7</v>
      </c>
      <c r="C887" s="108">
        <f t="shared" si="40"/>
        <v>42567</v>
      </c>
      <c r="D887" s="113" t="s">
        <v>1073</v>
      </c>
      <c r="E887" s="486">
        <v>42567</v>
      </c>
      <c r="F887" s="167" t="s">
        <v>377</v>
      </c>
      <c r="G887" s="487" t="s">
        <v>702</v>
      </c>
      <c r="H887" s="115" t="s">
        <v>1074</v>
      </c>
      <c r="I887" s="139">
        <v>1600</v>
      </c>
      <c r="J887" s="139">
        <v>741.91020641459988</v>
      </c>
      <c r="K887" s="13">
        <f t="shared" si="46"/>
        <v>1187056</v>
      </c>
      <c r="L887" s="116" t="s">
        <v>162</v>
      </c>
      <c r="M887" s="116" t="s">
        <v>160</v>
      </c>
      <c r="N887" s="22" t="str">
        <f>IF(AND('331-CT'!$E$7=TH!H887,OR(L887="331",M887="331")),"331",IF(AND(OR(L887="131",M887="131"),H887='131-CT'!$E$7),"131",""))</f>
        <v/>
      </c>
      <c r="O887" s="22" t="str">
        <f>IF(AND($B887&gt;='111'!$N$11,$B887&lt;='111'!$O$11,OR($L887=$O$7,$M887=$O$7)),"x","")</f>
        <v/>
      </c>
      <c r="P887" s="22" t="str">
        <f>IF(AND($L887=$O$7,$B887&lt;'111'!$N$11),"x","")</f>
        <v/>
      </c>
      <c r="Q887" s="22" t="str">
        <f>IF(AND($M887=$O$7,$B887&lt;'111'!$N$11),"x","")</f>
        <v/>
      </c>
      <c r="R887" s="22" t="str">
        <f>IF(ISERROR(FIND('112'!$M$9,G887,1)),"",IF((AND(FIND('112'!$M$9,G887,1)&gt;=1,$B887&gt;='112'!$N$8,$B887&lt;='112'!$O$8,OR($L887='112'!$I$6,$M887='112'!$I$6))),"x",""))</f>
        <v/>
      </c>
      <c r="S887" s="22" t="str">
        <f>IF(ISERROR(FIND('112'!$M$9,G887,1)),"",IF((AND(LEFT(G887,2)=LEFT('112'!$M$9,2),B887&lt;'112'!$N$8,$L887='112'!$I$6)),"x",""))</f>
        <v/>
      </c>
      <c r="T887" s="22" t="str">
        <f>IF(ISERROR(FIND('112'!$M$9,G887,1)),"",IF((AND(RIGHT(G887,2)=RIGHT('112'!$M$9,2),B887&lt;'112'!$N$8,$M887='112'!$I$6)),"x",""))</f>
        <v/>
      </c>
      <c r="U887" s="22" t="str">
        <f>IF(AND(B887&gt;='IN-NX'!$P$3,B887&lt;='IN-NX'!$Q$3,'IN-NX'!$D$7=D887,OR(LEFT(L887,2)="15",AND(LEFT(M887,2)&lt;&gt;"15",LEFT(M887,2)&lt;&gt;"33"))),"x","")</f>
        <v/>
      </c>
      <c r="V887" s="22" t="str">
        <f>IF(AND(OR(LEFT(TH!L887,2)="15",LEFT(TH!M887,2)="15"),'152-CT'!$J$8=TH!F887),"x","")</f>
        <v/>
      </c>
      <c r="W887" s="22" t="str">
        <f>IF(AND(OR(LEFT(TH!L887,2)="15",LEFT(TH!M887,2)="15"),TK!$E$7=TH!F887),"x","")</f>
        <v/>
      </c>
      <c r="X887" s="22" t="str">
        <f>IF(OR(TH!L887=TH!$X$7,M887=TH!$X$7),"x","")</f>
        <v/>
      </c>
      <c r="Y887" s="22" t="str">
        <f>IF(AND(B887&lt;=NKC!$N$8,B887&gt;=NKC!$M$8),"x","")</f>
        <v>x</v>
      </c>
      <c r="Z887" s="581"/>
      <c r="AA887" s="406"/>
      <c r="AB887" s="406"/>
    </row>
    <row r="888" spans="1:29" s="130" customFormat="1" ht="15.75" customHeight="1">
      <c r="A888" s="123" t="str">
        <f>IF(B888&lt;&gt;"",IF(AND(B888&gt;=_TM1,B888&lt;=_TM2,OR(TH!L888="1111",TH!M888="1111")),TH!D888,""),"")</f>
        <v/>
      </c>
      <c r="B888" s="12">
        <f t="shared" si="42"/>
        <v>7</v>
      </c>
      <c r="C888" s="108">
        <f t="shared" si="40"/>
        <v>42567</v>
      </c>
      <c r="D888" s="113" t="s">
        <v>1073</v>
      </c>
      <c r="E888" s="486">
        <v>42567</v>
      </c>
      <c r="F888" s="167" t="s">
        <v>503</v>
      </c>
      <c r="G888" s="487" t="s">
        <v>703</v>
      </c>
      <c r="H888" s="115" t="s">
        <v>1074</v>
      </c>
      <c r="I888" s="140">
        <v>1005</v>
      </c>
      <c r="J888" s="140">
        <v>7666.4054662842</v>
      </c>
      <c r="K888" s="13">
        <f t="shared" si="46"/>
        <v>7704737</v>
      </c>
      <c r="L888" s="116" t="s">
        <v>162</v>
      </c>
      <c r="M888" s="116" t="s">
        <v>160</v>
      </c>
      <c r="N888" s="22" t="str">
        <f>IF(AND('331-CT'!$E$7=TH!H888,OR(L888="331",M888="331")),"331",IF(AND(OR(L888="131",M888="131"),H888='131-CT'!$E$7),"131",""))</f>
        <v/>
      </c>
      <c r="O888" s="22" t="str">
        <f>IF(AND($B888&gt;='111'!$N$11,$B888&lt;='111'!$O$11,OR($L888=$O$7,$M888=$O$7)),"x","")</f>
        <v/>
      </c>
      <c r="P888" s="22" t="str">
        <f>IF(AND($L888=$O$7,$B888&lt;'111'!$N$11),"x","")</f>
        <v/>
      </c>
      <c r="Q888" s="22" t="str">
        <f>IF(AND($M888=$O$7,$B888&lt;'111'!$N$11),"x","")</f>
        <v/>
      </c>
      <c r="R888" s="22" t="str">
        <f>IF(ISERROR(FIND('112'!$M$9,G888,1)),"",IF((AND(FIND('112'!$M$9,G888,1)&gt;=1,$B888&gt;='112'!$N$8,$B888&lt;='112'!$O$8,OR($L888='112'!$I$6,$M888='112'!$I$6))),"x",""))</f>
        <v/>
      </c>
      <c r="S888" s="22" t="str">
        <f>IF(ISERROR(FIND('112'!$M$9,G888,1)),"",IF((AND(LEFT(G888,2)=LEFT('112'!$M$9,2),B888&lt;'112'!$N$8,$L888='112'!$I$6)),"x",""))</f>
        <v/>
      </c>
      <c r="T888" s="22" t="str">
        <f>IF(ISERROR(FIND('112'!$M$9,G888,1)),"",IF((AND(RIGHT(G888,2)=RIGHT('112'!$M$9,2),B888&lt;'112'!$N$8,$M888='112'!$I$6)),"x",""))</f>
        <v/>
      </c>
      <c r="U888" s="22" t="str">
        <f>IF(AND(B888&gt;='IN-NX'!$P$3,B888&lt;='IN-NX'!$Q$3,'IN-NX'!$D$7=D888,OR(LEFT(L888,2)="15",AND(LEFT(M888,2)&lt;&gt;"15",LEFT(M888,2)&lt;&gt;"33"))),"x","")</f>
        <v/>
      </c>
      <c r="V888" s="22" t="str">
        <f>IF(AND(OR(LEFT(TH!L888,2)="15",LEFT(TH!M888,2)="15"),'152-CT'!$J$8=TH!F888),"x","")</f>
        <v/>
      </c>
      <c r="W888" s="22" t="str">
        <f>IF(AND(OR(LEFT(TH!L888,2)="15",LEFT(TH!M888,2)="15"),TK!$E$7=TH!F888),"x","")</f>
        <v/>
      </c>
      <c r="X888" s="22" t="str">
        <f>IF(OR(TH!L888=TH!$X$7,M888=TH!$X$7),"x","")</f>
        <v/>
      </c>
      <c r="Y888" s="22" t="str">
        <f>IF(AND(B888&lt;=NKC!$N$8,B888&gt;=NKC!$M$8),"x","")</f>
        <v>x</v>
      </c>
      <c r="Z888" s="581"/>
      <c r="AA888" s="406"/>
      <c r="AB888" s="406"/>
    </row>
    <row r="889" spans="1:29" s="130" customFormat="1" ht="15.75" customHeight="1">
      <c r="A889" s="123" t="str">
        <f>IF(B889&lt;&gt;"",IF(AND(B889&gt;=_TM1,B889&lt;=_TM2,OR(TH!L889="1111",TH!M889="1111")),TH!D889,""),"")</f>
        <v/>
      </c>
      <c r="B889" s="12">
        <f t="shared" si="42"/>
        <v>7</v>
      </c>
      <c r="C889" s="108">
        <f t="shared" si="40"/>
        <v>42569</v>
      </c>
      <c r="D889" s="113" t="s">
        <v>1073</v>
      </c>
      <c r="E889" s="486">
        <v>42569</v>
      </c>
      <c r="F889" s="167" t="s">
        <v>504</v>
      </c>
      <c r="G889" s="487" t="s">
        <v>704</v>
      </c>
      <c r="H889" s="115" t="s">
        <v>1074</v>
      </c>
      <c r="I889" s="139">
        <v>254</v>
      </c>
      <c r="J889" s="139">
        <v>10057.005020286799</v>
      </c>
      <c r="K889" s="13">
        <f t="shared" si="46"/>
        <v>2554479</v>
      </c>
      <c r="L889" s="116" t="s">
        <v>162</v>
      </c>
      <c r="M889" s="116" t="s">
        <v>160</v>
      </c>
      <c r="N889" s="22" t="str">
        <f>IF(AND('331-CT'!$E$7=TH!H889,OR(L889="331",M889="331")),"331",IF(AND(OR(L889="131",M889="131"),H889='131-CT'!$E$7),"131",""))</f>
        <v/>
      </c>
      <c r="O889" s="22" t="str">
        <f>IF(AND($B889&gt;='111'!$N$11,$B889&lt;='111'!$O$11,OR($L889=$O$7,$M889=$O$7)),"x","")</f>
        <v/>
      </c>
      <c r="P889" s="22" t="str">
        <f>IF(AND($L889=$O$7,$B889&lt;'111'!$N$11),"x","")</f>
        <v/>
      </c>
      <c r="Q889" s="22" t="str">
        <f>IF(AND($M889=$O$7,$B889&lt;'111'!$N$11),"x","")</f>
        <v/>
      </c>
      <c r="R889" s="22" t="str">
        <f>IF(ISERROR(FIND('112'!$M$9,G889,1)),"",IF((AND(FIND('112'!$M$9,G889,1)&gt;=1,$B889&gt;='112'!$N$8,$B889&lt;='112'!$O$8,OR($L889='112'!$I$6,$M889='112'!$I$6))),"x",""))</f>
        <v/>
      </c>
      <c r="S889" s="22" t="str">
        <f>IF(ISERROR(FIND('112'!$M$9,G889,1)),"",IF((AND(LEFT(G889,2)=LEFT('112'!$M$9,2),B889&lt;'112'!$N$8,$L889='112'!$I$6)),"x",""))</f>
        <v/>
      </c>
      <c r="T889" s="22" t="str">
        <f>IF(ISERROR(FIND('112'!$M$9,G889,1)),"",IF((AND(RIGHT(G889,2)=RIGHT('112'!$M$9,2),B889&lt;'112'!$N$8,$M889='112'!$I$6)),"x",""))</f>
        <v/>
      </c>
      <c r="U889" s="22" t="str">
        <f>IF(AND(B889&gt;='IN-NX'!$P$3,B889&lt;='IN-NX'!$Q$3,'IN-NX'!$D$7=D889,OR(LEFT(L889,2)="15",AND(LEFT(M889,2)&lt;&gt;"15",LEFT(M889,2)&lt;&gt;"33"))),"x","")</f>
        <v/>
      </c>
      <c r="V889" s="22" t="str">
        <f>IF(AND(OR(LEFT(TH!L889,2)="15",LEFT(TH!M889,2)="15"),'152-CT'!$J$8=TH!F889),"x","")</f>
        <v/>
      </c>
      <c r="W889" s="22" t="str">
        <f>IF(AND(OR(LEFT(TH!L889,2)="15",LEFT(TH!M889,2)="15"),TK!$E$7=TH!F889),"x","")</f>
        <v/>
      </c>
      <c r="X889" s="22" t="str">
        <f>IF(OR(TH!L889=TH!$X$7,M889=TH!$X$7),"x","")</f>
        <v/>
      </c>
      <c r="Y889" s="22" t="str">
        <f>IF(AND(B889&lt;=NKC!$N$8,B889&gt;=NKC!$M$8),"x","")</f>
        <v>x</v>
      </c>
      <c r="Z889" s="581"/>
      <c r="AA889" s="406"/>
      <c r="AB889" s="406"/>
    </row>
    <row r="890" spans="1:29" s="130" customFormat="1" ht="15.75" customHeight="1">
      <c r="A890" s="123" t="str">
        <f>IF(B890&lt;&gt;"",IF(AND(B890&gt;=_TM1,B890&lt;=_TM2,OR(TH!L890="1111",TH!M890="1111")),TH!D890,""),"")</f>
        <v/>
      </c>
      <c r="B890" s="12">
        <f t="shared" si="42"/>
        <v>7</v>
      </c>
      <c r="C890" s="108">
        <f t="shared" si="40"/>
        <v>42569</v>
      </c>
      <c r="D890" s="113" t="s">
        <v>1073</v>
      </c>
      <c r="E890" s="486">
        <v>42569</v>
      </c>
      <c r="F890" s="167" t="s">
        <v>505</v>
      </c>
      <c r="G890" s="487" t="s">
        <v>705</v>
      </c>
      <c r="H890" s="115" t="s">
        <v>1074</v>
      </c>
      <c r="I890" s="139">
        <v>75</v>
      </c>
      <c r="J890" s="139">
        <v>11128.653096218999</v>
      </c>
      <c r="K890" s="13">
        <f t="shared" si="46"/>
        <v>834649</v>
      </c>
      <c r="L890" s="116" t="s">
        <v>162</v>
      </c>
      <c r="M890" s="116" t="s">
        <v>160</v>
      </c>
      <c r="N890" s="22" t="str">
        <f>IF(AND('331-CT'!$E$7=TH!H890,OR(L890="331",M890="331")),"331",IF(AND(OR(L890="131",M890="131"),H890='131-CT'!$E$7),"131",""))</f>
        <v/>
      </c>
      <c r="O890" s="22" t="str">
        <f>IF(AND($B890&gt;='111'!$N$11,$B890&lt;='111'!$O$11,OR($L890=$O$7,$M890=$O$7)),"x","")</f>
        <v/>
      </c>
      <c r="P890" s="22" t="str">
        <f>IF(AND($L890=$O$7,$B890&lt;'111'!$N$11),"x","")</f>
        <v/>
      </c>
      <c r="Q890" s="22" t="str">
        <f>IF(AND($M890=$O$7,$B890&lt;'111'!$N$11),"x","")</f>
        <v/>
      </c>
      <c r="R890" s="22" t="str">
        <f>IF(ISERROR(FIND('112'!$M$9,G890,1)),"",IF((AND(FIND('112'!$M$9,G890,1)&gt;=1,$B890&gt;='112'!$N$8,$B890&lt;='112'!$O$8,OR($L890='112'!$I$6,$M890='112'!$I$6))),"x",""))</f>
        <v/>
      </c>
      <c r="S890" s="22" t="str">
        <f>IF(ISERROR(FIND('112'!$M$9,G890,1)),"",IF((AND(LEFT(G890,2)=LEFT('112'!$M$9,2),B890&lt;'112'!$N$8,$L890='112'!$I$6)),"x",""))</f>
        <v/>
      </c>
      <c r="T890" s="22" t="str">
        <f>IF(ISERROR(FIND('112'!$M$9,G890,1)),"",IF((AND(RIGHT(G890,2)=RIGHT('112'!$M$9,2),B890&lt;'112'!$N$8,$M890='112'!$I$6)),"x",""))</f>
        <v/>
      </c>
      <c r="U890" s="22" t="str">
        <f>IF(AND(B890&gt;='IN-NX'!$P$3,B890&lt;='IN-NX'!$Q$3,'IN-NX'!$D$7=D890,OR(LEFT(L890,2)="15",AND(LEFT(M890,2)&lt;&gt;"15",LEFT(M890,2)&lt;&gt;"33"))),"x","")</f>
        <v/>
      </c>
      <c r="V890" s="22" t="str">
        <f>IF(AND(OR(LEFT(TH!L890,2)="15",LEFT(TH!M890,2)="15"),'152-CT'!$J$8=TH!F890),"x","")</f>
        <v/>
      </c>
      <c r="W890" s="22" t="str">
        <f>IF(AND(OR(LEFT(TH!L890,2)="15",LEFT(TH!M890,2)="15"),TK!$E$7=TH!F890),"x","")</f>
        <v/>
      </c>
      <c r="X890" s="22" t="str">
        <f>IF(OR(TH!L890=TH!$X$7,M890=TH!$X$7),"x","")</f>
        <v/>
      </c>
      <c r="Y890" s="22" t="str">
        <f>IF(AND(B890&lt;=NKC!$N$8,B890&gt;=NKC!$M$8),"x","")</f>
        <v>x</v>
      </c>
      <c r="Z890" s="581"/>
      <c r="AA890" s="406"/>
      <c r="AB890" s="406"/>
    </row>
    <row r="891" spans="1:29" s="130" customFormat="1" ht="15.75" customHeight="1">
      <c r="A891" s="123" t="str">
        <f>IF(B891&lt;&gt;"",IF(AND(B891&gt;=_TM1,B891&lt;=_TM2,OR(TH!L891="1111",TH!M891="1111")),TH!D891,""),"")</f>
        <v/>
      </c>
      <c r="B891" s="12">
        <f t="shared" si="42"/>
        <v>7</v>
      </c>
      <c r="C891" s="108">
        <f t="shared" si="40"/>
        <v>42571</v>
      </c>
      <c r="D891" s="113" t="s">
        <v>1073</v>
      </c>
      <c r="E891" s="486">
        <v>42571</v>
      </c>
      <c r="F891" s="167" t="s">
        <v>508</v>
      </c>
      <c r="G891" s="487" t="s">
        <v>706</v>
      </c>
      <c r="H891" s="115" t="s">
        <v>1074</v>
      </c>
      <c r="I891" s="139">
        <v>500</v>
      </c>
      <c r="J891" s="139">
        <v>2637.9029561407997</v>
      </c>
      <c r="K891" s="13">
        <f t="shared" si="46"/>
        <v>1318951</v>
      </c>
      <c r="L891" s="116" t="s">
        <v>162</v>
      </c>
      <c r="M891" s="116" t="s">
        <v>160</v>
      </c>
      <c r="N891" s="22" t="str">
        <f>IF(AND('331-CT'!$E$7=TH!H891,OR(L891="331",M891="331")),"331",IF(AND(OR(L891="131",M891="131"),H891='131-CT'!$E$7),"131",""))</f>
        <v/>
      </c>
      <c r="O891" s="22" t="str">
        <f>IF(AND($B891&gt;='111'!$N$11,$B891&lt;='111'!$O$11,OR($L891=$O$7,$M891=$O$7)),"x","")</f>
        <v/>
      </c>
      <c r="P891" s="22" t="str">
        <f>IF(AND($L891=$O$7,$B891&lt;'111'!$N$11),"x","")</f>
        <v/>
      </c>
      <c r="Q891" s="22" t="str">
        <f>IF(AND($M891=$O$7,$B891&lt;'111'!$N$11),"x","")</f>
        <v/>
      </c>
      <c r="R891" s="22" t="str">
        <f>IF(ISERROR(FIND('112'!$M$9,G891,1)),"",IF((AND(FIND('112'!$M$9,G891,1)&gt;=1,$B891&gt;='112'!$N$8,$B891&lt;='112'!$O$8,OR($L891='112'!$I$6,$M891='112'!$I$6))),"x",""))</f>
        <v/>
      </c>
      <c r="S891" s="22" t="str">
        <f>IF(ISERROR(FIND('112'!$M$9,G891,1)),"",IF((AND(LEFT(G891,2)=LEFT('112'!$M$9,2),B891&lt;'112'!$N$8,$L891='112'!$I$6)),"x",""))</f>
        <v/>
      </c>
      <c r="T891" s="22" t="str">
        <f>IF(ISERROR(FIND('112'!$M$9,G891,1)),"",IF((AND(RIGHT(G891,2)=RIGHT('112'!$M$9,2),B891&lt;'112'!$N$8,$M891='112'!$I$6)),"x",""))</f>
        <v/>
      </c>
      <c r="U891" s="22" t="str">
        <f>IF(AND(B891&gt;='IN-NX'!$P$3,B891&lt;='IN-NX'!$Q$3,'IN-NX'!$D$7=D891,OR(LEFT(L891,2)="15",AND(LEFT(M891,2)&lt;&gt;"15",LEFT(M891,2)&lt;&gt;"33"))),"x","")</f>
        <v/>
      </c>
      <c r="V891" s="22" t="str">
        <f>IF(AND(OR(LEFT(TH!L891,2)="15",LEFT(TH!M891,2)="15"),'152-CT'!$J$8=TH!F891),"x","")</f>
        <v/>
      </c>
      <c r="W891" s="22" t="str">
        <f>IF(AND(OR(LEFT(TH!L891,2)="15",LEFT(TH!M891,2)="15"),TK!$E$7=TH!F891),"x","")</f>
        <v/>
      </c>
      <c r="X891" s="22" t="str">
        <f>IF(OR(TH!L891=TH!$X$7,M891=TH!$X$7),"x","")</f>
        <v/>
      </c>
      <c r="Y891" s="22" t="str">
        <f>IF(AND(B891&lt;=NKC!$N$8,B891&gt;=NKC!$M$8),"x","")</f>
        <v>x</v>
      </c>
      <c r="Z891" s="581"/>
      <c r="AA891" s="406"/>
    </row>
    <row r="892" spans="1:29" s="130" customFormat="1" ht="15.75" customHeight="1">
      <c r="A892" s="123" t="str">
        <f>IF(B892&lt;&gt;"",IF(AND(B892&gt;=_TM1,B892&lt;=_TM2,OR(TH!L892="1111",TH!M892="1111")),TH!D892,""),"")</f>
        <v/>
      </c>
      <c r="B892" s="12">
        <f t="shared" si="42"/>
        <v>7</v>
      </c>
      <c r="C892" s="108">
        <f t="shared" si="40"/>
        <v>42571</v>
      </c>
      <c r="D892" s="113" t="s">
        <v>1073</v>
      </c>
      <c r="E892" s="486">
        <v>42571</v>
      </c>
      <c r="F892" s="167" t="s">
        <v>509</v>
      </c>
      <c r="G892" s="487" t="s">
        <v>706</v>
      </c>
      <c r="H892" s="115" t="s">
        <v>1074</v>
      </c>
      <c r="I892" s="139">
        <v>300</v>
      </c>
      <c r="J892" s="139">
        <v>1648.6893475879999</v>
      </c>
      <c r="K892" s="13">
        <f t="shared" si="46"/>
        <v>494607</v>
      </c>
      <c r="L892" s="116" t="s">
        <v>162</v>
      </c>
      <c r="M892" s="116" t="s">
        <v>160</v>
      </c>
      <c r="N892" s="22" t="str">
        <f>IF(AND('331-CT'!$E$7=TH!H892,OR(L892="331",M892="331")),"331",IF(AND(OR(L892="131",M892="131"),H892='131-CT'!$E$7),"131",""))</f>
        <v/>
      </c>
      <c r="O892" s="22" t="str">
        <f>IF(AND($B892&gt;='111'!$N$11,$B892&lt;='111'!$O$11,OR($L892=$O$7,$M892=$O$7)),"x","")</f>
        <v/>
      </c>
      <c r="P892" s="22" t="str">
        <f>IF(AND($L892=$O$7,$B892&lt;'111'!$N$11),"x","")</f>
        <v/>
      </c>
      <c r="Q892" s="22" t="str">
        <f>IF(AND($M892=$O$7,$B892&lt;'111'!$N$11),"x","")</f>
        <v/>
      </c>
      <c r="R892" s="22" t="str">
        <f>IF(ISERROR(FIND('112'!$M$9,G892,1)),"",IF((AND(FIND('112'!$M$9,G892,1)&gt;=1,$B892&gt;='112'!$N$8,$B892&lt;='112'!$O$8,OR($L892='112'!$I$6,$M892='112'!$I$6))),"x",""))</f>
        <v/>
      </c>
      <c r="S892" s="22" t="str">
        <f>IF(ISERROR(FIND('112'!$M$9,G892,1)),"",IF((AND(LEFT(G892,2)=LEFT('112'!$M$9,2),B892&lt;'112'!$N$8,$L892='112'!$I$6)),"x",""))</f>
        <v/>
      </c>
      <c r="T892" s="22" t="str">
        <f>IF(ISERROR(FIND('112'!$M$9,G892,1)),"",IF((AND(RIGHT(G892,2)=RIGHT('112'!$M$9,2),B892&lt;'112'!$N$8,$M892='112'!$I$6)),"x",""))</f>
        <v/>
      </c>
      <c r="U892" s="22" t="str">
        <f>IF(AND(B892&gt;='IN-NX'!$P$3,B892&lt;='IN-NX'!$Q$3,'IN-NX'!$D$7=D892,OR(LEFT(L892,2)="15",AND(LEFT(M892,2)&lt;&gt;"15",LEFT(M892,2)&lt;&gt;"33"))),"x","")</f>
        <v/>
      </c>
      <c r="V892" s="22" t="str">
        <f>IF(AND(OR(LEFT(TH!L892,2)="15",LEFT(TH!M892,2)="15"),'152-CT'!$J$8=TH!F892),"x","")</f>
        <v/>
      </c>
      <c r="W892" s="22" t="str">
        <f>IF(AND(OR(LEFT(TH!L892,2)="15",LEFT(TH!M892,2)="15"),TK!$E$7=TH!F892),"x","")</f>
        <v/>
      </c>
      <c r="X892" s="22" t="str">
        <f>IF(OR(TH!L892=TH!$X$7,M892=TH!$X$7),"x","")</f>
        <v/>
      </c>
      <c r="Y892" s="22" t="str">
        <f>IF(AND(B892&lt;=NKC!$N$8,B892&gt;=NKC!$M$8),"x","")</f>
        <v>x</v>
      </c>
      <c r="Z892" s="581"/>
      <c r="AA892" s="406"/>
      <c r="AB892" s="406"/>
    </row>
    <row r="893" spans="1:29" s="130" customFormat="1" ht="15.75" customHeight="1">
      <c r="A893" s="123" t="str">
        <f>IF(B893&lt;&gt;"",IF(AND(B893&gt;=_TM1,B893&lt;=_TM2,OR(TH!L893="1111",TH!M893="1111")),TH!D893,""),"")</f>
        <v/>
      </c>
      <c r="B893" s="12">
        <f t="shared" si="42"/>
        <v>7</v>
      </c>
      <c r="C893" s="108">
        <f t="shared" si="40"/>
        <v>42571</v>
      </c>
      <c r="D893" s="113" t="s">
        <v>1073</v>
      </c>
      <c r="E893" s="486">
        <v>42571</v>
      </c>
      <c r="F893" s="167" t="s">
        <v>510</v>
      </c>
      <c r="G893" s="487" t="s">
        <v>707</v>
      </c>
      <c r="H893" s="115" t="s">
        <v>1074</v>
      </c>
      <c r="I893" s="140">
        <v>1559</v>
      </c>
      <c r="J893" s="140">
        <v>5687.9782491785991</v>
      </c>
      <c r="K893" s="13">
        <f t="shared" si="46"/>
        <v>8867558</v>
      </c>
      <c r="L893" s="116" t="s">
        <v>162</v>
      </c>
      <c r="M893" s="116" t="s">
        <v>160</v>
      </c>
      <c r="N893" s="22" t="str">
        <f>IF(AND('331-CT'!$E$7=TH!H893,OR(L893="331",M893="331")),"331",IF(AND(OR(L893="131",M893="131"),H893='131-CT'!$E$7),"131",""))</f>
        <v/>
      </c>
      <c r="O893" s="22" t="str">
        <f>IF(AND($B893&gt;='111'!$N$11,$B893&lt;='111'!$O$11,OR($L893=$O$7,$M893=$O$7)),"x","")</f>
        <v/>
      </c>
      <c r="P893" s="22" t="str">
        <f>IF(AND($L893=$O$7,$B893&lt;'111'!$N$11),"x","")</f>
        <v/>
      </c>
      <c r="Q893" s="22" t="str">
        <f>IF(AND($M893=$O$7,$B893&lt;'111'!$N$11),"x","")</f>
        <v/>
      </c>
      <c r="R893" s="22" t="str">
        <f>IF(ISERROR(FIND('112'!$M$9,G893,1)),"",IF((AND(FIND('112'!$M$9,G893,1)&gt;=1,$B893&gt;='112'!$N$8,$B893&lt;='112'!$O$8,OR($L893='112'!$I$6,$M893='112'!$I$6))),"x",""))</f>
        <v/>
      </c>
      <c r="S893" s="22" t="str">
        <f>IF(ISERROR(FIND('112'!$M$9,G893,1)),"",IF((AND(LEFT(G893,2)=LEFT('112'!$M$9,2),B893&lt;'112'!$N$8,$L893='112'!$I$6)),"x",""))</f>
        <v/>
      </c>
      <c r="T893" s="22" t="str">
        <f>IF(ISERROR(FIND('112'!$M$9,G893,1)),"",IF((AND(RIGHT(G893,2)=RIGHT('112'!$M$9,2),B893&lt;'112'!$N$8,$M893='112'!$I$6)),"x",""))</f>
        <v/>
      </c>
      <c r="U893" s="22" t="str">
        <f>IF(AND(B893&gt;='IN-NX'!$P$3,B893&lt;='IN-NX'!$Q$3,'IN-NX'!$D$7=D893,OR(LEFT(L893,2)="15",AND(LEFT(M893,2)&lt;&gt;"15",LEFT(M893,2)&lt;&gt;"33"))),"x","")</f>
        <v/>
      </c>
      <c r="V893" s="22" t="str">
        <f>IF(AND(OR(LEFT(TH!L893,2)="15",LEFT(TH!M893,2)="15"),'152-CT'!$J$8=TH!F893),"x","")</f>
        <v/>
      </c>
      <c r="W893" s="22" t="str">
        <f>IF(AND(OR(LEFT(TH!L893,2)="15",LEFT(TH!M893,2)="15"),TK!$E$7=TH!F893),"x","")</f>
        <v/>
      </c>
      <c r="X893" s="22" t="str">
        <f>IF(OR(TH!L893=TH!$X$7,M893=TH!$X$7),"x","")</f>
        <v/>
      </c>
      <c r="Y893" s="22" t="str">
        <f>IF(AND(B893&lt;=NKC!$N$8,B893&gt;=NKC!$M$8),"x","")</f>
        <v>x</v>
      </c>
      <c r="Z893" s="581"/>
      <c r="AA893" s="406"/>
      <c r="AB893" s="406"/>
      <c r="AC893" s="406"/>
    </row>
    <row r="894" spans="1:29" s="130" customFormat="1" ht="15.75" customHeight="1">
      <c r="A894" s="123" t="str">
        <f>IF(B894&lt;&gt;"",IF(AND(B894&gt;=_TM1,B894&lt;=_TM2,OR(TH!L894="1111",TH!M894="1111")),TH!D894,""),"")</f>
        <v/>
      </c>
      <c r="B894" s="12">
        <f t="shared" si="42"/>
        <v>7</v>
      </c>
      <c r="C894" s="108">
        <f t="shared" si="40"/>
        <v>42572</v>
      </c>
      <c r="D894" s="113" t="s">
        <v>1073</v>
      </c>
      <c r="E894" s="486">
        <v>42572</v>
      </c>
      <c r="F894" s="167" t="s">
        <v>512</v>
      </c>
      <c r="G894" s="487" t="s">
        <v>708</v>
      </c>
      <c r="H894" s="115" t="s">
        <v>1074</v>
      </c>
      <c r="I894" s="139">
        <v>102</v>
      </c>
      <c r="J894" s="139">
        <v>19619.403236297199</v>
      </c>
      <c r="K894" s="13">
        <f t="shared" si="46"/>
        <v>2001179</v>
      </c>
      <c r="L894" s="116" t="s">
        <v>162</v>
      </c>
      <c r="M894" s="116" t="s">
        <v>160</v>
      </c>
      <c r="N894" s="22" t="str">
        <f>IF(AND('331-CT'!$E$7=TH!H894,OR(L894="331",M894="331")),"331",IF(AND(OR(L894="131",M894="131"),H894='131-CT'!$E$7),"131",""))</f>
        <v/>
      </c>
      <c r="O894" s="22" t="str">
        <f>IF(AND($B894&gt;='111'!$N$11,$B894&lt;='111'!$O$11,OR($L894=$O$7,$M894=$O$7)),"x","")</f>
        <v/>
      </c>
      <c r="P894" s="22" t="str">
        <f>IF(AND($L894=$O$7,$B894&lt;'111'!$N$11),"x","")</f>
        <v/>
      </c>
      <c r="Q894" s="22" t="str">
        <f>IF(AND($M894=$O$7,$B894&lt;'111'!$N$11),"x","")</f>
        <v/>
      </c>
      <c r="R894" s="22" t="str">
        <f>IF(ISERROR(FIND('112'!$M$9,G894,1)),"",IF((AND(FIND('112'!$M$9,G894,1)&gt;=1,$B894&gt;='112'!$N$8,$B894&lt;='112'!$O$8,OR($L894='112'!$I$6,$M894='112'!$I$6))),"x",""))</f>
        <v/>
      </c>
      <c r="S894" s="22" t="str">
        <f>IF(ISERROR(FIND('112'!$M$9,G894,1)),"",IF((AND(LEFT(G894,2)=LEFT('112'!$M$9,2),B894&lt;'112'!$N$8,$L894='112'!$I$6)),"x",""))</f>
        <v/>
      </c>
      <c r="T894" s="22" t="str">
        <f>IF(ISERROR(FIND('112'!$M$9,G894,1)),"",IF((AND(RIGHT(G894,2)=RIGHT('112'!$M$9,2),B894&lt;'112'!$N$8,$M894='112'!$I$6)),"x",""))</f>
        <v/>
      </c>
      <c r="U894" s="22" t="str">
        <f>IF(AND(B894&gt;='IN-NX'!$P$3,B894&lt;='IN-NX'!$Q$3,'IN-NX'!$D$7=D894,OR(LEFT(L894,2)="15",AND(LEFT(M894,2)&lt;&gt;"15",LEFT(M894,2)&lt;&gt;"33"))),"x","")</f>
        <v/>
      </c>
      <c r="V894" s="22" t="str">
        <f>IF(AND(OR(LEFT(TH!L894,2)="15",LEFT(TH!M894,2)="15"),'152-CT'!$J$8=TH!F894),"x","")</f>
        <v/>
      </c>
      <c r="W894" s="22" t="str">
        <f>IF(AND(OR(LEFT(TH!L894,2)="15",LEFT(TH!M894,2)="15"),TK!$E$7=TH!F894),"x","")</f>
        <v/>
      </c>
      <c r="X894" s="22" t="str">
        <f>IF(OR(TH!L894=TH!$X$7,M894=TH!$X$7),"x","")</f>
        <v/>
      </c>
      <c r="Y894" s="22" t="str">
        <f>IF(AND(B894&lt;=NKC!$N$8,B894&gt;=NKC!$M$8),"x","")</f>
        <v>x</v>
      </c>
      <c r="Z894" s="581"/>
      <c r="AA894" s="406"/>
      <c r="AB894" s="406"/>
      <c r="AC894" s="406"/>
    </row>
    <row r="895" spans="1:29" s="130" customFormat="1" ht="15.75" customHeight="1">
      <c r="A895" s="123" t="str">
        <f>IF(B895&lt;&gt;"",IF(AND(B895&gt;=_TM1,B895&lt;=_TM2,OR(TH!L895="1111",TH!M895="1111")),TH!D895,""),"")</f>
        <v/>
      </c>
      <c r="B895" s="12">
        <f t="shared" si="42"/>
        <v>7</v>
      </c>
      <c r="C895" s="108">
        <f t="shared" si="40"/>
        <v>42572</v>
      </c>
      <c r="D895" s="113" t="s">
        <v>1073</v>
      </c>
      <c r="E895" s="486">
        <v>42572</v>
      </c>
      <c r="F895" s="167" t="s">
        <v>511</v>
      </c>
      <c r="G895" s="487" t="s">
        <v>708</v>
      </c>
      <c r="H895" s="115" t="s">
        <v>1074</v>
      </c>
      <c r="I895" s="139">
        <v>103</v>
      </c>
      <c r="J895" s="139">
        <v>11046.218628839601</v>
      </c>
      <c r="K895" s="13">
        <f t="shared" si="46"/>
        <v>1137761</v>
      </c>
      <c r="L895" s="116" t="s">
        <v>162</v>
      </c>
      <c r="M895" s="116" t="s">
        <v>160</v>
      </c>
      <c r="N895" s="22" t="str">
        <f>IF(AND('331-CT'!$E$7=TH!H895,OR(L895="331",M895="331")),"331",IF(AND(OR(L895="131",M895="131"),H895='131-CT'!$E$7),"131",""))</f>
        <v/>
      </c>
      <c r="O895" s="22" t="str">
        <f>IF(AND($B895&gt;='111'!$N$11,$B895&lt;='111'!$O$11,OR($L895=$O$7,$M895=$O$7)),"x","")</f>
        <v/>
      </c>
      <c r="P895" s="22" t="str">
        <f>IF(AND($L895=$O$7,$B895&lt;'111'!$N$11),"x","")</f>
        <v/>
      </c>
      <c r="Q895" s="22" t="str">
        <f>IF(AND($M895=$O$7,$B895&lt;'111'!$N$11),"x","")</f>
        <v/>
      </c>
      <c r="R895" s="22" t="str">
        <f>IF(ISERROR(FIND('112'!$M$9,G895,1)),"",IF((AND(FIND('112'!$M$9,G895,1)&gt;=1,$B895&gt;='112'!$N$8,$B895&lt;='112'!$O$8,OR($L895='112'!$I$6,$M895='112'!$I$6))),"x",""))</f>
        <v/>
      </c>
      <c r="S895" s="22" t="str">
        <f>IF(ISERROR(FIND('112'!$M$9,G895,1)),"",IF((AND(LEFT(G895,2)=LEFT('112'!$M$9,2),B895&lt;'112'!$N$8,$L895='112'!$I$6)),"x",""))</f>
        <v/>
      </c>
      <c r="T895" s="22" t="str">
        <f>IF(ISERROR(FIND('112'!$M$9,G895,1)),"",IF((AND(RIGHT(G895,2)=RIGHT('112'!$M$9,2),B895&lt;'112'!$N$8,$M895='112'!$I$6)),"x",""))</f>
        <v/>
      </c>
      <c r="U895" s="22" t="str">
        <f>IF(AND(B895&gt;='IN-NX'!$P$3,B895&lt;='IN-NX'!$Q$3,'IN-NX'!$D$7=D895,OR(LEFT(L895,2)="15",AND(LEFT(M895,2)&lt;&gt;"15",LEFT(M895,2)&lt;&gt;"33"))),"x","")</f>
        <v/>
      </c>
      <c r="V895" s="22" t="str">
        <f>IF(AND(OR(LEFT(TH!L895,2)="15",LEFT(TH!M895,2)="15"),'152-CT'!$J$8=TH!F895),"x","")</f>
        <v/>
      </c>
      <c r="W895" s="22" t="str">
        <f>IF(AND(OR(LEFT(TH!L895,2)="15",LEFT(TH!M895,2)="15"),TK!$E$7=TH!F895),"x","")</f>
        <v/>
      </c>
      <c r="X895" s="22" t="str">
        <f>IF(OR(TH!L895=TH!$X$7,M895=TH!$X$7),"x","")</f>
        <v/>
      </c>
      <c r="Y895" s="22" t="str">
        <f>IF(AND(B895&lt;=NKC!$N$8,B895&gt;=NKC!$M$8),"x","")</f>
        <v>x</v>
      </c>
      <c r="Z895" s="581"/>
      <c r="AA895" s="406"/>
      <c r="AB895" s="406"/>
      <c r="AC895" s="406"/>
    </row>
    <row r="896" spans="1:29" s="130" customFormat="1" ht="15.75" customHeight="1">
      <c r="A896" s="123" t="str">
        <f>IF(B896&lt;&gt;"",IF(AND(B896&gt;=_TM1,B896&lt;=_TM2,OR(TH!L896="1111",TH!M896="1111")),TH!D896,""),"")</f>
        <v/>
      </c>
      <c r="B896" s="12">
        <f t="shared" si="42"/>
        <v>7</v>
      </c>
      <c r="C896" s="108">
        <f t="shared" si="40"/>
        <v>42573</v>
      </c>
      <c r="D896" s="113" t="s">
        <v>1073</v>
      </c>
      <c r="E896" s="486">
        <v>42573</v>
      </c>
      <c r="F896" s="167" t="s">
        <v>646</v>
      </c>
      <c r="G896" s="487" t="s">
        <v>709</v>
      </c>
      <c r="H896" s="115" t="s">
        <v>1074</v>
      </c>
      <c r="I896" s="142">
        <v>250</v>
      </c>
      <c r="J896" s="142">
        <v>10221.873955045599</v>
      </c>
      <c r="K896" s="13">
        <f t="shared" si="46"/>
        <v>2555468</v>
      </c>
      <c r="L896" s="116" t="s">
        <v>162</v>
      </c>
      <c r="M896" s="116" t="s">
        <v>160</v>
      </c>
      <c r="N896" s="22" t="str">
        <f>IF(AND('331-CT'!$E$7=TH!H896,OR(L896="331",M896="331")),"331",IF(AND(OR(L896="131",M896="131"),H896='131-CT'!$E$7),"131",""))</f>
        <v/>
      </c>
      <c r="O896" s="22" t="str">
        <f>IF(AND($B896&gt;='111'!$N$11,$B896&lt;='111'!$O$11,OR($L896=$O$7,$M896=$O$7)),"x","")</f>
        <v/>
      </c>
      <c r="P896" s="22" t="str">
        <f>IF(AND($L896=$O$7,$B896&lt;'111'!$N$11),"x","")</f>
        <v/>
      </c>
      <c r="Q896" s="22" t="str">
        <f>IF(AND($M896=$O$7,$B896&lt;'111'!$N$11),"x","")</f>
        <v/>
      </c>
      <c r="R896" s="22" t="str">
        <f>IF(ISERROR(FIND('112'!$M$9,G896,1)),"",IF((AND(FIND('112'!$M$9,G896,1)&gt;=1,$B896&gt;='112'!$N$8,$B896&lt;='112'!$O$8,OR($L896='112'!$I$6,$M896='112'!$I$6))),"x",""))</f>
        <v/>
      </c>
      <c r="S896" s="22" t="str">
        <f>IF(ISERROR(FIND('112'!$M$9,G896,1)),"",IF((AND(LEFT(G896,2)=LEFT('112'!$M$9,2),B896&lt;'112'!$N$8,$L896='112'!$I$6)),"x",""))</f>
        <v/>
      </c>
      <c r="T896" s="22" t="str">
        <f>IF(ISERROR(FIND('112'!$M$9,G896,1)),"",IF((AND(RIGHT(G896,2)=RIGHT('112'!$M$9,2),B896&lt;'112'!$N$8,$M896='112'!$I$6)),"x",""))</f>
        <v/>
      </c>
      <c r="U896" s="22" t="str">
        <f>IF(AND(B896&gt;='IN-NX'!$P$3,B896&lt;='IN-NX'!$Q$3,'IN-NX'!$D$7=D896,OR(LEFT(L896,2)="15",AND(LEFT(M896,2)&lt;&gt;"15",LEFT(M896,2)&lt;&gt;"33"))),"x","")</f>
        <v/>
      </c>
      <c r="V896" s="22" t="str">
        <f>IF(AND(OR(LEFT(TH!L896,2)="15",LEFT(TH!M896,2)="15"),'152-CT'!$J$8=TH!F896),"x","")</f>
        <v/>
      </c>
      <c r="W896" s="22" t="str">
        <f>IF(AND(OR(LEFT(TH!L896,2)="15",LEFT(TH!M896,2)="15"),TK!$E$7=TH!F896),"x","")</f>
        <v/>
      </c>
      <c r="X896" s="22" t="str">
        <f>IF(OR(TH!L896=TH!$X$7,M896=TH!$X$7),"x","")</f>
        <v/>
      </c>
      <c r="Y896" s="22" t="str">
        <f>IF(AND(B896&lt;=NKC!$N$8,B896&gt;=NKC!$M$8),"x","")</f>
        <v>x</v>
      </c>
      <c r="Z896" s="581"/>
      <c r="AA896" s="406"/>
      <c r="AB896" s="406"/>
      <c r="AC896" s="406"/>
    </row>
    <row r="897" spans="1:29" s="130" customFormat="1" ht="15.75" customHeight="1">
      <c r="A897" s="123" t="str">
        <f>IF(B897&lt;&gt;"",IF(AND(B897&gt;=_TM1,B897&lt;=_TM2,OR(TH!L897="1111",TH!M897="1111")),TH!D897,""),"")</f>
        <v/>
      </c>
      <c r="B897" s="12">
        <f t="shared" si="42"/>
        <v>7</v>
      </c>
      <c r="C897" s="108">
        <f t="shared" si="40"/>
        <v>42573</v>
      </c>
      <c r="D897" s="113" t="s">
        <v>1073</v>
      </c>
      <c r="E897" s="486">
        <v>42573</v>
      </c>
      <c r="F897" s="167" t="s">
        <v>647</v>
      </c>
      <c r="G897" s="487" t="s">
        <v>709</v>
      </c>
      <c r="H897" s="115" t="s">
        <v>1074</v>
      </c>
      <c r="I897" s="139">
        <v>200</v>
      </c>
      <c r="J897" s="139">
        <v>12530.039041668799</v>
      </c>
      <c r="K897" s="13">
        <f t="shared" si="46"/>
        <v>2506008</v>
      </c>
      <c r="L897" s="116" t="s">
        <v>162</v>
      </c>
      <c r="M897" s="116" t="s">
        <v>160</v>
      </c>
      <c r="N897" s="22" t="str">
        <f>IF(AND('331-CT'!$E$7=TH!H897,OR(L897="331",M897="331")),"331",IF(AND(OR(L897="131",M897="131"),H897='131-CT'!$E$7),"131",""))</f>
        <v/>
      </c>
      <c r="O897" s="22" t="str">
        <f>IF(AND($B897&gt;='111'!$N$11,$B897&lt;='111'!$O$11,OR($L897=$O$7,$M897=$O$7)),"x","")</f>
        <v/>
      </c>
      <c r="P897" s="22" t="str">
        <f>IF(AND($L897=$O$7,$B897&lt;'111'!$N$11),"x","")</f>
        <v/>
      </c>
      <c r="Q897" s="22" t="str">
        <f>IF(AND($M897=$O$7,$B897&lt;'111'!$N$11),"x","")</f>
        <v/>
      </c>
      <c r="R897" s="22" t="str">
        <f>IF(ISERROR(FIND('112'!$M$9,G897,1)),"",IF((AND(FIND('112'!$M$9,G897,1)&gt;=1,$B897&gt;='112'!$N$8,$B897&lt;='112'!$O$8,OR($L897='112'!$I$6,$M897='112'!$I$6))),"x",""))</f>
        <v/>
      </c>
      <c r="S897" s="22" t="str">
        <f>IF(ISERROR(FIND('112'!$M$9,G897,1)),"",IF((AND(LEFT(G897,2)=LEFT('112'!$M$9,2),B897&lt;'112'!$N$8,$L897='112'!$I$6)),"x",""))</f>
        <v/>
      </c>
      <c r="T897" s="22" t="str">
        <f>IF(ISERROR(FIND('112'!$M$9,G897,1)),"",IF((AND(RIGHT(G897,2)=RIGHT('112'!$M$9,2),B897&lt;'112'!$N$8,$M897='112'!$I$6)),"x",""))</f>
        <v/>
      </c>
      <c r="U897" s="22" t="str">
        <f>IF(AND(B897&gt;='IN-NX'!$P$3,B897&lt;='IN-NX'!$Q$3,'IN-NX'!$D$7=D897,OR(LEFT(L897,2)="15",AND(LEFT(M897,2)&lt;&gt;"15",LEFT(M897,2)&lt;&gt;"33"))),"x","")</f>
        <v/>
      </c>
      <c r="V897" s="22" t="str">
        <f>IF(AND(OR(LEFT(TH!L897,2)="15",LEFT(TH!M897,2)="15"),'152-CT'!$J$8=TH!F897),"x","")</f>
        <v/>
      </c>
      <c r="W897" s="22" t="str">
        <f>IF(AND(OR(LEFT(TH!L897,2)="15",LEFT(TH!M897,2)="15"),TK!$E$7=TH!F897),"x","")</f>
        <v/>
      </c>
      <c r="X897" s="22" t="str">
        <f>IF(OR(TH!L897=TH!$X$7,M897=TH!$X$7),"x","")</f>
        <v/>
      </c>
      <c r="Y897" s="22" t="str">
        <f>IF(AND(B897&lt;=NKC!$N$8,B897&gt;=NKC!$M$8),"x","")</f>
        <v>x</v>
      </c>
      <c r="Z897" s="581"/>
      <c r="AA897" s="406"/>
      <c r="AB897" s="406"/>
      <c r="AC897" s="406"/>
    </row>
    <row r="898" spans="1:29" s="130" customFormat="1" ht="15.75" customHeight="1">
      <c r="A898" s="123" t="str">
        <f>IF(B898&lt;&gt;"",IF(AND(B898&gt;=_TM1,B898&lt;=_TM2,OR(TH!L898="1111",TH!M898="1111")),TH!D898,""),"")</f>
        <v/>
      </c>
      <c r="B898" s="12">
        <f t="shared" si="42"/>
        <v>7</v>
      </c>
      <c r="C898" s="108">
        <f t="shared" si="40"/>
        <v>42573</v>
      </c>
      <c r="D898" s="113" t="s">
        <v>1073</v>
      </c>
      <c r="E898" s="486">
        <v>42573</v>
      </c>
      <c r="F898" s="167" t="s">
        <v>648</v>
      </c>
      <c r="G898" s="487" t="s">
        <v>709</v>
      </c>
      <c r="H898" s="115" t="s">
        <v>1074</v>
      </c>
      <c r="I898" s="139">
        <v>300</v>
      </c>
      <c r="J898" s="139">
        <v>9974.5705529073985</v>
      </c>
      <c r="K898" s="13">
        <f t="shared" si="46"/>
        <v>2992371</v>
      </c>
      <c r="L898" s="116" t="s">
        <v>162</v>
      </c>
      <c r="M898" s="116" t="s">
        <v>160</v>
      </c>
      <c r="N898" s="22" t="str">
        <f>IF(AND('331-CT'!$E$7=TH!H898,OR(L898="331",M898="331")),"331",IF(AND(OR(L898="131",M898="131"),H898='131-CT'!$E$7),"131",""))</f>
        <v/>
      </c>
      <c r="O898" s="22" t="str">
        <f>IF(AND($B898&gt;='111'!$N$11,$B898&lt;='111'!$O$11,OR($L898=$O$7,$M898=$O$7)),"x","")</f>
        <v/>
      </c>
      <c r="P898" s="22" t="str">
        <f>IF(AND($L898=$O$7,$B898&lt;'111'!$N$11),"x","")</f>
        <v/>
      </c>
      <c r="Q898" s="22" t="str">
        <f>IF(AND($M898=$O$7,$B898&lt;'111'!$N$11),"x","")</f>
        <v/>
      </c>
      <c r="R898" s="22" t="str">
        <f>IF(ISERROR(FIND('112'!$M$9,G898,1)),"",IF((AND(FIND('112'!$M$9,G898,1)&gt;=1,$B898&gt;='112'!$N$8,$B898&lt;='112'!$O$8,OR($L898='112'!$I$6,$M898='112'!$I$6))),"x",""))</f>
        <v/>
      </c>
      <c r="S898" s="22" t="str">
        <f>IF(ISERROR(FIND('112'!$M$9,G898,1)),"",IF((AND(LEFT(G898,2)=LEFT('112'!$M$9,2),B898&lt;'112'!$N$8,$L898='112'!$I$6)),"x",""))</f>
        <v/>
      </c>
      <c r="T898" s="22" t="str">
        <f>IF(ISERROR(FIND('112'!$M$9,G898,1)),"",IF((AND(RIGHT(G898,2)=RIGHT('112'!$M$9,2),B898&lt;'112'!$N$8,$M898='112'!$I$6)),"x",""))</f>
        <v/>
      </c>
      <c r="U898" s="22" t="str">
        <f>IF(AND(B898&gt;='IN-NX'!$P$3,B898&lt;='IN-NX'!$Q$3,'IN-NX'!$D$7=D898,OR(LEFT(L898,2)="15",AND(LEFT(M898,2)&lt;&gt;"15",LEFT(M898,2)&lt;&gt;"33"))),"x","")</f>
        <v/>
      </c>
      <c r="V898" s="22" t="str">
        <f>IF(AND(OR(LEFT(TH!L898,2)="15",LEFT(TH!M898,2)="15"),'152-CT'!$J$8=TH!F898),"x","")</f>
        <v/>
      </c>
      <c r="W898" s="22" t="str">
        <f>IF(AND(OR(LEFT(TH!L898,2)="15",LEFT(TH!M898,2)="15"),TK!$E$7=TH!F898),"x","")</f>
        <v/>
      </c>
      <c r="X898" s="22" t="str">
        <f>IF(OR(TH!L898=TH!$X$7,M898=TH!$X$7),"x","")</f>
        <v/>
      </c>
      <c r="Y898" s="22" t="str">
        <f>IF(AND(B898&lt;=NKC!$N$8,B898&gt;=NKC!$M$8),"x","")</f>
        <v>x</v>
      </c>
      <c r="Z898" s="581"/>
      <c r="AA898" s="406"/>
      <c r="AB898" s="406"/>
      <c r="AC898" s="406"/>
    </row>
    <row r="899" spans="1:29" s="130" customFormat="1" ht="15.75" customHeight="1">
      <c r="A899" s="123" t="str">
        <f>IF(B899&lt;&gt;"",IF(AND(B899&gt;=_TM1,B899&lt;=_TM2,OR(TH!L899="1111",TH!M899="1111")),TH!D899,""),"")</f>
        <v/>
      </c>
      <c r="B899" s="12">
        <f t="shared" si="42"/>
        <v>7</v>
      </c>
      <c r="C899" s="108">
        <f t="shared" si="40"/>
        <v>42573</v>
      </c>
      <c r="D899" s="113" t="s">
        <v>1073</v>
      </c>
      <c r="E899" s="486">
        <v>42573</v>
      </c>
      <c r="F899" s="167" t="s">
        <v>649</v>
      </c>
      <c r="G899" s="487" t="s">
        <v>709</v>
      </c>
      <c r="H899" s="115" t="s">
        <v>1074</v>
      </c>
      <c r="I899" s="140">
        <v>300</v>
      </c>
      <c r="J899" s="140">
        <v>10963.7841614602</v>
      </c>
      <c r="K899" s="13">
        <f t="shared" si="46"/>
        <v>3289135</v>
      </c>
      <c r="L899" s="116" t="s">
        <v>162</v>
      </c>
      <c r="M899" s="116" t="s">
        <v>160</v>
      </c>
      <c r="N899" s="22" t="str">
        <f>IF(AND('331-CT'!$E$7=TH!H899,OR(L899="331",M899="331")),"331",IF(AND(OR(L899="131",M899="131"),H899='131-CT'!$E$7),"131",""))</f>
        <v/>
      </c>
      <c r="O899" s="22" t="str">
        <f>IF(AND($B899&gt;='111'!$N$11,$B899&lt;='111'!$O$11,OR($L899=$O$7,$M899=$O$7)),"x","")</f>
        <v/>
      </c>
      <c r="P899" s="22" t="str">
        <f>IF(AND($L899=$O$7,$B899&lt;'111'!$N$11),"x","")</f>
        <v/>
      </c>
      <c r="Q899" s="22" t="str">
        <f>IF(AND($M899=$O$7,$B899&lt;'111'!$N$11),"x","")</f>
        <v/>
      </c>
      <c r="R899" s="22" t="str">
        <f>IF(ISERROR(FIND('112'!$M$9,G899,1)),"",IF((AND(FIND('112'!$M$9,G899,1)&gt;=1,$B899&gt;='112'!$N$8,$B899&lt;='112'!$O$8,OR($L899='112'!$I$6,$M899='112'!$I$6))),"x",""))</f>
        <v/>
      </c>
      <c r="S899" s="22" t="str">
        <f>IF(ISERROR(FIND('112'!$M$9,G899,1)),"",IF((AND(LEFT(G899,2)=LEFT('112'!$M$9,2),B899&lt;'112'!$N$8,$L899='112'!$I$6)),"x",""))</f>
        <v/>
      </c>
      <c r="T899" s="22" t="str">
        <f>IF(ISERROR(FIND('112'!$M$9,G899,1)),"",IF((AND(RIGHT(G899,2)=RIGHT('112'!$M$9,2),B899&lt;'112'!$N$8,$M899='112'!$I$6)),"x",""))</f>
        <v/>
      </c>
      <c r="U899" s="22" t="str">
        <f>IF(AND(B899&gt;='IN-NX'!$P$3,B899&lt;='IN-NX'!$Q$3,'IN-NX'!$D$7=D899,OR(LEFT(L899,2)="15",AND(LEFT(M899,2)&lt;&gt;"15",LEFT(M899,2)&lt;&gt;"33"))),"x","")</f>
        <v/>
      </c>
      <c r="V899" s="22" t="str">
        <f>IF(AND(OR(LEFT(TH!L899,2)="15",LEFT(TH!M899,2)="15"),'152-CT'!$J$8=TH!F899),"x","")</f>
        <v/>
      </c>
      <c r="W899" s="22" t="str">
        <f>IF(AND(OR(LEFT(TH!L899,2)="15",LEFT(TH!M899,2)="15"),TK!$E$7=TH!F899),"x","")</f>
        <v/>
      </c>
      <c r="X899" s="22" t="str">
        <f>IF(OR(TH!L899=TH!$X$7,M899=TH!$X$7),"x","")</f>
        <v/>
      </c>
      <c r="Y899" s="22" t="str">
        <f>IF(AND(B899&lt;=NKC!$N$8,B899&gt;=NKC!$M$8),"x","")</f>
        <v>x</v>
      </c>
      <c r="Z899" s="581"/>
      <c r="AA899" s="406"/>
      <c r="AB899" s="406"/>
    </row>
    <row r="900" spans="1:29" s="130" customFormat="1" ht="15.75" customHeight="1">
      <c r="A900" s="123" t="str">
        <f>IF(B900&lt;&gt;"",IF(AND(B900&gt;=_TM1,B900&lt;=_TM2,OR(TH!L900="1111",TH!M900="1111")),TH!D900,""),"")</f>
        <v/>
      </c>
      <c r="B900" s="12">
        <f t="shared" si="42"/>
        <v>7</v>
      </c>
      <c r="C900" s="108">
        <f t="shared" si="40"/>
        <v>42573</v>
      </c>
      <c r="D900" s="113" t="s">
        <v>1073</v>
      </c>
      <c r="E900" s="486">
        <v>42573</v>
      </c>
      <c r="F900" s="167" t="s">
        <v>819</v>
      </c>
      <c r="G900" s="487" t="s">
        <v>709</v>
      </c>
      <c r="H900" s="115" t="s">
        <v>1074</v>
      </c>
      <c r="I900" s="140">
        <v>200</v>
      </c>
      <c r="J900" s="140">
        <v>17228.803682294598</v>
      </c>
      <c r="K900" s="13">
        <f t="shared" si="46"/>
        <v>3445761</v>
      </c>
      <c r="L900" s="116" t="s">
        <v>162</v>
      </c>
      <c r="M900" s="116" t="s">
        <v>160</v>
      </c>
      <c r="N900" s="22" t="str">
        <f>IF(AND('331-CT'!$E$7=TH!H900,OR(L900="331",M900="331")),"331",IF(AND(OR(L900="131",M900="131"),H900='131-CT'!$E$7),"131",""))</f>
        <v/>
      </c>
      <c r="O900" s="22" t="str">
        <f>IF(AND($B900&gt;='111'!$N$11,$B900&lt;='111'!$O$11,OR($L900=$O$7,$M900=$O$7)),"x","")</f>
        <v/>
      </c>
      <c r="P900" s="22" t="str">
        <f>IF(AND($L900=$O$7,$B900&lt;'111'!$N$11),"x","")</f>
        <v/>
      </c>
      <c r="Q900" s="22" t="str">
        <f>IF(AND($M900=$O$7,$B900&lt;'111'!$N$11),"x","")</f>
        <v/>
      </c>
      <c r="R900" s="22" t="str">
        <f>IF(ISERROR(FIND('112'!$M$9,G900,1)),"",IF((AND(FIND('112'!$M$9,G900,1)&gt;=1,$B900&gt;='112'!$N$8,$B900&lt;='112'!$O$8,OR($L900='112'!$I$6,$M900='112'!$I$6))),"x",""))</f>
        <v/>
      </c>
      <c r="S900" s="22" t="str">
        <f>IF(ISERROR(FIND('112'!$M$9,G900,1)),"",IF((AND(LEFT(G900,2)=LEFT('112'!$M$9,2),B900&lt;'112'!$N$8,$L900='112'!$I$6)),"x",""))</f>
        <v/>
      </c>
      <c r="T900" s="22" t="str">
        <f>IF(ISERROR(FIND('112'!$M$9,G900,1)),"",IF((AND(RIGHT(G900,2)=RIGHT('112'!$M$9,2),B900&lt;'112'!$N$8,$M900='112'!$I$6)),"x",""))</f>
        <v/>
      </c>
      <c r="U900" s="22" t="str">
        <f>IF(AND(B900&gt;='IN-NX'!$P$3,B900&lt;='IN-NX'!$Q$3,'IN-NX'!$D$7=D900,OR(LEFT(L900,2)="15",AND(LEFT(M900,2)&lt;&gt;"15",LEFT(M900,2)&lt;&gt;"33"))),"x","")</f>
        <v/>
      </c>
      <c r="V900" s="22" t="str">
        <f>IF(AND(OR(LEFT(TH!L900,2)="15",LEFT(TH!M900,2)="15"),'152-CT'!$J$8=TH!F900),"x","")</f>
        <v/>
      </c>
      <c r="W900" s="22" t="str">
        <f>IF(AND(OR(LEFT(TH!L900,2)="15",LEFT(TH!M900,2)="15"),TK!$E$7=TH!F900),"x","")</f>
        <v/>
      </c>
      <c r="X900" s="22" t="str">
        <f>IF(OR(TH!L900=TH!$X$7,M900=TH!$X$7),"x","")</f>
        <v/>
      </c>
      <c r="Y900" s="22" t="str">
        <f>IF(AND(B900&lt;=NKC!$N$8,B900&gt;=NKC!$M$8),"x","")</f>
        <v>x</v>
      </c>
      <c r="Z900" s="581"/>
      <c r="AA900" s="406"/>
      <c r="AB900" s="406"/>
    </row>
    <row r="901" spans="1:29" s="130" customFormat="1" ht="15.75" customHeight="1">
      <c r="A901" s="123" t="str">
        <f>IF(B901&lt;&gt;"",IF(AND(B901&gt;=_TM1,B901&lt;=_TM2,OR(TH!L901="1111",TH!M901="1111")),TH!D901,""),"")</f>
        <v/>
      </c>
      <c r="B901" s="12">
        <f t="shared" si="42"/>
        <v>7</v>
      </c>
      <c r="C901" s="108">
        <f t="shared" si="40"/>
        <v>42574</v>
      </c>
      <c r="D901" s="113" t="s">
        <v>1073</v>
      </c>
      <c r="E901" s="486">
        <v>42574</v>
      </c>
      <c r="F901" s="167" t="s">
        <v>655</v>
      </c>
      <c r="G901" s="487" t="s">
        <v>710</v>
      </c>
      <c r="H901" s="115" t="s">
        <v>1074</v>
      </c>
      <c r="I901" s="139">
        <v>530</v>
      </c>
      <c r="J901" s="139">
        <v>12777.342443807</v>
      </c>
      <c r="K901" s="13">
        <f t="shared" si="46"/>
        <v>6771991</v>
      </c>
      <c r="L901" s="116" t="s">
        <v>162</v>
      </c>
      <c r="M901" s="116" t="s">
        <v>160</v>
      </c>
      <c r="N901" s="22" t="str">
        <f>IF(AND('331-CT'!$E$7=TH!H901,OR(L901="331",M901="331")),"331",IF(AND(OR(L901="131",M901="131"),H901='131-CT'!$E$7),"131",""))</f>
        <v/>
      </c>
      <c r="O901" s="22" t="str">
        <f>IF(AND($B901&gt;='111'!$N$11,$B901&lt;='111'!$O$11,OR($L901=$O$7,$M901=$O$7)),"x","")</f>
        <v/>
      </c>
      <c r="P901" s="22" t="str">
        <f>IF(AND($L901=$O$7,$B901&lt;'111'!$N$11),"x","")</f>
        <v/>
      </c>
      <c r="Q901" s="22" t="str">
        <f>IF(AND($M901=$O$7,$B901&lt;'111'!$N$11),"x","")</f>
        <v/>
      </c>
      <c r="R901" s="22" t="str">
        <f>IF(ISERROR(FIND('112'!$M$9,G901,1)),"",IF((AND(FIND('112'!$M$9,G901,1)&gt;=1,$B901&gt;='112'!$N$8,$B901&lt;='112'!$O$8,OR($L901='112'!$I$6,$M901='112'!$I$6))),"x",""))</f>
        <v/>
      </c>
      <c r="S901" s="22" t="str">
        <f>IF(ISERROR(FIND('112'!$M$9,G901,1)),"",IF((AND(LEFT(G901,2)=LEFT('112'!$M$9,2),B901&lt;'112'!$N$8,$L901='112'!$I$6)),"x",""))</f>
        <v/>
      </c>
      <c r="T901" s="22" t="str">
        <f>IF(ISERROR(FIND('112'!$M$9,G901,1)),"",IF((AND(RIGHT(G901,2)=RIGHT('112'!$M$9,2),B901&lt;'112'!$N$8,$M901='112'!$I$6)),"x",""))</f>
        <v/>
      </c>
      <c r="U901" s="22" t="str">
        <f>IF(AND(B901&gt;='IN-NX'!$P$3,B901&lt;='IN-NX'!$Q$3,'IN-NX'!$D$7=D901,OR(LEFT(L901,2)="15",AND(LEFT(M901,2)&lt;&gt;"15",LEFT(M901,2)&lt;&gt;"33"))),"x","")</f>
        <v/>
      </c>
      <c r="V901" s="22" t="str">
        <f>IF(AND(OR(LEFT(TH!L901,2)="15",LEFT(TH!M901,2)="15"),'152-CT'!$J$8=TH!F901),"x","")</f>
        <v/>
      </c>
      <c r="W901" s="22" t="str">
        <f>IF(AND(OR(LEFT(TH!L901,2)="15",LEFT(TH!M901,2)="15"),TK!$E$7=TH!F901),"x","")</f>
        <v/>
      </c>
      <c r="X901" s="22" t="str">
        <f>IF(OR(TH!L901=TH!$X$7,M901=TH!$X$7),"x","")</f>
        <v/>
      </c>
      <c r="Y901" s="22" t="str">
        <f>IF(AND(B901&lt;=NKC!$N$8,B901&gt;=NKC!$M$8),"x","")</f>
        <v>x</v>
      </c>
      <c r="Z901" s="581"/>
      <c r="AA901" s="406"/>
      <c r="AB901" s="406"/>
    </row>
    <row r="902" spans="1:29" s="130" customFormat="1" ht="15.75" customHeight="1">
      <c r="A902" s="123" t="str">
        <f>IF(B902&lt;&gt;"",IF(AND(B902&gt;=_TM1,B902&lt;=_TM2,OR(TH!L902="1111",TH!M902="1111")),TH!D902,""),"")</f>
        <v/>
      </c>
      <c r="B902" s="12">
        <f t="shared" si="42"/>
        <v>7</v>
      </c>
      <c r="C902" s="108">
        <f t="shared" si="40"/>
        <v>42574</v>
      </c>
      <c r="D902" s="113" t="s">
        <v>1073</v>
      </c>
      <c r="E902" s="486">
        <v>42574</v>
      </c>
      <c r="F902" s="167" t="s">
        <v>500</v>
      </c>
      <c r="G902" s="487" t="s">
        <v>710</v>
      </c>
      <c r="H902" s="115" t="s">
        <v>1074</v>
      </c>
      <c r="I902" s="139">
        <v>33</v>
      </c>
      <c r="J902" s="139">
        <v>10551.611824563199</v>
      </c>
      <c r="K902" s="13">
        <f t="shared" si="46"/>
        <v>348203</v>
      </c>
      <c r="L902" s="116" t="s">
        <v>162</v>
      </c>
      <c r="M902" s="116" t="s">
        <v>160</v>
      </c>
      <c r="N902" s="22" t="str">
        <f>IF(AND('331-CT'!$E$7=TH!H902,OR(L902="331",M902="331")),"331",IF(AND(OR(L902="131",M902="131"),H902='131-CT'!$E$7),"131",""))</f>
        <v/>
      </c>
      <c r="O902" s="22" t="str">
        <f>IF(AND($B902&gt;='111'!$N$11,$B902&lt;='111'!$O$11,OR($L902=$O$7,$M902=$O$7)),"x","")</f>
        <v/>
      </c>
      <c r="P902" s="22" t="str">
        <f>IF(AND($L902=$O$7,$B902&lt;'111'!$N$11),"x","")</f>
        <v/>
      </c>
      <c r="Q902" s="22" t="str">
        <f>IF(AND($M902=$O$7,$B902&lt;'111'!$N$11),"x","")</f>
        <v/>
      </c>
      <c r="R902" s="22" t="str">
        <f>IF(ISERROR(FIND('112'!$M$9,G902,1)),"",IF((AND(FIND('112'!$M$9,G902,1)&gt;=1,$B902&gt;='112'!$N$8,$B902&lt;='112'!$O$8,OR($L902='112'!$I$6,$M902='112'!$I$6))),"x",""))</f>
        <v/>
      </c>
      <c r="S902" s="22" t="str">
        <f>IF(ISERROR(FIND('112'!$M$9,G902,1)),"",IF((AND(LEFT(G902,2)=LEFT('112'!$M$9,2),B902&lt;'112'!$N$8,$L902='112'!$I$6)),"x",""))</f>
        <v/>
      </c>
      <c r="T902" s="22" t="str">
        <f>IF(ISERROR(FIND('112'!$M$9,G902,1)),"",IF((AND(RIGHT(G902,2)=RIGHT('112'!$M$9,2),B902&lt;'112'!$N$8,$M902='112'!$I$6)),"x",""))</f>
        <v/>
      </c>
      <c r="U902" s="22" t="str">
        <f>IF(AND(B902&gt;='IN-NX'!$P$3,B902&lt;='IN-NX'!$Q$3,'IN-NX'!$D$7=D902,OR(LEFT(L902,2)="15",AND(LEFT(M902,2)&lt;&gt;"15",LEFT(M902,2)&lt;&gt;"33"))),"x","")</f>
        <v/>
      </c>
      <c r="V902" s="22" t="str">
        <f>IF(AND(OR(LEFT(TH!L902,2)="15",LEFT(TH!M902,2)="15"),'152-CT'!$J$8=TH!F902),"x","")</f>
        <v/>
      </c>
      <c r="W902" s="22" t="str">
        <f>IF(AND(OR(LEFT(TH!L902,2)="15",LEFT(TH!M902,2)="15"),TK!$E$7=TH!F902),"x","")</f>
        <v/>
      </c>
      <c r="X902" s="22" t="str">
        <f>IF(OR(TH!L902=TH!$X$7,M902=TH!$X$7),"x","")</f>
        <v/>
      </c>
      <c r="Y902" s="22" t="str">
        <f>IF(AND(B902&lt;=NKC!$N$8,B902&gt;=NKC!$M$8),"x","")</f>
        <v>x</v>
      </c>
      <c r="Z902" s="581"/>
      <c r="AA902" s="406"/>
    </row>
    <row r="903" spans="1:29" s="130" customFormat="1" ht="15.75" customHeight="1">
      <c r="A903" s="123" t="str">
        <f>IF(B903&lt;&gt;"",IF(AND(B903&gt;=_TM1,B903&lt;=_TM2,OR(TH!L903="1111",TH!M903="1111")),TH!D903,""),"")</f>
        <v/>
      </c>
      <c r="B903" s="12">
        <f t="shared" si="42"/>
        <v>7</v>
      </c>
      <c r="C903" s="108">
        <f t="shared" si="40"/>
        <v>42574</v>
      </c>
      <c r="D903" s="113" t="s">
        <v>1073</v>
      </c>
      <c r="E903" s="486">
        <v>42574</v>
      </c>
      <c r="F903" s="167" t="s">
        <v>656</v>
      </c>
      <c r="G903" s="487" t="s">
        <v>710</v>
      </c>
      <c r="H903" s="115" t="s">
        <v>1074</v>
      </c>
      <c r="I903" s="139">
        <v>630</v>
      </c>
      <c r="J903" s="139">
        <v>11128.653096218999</v>
      </c>
      <c r="K903" s="13">
        <f t="shared" si="46"/>
        <v>7011051</v>
      </c>
      <c r="L903" s="116" t="s">
        <v>162</v>
      </c>
      <c r="M903" s="116" t="s">
        <v>160</v>
      </c>
      <c r="N903" s="22" t="str">
        <f>IF(AND('331-CT'!$E$7=TH!H903,OR(L903="331",M903="331")),"331",IF(AND(OR(L903="131",M903="131"),H903='131-CT'!$E$7),"131",""))</f>
        <v/>
      </c>
      <c r="O903" s="22" t="str">
        <f>IF(AND($B903&gt;='111'!$N$11,$B903&lt;='111'!$O$11,OR($L903=$O$7,$M903=$O$7)),"x","")</f>
        <v/>
      </c>
      <c r="P903" s="22" t="str">
        <f>IF(AND($L903=$O$7,$B903&lt;'111'!$N$11),"x","")</f>
        <v/>
      </c>
      <c r="Q903" s="22" t="str">
        <f>IF(AND($M903=$O$7,$B903&lt;'111'!$N$11),"x","")</f>
        <v/>
      </c>
      <c r="R903" s="22" t="str">
        <f>IF(ISERROR(FIND('112'!$M$9,G903,1)),"",IF((AND(FIND('112'!$M$9,G903,1)&gt;=1,$B903&gt;='112'!$N$8,$B903&lt;='112'!$O$8,OR($L903='112'!$I$6,$M903='112'!$I$6))),"x",""))</f>
        <v/>
      </c>
      <c r="S903" s="22" t="str">
        <f>IF(ISERROR(FIND('112'!$M$9,G903,1)),"",IF((AND(LEFT(G903,2)=LEFT('112'!$M$9,2),B903&lt;'112'!$N$8,$L903='112'!$I$6)),"x",""))</f>
        <v/>
      </c>
      <c r="T903" s="22" t="str">
        <f>IF(ISERROR(FIND('112'!$M$9,G903,1)),"",IF((AND(RIGHT(G903,2)=RIGHT('112'!$M$9,2),B903&lt;'112'!$N$8,$M903='112'!$I$6)),"x",""))</f>
        <v/>
      </c>
      <c r="U903" s="22" t="str">
        <f>IF(AND(B903&gt;='IN-NX'!$P$3,B903&lt;='IN-NX'!$Q$3,'IN-NX'!$D$7=D903,OR(LEFT(L903,2)="15",AND(LEFT(M903,2)&lt;&gt;"15",LEFT(M903,2)&lt;&gt;"33"))),"x","")</f>
        <v/>
      </c>
      <c r="V903" s="22" t="str">
        <f>IF(AND(OR(LEFT(TH!L903,2)="15",LEFT(TH!M903,2)="15"),'152-CT'!$J$8=TH!F903),"x","")</f>
        <v/>
      </c>
      <c r="W903" s="22" t="str">
        <f>IF(AND(OR(LEFT(TH!L903,2)="15",LEFT(TH!M903,2)="15"),TK!$E$7=TH!F903),"x","")</f>
        <v/>
      </c>
      <c r="X903" s="22" t="str">
        <f>IF(OR(TH!L903=TH!$X$7,M903=TH!$X$7),"x","")</f>
        <v/>
      </c>
      <c r="Y903" s="22" t="str">
        <f>IF(AND(B903&lt;=NKC!$N$8,B903&gt;=NKC!$M$8),"x","")</f>
        <v>x</v>
      </c>
      <c r="Z903" s="581"/>
      <c r="AA903" s="406"/>
      <c r="AB903" s="406"/>
    </row>
    <row r="904" spans="1:29" s="130" customFormat="1" ht="15.75" customHeight="1">
      <c r="A904" s="123" t="str">
        <f>IF(B904&lt;&gt;"",IF(AND(B904&gt;=_TM1,B904&lt;=_TM2,OR(TH!L904="1111",TH!M904="1111")),TH!D904,""),"")</f>
        <v/>
      </c>
      <c r="B904" s="12">
        <f t="shared" si="42"/>
        <v>7</v>
      </c>
      <c r="C904" s="108">
        <f t="shared" si="40"/>
        <v>42574</v>
      </c>
      <c r="D904" s="113" t="s">
        <v>1073</v>
      </c>
      <c r="E904" s="486">
        <v>42574</v>
      </c>
      <c r="F904" s="167" t="s">
        <v>662</v>
      </c>
      <c r="G904" s="487" t="s">
        <v>710</v>
      </c>
      <c r="H904" s="115" t="s">
        <v>1074</v>
      </c>
      <c r="I904" s="142">
        <v>352</v>
      </c>
      <c r="J904" s="142">
        <v>9397.5292812515981</v>
      </c>
      <c r="K904" s="13">
        <f t="shared" si="46"/>
        <v>3307930</v>
      </c>
      <c r="L904" s="116" t="s">
        <v>162</v>
      </c>
      <c r="M904" s="116" t="s">
        <v>160</v>
      </c>
      <c r="N904" s="22" t="str">
        <f>IF(AND('331-CT'!$E$7=TH!H904,OR(L904="331",M904="331")),"331",IF(AND(OR(L904="131",M904="131"),H904='131-CT'!$E$7),"131",""))</f>
        <v/>
      </c>
      <c r="O904" s="22" t="str">
        <f>IF(AND($B904&gt;='111'!$N$11,$B904&lt;='111'!$O$11,OR($L904=$O$7,$M904=$O$7)),"x","")</f>
        <v/>
      </c>
      <c r="P904" s="22" t="str">
        <f>IF(AND($L904=$O$7,$B904&lt;'111'!$N$11),"x","")</f>
        <v/>
      </c>
      <c r="Q904" s="22" t="str">
        <f>IF(AND($M904=$O$7,$B904&lt;'111'!$N$11),"x","")</f>
        <v/>
      </c>
      <c r="R904" s="22" t="str">
        <f>IF(ISERROR(FIND('112'!$M$9,G904,1)),"",IF((AND(FIND('112'!$M$9,G904,1)&gt;=1,$B904&gt;='112'!$N$8,$B904&lt;='112'!$O$8,OR($L904='112'!$I$6,$M904='112'!$I$6))),"x",""))</f>
        <v/>
      </c>
      <c r="S904" s="22" t="str">
        <f>IF(ISERROR(FIND('112'!$M$9,G904,1)),"",IF((AND(LEFT(G904,2)=LEFT('112'!$M$9,2),B904&lt;'112'!$N$8,$L904='112'!$I$6)),"x",""))</f>
        <v/>
      </c>
      <c r="T904" s="22" t="str">
        <f>IF(ISERROR(FIND('112'!$M$9,G904,1)),"",IF((AND(RIGHT(G904,2)=RIGHT('112'!$M$9,2),B904&lt;'112'!$N$8,$M904='112'!$I$6)),"x",""))</f>
        <v/>
      </c>
      <c r="U904" s="22" t="str">
        <f>IF(AND(B904&gt;='IN-NX'!$P$3,B904&lt;='IN-NX'!$Q$3,'IN-NX'!$D$7=D904,OR(LEFT(L904,2)="15",AND(LEFT(M904,2)&lt;&gt;"15",LEFT(M904,2)&lt;&gt;"33"))),"x","")</f>
        <v/>
      </c>
      <c r="V904" s="22" t="str">
        <f>IF(AND(OR(LEFT(TH!L904,2)="15",LEFT(TH!M904,2)="15"),'152-CT'!$J$8=TH!F904),"x","")</f>
        <v/>
      </c>
      <c r="W904" s="22" t="str">
        <f>IF(AND(OR(LEFT(TH!L904,2)="15",LEFT(TH!M904,2)="15"),TK!$E$7=TH!F904),"x","")</f>
        <v/>
      </c>
      <c r="X904" s="22" t="str">
        <f>IF(OR(TH!L904=TH!$X$7,M904=TH!$X$7),"x","")</f>
        <v/>
      </c>
      <c r="Y904" s="22" t="str">
        <f>IF(AND(B904&lt;=NKC!$N$8,B904&gt;=NKC!$M$8),"x","")</f>
        <v>x</v>
      </c>
      <c r="Z904" s="581"/>
      <c r="AA904" s="406"/>
      <c r="AB904" s="406"/>
    </row>
    <row r="905" spans="1:29" s="130" customFormat="1" ht="15.75" customHeight="1">
      <c r="A905" s="123" t="str">
        <f>IF(B905&lt;&gt;"",IF(AND(B905&gt;=_TM1,B905&lt;=_TM2,OR(TH!L905="1111",TH!M905="1111")),TH!D905,""),"")</f>
        <v/>
      </c>
      <c r="B905" s="12">
        <f t="shared" si="42"/>
        <v>7</v>
      </c>
      <c r="C905" s="108">
        <f t="shared" si="40"/>
        <v>42574</v>
      </c>
      <c r="D905" s="113" t="s">
        <v>1073</v>
      </c>
      <c r="E905" s="486">
        <v>42574</v>
      </c>
      <c r="F905" s="167" t="s">
        <v>513</v>
      </c>
      <c r="G905" s="487" t="s">
        <v>711</v>
      </c>
      <c r="H905" s="115" t="s">
        <v>1074</v>
      </c>
      <c r="I905" s="139">
        <v>350</v>
      </c>
      <c r="J905" s="139">
        <v>9067.7914117340006</v>
      </c>
      <c r="K905" s="13">
        <f t="shared" si="46"/>
        <v>3173727</v>
      </c>
      <c r="L905" s="116" t="s">
        <v>162</v>
      </c>
      <c r="M905" s="116" t="s">
        <v>160</v>
      </c>
      <c r="N905" s="22" t="str">
        <f>IF(AND('331-CT'!$E$7=TH!H905,OR(L905="331",M905="331")),"331",IF(AND(OR(L905="131",M905="131"),H905='131-CT'!$E$7),"131",""))</f>
        <v/>
      </c>
      <c r="O905" s="22" t="str">
        <f>IF(AND($B905&gt;='111'!$N$11,$B905&lt;='111'!$O$11,OR($L905=$O$7,$M905=$O$7)),"x","")</f>
        <v/>
      </c>
      <c r="P905" s="22" t="str">
        <f>IF(AND($L905=$O$7,$B905&lt;'111'!$N$11),"x","")</f>
        <v/>
      </c>
      <c r="Q905" s="22" t="str">
        <f>IF(AND($M905=$O$7,$B905&lt;'111'!$N$11),"x","")</f>
        <v/>
      </c>
      <c r="R905" s="22" t="str">
        <f>IF(ISERROR(FIND('112'!$M$9,G905,1)),"",IF((AND(FIND('112'!$M$9,G905,1)&gt;=1,$B905&gt;='112'!$N$8,$B905&lt;='112'!$O$8,OR($L905='112'!$I$6,$M905='112'!$I$6))),"x",""))</f>
        <v/>
      </c>
      <c r="S905" s="22" t="str">
        <f>IF(ISERROR(FIND('112'!$M$9,G905,1)),"",IF((AND(LEFT(G905,2)=LEFT('112'!$M$9,2),B905&lt;'112'!$N$8,$L905='112'!$I$6)),"x",""))</f>
        <v/>
      </c>
      <c r="T905" s="22" t="str">
        <f>IF(ISERROR(FIND('112'!$M$9,G905,1)),"",IF((AND(RIGHT(G905,2)=RIGHT('112'!$M$9,2),B905&lt;'112'!$N$8,$M905='112'!$I$6)),"x",""))</f>
        <v/>
      </c>
      <c r="U905" s="22" t="str">
        <f>IF(AND(B905&gt;='IN-NX'!$P$3,B905&lt;='IN-NX'!$Q$3,'IN-NX'!$D$7=D905,OR(LEFT(L905,2)="15",AND(LEFT(M905,2)&lt;&gt;"15",LEFT(M905,2)&lt;&gt;"33"))),"x","")</f>
        <v/>
      </c>
      <c r="V905" s="22" t="str">
        <f>IF(AND(OR(LEFT(TH!L905,2)="15",LEFT(TH!M905,2)="15"),'152-CT'!$J$8=TH!F905),"x","")</f>
        <v/>
      </c>
      <c r="W905" s="22" t="str">
        <f>IF(AND(OR(LEFT(TH!L905,2)="15",LEFT(TH!M905,2)="15"),TK!$E$7=TH!F905),"x","")</f>
        <v/>
      </c>
      <c r="X905" s="22" t="str">
        <f>IF(OR(TH!L905=TH!$X$7,M905=TH!$X$7),"x","")</f>
        <v/>
      </c>
      <c r="Y905" s="22" t="str">
        <f>IF(AND(B905&lt;=NKC!$N$8,B905&gt;=NKC!$M$8),"x","")</f>
        <v>x</v>
      </c>
      <c r="Z905" s="581"/>
      <c r="AA905" s="406"/>
      <c r="AB905" s="406"/>
    </row>
    <row r="906" spans="1:29" s="130" customFormat="1" ht="15.75" customHeight="1">
      <c r="A906" s="123" t="str">
        <f>IF(B906&lt;&gt;"",IF(AND(B906&gt;=_TM1,B906&lt;=_TM2,OR(TH!L906="1111",TH!M906="1111")),TH!D906,""),"")</f>
        <v/>
      </c>
      <c r="B906" s="12">
        <f t="shared" si="42"/>
        <v>7</v>
      </c>
      <c r="C906" s="108">
        <f t="shared" si="40"/>
        <v>42577</v>
      </c>
      <c r="D906" s="113" t="s">
        <v>1073</v>
      </c>
      <c r="E906" s="486">
        <v>42577</v>
      </c>
      <c r="F906" s="167" t="s">
        <v>514</v>
      </c>
      <c r="G906" s="487" t="s">
        <v>712</v>
      </c>
      <c r="H906" s="115" t="s">
        <v>1074</v>
      </c>
      <c r="I906" s="139">
        <v>473</v>
      </c>
      <c r="J906" s="139">
        <v>6677.1918577314</v>
      </c>
      <c r="K906" s="13">
        <f t="shared" si="46"/>
        <v>3158312</v>
      </c>
      <c r="L906" s="116" t="s">
        <v>162</v>
      </c>
      <c r="M906" s="116" t="s">
        <v>160</v>
      </c>
      <c r="N906" s="22" t="str">
        <f>IF(AND('331-CT'!$E$7=TH!H906,OR(L906="331",M906="331")),"331",IF(AND(OR(L906="131",M906="131"),H906='131-CT'!$E$7),"131",""))</f>
        <v/>
      </c>
      <c r="O906" s="22" t="str">
        <f>IF(AND($B906&gt;='111'!$N$11,$B906&lt;='111'!$O$11,OR($L906=$O$7,$M906=$O$7)),"x","")</f>
        <v/>
      </c>
      <c r="P906" s="22" t="str">
        <f>IF(AND($L906=$O$7,$B906&lt;'111'!$N$11),"x","")</f>
        <v/>
      </c>
      <c r="Q906" s="22" t="str">
        <f>IF(AND($M906=$O$7,$B906&lt;'111'!$N$11),"x","")</f>
        <v/>
      </c>
      <c r="R906" s="22" t="str">
        <f>IF(ISERROR(FIND('112'!$M$9,G906,1)),"",IF((AND(FIND('112'!$M$9,G906,1)&gt;=1,$B906&gt;='112'!$N$8,$B906&lt;='112'!$O$8,OR($L906='112'!$I$6,$M906='112'!$I$6))),"x",""))</f>
        <v/>
      </c>
      <c r="S906" s="22" t="str">
        <f>IF(ISERROR(FIND('112'!$M$9,G906,1)),"",IF((AND(LEFT(G906,2)=LEFT('112'!$M$9,2),B906&lt;'112'!$N$8,$L906='112'!$I$6)),"x",""))</f>
        <v/>
      </c>
      <c r="T906" s="22" t="str">
        <f>IF(ISERROR(FIND('112'!$M$9,G906,1)),"",IF((AND(RIGHT(G906,2)=RIGHT('112'!$M$9,2),B906&lt;'112'!$N$8,$M906='112'!$I$6)),"x",""))</f>
        <v/>
      </c>
      <c r="U906" s="22" t="str">
        <f>IF(AND(B906&gt;='IN-NX'!$P$3,B906&lt;='IN-NX'!$Q$3,'IN-NX'!$D$7=D906,OR(LEFT(L906,2)="15",AND(LEFT(M906,2)&lt;&gt;"15",LEFT(M906,2)&lt;&gt;"33"))),"x","")</f>
        <v/>
      </c>
      <c r="V906" s="22" t="str">
        <f>IF(AND(OR(LEFT(TH!L906,2)="15",LEFT(TH!M906,2)="15"),'152-CT'!$J$8=TH!F906),"x","")</f>
        <v/>
      </c>
      <c r="W906" s="22" t="str">
        <f>IF(AND(OR(LEFT(TH!L906,2)="15",LEFT(TH!M906,2)="15"),TK!$E$7=TH!F906),"x","")</f>
        <v/>
      </c>
      <c r="X906" s="22" t="str">
        <f>IF(OR(TH!L906=TH!$X$7,M906=TH!$X$7),"x","")</f>
        <v/>
      </c>
      <c r="Y906" s="22" t="str">
        <f>IF(AND(B906&lt;=NKC!$N$8,B906&gt;=NKC!$M$8),"x","")</f>
        <v>x</v>
      </c>
      <c r="Z906" s="581"/>
      <c r="AA906" s="406"/>
    </row>
    <row r="907" spans="1:29" s="130" customFormat="1" ht="15.75" customHeight="1">
      <c r="A907" s="123" t="str">
        <f>IF(B907&lt;&gt;"",IF(AND(B907&gt;=_TM1,B907&lt;=_TM2,OR(TH!L907="1111",TH!M907="1111")),TH!D907,""),"")</f>
        <v/>
      </c>
      <c r="B907" s="12">
        <f t="shared" si="42"/>
        <v>7</v>
      </c>
      <c r="C907" s="108">
        <f t="shared" si="40"/>
        <v>42580</v>
      </c>
      <c r="D907" s="113" t="s">
        <v>1073</v>
      </c>
      <c r="E907" s="486">
        <v>42580</v>
      </c>
      <c r="F907" s="167" t="s">
        <v>515</v>
      </c>
      <c r="G907" s="487" t="s">
        <v>713</v>
      </c>
      <c r="H907" s="115" t="s">
        <v>1074</v>
      </c>
      <c r="I907" s="139">
        <v>302</v>
      </c>
      <c r="J907" s="139">
        <v>7831.2744010429988</v>
      </c>
      <c r="K907" s="13">
        <f t="shared" si="46"/>
        <v>2365045</v>
      </c>
      <c r="L907" s="116" t="s">
        <v>162</v>
      </c>
      <c r="M907" s="116" t="s">
        <v>160</v>
      </c>
      <c r="N907" s="22" t="str">
        <f>IF(AND('331-CT'!$E$7=TH!H907,OR(L907="331",M907="331")),"331",IF(AND(OR(L907="131",M907="131"),H907='131-CT'!$E$7),"131",""))</f>
        <v/>
      </c>
      <c r="O907" s="22" t="str">
        <f>IF(AND($B907&gt;='111'!$N$11,$B907&lt;='111'!$O$11,OR($L907=$O$7,$M907=$O$7)),"x","")</f>
        <v/>
      </c>
      <c r="P907" s="22" t="str">
        <f>IF(AND($L907=$O$7,$B907&lt;'111'!$N$11),"x","")</f>
        <v/>
      </c>
      <c r="Q907" s="22" t="str">
        <f>IF(AND($M907=$O$7,$B907&lt;'111'!$N$11),"x","")</f>
        <v/>
      </c>
      <c r="R907" s="22" t="str">
        <f>IF(ISERROR(FIND('112'!$M$9,G907,1)),"",IF((AND(FIND('112'!$M$9,G907,1)&gt;=1,$B907&gt;='112'!$N$8,$B907&lt;='112'!$O$8,OR($L907='112'!$I$6,$M907='112'!$I$6))),"x",""))</f>
        <v/>
      </c>
      <c r="S907" s="22" t="str">
        <f>IF(ISERROR(FIND('112'!$M$9,G907,1)),"",IF((AND(LEFT(G907,2)=LEFT('112'!$M$9,2),B907&lt;'112'!$N$8,$L907='112'!$I$6)),"x",""))</f>
        <v/>
      </c>
      <c r="T907" s="22" t="str">
        <f>IF(ISERROR(FIND('112'!$M$9,G907,1)),"",IF((AND(RIGHT(G907,2)=RIGHT('112'!$M$9,2),B907&lt;'112'!$N$8,$M907='112'!$I$6)),"x",""))</f>
        <v/>
      </c>
      <c r="U907" s="22" t="str">
        <f>IF(AND(B907&gt;='IN-NX'!$P$3,B907&lt;='IN-NX'!$Q$3,'IN-NX'!$D$7=D907,OR(LEFT(L907,2)="15",AND(LEFT(M907,2)&lt;&gt;"15",LEFT(M907,2)&lt;&gt;"33"))),"x","")</f>
        <v/>
      </c>
      <c r="V907" s="22" t="str">
        <f>IF(AND(OR(LEFT(TH!L907,2)="15",LEFT(TH!M907,2)="15"),'152-CT'!$J$8=TH!F907),"x","")</f>
        <v/>
      </c>
      <c r="W907" s="22" t="str">
        <f>IF(AND(OR(LEFT(TH!L907,2)="15",LEFT(TH!M907,2)="15"),TK!$E$7=TH!F907),"x","")</f>
        <v/>
      </c>
      <c r="X907" s="22" t="str">
        <f>IF(OR(TH!L907=TH!$X$7,M907=TH!$X$7),"x","")</f>
        <v/>
      </c>
      <c r="Y907" s="22" t="str">
        <f>IF(AND(B907&lt;=NKC!$N$8,B907&gt;=NKC!$M$8),"x","")</f>
        <v>x</v>
      </c>
      <c r="Z907" s="581"/>
      <c r="AA907" s="406"/>
      <c r="AB907" s="406"/>
    </row>
    <row r="908" spans="1:29" s="130" customFormat="1" ht="15.75" customHeight="1">
      <c r="A908" s="123" t="str">
        <f>IF(B908&lt;&gt;"",IF(AND(B908&gt;=_TM1,B908&lt;=_TM2,OR(TH!L908="1111",TH!M908="1111")),TH!D908,""),"")</f>
        <v/>
      </c>
      <c r="B908" s="12">
        <f t="shared" si="42"/>
        <v>7</v>
      </c>
      <c r="C908" s="108">
        <f t="shared" si="40"/>
        <v>42580</v>
      </c>
      <c r="D908" s="113" t="s">
        <v>1073</v>
      </c>
      <c r="E908" s="486">
        <v>42580</v>
      </c>
      <c r="F908" s="167" t="s">
        <v>516</v>
      </c>
      <c r="G908" s="487" t="s">
        <v>713</v>
      </c>
      <c r="H908" s="115" t="s">
        <v>1074</v>
      </c>
      <c r="I908" s="139">
        <v>527</v>
      </c>
      <c r="J908" s="139">
        <v>7996.1433358017994</v>
      </c>
      <c r="K908" s="13">
        <f t="shared" si="46"/>
        <v>4213968</v>
      </c>
      <c r="L908" s="116" t="s">
        <v>162</v>
      </c>
      <c r="M908" s="116" t="s">
        <v>160</v>
      </c>
      <c r="N908" s="22" t="str">
        <f>IF(AND('331-CT'!$E$7=TH!H908,OR(L908="331",M908="331")),"331",IF(AND(OR(L908="131",M908="131"),H908='131-CT'!$E$7),"131",""))</f>
        <v/>
      </c>
      <c r="O908" s="22" t="str">
        <f>IF(AND($B908&gt;='111'!$N$11,$B908&lt;='111'!$O$11,OR($L908=$O$7,$M908=$O$7)),"x","")</f>
        <v/>
      </c>
      <c r="P908" s="22" t="str">
        <f>IF(AND($L908=$O$7,$B908&lt;'111'!$N$11),"x","")</f>
        <v/>
      </c>
      <c r="Q908" s="22" t="str">
        <f>IF(AND($M908=$O$7,$B908&lt;'111'!$N$11),"x","")</f>
        <v/>
      </c>
      <c r="R908" s="22" t="str">
        <f>IF(ISERROR(FIND('112'!$M$9,G908,1)),"",IF((AND(FIND('112'!$M$9,G908,1)&gt;=1,$B908&gt;='112'!$N$8,$B908&lt;='112'!$O$8,OR($L908='112'!$I$6,$M908='112'!$I$6))),"x",""))</f>
        <v/>
      </c>
      <c r="S908" s="22" t="str">
        <f>IF(ISERROR(FIND('112'!$M$9,G908,1)),"",IF((AND(LEFT(G908,2)=LEFT('112'!$M$9,2),B908&lt;'112'!$N$8,$L908='112'!$I$6)),"x",""))</f>
        <v/>
      </c>
      <c r="T908" s="22" t="str">
        <f>IF(ISERROR(FIND('112'!$M$9,G908,1)),"",IF((AND(RIGHT(G908,2)=RIGHT('112'!$M$9,2),B908&lt;'112'!$N$8,$M908='112'!$I$6)),"x",""))</f>
        <v/>
      </c>
      <c r="U908" s="22" t="str">
        <f>IF(AND(B908&gt;='IN-NX'!$P$3,B908&lt;='IN-NX'!$Q$3,'IN-NX'!$D$7=D908,OR(LEFT(L908,2)="15",AND(LEFT(M908,2)&lt;&gt;"15",LEFT(M908,2)&lt;&gt;"33"))),"x","")</f>
        <v/>
      </c>
      <c r="V908" s="22" t="str">
        <f>IF(AND(OR(LEFT(TH!L908,2)="15",LEFT(TH!M908,2)="15"),'152-CT'!$J$8=TH!F908),"x","")</f>
        <v/>
      </c>
      <c r="W908" s="22" t="str">
        <f>IF(AND(OR(LEFT(TH!L908,2)="15",LEFT(TH!M908,2)="15"),TK!$E$7=TH!F908),"x","")</f>
        <v/>
      </c>
      <c r="X908" s="22" t="str">
        <f>IF(OR(TH!L908=TH!$X$7,M908=TH!$X$7),"x","")</f>
        <v/>
      </c>
      <c r="Y908" s="22" t="str">
        <f>IF(AND(B908&lt;=NKC!$N$8,B908&gt;=NKC!$M$8),"x","")</f>
        <v>x</v>
      </c>
      <c r="Z908" s="581"/>
      <c r="AA908" s="406"/>
      <c r="AB908" s="406"/>
    </row>
    <row r="909" spans="1:29" s="130" customFormat="1" ht="15.75" customHeight="1">
      <c r="A909" s="123" t="str">
        <f>IF(B909&lt;&gt;"",IF(AND(B909&gt;=_TM1,B909&lt;=_TM2,OR(TH!L909="1111",TH!M909="1111")),TH!D909,""),"")</f>
        <v/>
      </c>
      <c r="B909" s="12">
        <f t="shared" si="42"/>
        <v>7</v>
      </c>
      <c r="C909" s="108">
        <f t="shared" si="40"/>
        <v>42580</v>
      </c>
      <c r="D909" s="113" t="s">
        <v>1073</v>
      </c>
      <c r="E909" s="486">
        <v>42580</v>
      </c>
      <c r="F909" s="167" t="s">
        <v>649</v>
      </c>
      <c r="G909" s="487" t="s">
        <v>714</v>
      </c>
      <c r="H909" s="115" t="s">
        <v>1074</v>
      </c>
      <c r="I909" s="139">
        <v>100</v>
      </c>
      <c r="J909" s="139">
        <v>10963.7841614602</v>
      </c>
      <c r="K909" s="13">
        <f t="shared" si="46"/>
        <v>1096378</v>
      </c>
      <c r="L909" s="116" t="s">
        <v>162</v>
      </c>
      <c r="M909" s="116" t="s">
        <v>160</v>
      </c>
      <c r="N909" s="22" t="str">
        <f>IF(AND('331-CT'!$E$7=TH!H909,OR(L909="331",M909="331")),"331",IF(AND(OR(L909="131",M909="131"),H909='131-CT'!$E$7),"131",""))</f>
        <v/>
      </c>
      <c r="O909" s="22" t="str">
        <f>IF(AND($B909&gt;='111'!$N$11,$B909&lt;='111'!$O$11,OR($L909=$O$7,$M909=$O$7)),"x","")</f>
        <v/>
      </c>
      <c r="P909" s="22" t="str">
        <f>IF(AND($L909=$O$7,$B909&lt;'111'!$N$11),"x","")</f>
        <v/>
      </c>
      <c r="Q909" s="22" t="str">
        <f>IF(AND($M909=$O$7,$B909&lt;'111'!$N$11),"x","")</f>
        <v/>
      </c>
      <c r="R909" s="22" t="str">
        <f>IF(ISERROR(FIND('112'!$M$9,G909,1)),"",IF((AND(FIND('112'!$M$9,G909,1)&gt;=1,$B909&gt;='112'!$N$8,$B909&lt;='112'!$O$8,OR($L909='112'!$I$6,$M909='112'!$I$6))),"x",""))</f>
        <v/>
      </c>
      <c r="S909" s="22" t="str">
        <f>IF(ISERROR(FIND('112'!$M$9,G909,1)),"",IF((AND(LEFT(G909,2)=LEFT('112'!$M$9,2),B909&lt;'112'!$N$8,$L909='112'!$I$6)),"x",""))</f>
        <v/>
      </c>
      <c r="T909" s="22" t="str">
        <f>IF(ISERROR(FIND('112'!$M$9,G909,1)),"",IF((AND(RIGHT(G909,2)=RIGHT('112'!$M$9,2),B909&lt;'112'!$N$8,$M909='112'!$I$6)),"x",""))</f>
        <v/>
      </c>
      <c r="U909" s="22" t="str">
        <f>IF(AND(B909&gt;='IN-NX'!$P$3,B909&lt;='IN-NX'!$Q$3,'IN-NX'!$D$7=D909,OR(LEFT(L909,2)="15",AND(LEFT(M909,2)&lt;&gt;"15",LEFT(M909,2)&lt;&gt;"33"))),"x","")</f>
        <v/>
      </c>
      <c r="V909" s="22" t="str">
        <f>IF(AND(OR(LEFT(TH!L909,2)="15",LEFT(TH!M909,2)="15"),'152-CT'!$J$8=TH!F909),"x","")</f>
        <v/>
      </c>
      <c r="W909" s="22" t="str">
        <f>IF(AND(OR(LEFT(TH!L909,2)="15",LEFT(TH!M909,2)="15"),TK!$E$7=TH!F909),"x","")</f>
        <v/>
      </c>
      <c r="X909" s="22" t="str">
        <f>IF(OR(TH!L909=TH!$X$7,M909=TH!$X$7),"x","")</f>
        <v/>
      </c>
      <c r="Y909" s="22" t="str">
        <f>IF(AND(B909&lt;=NKC!$N$8,B909&gt;=NKC!$M$8),"x","")</f>
        <v>x</v>
      </c>
      <c r="Z909" s="581"/>
      <c r="AA909" s="406"/>
      <c r="AB909" s="406"/>
    </row>
    <row r="910" spans="1:29" s="130" customFormat="1" ht="15.75" customHeight="1">
      <c r="A910" s="123" t="str">
        <f>IF(B910&lt;&gt;"",IF(AND(B910&gt;=_TM1,B910&lt;=_TM2,OR(TH!L910="1111",TH!M910="1111")),TH!D910,""),"")</f>
        <v/>
      </c>
      <c r="B910" s="12">
        <f t="shared" si="42"/>
        <v>7</v>
      </c>
      <c r="C910" s="108">
        <f t="shared" si="40"/>
        <v>42580</v>
      </c>
      <c r="D910" s="113" t="s">
        <v>1073</v>
      </c>
      <c r="E910" s="486">
        <v>42580</v>
      </c>
      <c r="F910" s="167" t="s">
        <v>819</v>
      </c>
      <c r="G910" s="487" t="s">
        <v>714</v>
      </c>
      <c r="H910" s="115" t="s">
        <v>1074</v>
      </c>
      <c r="I910" s="139">
        <v>100</v>
      </c>
      <c r="J910" s="139">
        <v>17228.803682294598</v>
      </c>
      <c r="K910" s="13">
        <f t="shared" si="46"/>
        <v>1722880</v>
      </c>
      <c r="L910" s="116" t="s">
        <v>162</v>
      </c>
      <c r="M910" s="116" t="s">
        <v>160</v>
      </c>
      <c r="N910" s="22" t="str">
        <f>IF(AND('331-CT'!$E$7=TH!H910,OR(L910="331",M910="331")),"331",IF(AND(OR(L910="131",M910="131"),H910='131-CT'!$E$7),"131",""))</f>
        <v/>
      </c>
      <c r="O910" s="22" t="str">
        <f>IF(AND($B910&gt;='111'!$N$11,$B910&lt;='111'!$O$11,OR($L910=$O$7,$M910=$O$7)),"x","")</f>
        <v/>
      </c>
      <c r="P910" s="22" t="str">
        <f>IF(AND($L910=$O$7,$B910&lt;'111'!$N$11),"x","")</f>
        <v/>
      </c>
      <c r="Q910" s="22" t="str">
        <f>IF(AND($M910=$O$7,$B910&lt;'111'!$N$11),"x","")</f>
        <v/>
      </c>
      <c r="R910" s="22" t="str">
        <f>IF(ISERROR(FIND('112'!$M$9,G910,1)),"",IF((AND(FIND('112'!$M$9,G910,1)&gt;=1,$B910&gt;='112'!$N$8,$B910&lt;='112'!$O$8,OR($L910='112'!$I$6,$M910='112'!$I$6))),"x",""))</f>
        <v/>
      </c>
      <c r="S910" s="22" t="str">
        <f>IF(ISERROR(FIND('112'!$M$9,G910,1)),"",IF((AND(LEFT(G910,2)=LEFT('112'!$M$9,2),B910&lt;'112'!$N$8,$L910='112'!$I$6)),"x",""))</f>
        <v/>
      </c>
      <c r="T910" s="22" t="str">
        <f>IF(ISERROR(FIND('112'!$M$9,G910,1)),"",IF((AND(RIGHT(G910,2)=RIGHT('112'!$M$9,2),B910&lt;'112'!$N$8,$M910='112'!$I$6)),"x",""))</f>
        <v/>
      </c>
      <c r="U910" s="22" t="str">
        <f>IF(AND(B910&gt;='IN-NX'!$P$3,B910&lt;='IN-NX'!$Q$3,'IN-NX'!$D$7=D910,OR(LEFT(L910,2)="15",AND(LEFT(M910,2)&lt;&gt;"15",LEFT(M910,2)&lt;&gt;"33"))),"x","")</f>
        <v/>
      </c>
      <c r="V910" s="22" t="str">
        <f>IF(AND(OR(LEFT(TH!L910,2)="15",LEFT(TH!M910,2)="15"),'152-CT'!$J$8=TH!F910),"x","")</f>
        <v/>
      </c>
      <c r="W910" s="22" t="str">
        <f>IF(AND(OR(LEFT(TH!L910,2)="15",LEFT(TH!M910,2)="15"),TK!$E$7=TH!F910),"x","")</f>
        <v/>
      </c>
      <c r="X910" s="22" t="str">
        <f>IF(OR(TH!L910=TH!$X$7,M910=TH!$X$7),"x","")</f>
        <v/>
      </c>
      <c r="Y910" s="22" t="str">
        <f>IF(AND(B910&lt;=NKC!$N$8,B910&gt;=NKC!$M$8),"x","")</f>
        <v>x</v>
      </c>
      <c r="Z910" s="581"/>
      <c r="AA910" s="406"/>
      <c r="AB910" s="406"/>
    </row>
    <row r="911" spans="1:29" s="130" customFormat="1" ht="15.75" customHeight="1">
      <c r="A911" s="123" t="str">
        <f>IF(B911&lt;&gt;"",IF(AND(B911&gt;=_TM1,B911&lt;=_TM2,OR(TH!L911="1111",TH!M911="1111")),TH!D911,""),"")</f>
        <v/>
      </c>
      <c r="B911" s="12">
        <f t="shared" si="42"/>
        <v>8</v>
      </c>
      <c r="C911" s="108">
        <f t="shared" si="40"/>
        <v>42583</v>
      </c>
      <c r="D911" s="113" t="s">
        <v>1073</v>
      </c>
      <c r="E911" s="486">
        <v>42583</v>
      </c>
      <c r="F911" s="167" t="s">
        <v>510</v>
      </c>
      <c r="G911" s="487" t="s">
        <v>715</v>
      </c>
      <c r="H911" s="115" t="s">
        <v>1074</v>
      </c>
      <c r="I911" s="139">
        <v>500</v>
      </c>
      <c r="J911" s="139">
        <v>5687.9782491785991</v>
      </c>
      <c r="K911" s="13">
        <f t="shared" si="46"/>
        <v>2843989</v>
      </c>
      <c r="L911" s="116" t="s">
        <v>162</v>
      </c>
      <c r="M911" s="116" t="s">
        <v>160</v>
      </c>
      <c r="N911" s="22" t="str">
        <f>IF(AND('331-CT'!$E$7=TH!H911,OR(L911="331",M911="331")),"331",IF(AND(OR(L911="131",M911="131"),H911='131-CT'!$E$7),"131",""))</f>
        <v/>
      </c>
      <c r="O911" s="22" t="str">
        <f>IF(AND($B911&gt;='111'!$N$11,$B911&lt;='111'!$O$11,OR($L911=$O$7,$M911=$O$7)),"x","")</f>
        <v/>
      </c>
      <c r="P911" s="22" t="str">
        <f>IF(AND($L911=$O$7,$B911&lt;'111'!$N$11),"x","")</f>
        <v/>
      </c>
      <c r="Q911" s="22" t="str">
        <f>IF(AND($M911=$O$7,$B911&lt;'111'!$N$11),"x","")</f>
        <v/>
      </c>
      <c r="R911" s="22" t="str">
        <f>IF(ISERROR(FIND('112'!$M$9,G911,1)),"",IF((AND(FIND('112'!$M$9,G911,1)&gt;=1,$B911&gt;='112'!$N$8,$B911&lt;='112'!$O$8,OR($L911='112'!$I$6,$M911='112'!$I$6))),"x",""))</f>
        <v/>
      </c>
      <c r="S911" s="22" t="str">
        <f>IF(ISERROR(FIND('112'!$M$9,G911,1)),"",IF((AND(LEFT(G911,2)=LEFT('112'!$M$9,2),B911&lt;'112'!$N$8,$L911='112'!$I$6)),"x",""))</f>
        <v/>
      </c>
      <c r="T911" s="22" t="str">
        <f>IF(ISERROR(FIND('112'!$M$9,G911,1)),"",IF((AND(RIGHT(G911,2)=RIGHT('112'!$M$9,2),B911&lt;'112'!$N$8,$M911='112'!$I$6)),"x",""))</f>
        <v/>
      </c>
      <c r="U911" s="22" t="str">
        <f>IF(AND(B911&gt;='IN-NX'!$P$3,B911&lt;='IN-NX'!$Q$3,'IN-NX'!$D$7=D911,OR(LEFT(L911,2)="15",AND(LEFT(M911,2)&lt;&gt;"15",LEFT(M911,2)&lt;&gt;"33"))),"x","")</f>
        <v/>
      </c>
      <c r="V911" s="22" t="str">
        <f>IF(AND(OR(LEFT(TH!L911,2)="15",LEFT(TH!M911,2)="15"),'152-CT'!$J$8=TH!F911),"x","")</f>
        <v/>
      </c>
      <c r="W911" s="22" t="str">
        <f>IF(AND(OR(LEFT(TH!L911,2)="15",LEFT(TH!M911,2)="15"),TK!$E$7=TH!F911),"x","")</f>
        <v/>
      </c>
      <c r="X911" s="22" t="str">
        <f>IF(OR(TH!L911=TH!$X$7,M911=TH!$X$7),"x","")</f>
        <v/>
      </c>
      <c r="Y911" s="22" t="str">
        <f>IF(AND(B911&lt;=NKC!$N$8,B911&gt;=NKC!$M$8),"x","")</f>
        <v>x</v>
      </c>
      <c r="Z911" s="581"/>
      <c r="AA911" s="406"/>
      <c r="AB911" s="406"/>
    </row>
    <row r="912" spans="1:29" s="130" customFormat="1" ht="15.75" customHeight="1">
      <c r="A912" s="123" t="str">
        <f>IF(B912&lt;&gt;"",IF(AND(B912&gt;=_TM1,B912&lt;=_TM2,OR(TH!L912="1111",TH!M912="1111")),TH!D912,""),"")</f>
        <v/>
      </c>
      <c r="B912" s="12">
        <f t="shared" si="42"/>
        <v>8</v>
      </c>
      <c r="C912" s="108">
        <f t="shared" si="40"/>
        <v>42584</v>
      </c>
      <c r="D912" s="113" t="s">
        <v>1073</v>
      </c>
      <c r="E912" s="486">
        <v>42584</v>
      </c>
      <c r="F912" s="167" t="s">
        <v>517</v>
      </c>
      <c r="G912" s="487" t="s">
        <v>716</v>
      </c>
      <c r="H912" s="115" t="s">
        <v>1074</v>
      </c>
      <c r="I912" s="139">
        <v>606</v>
      </c>
      <c r="J912" s="139">
        <v>5852.8471839373997</v>
      </c>
      <c r="K912" s="13">
        <f t="shared" si="46"/>
        <v>3546825</v>
      </c>
      <c r="L912" s="116" t="s">
        <v>162</v>
      </c>
      <c r="M912" s="116" t="s">
        <v>160</v>
      </c>
      <c r="N912" s="22" t="str">
        <f>IF(AND('331-CT'!$E$7=TH!H912,OR(L912="331",M912="331")),"331",IF(AND(OR(L912="131",M912="131"),H912='131-CT'!$E$7),"131",""))</f>
        <v/>
      </c>
      <c r="O912" s="22" t="str">
        <f>IF(AND($B912&gt;='111'!$N$11,$B912&lt;='111'!$O$11,OR($L912=$O$7,$M912=$O$7)),"x","")</f>
        <v/>
      </c>
      <c r="P912" s="22" t="str">
        <f>IF(AND($L912=$O$7,$B912&lt;'111'!$N$11),"x","")</f>
        <v/>
      </c>
      <c r="Q912" s="22" t="str">
        <f>IF(AND($M912=$O$7,$B912&lt;'111'!$N$11),"x","")</f>
        <v/>
      </c>
      <c r="R912" s="22" t="str">
        <f>IF(ISERROR(FIND('112'!$M$9,G912,1)),"",IF((AND(FIND('112'!$M$9,G912,1)&gt;=1,$B912&gt;='112'!$N$8,$B912&lt;='112'!$O$8,OR($L912='112'!$I$6,$M912='112'!$I$6))),"x",""))</f>
        <v/>
      </c>
      <c r="S912" s="22" t="str">
        <f>IF(ISERROR(FIND('112'!$M$9,G912,1)),"",IF((AND(LEFT(G912,2)=LEFT('112'!$M$9,2),B912&lt;'112'!$N$8,$L912='112'!$I$6)),"x",""))</f>
        <v/>
      </c>
      <c r="T912" s="22" t="str">
        <f>IF(ISERROR(FIND('112'!$M$9,G912,1)),"",IF((AND(RIGHT(G912,2)=RIGHT('112'!$M$9,2),B912&lt;'112'!$N$8,$M912='112'!$I$6)),"x",""))</f>
        <v/>
      </c>
      <c r="U912" s="22" t="str">
        <f>IF(AND(B912&gt;='IN-NX'!$P$3,B912&lt;='IN-NX'!$Q$3,'IN-NX'!$D$7=D912,OR(LEFT(L912,2)="15",AND(LEFT(M912,2)&lt;&gt;"15",LEFT(M912,2)&lt;&gt;"33"))),"x","")</f>
        <v/>
      </c>
      <c r="V912" s="22" t="str">
        <f>IF(AND(OR(LEFT(TH!L912,2)="15",LEFT(TH!M912,2)="15"),'152-CT'!$J$8=TH!F912),"x","")</f>
        <v/>
      </c>
      <c r="W912" s="22" t="str">
        <f>IF(AND(OR(LEFT(TH!L912,2)="15",LEFT(TH!M912,2)="15"),TK!$E$7=TH!F912),"x","")</f>
        <v/>
      </c>
      <c r="X912" s="22" t="str">
        <f>IF(OR(TH!L912=TH!$X$7,M912=TH!$X$7),"x","")</f>
        <v/>
      </c>
      <c r="Y912" s="22" t="str">
        <f>IF(AND(B912&lt;=NKC!$N$8,B912&gt;=NKC!$M$8),"x","")</f>
        <v>x</v>
      </c>
      <c r="Z912" s="581"/>
      <c r="AA912" s="406"/>
      <c r="AB912" s="406"/>
    </row>
    <row r="913" spans="1:31" s="130" customFormat="1" ht="15.75" customHeight="1">
      <c r="A913" s="123" t="str">
        <f>IF(B913&lt;&gt;"",IF(AND(B913&gt;=_TM1,B913&lt;=_TM2,OR(TH!L913="1111",TH!M913="1111")),TH!D913,""),"")</f>
        <v/>
      </c>
      <c r="B913" s="12">
        <f t="shared" si="42"/>
        <v>8</v>
      </c>
      <c r="C913" s="108">
        <f t="shared" si="40"/>
        <v>42584</v>
      </c>
      <c r="D913" s="113" t="s">
        <v>1073</v>
      </c>
      <c r="E913" s="486">
        <v>42584</v>
      </c>
      <c r="F913" s="167" t="s">
        <v>518</v>
      </c>
      <c r="G913" s="487" t="s">
        <v>716</v>
      </c>
      <c r="H913" s="115" t="s">
        <v>1074</v>
      </c>
      <c r="I913" s="139">
        <v>404</v>
      </c>
      <c r="J913" s="139">
        <v>8985.3569443546003</v>
      </c>
      <c r="K913" s="13">
        <f t="shared" si="46"/>
        <v>3630084</v>
      </c>
      <c r="L913" s="116" t="s">
        <v>162</v>
      </c>
      <c r="M913" s="116" t="s">
        <v>160</v>
      </c>
      <c r="N913" s="22" t="str">
        <f>IF(AND('331-CT'!$E$7=TH!H913,OR(L913="331",M913="331")),"331",IF(AND(OR(L913="131",M913="131"),H913='131-CT'!$E$7),"131",""))</f>
        <v/>
      </c>
      <c r="O913" s="22" t="str">
        <f>IF(AND($B913&gt;='111'!$N$11,$B913&lt;='111'!$O$11,OR($L913=$O$7,$M913=$O$7)),"x","")</f>
        <v/>
      </c>
      <c r="P913" s="22" t="str">
        <f>IF(AND($L913=$O$7,$B913&lt;'111'!$N$11),"x","")</f>
        <v/>
      </c>
      <c r="Q913" s="22" t="str">
        <f>IF(AND($M913=$O$7,$B913&lt;'111'!$N$11),"x","")</f>
        <v/>
      </c>
      <c r="R913" s="22" t="str">
        <f>IF(ISERROR(FIND('112'!$M$9,G913,1)),"",IF((AND(FIND('112'!$M$9,G913,1)&gt;=1,$B913&gt;='112'!$N$8,$B913&lt;='112'!$O$8,OR($L913='112'!$I$6,$M913='112'!$I$6))),"x",""))</f>
        <v/>
      </c>
      <c r="S913" s="22" t="str">
        <f>IF(ISERROR(FIND('112'!$M$9,G913,1)),"",IF((AND(LEFT(G913,2)=LEFT('112'!$M$9,2),B913&lt;'112'!$N$8,$L913='112'!$I$6)),"x",""))</f>
        <v/>
      </c>
      <c r="T913" s="22" t="str">
        <f>IF(ISERROR(FIND('112'!$M$9,G913,1)),"",IF((AND(RIGHT(G913,2)=RIGHT('112'!$M$9,2),B913&lt;'112'!$N$8,$M913='112'!$I$6)),"x",""))</f>
        <v/>
      </c>
      <c r="U913" s="22" t="str">
        <f>IF(AND(B913&gt;='IN-NX'!$P$3,B913&lt;='IN-NX'!$Q$3,'IN-NX'!$D$7=D913,OR(LEFT(L913,2)="15",AND(LEFT(M913,2)&lt;&gt;"15",LEFT(M913,2)&lt;&gt;"33"))),"x","")</f>
        <v/>
      </c>
      <c r="V913" s="22" t="str">
        <f>IF(AND(OR(LEFT(TH!L913,2)="15",LEFT(TH!M913,2)="15"),'152-CT'!$J$8=TH!F913),"x","")</f>
        <v/>
      </c>
      <c r="W913" s="22" t="str">
        <f>IF(AND(OR(LEFT(TH!L913,2)="15",LEFT(TH!M913,2)="15"),TK!$E$7=TH!F913),"x","")</f>
        <v/>
      </c>
      <c r="X913" s="22" t="str">
        <f>IF(OR(TH!L913=TH!$X$7,M913=TH!$X$7),"x","")</f>
        <v/>
      </c>
      <c r="Y913" s="22" t="str">
        <f>IF(AND(B913&lt;=NKC!$N$8,B913&gt;=NKC!$M$8),"x","")</f>
        <v>x</v>
      </c>
      <c r="Z913" s="581"/>
      <c r="AA913" s="406"/>
      <c r="AB913" s="406"/>
    </row>
    <row r="914" spans="1:31" s="130" customFormat="1" ht="15.75" customHeight="1">
      <c r="A914" s="123" t="str">
        <f>IF(B914&lt;&gt;"",IF(AND(B914&gt;=_TM1,B914&lt;=_TM2,OR(TH!L914="1111",TH!M914="1111")),TH!D914,""),"")</f>
        <v/>
      </c>
      <c r="B914" s="12">
        <f t="shared" si="42"/>
        <v>8</v>
      </c>
      <c r="C914" s="108">
        <f t="shared" si="40"/>
        <v>42584</v>
      </c>
      <c r="D914" s="113" t="s">
        <v>1073</v>
      </c>
      <c r="E914" s="486">
        <v>42584</v>
      </c>
      <c r="F914" s="167" t="s">
        <v>519</v>
      </c>
      <c r="G914" s="487" t="s">
        <v>716</v>
      </c>
      <c r="H914" s="115" t="s">
        <v>1074</v>
      </c>
      <c r="I914" s="139">
        <v>304</v>
      </c>
      <c r="J914" s="139">
        <v>10881.3496940808</v>
      </c>
      <c r="K914" s="13">
        <f t="shared" si="46"/>
        <v>3307930</v>
      </c>
      <c r="L914" s="116" t="s">
        <v>162</v>
      </c>
      <c r="M914" s="116" t="s">
        <v>160</v>
      </c>
      <c r="N914" s="22" t="str">
        <f>IF(AND('331-CT'!$E$7=TH!H914,OR(L914="331",M914="331")),"331",IF(AND(OR(L914="131",M914="131"),H914='131-CT'!$E$7),"131",""))</f>
        <v/>
      </c>
      <c r="O914" s="22" t="str">
        <f>IF(AND($B914&gt;='111'!$N$11,$B914&lt;='111'!$O$11,OR($L914=$O$7,$M914=$O$7)),"x","")</f>
        <v/>
      </c>
      <c r="P914" s="22" t="str">
        <f>IF(AND($L914=$O$7,$B914&lt;'111'!$N$11),"x","")</f>
        <v/>
      </c>
      <c r="Q914" s="22" t="str">
        <f>IF(AND($M914=$O$7,$B914&lt;'111'!$N$11),"x","")</f>
        <v/>
      </c>
      <c r="R914" s="22" t="str">
        <f>IF(ISERROR(FIND('112'!$M$9,G914,1)),"",IF((AND(FIND('112'!$M$9,G914,1)&gt;=1,$B914&gt;='112'!$N$8,$B914&lt;='112'!$O$8,OR($L914='112'!$I$6,$M914='112'!$I$6))),"x",""))</f>
        <v/>
      </c>
      <c r="S914" s="22" t="str">
        <f>IF(ISERROR(FIND('112'!$M$9,G914,1)),"",IF((AND(LEFT(G914,2)=LEFT('112'!$M$9,2),B914&lt;'112'!$N$8,$L914='112'!$I$6)),"x",""))</f>
        <v/>
      </c>
      <c r="T914" s="22" t="str">
        <f>IF(ISERROR(FIND('112'!$M$9,G914,1)),"",IF((AND(RIGHT(G914,2)=RIGHT('112'!$M$9,2),B914&lt;'112'!$N$8,$M914='112'!$I$6)),"x",""))</f>
        <v/>
      </c>
      <c r="U914" s="22" t="str">
        <f>IF(AND(B914&gt;='IN-NX'!$P$3,B914&lt;='IN-NX'!$Q$3,'IN-NX'!$D$7=D914,OR(LEFT(L914,2)="15",AND(LEFT(M914,2)&lt;&gt;"15",LEFT(M914,2)&lt;&gt;"33"))),"x","")</f>
        <v/>
      </c>
      <c r="V914" s="22" t="str">
        <f>IF(AND(OR(LEFT(TH!L914,2)="15",LEFT(TH!M914,2)="15"),'152-CT'!$J$8=TH!F914),"x","")</f>
        <v/>
      </c>
      <c r="W914" s="22" t="str">
        <f>IF(AND(OR(LEFT(TH!L914,2)="15",LEFT(TH!M914,2)="15"),TK!$E$7=TH!F914),"x","")</f>
        <v/>
      </c>
      <c r="X914" s="22" t="str">
        <f>IF(OR(TH!L914=TH!$X$7,M914=TH!$X$7),"x","")</f>
        <v/>
      </c>
      <c r="Y914" s="22" t="str">
        <f>IF(AND(B914&lt;=NKC!$N$8,B914&gt;=NKC!$M$8),"x","")</f>
        <v>x</v>
      </c>
      <c r="Z914" s="581"/>
      <c r="AA914" s="406"/>
      <c r="AB914" s="406"/>
    </row>
    <row r="915" spans="1:31" s="130" customFormat="1" ht="15.75" customHeight="1">
      <c r="A915" s="123" t="str">
        <f>IF(B915&lt;&gt;"",IF(AND(B915&gt;=_TM1,B915&lt;=_TM2,OR(TH!L915="1111",TH!M915="1111")),TH!D915,""),"")</f>
        <v/>
      </c>
      <c r="B915" s="12">
        <f t="shared" si="42"/>
        <v>8</v>
      </c>
      <c r="C915" s="108">
        <f t="shared" si="40"/>
        <v>42584</v>
      </c>
      <c r="D915" s="113" t="s">
        <v>1073</v>
      </c>
      <c r="E915" s="486">
        <v>42584</v>
      </c>
      <c r="F915" s="167" t="s">
        <v>520</v>
      </c>
      <c r="G915" s="487" t="s">
        <v>717</v>
      </c>
      <c r="H915" s="115" t="s">
        <v>1074</v>
      </c>
      <c r="I915" s="139">
        <v>1335</v>
      </c>
      <c r="J915" s="139">
        <v>6759.6263251107994</v>
      </c>
      <c r="K915" s="13">
        <f t="shared" si="46"/>
        <v>9024101</v>
      </c>
      <c r="L915" s="116" t="s">
        <v>162</v>
      </c>
      <c r="M915" s="116" t="s">
        <v>160</v>
      </c>
      <c r="N915" s="22" t="str">
        <f>IF(AND('331-CT'!$E$7=TH!H915,OR(L915="331",M915="331")),"331",IF(AND(OR(L915="131",M915="131"),H915='131-CT'!$E$7),"131",""))</f>
        <v/>
      </c>
      <c r="O915" s="22" t="str">
        <f>IF(AND($B915&gt;='111'!$N$11,$B915&lt;='111'!$O$11,OR($L915=$O$7,$M915=$O$7)),"x","")</f>
        <v/>
      </c>
      <c r="P915" s="22" t="str">
        <f>IF(AND($L915=$O$7,$B915&lt;'111'!$N$11),"x","")</f>
        <v/>
      </c>
      <c r="Q915" s="22" t="str">
        <f>IF(AND($M915=$O$7,$B915&lt;'111'!$N$11),"x","")</f>
        <v/>
      </c>
      <c r="R915" s="22" t="str">
        <f>IF(ISERROR(FIND('112'!$M$9,G915,1)),"",IF((AND(FIND('112'!$M$9,G915,1)&gt;=1,$B915&gt;='112'!$N$8,$B915&lt;='112'!$O$8,OR($L915='112'!$I$6,$M915='112'!$I$6))),"x",""))</f>
        <v/>
      </c>
      <c r="S915" s="22" t="str">
        <f>IF(ISERROR(FIND('112'!$M$9,G915,1)),"",IF((AND(LEFT(G915,2)=LEFT('112'!$M$9,2),B915&lt;'112'!$N$8,$L915='112'!$I$6)),"x",""))</f>
        <v/>
      </c>
      <c r="T915" s="22" t="str">
        <f>IF(ISERROR(FIND('112'!$M$9,G915,1)),"",IF((AND(RIGHT(G915,2)=RIGHT('112'!$M$9,2),B915&lt;'112'!$N$8,$M915='112'!$I$6)),"x",""))</f>
        <v/>
      </c>
      <c r="U915" s="22" t="str">
        <f>IF(AND(B915&gt;='IN-NX'!$P$3,B915&lt;='IN-NX'!$Q$3,'IN-NX'!$D$7=D915,OR(LEFT(L915,2)="15",AND(LEFT(M915,2)&lt;&gt;"15",LEFT(M915,2)&lt;&gt;"33"))),"x","")</f>
        <v/>
      </c>
      <c r="V915" s="22" t="str">
        <f>IF(AND(OR(LEFT(TH!L915,2)="15",LEFT(TH!M915,2)="15"),'152-CT'!$J$8=TH!F915),"x","")</f>
        <v/>
      </c>
      <c r="W915" s="22" t="str">
        <f>IF(AND(OR(LEFT(TH!L915,2)="15",LEFT(TH!M915,2)="15"),TK!$E$7=TH!F915),"x","")</f>
        <v/>
      </c>
      <c r="X915" s="22" t="str">
        <f>IF(OR(TH!L915=TH!$X$7,M915=TH!$X$7),"x","")</f>
        <v/>
      </c>
      <c r="Y915" s="22" t="str">
        <f>IF(AND(B915&lt;=NKC!$N$8,B915&gt;=NKC!$M$8),"x","")</f>
        <v>x</v>
      </c>
      <c r="Z915" s="581"/>
      <c r="AA915" s="406"/>
      <c r="AB915" s="406"/>
      <c r="AD915" s="406"/>
      <c r="AE915" s="406"/>
    </row>
    <row r="916" spans="1:31" s="130" customFormat="1" ht="15.75" customHeight="1">
      <c r="A916" s="123" t="str">
        <f>IF(B916&lt;&gt;"",IF(AND(B916&gt;=_TM1,B916&lt;=_TM2,OR(TH!L916="1111",TH!M916="1111")),TH!D916,""),"")</f>
        <v/>
      </c>
      <c r="B916" s="12">
        <f t="shared" si="42"/>
        <v>8</v>
      </c>
      <c r="C916" s="108">
        <f t="shared" si="40"/>
        <v>42584</v>
      </c>
      <c r="D916" s="113" t="s">
        <v>1073</v>
      </c>
      <c r="E916" s="486">
        <v>42584</v>
      </c>
      <c r="F916" s="167" t="s">
        <v>521</v>
      </c>
      <c r="G916" s="487" t="s">
        <v>717</v>
      </c>
      <c r="H916" s="115" t="s">
        <v>1074</v>
      </c>
      <c r="I916" s="139">
        <v>302</v>
      </c>
      <c r="J916" s="139">
        <v>6100.1505860755997</v>
      </c>
      <c r="K916" s="13">
        <f t="shared" si="46"/>
        <v>1842245</v>
      </c>
      <c r="L916" s="116" t="s">
        <v>162</v>
      </c>
      <c r="M916" s="116" t="s">
        <v>160</v>
      </c>
      <c r="N916" s="22" t="str">
        <f>IF(AND('331-CT'!$E$7=TH!H916,OR(L916="331",M916="331")),"331",IF(AND(OR(L916="131",M916="131"),H916='131-CT'!$E$7),"131",""))</f>
        <v/>
      </c>
      <c r="O916" s="22" t="str">
        <f>IF(AND($B916&gt;='111'!$N$11,$B916&lt;='111'!$O$11,OR($L916=$O$7,$M916=$O$7)),"x","")</f>
        <v/>
      </c>
      <c r="P916" s="22" t="str">
        <f>IF(AND($L916=$O$7,$B916&lt;'111'!$N$11),"x","")</f>
        <v/>
      </c>
      <c r="Q916" s="22" t="str">
        <f>IF(AND($M916=$O$7,$B916&lt;'111'!$N$11),"x","")</f>
        <v/>
      </c>
      <c r="R916" s="22" t="str">
        <f>IF(ISERROR(FIND('112'!$M$9,G916,1)),"",IF((AND(FIND('112'!$M$9,G916,1)&gt;=1,$B916&gt;='112'!$N$8,$B916&lt;='112'!$O$8,OR($L916='112'!$I$6,$M916='112'!$I$6))),"x",""))</f>
        <v/>
      </c>
      <c r="S916" s="22" t="str">
        <f>IF(ISERROR(FIND('112'!$M$9,G916,1)),"",IF((AND(LEFT(G916,2)=LEFT('112'!$M$9,2),B916&lt;'112'!$N$8,$L916='112'!$I$6)),"x",""))</f>
        <v/>
      </c>
      <c r="T916" s="22" t="str">
        <f>IF(ISERROR(FIND('112'!$M$9,G916,1)),"",IF((AND(RIGHT(G916,2)=RIGHT('112'!$M$9,2),B916&lt;'112'!$N$8,$M916='112'!$I$6)),"x",""))</f>
        <v/>
      </c>
      <c r="U916" s="22" t="str">
        <f>IF(AND(B916&gt;='IN-NX'!$P$3,B916&lt;='IN-NX'!$Q$3,'IN-NX'!$D$7=D916,OR(LEFT(L916,2)="15",AND(LEFT(M916,2)&lt;&gt;"15",LEFT(M916,2)&lt;&gt;"33"))),"x","")</f>
        <v/>
      </c>
      <c r="V916" s="22" t="str">
        <f>IF(AND(OR(LEFT(TH!L916,2)="15",LEFT(TH!M916,2)="15"),'152-CT'!$J$8=TH!F916),"x","")</f>
        <v/>
      </c>
      <c r="W916" s="22" t="str">
        <f>IF(AND(OR(LEFT(TH!L916,2)="15",LEFT(TH!M916,2)="15"),TK!$E$7=TH!F916),"x","")</f>
        <v/>
      </c>
      <c r="X916" s="22" t="str">
        <f>IF(OR(TH!L916=TH!$X$7,M916=TH!$X$7),"x","")</f>
        <v/>
      </c>
      <c r="Y916" s="22" t="str">
        <f>IF(AND(B916&lt;=NKC!$N$8,B916&gt;=NKC!$M$8),"x","")</f>
        <v>x</v>
      </c>
      <c r="Z916" s="581"/>
      <c r="AA916" s="406"/>
      <c r="AD916" s="406"/>
      <c r="AE916" s="406"/>
    </row>
    <row r="917" spans="1:31" s="130" customFormat="1" ht="15.75" customHeight="1">
      <c r="A917" s="123" t="str">
        <f>IF(B917&lt;&gt;"",IF(AND(B917&gt;=_TM1,B917&lt;=_TM2,OR(TH!L917="1111",TH!M917="1111")),TH!D917,""),"")</f>
        <v/>
      </c>
      <c r="B917" s="12">
        <f t="shared" si="42"/>
        <v>8</v>
      </c>
      <c r="C917" s="108">
        <f t="shared" ref="C917:C925" si="47">E917</f>
        <v>42584</v>
      </c>
      <c r="D917" s="113" t="s">
        <v>1073</v>
      </c>
      <c r="E917" s="486">
        <v>42584</v>
      </c>
      <c r="F917" s="167" t="s">
        <v>522</v>
      </c>
      <c r="G917" s="487" t="s">
        <v>717</v>
      </c>
      <c r="H917" s="115" t="s">
        <v>1074</v>
      </c>
      <c r="I917" s="139">
        <v>420</v>
      </c>
      <c r="J917" s="139">
        <v>13024.645845945199</v>
      </c>
      <c r="K917" s="13">
        <f t="shared" si="46"/>
        <v>5470351</v>
      </c>
      <c r="L917" s="116" t="s">
        <v>162</v>
      </c>
      <c r="M917" s="116" t="s">
        <v>160</v>
      </c>
      <c r="N917" s="22" t="str">
        <f>IF(AND('331-CT'!$E$7=TH!H917,OR(L917="331",M917="331")),"331",IF(AND(OR(L917="131",M917="131"),H917='131-CT'!$E$7),"131",""))</f>
        <v/>
      </c>
      <c r="O917" s="22" t="str">
        <f>IF(AND($B917&gt;='111'!$N$11,$B917&lt;='111'!$O$11,OR($L917=$O$7,$M917=$O$7)),"x","")</f>
        <v/>
      </c>
      <c r="P917" s="22" t="str">
        <f>IF(AND($L917=$O$7,$B917&lt;'111'!$N$11),"x","")</f>
        <v/>
      </c>
      <c r="Q917" s="22" t="str">
        <f>IF(AND($M917=$O$7,$B917&lt;'111'!$N$11),"x","")</f>
        <v/>
      </c>
      <c r="R917" s="22" t="str">
        <f>IF(ISERROR(FIND('112'!$M$9,G917,1)),"",IF((AND(FIND('112'!$M$9,G917,1)&gt;=1,$B917&gt;='112'!$N$8,$B917&lt;='112'!$O$8,OR($L917='112'!$I$6,$M917='112'!$I$6))),"x",""))</f>
        <v/>
      </c>
      <c r="S917" s="22" t="str">
        <f>IF(ISERROR(FIND('112'!$M$9,G917,1)),"",IF((AND(LEFT(G917,2)=LEFT('112'!$M$9,2),B917&lt;'112'!$N$8,$L917='112'!$I$6)),"x",""))</f>
        <v/>
      </c>
      <c r="T917" s="22" t="str">
        <f>IF(ISERROR(FIND('112'!$M$9,G917,1)),"",IF((AND(RIGHT(G917,2)=RIGHT('112'!$M$9,2),B917&lt;'112'!$N$8,$M917='112'!$I$6)),"x",""))</f>
        <v/>
      </c>
      <c r="U917" s="22" t="str">
        <f>IF(AND(B917&gt;='IN-NX'!$P$3,B917&lt;='IN-NX'!$Q$3,'IN-NX'!$D$7=D917,OR(LEFT(L917,2)="15",AND(LEFT(M917,2)&lt;&gt;"15",LEFT(M917,2)&lt;&gt;"33"))),"x","")</f>
        <v/>
      </c>
      <c r="V917" s="22" t="str">
        <f>IF(AND(OR(LEFT(TH!L917,2)="15",LEFT(TH!M917,2)="15"),'152-CT'!$J$8=TH!F917),"x","")</f>
        <v/>
      </c>
      <c r="W917" s="22" t="str">
        <f>IF(AND(OR(LEFT(TH!L917,2)="15",LEFT(TH!M917,2)="15"),TK!$E$7=TH!F917),"x","")</f>
        <v/>
      </c>
      <c r="X917" s="22" t="str">
        <f>IF(OR(TH!L917=TH!$X$7,M917=TH!$X$7),"x","")</f>
        <v/>
      </c>
      <c r="Y917" s="22" t="str">
        <f>IF(AND(B917&lt;=NKC!$N$8,B917&gt;=NKC!$M$8),"x","")</f>
        <v>x</v>
      </c>
      <c r="Z917" s="581"/>
      <c r="AA917" s="406"/>
      <c r="AB917" s="406"/>
    </row>
    <row r="918" spans="1:31" s="130" customFormat="1" ht="15.75" customHeight="1">
      <c r="A918" s="123" t="str">
        <f>IF(B918&lt;&gt;"",IF(AND(B918&gt;=_TM1,B918&lt;=_TM2,OR(TH!L918="1111",TH!M918="1111")),TH!D918,""),"")</f>
        <v/>
      </c>
      <c r="B918" s="12">
        <f t="shared" si="42"/>
        <v>8</v>
      </c>
      <c r="C918" s="108">
        <f t="shared" si="47"/>
        <v>42585</v>
      </c>
      <c r="D918" s="113" t="s">
        <v>1073</v>
      </c>
      <c r="E918" s="486">
        <v>42585</v>
      </c>
      <c r="F918" s="167" t="s">
        <v>523</v>
      </c>
      <c r="G918" s="487" t="s">
        <v>718</v>
      </c>
      <c r="H918" s="115" t="s">
        <v>1074</v>
      </c>
      <c r="I918" s="139">
        <v>427</v>
      </c>
      <c r="J918" s="139">
        <v>7913.7088684223991</v>
      </c>
      <c r="K918" s="13">
        <f t="shared" si="46"/>
        <v>3379154</v>
      </c>
      <c r="L918" s="116" t="s">
        <v>162</v>
      </c>
      <c r="M918" s="116" t="s">
        <v>160</v>
      </c>
      <c r="N918" s="22" t="str">
        <f>IF(AND('331-CT'!$E$7=TH!H918,OR(L918="331",M918="331")),"331",IF(AND(OR(L918="131",M918="131"),H918='131-CT'!$E$7),"131",""))</f>
        <v/>
      </c>
      <c r="O918" s="22" t="str">
        <f>IF(AND($B918&gt;='111'!$N$11,$B918&lt;='111'!$O$11,OR($L918=$O$7,$M918=$O$7)),"x","")</f>
        <v/>
      </c>
      <c r="P918" s="22" t="str">
        <f>IF(AND($L918=$O$7,$B918&lt;'111'!$N$11),"x","")</f>
        <v/>
      </c>
      <c r="Q918" s="22" t="str">
        <f>IF(AND($M918=$O$7,$B918&lt;'111'!$N$11),"x","")</f>
        <v/>
      </c>
      <c r="R918" s="22" t="str">
        <f>IF(ISERROR(FIND('112'!$M$9,G918,1)),"",IF((AND(FIND('112'!$M$9,G918,1)&gt;=1,$B918&gt;='112'!$N$8,$B918&lt;='112'!$O$8,OR($L918='112'!$I$6,$M918='112'!$I$6))),"x",""))</f>
        <v/>
      </c>
      <c r="S918" s="22" t="str">
        <f>IF(ISERROR(FIND('112'!$M$9,G918,1)),"",IF((AND(LEFT(G918,2)=LEFT('112'!$M$9,2),B918&lt;'112'!$N$8,$L918='112'!$I$6)),"x",""))</f>
        <v/>
      </c>
      <c r="T918" s="22" t="str">
        <f>IF(ISERROR(FIND('112'!$M$9,G918,1)),"",IF((AND(RIGHT(G918,2)=RIGHT('112'!$M$9,2),B918&lt;'112'!$N$8,$M918='112'!$I$6)),"x",""))</f>
        <v/>
      </c>
      <c r="U918" s="22" t="str">
        <f>IF(AND(B918&gt;='IN-NX'!$P$3,B918&lt;='IN-NX'!$Q$3,'IN-NX'!$D$7=D918,OR(LEFT(L918,2)="15",AND(LEFT(M918,2)&lt;&gt;"15",LEFT(M918,2)&lt;&gt;"33"))),"x","")</f>
        <v/>
      </c>
      <c r="V918" s="22" t="str">
        <f>IF(AND(OR(LEFT(TH!L918,2)="15",LEFT(TH!M918,2)="15"),'152-CT'!$J$8=TH!F918),"x","")</f>
        <v/>
      </c>
      <c r="W918" s="22" t="str">
        <f>IF(AND(OR(LEFT(TH!L918,2)="15",LEFT(TH!M918,2)="15"),TK!$E$7=TH!F918),"x","")</f>
        <v/>
      </c>
      <c r="X918" s="22" t="str">
        <f>IF(OR(TH!L918=TH!$X$7,M918=TH!$X$7),"x","")</f>
        <v/>
      </c>
      <c r="Y918" s="22" t="str">
        <f>IF(AND(B918&lt;=NKC!$N$8,B918&gt;=NKC!$M$8),"x","")</f>
        <v>x</v>
      </c>
      <c r="Z918" s="581"/>
      <c r="AA918" s="406"/>
      <c r="AB918" s="406"/>
      <c r="AC918" s="406"/>
    </row>
    <row r="919" spans="1:31" s="130" customFormat="1" ht="15.75" customHeight="1">
      <c r="A919" s="123" t="str">
        <f>IF(B919&lt;&gt;"",IF(AND(B919&gt;=_TM1,B919&lt;=_TM2,OR(TH!L919="1111",TH!M919="1111")),TH!D919,""),"")</f>
        <v/>
      </c>
      <c r="B919" s="12">
        <f t="shared" si="42"/>
        <v>8</v>
      </c>
      <c r="C919" s="108">
        <f t="shared" si="47"/>
        <v>42588</v>
      </c>
      <c r="D919" s="113" t="s">
        <v>1073</v>
      </c>
      <c r="E919" s="486">
        <v>42588</v>
      </c>
      <c r="F919" s="167" t="s">
        <v>538</v>
      </c>
      <c r="G919" s="487" t="s">
        <v>719</v>
      </c>
      <c r="H919" s="115" t="s">
        <v>1074</v>
      </c>
      <c r="I919" s="139">
        <v>108</v>
      </c>
      <c r="J919" s="139">
        <v>6429.8884555932</v>
      </c>
      <c r="K919" s="13">
        <f t="shared" si="46"/>
        <v>694428</v>
      </c>
      <c r="L919" s="116" t="s">
        <v>162</v>
      </c>
      <c r="M919" s="116" t="s">
        <v>160</v>
      </c>
      <c r="N919" s="22" t="str">
        <f>IF(AND('331-CT'!$E$7=TH!H919,OR(L919="331",M919="331")),"331",IF(AND(OR(L919="131",M919="131"),H919='131-CT'!$E$7),"131",""))</f>
        <v/>
      </c>
      <c r="O919" s="22" t="str">
        <f>IF(AND($B919&gt;='111'!$N$11,$B919&lt;='111'!$O$11,OR($L919=$O$7,$M919=$O$7)),"x","")</f>
        <v/>
      </c>
      <c r="P919" s="22" t="str">
        <f>IF(AND($L919=$O$7,$B919&lt;'111'!$N$11),"x","")</f>
        <v/>
      </c>
      <c r="Q919" s="22" t="str">
        <f>IF(AND($M919=$O$7,$B919&lt;'111'!$N$11),"x","")</f>
        <v/>
      </c>
      <c r="R919" s="22" t="str">
        <f>IF(ISERROR(FIND('112'!$M$9,G919,1)),"",IF((AND(FIND('112'!$M$9,G919,1)&gt;=1,$B919&gt;='112'!$N$8,$B919&lt;='112'!$O$8,OR($L919='112'!$I$6,$M919='112'!$I$6))),"x",""))</f>
        <v/>
      </c>
      <c r="S919" s="22" t="str">
        <f>IF(ISERROR(FIND('112'!$M$9,G919,1)),"",IF((AND(LEFT(G919,2)=LEFT('112'!$M$9,2),B919&lt;'112'!$N$8,$L919='112'!$I$6)),"x",""))</f>
        <v/>
      </c>
      <c r="T919" s="22" t="str">
        <f>IF(ISERROR(FIND('112'!$M$9,G919,1)),"",IF((AND(RIGHT(G919,2)=RIGHT('112'!$M$9,2),B919&lt;'112'!$N$8,$M919='112'!$I$6)),"x",""))</f>
        <v/>
      </c>
      <c r="U919" s="22" t="str">
        <f>IF(AND(B919&gt;='IN-NX'!$P$3,B919&lt;='IN-NX'!$Q$3,'IN-NX'!$D$7=D919,OR(LEFT(L919,2)="15",AND(LEFT(M919,2)&lt;&gt;"15",LEFT(M919,2)&lt;&gt;"33"))),"x","")</f>
        <v/>
      </c>
      <c r="V919" s="22" t="str">
        <f>IF(AND(OR(LEFT(TH!L919,2)="15",LEFT(TH!M919,2)="15"),'152-CT'!$J$8=TH!F919),"x","")</f>
        <v/>
      </c>
      <c r="W919" s="22" t="str">
        <f>IF(AND(OR(LEFT(TH!L919,2)="15",LEFT(TH!M919,2)="15"),TK!$E$7=TH!F919),"x","")</f>
        <v/>
      </c>
      <c r="X919" s="22" t="str">
        <f>IF(OR(TH!L919=TH!$X$7,M919=TH!$X$7),"x","")</f>
        <v/>
      </c>
      <c r="Y919" s="22" t="str">
        <f>IF(AND(B919&lt;=NKC!$N$8,B919&gt;=NKC!$M$8),"x","")</f>
        <v>x</v>
      </c>
      <c r="Z919" s="581"/>
      <c r="AA919" s="406"/>
      <c r="AB919" s="406"/>
      <c r="AD919" s="406"/>
      <c r="AE919" s="406"/>
    </row>
    <row r="920" spans="1:31" s="130" customFormat="1" ht="15.75" customHeight="1">
      <c r="A920" s="123" t="str">
        <f>IF(B920&lt;&gt;"",IF(AND(B920&gt;=_TM1,B920&lt;=_TM2,OR(TH!L920="1111",TH!M920="1111")),TH!D920,""),"")</f>
        <v/>
      </c>
      <c r="B920" s="12">
        <f t="shared" si="42"/>
        <v>8</v>
      </c>
      <c r="C920" s="108">
        <f t="shared" si="47"/>
        <v>42588</v>
      </c>
      <c r="D920" s="113" t="s">
        <v>1073</v>
      </c>
      <c r="E920" s="486">
        <v>42588</v>
      </c>
      <c r="F920" s="167" t="s">
        <v>664</v>
      </c>
      <c r="G920" s="487" t="s">
        <v>719</v>
      </c>
      <c r="H920" s="115" t="s">
        <v>1074</v>
      </c>
      <c r="I920" s="139">
        <v>103</v>
      </c>
      <c r="J920" s="139">
        <v>7748.8399336635994</v>
      </c>
      <c r="K920" s="13">
        <f t="shared" si="46"/>
        <v>798131</v>
      </c>
      <c r="L920" s="116" t="s">
        <v>162</v>
      </c>
      <c r="M920" s="116" t="s">
        <v>160</v>
      </c>
      <c r="N920" s="22" t="str">
        <f>IF(AND('331-CT'!$E$7=TH!H920,OR(L920="331",M920="331")),"331",IF(AND(OR(L920="131",M920="131"),H920='131-CT'!$E$7),"131",""))</f>
        <v/>
      </c>
      <c r="O920" s="22" t="str">
        <f>IF(AND($B920&gt;='111'!$N$11,$B920&lt;='111'!$O$11,OR($L920=$O$7,$M920=$O$7)),"x","")</f>
        <v/>
      </c>
      <c r="P920" s="22" t="str">
        <f>IF(AND($L920=$O$7,$B920&lt;'111'!$N$11),"x","")</f>
        <v/>
      </c>
      <c r="Q920" s="22" t="str">
        <f>IF(AND($M920=$O$7,$B920&lt;'111'!$N$11),"x","")</f>
        <v/>
      </c>
      <c r="R920" s="22" t="str">
        <f>IF(ISERROR(FIND('112'!$M$9,G920,1)),"",IF((AND(FIND('112'!$M$9,G920,1)&gt;=1,$B920&gt;='112'!$N$8,$B920&lt;='112'!$O$8,OR($L920='112'!$I$6,$M920='112'!$I$6))),"x",""))</f>
        <v/>
      </c>
      <c r="S920" s="22" t="str">
        <f>IF(ISERROR(FIND('112'!$M$9,G920,1)),"",IF((AND(LEFT(G920,2)=LEFT('112'!$M$9,2),B920&lt;'112'!$N$8,$L920='112'!$I$6)),"x",""))</f>
        <v/>
      </c>
      <c r="T920" s="22" t="str">
        <f>IF(ISERROR(FIND('112'!$M$9,G920,1)),"",IF((AND(RIGHT(G920,2)=RIGHT('112'!$M$9,2),B920&lt;'112'!$N$8,$M920='112'!$I$6)),"x",""))</f>
        <v/>
      </c>
      <c r="U920" s="22" t="str">
        <f>IF(AND(B920&gt;='IN-NX'!$P$3,B920&lt;='IN-NX'!$Q$3,'IN-NX'!$D$7=D920,OR(LEFT(L920,2)="15",AND(LEFT(M920,2)&lt;&gt;"15",LEFT(M920,2)&lt;&gt;"33"))),"x","")</f>
        <v/>
      </c>
      <c r="V920" s="22" t="str">
        <f>IF(AND(OR(LEFT(TH!L920,2)="15",LEFT(TH!M920,2)="15"),'152-CT'!$J$8=TH!F920),"x","")</f>
        <v/>
      </c>
      <c r="W920" s="22" t="str">
        <f>IF(AND(OR(LEFT(TH!L920,2)="15",LEFT(TH!M920,2)="15"),TK!$E$7=TH!F920),"x","")</f>
        <v/>
      </c>
      <c r="X920" s="22" t="str">
        <f>IF(OR(TH!L920=TH!$X$7,M920=TH!$X$7),"x","")</f>
        <v/>
      </c>
      <c r="Y920" s="22" t="str">
        <f>IF(AND(B920&lt;=NKC!$N$8,B920&gt;=NKC!$M$8),"x","")</f>
        <v>x</v>
      </c>
      <c r="Z920" s="581"/>
      <c r="AA920" s="406"/>
      <c r="AD920" s="406"/>
      <c r="AE920" s="406"/>
    </row>
    <row r="921" spans="1:31" s="130" customFormat="1" ht="15.75" customHeight="1">
      <c r="A921" s="123" t="str">
        <f>IF(B921&lt;&gt;"",IF(AND(B921&gt;=_TM1,B921&lt;=_TM2,OR(TH!L921="1111",TH!M921="1111")),TH!D921,""),"")</f>
        <v/>
      </c>
      <c r="B921" s="12">
        <f t="shared" si="42"/>
        <v>8</v>
      </c>
      <c r="C921" s="108">
        <f t="shared" si="47"/>
        <v>42591</v>
      </c>
      <c r="D921" s="113" t="s">
        <v>1073</v>
      </c>
      <c r="E921" s="486">
        <v>42591</v>
      </c>
      <c r="F921" s="167" t="s">
        <v>524</v>
      </c>
      <c r="G921" s="487" t="s">
        <v>720</v>
      </c>
      <c r="H921" s="115" t="s">
        <v>1074</v>
      </c>
      <c r="I921" s="139">
        <v>490</v>
      </c>
      <c r="J921" s="139">
        <v>6017.7161186961994</v>
      </c>
      <c r="K921" s="13">
        <f t="shared" si="46"/>
        <v>2948681</v>
      </c>
      <c r="L921" s="116" t="s">
        <v>162</v>
      </c>
      <c r="M921" s="116" t="s">
        <v>160</v>
      </c>
      <c r="N921" s="22" t="str">
        <f>IF(AND('331-CT'!$E$7=TH!H921,OR(L921="331",M921="331")),"331",IF(AND(OR(L921="131",M921="131"),H921='131-CT'!$E$7),"131",""))</f>
        <v/>
      </c>
      <c r="O921" s="22" t="str">
        <f>IF(AND($B921&gt;='111'!$N$11,$B921&lt;='111'!$O$11,OR($L921=$O$7,$M921=$O$7)),"x","")</f>
        <v/>
      </c>
      <c r="P921" s="22" t="str">
        <f>IF(AND($L921=$O$7,$B921&lt;'111'!$N$11),"x","")</f>
        <v/>
      </c>
      <c r="Q921" s="22" t="str">
        <f>IF(AND($M921=$O$7,$B921&lt;'111'!$N$11),"x","")</f>
        <v/>
      </c>
      <c r="R921" s="22" t="str">
        <f>IF(ISERROR(FIND('112'!$M$9,G921,1)),"",IF((AND(FIND('112'!$M$9,G921,1)&gt;=1,$B921&gt;='112'!$N$8,$B921&lt;='112'!$O$8,OR($L921='112'!$I$6,$M921='112'!$I$6))),"x",""))</f>
        <v/>
      </c>
      <c r="S921" s="22" t="str">
        <f>IF(ISERROR(FIND('112'!$M$9,G921,1)),"",IF((AND(LEFT(G921,2)=LEFT('112'!$M$9,2),B921&lt;'112'!$N$8,$L921='112'!$I$6)),"x",""))</f>
        <v/>
      </c>
      <c r="T921" s="22" t="str">
        <f>IF(ISERROR(FIND('112'!$M$9,G921,1)),"",IF((AND(RIGHT(G921,2)=RIGHT('112'!$M$9,2),B921&lt;'112'!$N$8,$M921='112'!$I$6)),"x",""))</f>
        <v/>
      </c>
      <c r="U921" s="22" t="str">
        <f>IF(AND(B921&gt;='IN-NX'!$P$3,B921&lt;='IN-NX'!$Q$3,'IN-NX'!$D$7=D921,OR(LEFT(L921,2)="15",AND(LEFT(M921,2)&lt;&gt;"15",LEFT(M921,2)&lt;&gt;"33"))),"x","")</f>
        <v/>
      </c>
      <c r="V921" s="22" t="str">
        <f>IF(AND(OR(LEFT(TH!L921,2)="15",LEFT(TH!M921,2)="15"),'152-CT'!$J$8=TH!F921),"x","")</f>
        <v/>
      </c>
      <c r="W921" s="22" t="str">
        <f>IF(AND(OR(LEFT(TH!L921,2)="15",LEFT(TH!M921,2)="15"),TK!$E$7=TH!F921),"x","")</f>
        <v/>
      </c>
      <c r="X921" s="22" t="str">
        <f>IF(OR(TH!L921=TH!$X$7,M921=TH!$X$7),"x","")</f>
        <v/>
      </c>
      <c r="Y921" s="22" t="str">
        <f>IF(AND(B921&lt;=NKC!$N$8,B921&gt;=NKC!$M$8),"x","")</f>
        <v>x</v>
      </c>
      <c r="Z921" s="581"/>
      <c r="AA921" s="406"/>
      <c r="AB921" s="406"/>
      <c r="AC921" s="406"/>
    </row>
    <row r="922" spans="1:31" s="130" customFormat="1" ht="15.75" customHeight="1">
      <c r="A922" s="123" t="str">
        <f>IF(B922&lt;&gt;"",IF(AND(B922&gt;=_TM1,B922&lt;=_TM2,OR(TH!L922="1111",TH!M922="1111")),TH!D922,""),"")</f>
        <v/>
      </c>
      <c r="B922" s="12">
        <f t="shared" si="42"/>
        <v>8</v>
      </c>
      <c r="C922" s="108">
        <f t="shared" si="47"/>
        <v>42592</v>
      </c>
      <c r="D922" s="113" t="s">
        <v>1073</v>
      </c>
      <c r="E922" s="486">
        <v>42592</v>
      </c>
      <c r="F922" s="167" t="s">
        <v>526</v>
      </c>
      <c r="G922" s="487" t="s">
        <v>721</v>
      </c>
      <c r="H922" s="115" t="s">
        <v>1074</v>
      </c>
      <c r="I922" s="139">
        <v>403</v>
      </c>
      <c r="J922" s="139">
        <v>15497.679867327199</v>
      </c>
      <c r="K922" s="13">
        <f t="shared" si="46"/>
        <v>6245565</v>
      </c>
      <c r="L922" s="116" t="s">
        <v>162</v>
      </c>
      <c r="M922" s="116" t="s">
        <v>160</v>
      </c>
      <c r="N922" s="22" t="str">
        <f>IF(AND('331-CT'!$E$7=TH!H922,OR(L922="331",M922="331")),"331",IF(AND(OR(L922="131",M922="131"),H922='131-CT'!$E$7),"131",""))</f>
        <v/>
      </c>
      <c r="O922" s="22" t="str">
        <f>IF(AND($B922&gt;='111'!$N$11,$B922&lt;='111'!$O$11,OR($L922=$O$7,$M922=$O$7)),"x","")</f>
        <v/>
      </c>
      <c r="P922" s="22" t="str">
        <f>IF(AND($L922=$O$7,$B922&lt;'111'!$N$11),"x","")</f>
        <v/>
      </c>
      <c r="Q922" s="22" t="str">
        <f>IF(AND($M922=$O$7,$B922&lt;'111'!$N$11),"x","")</f>
        <v/>
      </c>
      <c r="R922" s="22" t="str">
        <f>IF(ISERROR(FIND('112'!$M$9,G922,1)),"",IF((AND(FIND('112'!$M$9,G922,1)&gt;=1,$B922&gt;='112'!$N$8,$B922&lt;='112'!$O$8,OR($L922='112'!$I$6,$M922='112'!$I$6))),"x",""))</f>
        <v/>
      </c>
      <c r="S922" s="22" t="str">
        <f>IF(ISERROR(FIND('112'!$M$9,G922,1)),"",IF((AND(LEFT(G922,2)=LEFT('112'!$M$9,2),B922&lt;'112'!$N$8,$L922='112'!$I$6)),"x",""))</f>
        <v/>
      </c>
      <c r="T922" s="22" t="str">
        <f>IF(ISERROR(FIND('112'!$M$9,G922,1)),"",IF((AND(RIGHT(G922,2)=RIGHT('112'!$M$9,2),B922&lt;'112'!$N$8,$M922='112'!$I$6)),"x",""))</f>
        <v/>
      </c>
      <c r="U922" s="22" t="str">
        <f>IF(AND(B922&gt;='IN-NX'!$P$3,B922&lt;='IN-NX'!$Q$3,'IN-NX'!$D$7=D922,OR(LEFT(L922,2)="15",AND(LEFT(M922,2)&lt;&gt;"15",LEFT(M922,2)&lt;&gt;"33"))),"x","")</f>
        <v/>
      </c>
      <c r="V922" s="22" t="str">
        <f>IF(AND(OR(LEFT(TH!L922,2)="15",LEFT(TH!M922,2)="15"),'152-CT'!$J$8=TH!F922),"x","")</f>
        <v/>
      </c>
      <c r="W922" s="22" t="str">
        <f>IF(AND(OR(LEFT(TH!L922,2)="15",LEFT(TH!M922,2)="15"),TK!$E$7=TH!F922),"x","")</f>
        <v/>
      </c>
      <c r="X922" s="22" t="str">
        <f>IF(OR(TH!L922=TH!$X$7,M922=TH!$X$7),"x","")</f>
        <v/>
      </c>
      <c r="Y922" s="22" t="str">
        <f>IF(AND(B922&lt;=NKC!$N$8,B922&gt;=NKC!$M$8),"x","")</f>
        <v>x</v>
      </c>
      <c r="Z922" s="581"/>
      <c r="AA922" s="406"/>
      <c r="AB922" s="406"/>
    </row>
    <row r="923" spans="1:31" s="130" customFormat="1" ht="15.75" customHeight="1">
      <c r="A923" s="123" t="str">
        <f>IF(B923&lt;&gt;"",IF(AND(B923&gt;=_TM1,B923&lt;=_TM2,OR(TH!L923="1111",TH!M923="1111")),TH!D923,""),"")</f>
        <v/>
      </c>
      <c r="B923" s="12">
        <f t="shared" si="42"/>
        <v>8</v>
      </c>
      <c r="C923" s="108">
        <f t="shared" si="47"/>
        <v>42592</v>
      </c>
      <c r="D923" s="113" t="s">
        <v>1073</v>
      </c>
      <c r="E923" s="486">
        <v>42592</v>
      </c>
      <c r="F923" s="167" t="s">
        <v>647</v>
      </c>
      <c r="G923" s="487" t="s">
        <v>722</v>
      </c>
      <c r="H923" s="115" t="s">
        <v>1074</v>
      </c>
      <c r="I923" s="139">
        <v>30</v>
      </c>
      <c r="J923" s="139">
        <v>12530.039041668799</v>
      </c>
      <c r="K923" s="13">
        <f t="shared" si="46"/>
        <v>375901</v>
      </c>
      <c r="L923" s="116" t="s">
        <v>162</v>
      </c>
      <c r="M923" s="116" t="s">
        <v>160</v>
      </c>
      <c r="N923" s="22" t="str">
        <f>IF(AND('331-CT'!$E$7=TH!H923,OR(L923="331",M923="331")),"331",IF(AND(OR(L923="131",M923="131"),H923='131-CT'!$E$7),"131",""))</f>
        <v/>
      </c>
      <c r="O923" s="22" t="str">
        <f>IF(AND($B923&gt;='111'!$N$11,$B923&lt;='111'!$O$11,OR($L923=$O$7,$M923=$O$7)),"x","")</f>
        <v/>
      </c>
      <c r="P923" s="22" t="str">
        <f>IF(AND($L923=$O$7,$B923&lt;'111'!$N$11),"x","")</f>
        <v/>
      </c>
      <c r="Q923" s="22" t="str">
        <f>IF(AND($M923=$O$7,$B923&lt;'111'!$N$11),"x","")</f>
        <v/>
      </c>
      <c r="R923" s="22" t="str">
        <f>IF(ISERROR(FIND('112'!$M$9,G923,1)),"",IF((AND(FIND('112'!$M$9,G923,1)&gt;=1,$B923&gt;='112'!$N$8,$B923&lt;='112'!$O$8,OR($L923='112'!$I$6,$M923='112'!$I$6))),"x",""))</f>
        <v/>
      </c>
      <c r="S923" s="22" t="str">
        <f>IF(ISERROR(FIND('112'!$M$9,G923,1)),"",IF((AND(LEFT(G923,2)=LEFT('112'!$M$9,2),B923&lt;'112'!$N$8,$L923='112'!$I$6)),"x",""))</f>
        <v/>
      </c>
      <c r="T923" s="22" t="str">
        <f>IF(ISERROR(FIND('112'!$M$9,G923,1)),"",IF((AND(RIGHT(G923,2)=RIGHT('112'!$M$9,2),B923&lt;'112'!$N$8,$M923='112'!$I$6)),"x",""))</f>
        <v/>
      </c>
      <c r="U923" s="22" t="str">
        <f>IF(AND(B923&gt;='IN-NX'!$P$3,B923&lt;='IN-NX'!$Q$3,'IN-NX'!$D$7=D923,OR(LEFT(L923,2)="15",AND(LEFT(M923,2)&lt;&gt;"15",LEFT(M923,2)&lt;&gt;"33"))),"x","")</f>
        <v/>
      </c>
      <c r="V923" s="22" t="str">
        <f>IF(AND(OR(LEFT(TH!L923,2)="15",LEFT(TH!M923,2)="15"),'152-CT'!$J$8=TH!F923),"x","")</f>
        <v/>
      </c>
      <c r="W923" s="22" t="str">
        <f>IF(AND(OR(LEFT(TH!L923,2)="15",LEFT(TH!M923,2)="15"),TK!$E$7=TH!F923),"x","")</f>
        <v/>
      </c>
      <c r="X923" s="22" t="str">
        <f>IF(OR(TH!L923=TH!$X$7,M923=TH!$X$7),"x","")</f>
        <v/>
      </c>
      <c r="Y923" s="22" t="str">
        <f>IF(AND(B923&lt;=NKC!$N$8,B923&gt;=NKC!$M$8),"x","")</f>
        <v>x</v>
      </c>
      <c r="Z923" s="581"/>
      <c r="AA923" s="406"/>
      <c r="AB923" s="406"/>
    </row>
    <row r="924" spans="1:31" s="130" customFormat="1" ht="15.75" customHeight="1">
      <c r="A924" s="123" t="str">
        <f>IF(B924&lt;&gt;"",IF(AND(B924&gt;=_TM1,B924&lt;=_TM2,OR(TH!L924="1111",TH!M924="1111")),TH!D924,""),"")</f>
        <v/>
      </c>
      <c r="B924" s="12">
        <f t="shared" si="42"/>
        <v>8</v>
      </c>
      <c r="C924" s="108">
        <f t="shared" si="47"/>
        <v>42592</v>
      </c>
      <c r="D924" s="113" t="s">
        <v>1073</v>
      </c>
      <c r="E924" s="486">
        <v>42592</v>
      </c>
      <c r="F924" s="167" t="s">
        <v>650</v>
      </c>
      <c r="G924" s="487" t="s">
        <v>722</v>
      </c>
      <c r="H924" s="115" t="s">
        <v>1074</v>
      </c>
      <c r="I924" s="140">
        <v>30</v>
      </c>
      <c r="J924" s="140">
        <v>8985.3569443546003</v>
      </c>
      <c r="K924" s="13">
        <f t="shared" si="46"/>
        <v>269561</v>
      </c>
      <c r="L924" s="116" t="s">
        <v>162</v>
      </c>
      <c r="M924" s="116" t="s">
        <v>160</v>
      </c>
      <c r="N924" s="22" t="str">
        <f>IF(AND('331-CT'!$E$7=TH!H924,OR(L924="331",M924="331")),"331",IF(AND(OR(L924="131",M924="131"),H924='131-CT'!$E$7),"131",""))</f>
        <v/>
      </c>
      <c r="O924" s="22" t="str">
        <f>IF(AND($B924&gt;='111'!$N$11,$B924&lt;='111'!$O$11,OR($L924=$O$7,$M924=$O$7)),"x","")</f>
        <v/>
      </c>
      <c r="P924" s="22" t="str">
        <f>IF(AND($L924=$O$7,$B924&lt;'111'!$N$11),"x","")</f>
        <v/>
      </c>
      <c r="Q924" s="22" t="str">
        <f>IF(AND($M924=$O$7,$B924&lt;'111'!$N$11),"x","")</f>
        <v/>
      </c>
      <c r="R924" s="22" t="str">
        <f>IF(ISERROR(FIND('112'!$M$9,G924,1)),"",IF((AND(FIND('112'!$M$9,G924,1)&gt;=1,$B924&gt;='112'!$N$8,$B924&lt;='112'!$O$8,OR($L924='112'!$I$6,$M924='112'!$I$6))),"x",""))</f>
        <v/>
      </c>
      <c r="S924" s="22" t="str">
        <f>IF(ISERROR(FIND('112'!$M$9,G924,1)),"",IF((AND(LEFT(G924,2)=LEFT('112'!$M$9,2),B924&lt;'112'!$N$8,$L924='112'!$I$6)),"x",""))</f>
        <v/>
      </c>
      <c r="T924" s="22" t="str">
        <f>IF(ISERROR(FIND('112'!$M$9,G924,1)),"",IF((AND(RIGHT(G924,2)=RIGHT('112'!$M$9,2),B924&lt;'112'!$N$8,$M924='112'!$I$6)),"x",""))</f>
        <v/>
      </c>
      <c r="U924" s="22" t="str">
        <f>IF(AND(B924&gt;='IN-NX'!$P$3,B924&lt;='IN-NX'!$Q$3,'IN-NX'!$D$7=D924,OR(LEFT(L924,2)="15",AND(LEFT(M924,2)&lt;&gt;"15",LEFT(M924,2)&lt;&gt;"33"))),"x","")</f>
        <v/>
      </c>
      <c r="V924" s="22" t="str">
        <f>IF(AND(OR(LEFT(TH!L924,2)="15",LEFT(TH!M924,2)="15"),'152-CT'!$J$8=TH!F924),"x","")</f>
        <v/>
      </c>
      <c r="W924" s="22" t="str">
        <f>IF(AND(OR(LEFT(TH!L924,2)="15",LEFT(TH!M924,2)="15"),TK!$E$7=TH!F924),"x","")</f>
        <v/>
      </c>
      <c r="X924" s="22" t="str">
        <f>IF(OR(TH!L924=TH!$X$7,M924=TH!$X$7),"x","")</f>
        <v/>
      </c>
      <c r="Y924" s="22" t="str">
        <f>IF(AND(B924&lt;=NKC!$N$8,B924&gt;=NKC!$M$8),"x","")</f>
        <v>x</v>
      </c>
      <c r="Z924" s="581"/>
      <c r="AA924" s="406"/>
      <c r="AB924" s="406"/>
    </row>
    <row r="925" spans="1:31" s="130" customFormat="1" ht="15.75" customHeight="1">
      <c r="A925" s="123" t="str">
        <f>IF(B925&lt;&gt;"",IF(AND(B925&gt;=_TM1,B925&lt;=_TM2,OR(TH!L925="1111",TH!M925="1111")),TH!D925,""),"")</f>
        <v/>
      </c>
      <c r="B925" s="12">
        <f t="shared" si="42"/>
        <v>8</v>
      </c>
      <c r="C925" s="108">
        <f t="shared" si="47"/>
        <v>42592</v>
      </c>
      <c r="D925" s="113" t="s">
        <v>1073</v>
      </c>
      <c r="E925" s="486">
        <v>42592</v>
      </c>
      <c r="F925" s="167" t="s">
        <v>648</v>
      </c>
      <c r="G925" s="487" t="s">
        <v>722</v>
      </c>
      <c r="H925" s="115" t="s">
        <v>1074</v>
      </c>
      <c r="I925" s="139">
        <v>30</v>
      </c>
      <c r="J925" s="139">
        <v>9974.5705529073985</v>
      </c>
      <c r="K925" s="13">
        <f t="shared" si="46"/>
        <v>299237</v>
      </c>
      <c r="L925" s="116" t="s">
        <v>162</v>
      </c>
      <c r="M925" s="116" t="s">
        <v>160</v>
      </c>
      <c r="N925" s="22" t="str">
        <f>IF(AND('331-CT'!$E$7=TH!H925,OR(L925="331",M925="331")),"331",IF(AND(OR(L925="131",M925="131"),H925='131-CT'!$E$7),"131",""))</f>
        <v/>
      </c>
      <c r="O925" s="22" t="str">
        <f>IF(AND($B925&gt;='111'!$N$11,$B925&lt;='111'!$O$11,OR($L925=$O$7,$M925=$O$7)),"x","")</f>
        <v/>
      </c>
      <c r="P925" s="22" t="str">
        <f>IF(AND($L925=$O$7,$B925&lt;'111'!$N$11),"x","")</f>
        <v/>
      </c>
      <c r="Q925" s="22" t="str">
        <f>IF(AND($M925=$O$7,$B925&lt;'111'!$N$11),"x","")</f>
        <v/>
      </c>
      <c r="R925" s="22" t="str">
        <f>IF(ISERROR(FIND('112'!$M$9,G925,1)),"",IF((AND(FIND('112'!$M$9,G925,1)&gt;=1,$B925&gt;='112'!$N$8,$B925&lt;='112'!$O$8,OR($L925='112'!$I$6,$M925='112'!$I$6))),"x",""))</f>
        <v/>
      </c>
      <c r="S925" s="22" t="str">
        <f>IF(ISERROR(FIND('112'!$M$9,G925,1)),"",IF((AND(LEFT(G925,2)=LEFT('112'!$M$9,2),B925&lt;'112'!$N$8,$L925='112'!$I$6)),"x",""))</f>
        <v/>
      </c>
      <c r="T925" s="22" t="str">
        <f>IF(ISERROR(FIND('112'!$M$9,G925,1)),"",IF((AND(RIGHT(G925,2)=RIGHT('112'!$M$9,2),B925&lt;'112'!$N$8,$M925='112'!$I$6)),"x",""))</f>
        <v/>
      </c>
      <c r="U925" s="22" t="str">
        <f>IF(AND(B925&gt;='IN-NX'!$P$3,B925&lt;='IN-NX'!$Q$3,'IN-NX'!$D$7=D925,OR(LEFT(L925,2)="15",AND(LEFT(M925,2)&lt;&gt;"15",LEFT(M925,2)&lt;&gt;"33"))),"x","")</f>
        <v/>
      </c>
      <c r="V925" s="22" t="str">
        <f>IF(AND(OR(LEFT(TH!L925,2)="15",LEFT(TH!M925,2)="15"),'152-CT'!$J$8=TH!F925),"x","")</f>
        <v/>
      </c>
      <c r="W925" s="22" t="str">
        <f>IF(AND(OR(LEFT(TH!L925,2)="15",LEFT(TH!M925,2)="15"),TK!$E$7=TH!F925),"x","")</f>
        <v/>
      </c>
      <c r="X925" s="22" t="str">
        <f>IF(OR(TH!L925=TH!$X$7,M925=TH!$X$7),"x","")</f>
        <v/>
      </c>
      <c r="Y925" s="22" t="str">
        <f>IF(AND(B925&lt;=NKC!$N$8,B925&gt;=NKC!$M$8),"x","")</f>
        <v>x</v>
      </c>
      <c r="Z925" s="581"/>
      <c r="AA925" s="406"/>
      <c r="AB925" s="406"/>
    </row>
    <row r="926" spans="1:31" s="130" customFormat="1" ht="15.75" customHeight="1">
      <c r="A926" s="123" t="str">
        <f>IF(B926&lt;&gt;"",IF(AND(B926&gt;=_TM1,B926&lt;=_TM2,OR(TH!L926="1111",TH!M926="1111")),TH!D926,""),"")</f>
        <v/>
      </c>
      <c r="B926" s="12">
        <f t="shared" si="42"/>
        <v>8</v>
      </c>
      <c r="C926" s="108">
        <f t="shared" ref="C926:C989" si="48">E926</f>
        <v>42592</v>
      </c>
      <c r="D926" s="113" t="s">
        <v>1073</v>
      </c>
      <c r="E926" s="486">
        <v>42592</v>
      </c>
      <c r="F926" s="167" t="s">
        <v>649</v>
      </c>
      <c r="G926" s="487" t="s">
        <v>722</v>
      </c>
      <c r="H926" s="115" t="s">
        <v>1074</v>
      </c>
      <c r="I926" s="139">
        <v>100</v>
      </c>
      <c r="J926" s="139">
        <v>10963.7841614602</v>
      </c>
      <c r="K926" s="13">
        <f t="shared" si="46"/>
        <v>1096378</v>
      </c>
      <c r="L926" s="116" t="s">
        <v>162</v>
      </c>
      <c r="M926" s="116" t="s">
        <v>160</v>
      </c>
      <c r="N926" s="22" t="str">
        <f>IF(AND('331-CT'!$E$7=TH!H926,OR(L926="331",M926="331")),"331",IF(AND(OR(L926="131",M926="131"),H926='131-CT'!$E$7),"131",""))</f>
        <v/>
      </c>
      <c r="O926" s="22" t="str">
        <f>IF(AND($B926&gt;='111'!$N$11,$B926&lt;='111'!$O$11,OR($L926=$O$7,$M926=$O$7)),"x","")</f>
        <v/>
      </c>
      <c r="P926" s="22" t="str">
        <f>IF(AND($L926=$O$7,$B926&lt;'111'!$N$11),"x","")</f>
        <v/>
      </c>
      <c r="Q926" s="22" t="str">
        <f>IF(AND($M926=$O$7,$B926&lt;'111'!$N$11),"x","")</f>
        <v/>
      </c>
      <c r="R926" s="22" t="str">
        <f>IF(ISERROR(FIND('112'!$M$9,G926,1)),"",IF((AND(FIND('112'!$M$9,G926,1)&gt;=1,$B926&gt;='112'!$N$8,$B926&lt;='112'!$O$8,OR($L926='112'!$I$6,$M926='112'!$I$6))),"x",""))</f>
        <v/>
      </c>
      <c r="S926" s="22" t="str">
        <f>IF(ISERROR(FIND('112'!$M$9,G926,1)),"",IF((AND(LEFT(G926,2)=LEFT('112'!$M$9,2),B926&lt;'112'!$N$8,$L926='112'!$I$6)),"x",""))</f>
        <v/>
      </c>
      <c r="T926" s="22" t="str">
        <f>IF(ISERROR(FIND('112'!$M$9,G926,1)),"",IF((AND(RIGHT(G926,2)=RIGHT('112'!$M$9,2),B926&lt;'112'!$N$8,$M926='112'!$I$6)),"x",""))</f>
        <v/>
      </c>
      <c r="U926" s="22" t="str">
        <f>IF(AND(B926&gt;='IN-NX'!$P$3,B926&lt;='IN-NX'!$Q$3,'IN-NX'!$D$7=D926,OR(LEFT(L926,2)="15",AND(LEFT(M926,2)&lt;&gt;"15",LEFT(M926,2)&lt;&gt;"33"))),"x","")</f>
        <v/>
      </c>
      <c r="V926" s="22" t="str">
        <f>IF(AND(OR(LEFT(TH!L926,2)="15",LEFT(TH!M926,2)="15"),'152-CT'!$J$8=TH!F926),"x","")</f>
        <v/>
      </c>
      <c r="W926" s="22" t="str">
        <f>IF(AND(OR(LEFT(TH!L926,2)="15",LEFT(TH!M926,2)="15"),TK!$E$7=TH!F926),"x","")</f>
        <v/>
      </c>
      <c r="X926" s="22" t="str">
        <f>IF(OR(TH!L926=TH!$X$7,M926=TH!$X$7),"x","")</f>
        <v/>
      </c>
      <c r="Y926" s="22" t="str">
        <f>IF(AND(B926&lt;=NKC!$N$8,B926&gt;=NKC!$M$8),"x","")</f>
        <v>x</v>
      </c>
      <c r="Z926" s="581"/>
      <c r="AA926" s="406"/>
      <c r="AB926" s="406"/>
      <c r="AD926" s="406"/>
      <c r="AE926" s="406"/>
    </row>
    <row r="927" spans="1:31" s="130" customFormat="1" ht="15.75" customHeight="1">
      <c r="A927" s="123" t="str">
        <f>IF(B927&lt;&gt;"",IF(AND(B927&gt;=_TM1,B927&lt;=_TM2,OR(TH!L927="1111",TH!M927="1111")),TH!D927,""),"")</f>
        <v/>
      </c>
      <c r="B927" s="12">
        <f t="shared" si="42"/>
        <v>8</v>
      </c>
      <c r="C927" s="108">
        <f t="shared" si="48"/>
        <v>42592</v>
      </c>
      <c r="D927" s="113" t="s">
        <v>1073</v>
      </c>
      <c r="E927" s="486">
        <v>42592</v>
      </c>
      <c r="F927" s="167" t="s">
        <v>819</v>
      </c>
      <c r="G927" s="487" t="s">
        <v>722</v>
      </c>
      <c r="H927" s="115" t="s">
        <v>1074</v>
      </c>
      <c r="I927" s="139">
        <v>60</v>
      </c>
      <c r="J927" s="139">
        <v>17228.803682294598</v>
      </c>
      <c r="K927" s="13">
        <f t="shared" si="46"/>
        <v>1033728</v>
      </c>
      <c r="L927" s="116" t="s">
        <v>162</v>
      </c>
      <c r="M927" s="116" t="s">
        <v>160</v>
      </c>
      <c r="N927" s="22" t="str">
        <f>IF(AND('331-CT'!$E$7=TH!H927,OR(L927="331",M927="331")),"331",IF(AND(OR(L927="131",M927="131"),H927='131-CT'!$E$7),"131",""))</f>
        <v/>
      </c>
      <c r="O927" s="22" t="str">
        <f>IF(AND($B927&gt;='111'!$N$11,$B927&lt;='111'!$O$11,OR($L927=$O$7,$M927=$O$7)),"x","")</f>
        <v/>
      </c>
      <c r="P927" s="22" t="str">
        <f>IF(AND($L927=$O$7,$B927&lt;'111'!$N$11),"x","")</f>
        <v/>
      </c>
      <c r="Q927" s="22" t="str">
        <f>IF(AND($M927=$O$7,$B927&lt;'111'!$N$11),"x","")</f>
        <v/>
      </c>
      <c r="R927" s="22" t="str">
        <f>IF(ISERROR(FIND('112'!$M$9,G927,1)),"",IF((AND(FIND('112'!$M$9,G927,1)&gt;=1,$B927&gt;='112'!$N$8,$B927&lt;='112'!$O$8,OR($L927='112'!$I$6,$M927='112'!$I$6))),"x",""))</f>
        <v/>
      </c>
      <c r="S927" s="22" t="str">
        <f>IF(ISERROR(FIND('112'!$M$9,G927,1)),"",IF((AND(LEFT(G927,2)=LEFT('112'!$M$9,2),B927&lt;'112'!$N$8,$L927='112'!$I$6)),"x",""))</f>
        <v/>
      </c>
      <c r="T927" s="22" t="str">
        <f>IF(ISERROR(FIND('112'!$M$9,G927,1)),"",IF((AND(RIGHT(G927,2)=RIGHT('112'!$M$9,2),B927&lt;'112'!$N$8,$M927='112'!$I$6)),"x",""))</f>
        <v/>
      </c>
      <c r="U927" s="22" t="str">
        <f>IF(AND(B927&gt;='IN-NX'!$P$3,B927&lt;='IN-NX'!$Q$3,'IN-NX'!$D$7=D927,OR(LEFT(L927,2)="15",AND(LEFT(M927,2)&lt;&gt;"15",LEFT(M927,2)&lt;&gt;"33"))),"x","")</f>
        <v/>
      </c>
      <c r="V927" s="22" t="str">
        <f>IF(AND(OR(LEFT(TH!L927,2)="15",LEFT(TH!M927,2)="15"),'152-CT'!$J$8=TH!F927),"x","")</f>
        <v/>
      </c>
      <c r="W927" s="22" t="str">
        <f>IF(AND(OR(LEFT(TH!L927,2)="15",LEFT(TH!M927,2)="15"),TK!$E$7=TH!F927),"x","")</f>
        <v/>
      </c>
      <c r="X927" s="22" t="str">
        <f>IF(OR(TH!L927=TH!$X$7,M927=TH!$X$7),"x","")</f>
        <v/>
      </c>
      <c r="Y927" s="22" t="str">
        <f>IF(AND(B927&lt;=NKC!$N$8,B927&gt;=NKC!$M$8),"x","")</f>
        <v>x</v>
      </c>
      <c r="Z927" s="581"/>
      <c r="AA927" s="406"/>
      <c r="AB927" s="406"/>
      <c r="AD927" s="406"/>
      <c r="AE927" s="406"/>
    </row>
    <row r="928" spans="1:31" s="130" customFormat="1" ht="15.75" customHeight="1">
      <c r="A928" s="123" t="str">
        <f>IF(B928&lt;&gt;"",IF(AND(B928&gt;=_TM1,B928&lt;=_TM2,OR(TH!L928="1111",TH!M928="1111")),TH!D928,""),"")</f>
        <v/>
      </c>
      <c r="B928" s="12">
        <f t="shared" si="42"/>
        <v>8</v>
      </c>
      <c r="C928" s="108">
        <f t="shared" si="48"/>
        <v>42592</v>
      </c>
      <c r="D928" s="113" t="s">
        <v>1073</v>
      </c>
      <c r="E928" s="486">
        <v>42592</v>
      </c>
      <c r="F928" s="167" t="s">
        <v>526</v>
      </c>
      <c r="G928" s="487" t="s">
        <v>723</v>
      </c>
      <c r="H928" s="115" t="s">
        <v>1074</v>
      </c>
      <c r="I928" s="139">
        <v>403</v>
      </c>
      <c r="J928" s="139">
        <v>15497.679867327199</v>
      </c>
      <c r="K928" s="13">
        <f t="shared" si="46"/>
        <v>6245565</v>
      </c>
      <c r="L928" s="116" t="s">
        <v>162</v>
      </c>
      <c r="M928" s="116" t="s">
        <v>160</v>
      </c>
      <c r="N928" s="22" t="str">
        <f>IF(AND('331-CT'!$E$7=TH!H928,OR(L928="331",M928="331")),"331",IF(AND(OR(L928="131",M928="131"),H928='131-CT'!$E$7),"131",""))</f>
        <v/>
      </c>
      <c r="O928" s="22" t="str">
        <f>IF(AND($B928&gt;='111'!$N$11,$B928&lt;='111'!$O$11,OR($L928=$O$7,$M928=$O$7)),"x","")</f>
        <v/>
      </c>
      <c r="P928" s="22" t="str">
        <f>IF(AND($L928=$O$7,$B928&lt;'111'!$N$11),"x","")</f>
        <v/>
      </c>
      <c r="Q928" s="22" t="str">
        <f>IF(AND($M928=$O$7,$B928&lt;'111'!$N$11),"x","")</f>
        <v/>
      </c>
      <c r="R928" s="22" t="str">
        <f>IF(ISERROR(FIND('112'!$M$9,G928,1)),"",IF((AND(FIND('112'!$M$9,G928,1)&gt;=1,$B928&gt;='112'!$N$8,$B928&lt;='112'!$O$8,OR($L928='112'!$I$6,$M928='112'!$I$6))),"x",""))</f>
        <v/>
      </c>
      <c r="S928" s="22" t="str">
        <f>IF(ISERROR(FIND('112'!$M$9,G928,1)),"",IF((AND(LEFT(G928,2)=LEFT('112'!$M$9,2),B928&lt;'112'!$N$8,$L928='112'!$I$6)),"x",""))</f>
        <v/>
      </c>
      <c r="T928" s="22" t="str">
        <f>IF(ISERROR(FIND('112'!$M$9,G928,1)),"",IF((AND(RIGHT(G928,2)=RIGHT('112'!$M$9,2),B928&lt;'112'!$N$8,$M928='112'!$I$6)),"x",""))</f>
        <v/>
      </c>
      <c r="U928" s="22" t="str">
        <f>IF(AND(B928&gt;='IN-NX'!$P$3,B928&lt;='IN-NX'!$Q$3,'IN-NX'!$D$7=D928,OR(LEFT(L928,2)="15",AND(LEFT(M928,2)&lt;&gt;"15",LEFT(M928,2)&lt;&gt;"33"))),"x","")</f>
        <v/>
      </c>
      <c r="V928" s="22" t="str">
        <f>IF(AND(OR(LEFT(TH!L928,2)="15",LEFT(TH!M928,2)="15"),'152-CT'!$J$8=TH!F928),"x","")</f>
        <v/>
      </c>
      <c r="W928" s="22" t="str">
        <f>IF(AND(OR(LEFT(TH!L928,2)="15",LEFT(TH!M928,2)="15"),TK!$E$7=TH!F928),"x","")</f>
        <v/>
      </c>
      <c r="X928" s="22" t="str">
        <f>IF(OR(TH!L928=TH!$X$7,M928=TH!$X$7),"x","")</f>
        <v/>
      </c>
      <c r="Y928" s="22" t="str">
        <f>IF(AND(B928&lt;=NKC!$N$8,B928&gt;=NKC!$M$8),"x","")</f>
        <v>x</v>
      </c>
      <c r="Z928" s="581"/>
      <c r="AA928" s="406"/>
      <c r="AB928" s="406"/>
    </row>
    <row r="929" spans="1:31" s="130" customFormat="1" ht="15.75" customHeight="1">
      <c r="A929" s="123" t="str">
        <f>IF(B929&lt;&gt;"",IF(AND(B929&gt;=_TM1,B929&lt;=_TM2,OR(TH!L929="1111",TH!M929="1111")),TH!D929,""),"")</f>
        <v/>
      </c>
      <c r="B929" s="12">
        <f t="shared" si="42"/>
        <v>8</v>
      </c>
      <c r="C929" s="108">
        <f t="shared" si="48"/>
        <v>42594</v>
      </c>
      <c r="D929" s="113" t="s">
        <v>1073</v>
      </c>
      <c r="E929" s="486">
        <v>42594</v>
      </c>
      <c r="F929" s="167" t="s">
        <v>657</v>
      </c>
      <c r="G929" s="487" t="s">
        <v>724</v>
      </c>
      <c r="H929" s="115" t="s">
        <v>1074</v>
      </c>
      <c r="I929" s="139">
        <v>1330</v>
      </c>
      <c r="J929" s="139">
        <v>10469.177357183798</v>
      </c>
      <c r="K929" s="13">
        <f t="shared" si="46"/>
        <v>13924006</v>
      </c>
      <c r="L929" s="116" t="s">
        <v>162</v>
      </c>
      <c r="M929" s="116" t="s">
        <v>160</v>
      </c>
      <c r="N929" s="22" t="str">
        <f>IF(AND('331-CT'!$E$7=TH!H929,OR(L929="331",M929="331")),"331",IF(AND(OR(L929="131",M929="131"),H929='131-CT'!$E$7),"131",""))</f>
        <v/>
      </c>
      <c r="O929" s="22" t="str">
        <f>IF(AND($B929&gt;='111'!$N$11,$B929&lt;='111'!$O$11,OR($L929=$O$7,$M929=$O$7)),"x","")</f>
        <v/>
      </c>
      <c r="P929" s="22" t="str">
        <f>IF(AND($L929=$O$7,$B929&lt;'111'!$N$11),"x","")</f>
        <v/>
      </c>
      <c r="Q929" s="22" t="str">
        <f>IF(AND($M929=$O$7,$B929&lt;'111'!$N$11),"x","")</f>
        <v/>
      </c>
      <c r="R929" s="22" t="str">
        <f>IF(ISERROR(FIND('112'!$M$9,G929,1)),"",IF((AND(FIND('112'!$M$9,G929,1)&gt;=1,$B929&gt;='112'!$N$8,$B929&lt;='112'!$O$8,OR($L929='112'!$I$6,$M929='112'!$I$6))),"x",""))</f>
        <v/>
      </c>
      <c r="S929" s="22" t="str">
        <f>IF(ISERROR(FIND('112'!$M$9,G929,1)),"",IF((AND(LEFT(G929,2)=LEFT('112'!$M$9,2),B929&lt;'112'!$N$8,$L929='112'!$I$6)),"x",""))</f>
        <v/>
      </c>
      <c r="T929" s="22" t="str">
        <f>IF(ISERROR(FIND('112'!$M$9,G929,1)),"",IF((AND(RIGHT(G929,2)=RIGHT('112'!$M$9,2),B929&lt;'112'!$N$8,$M929='112'!$I$6)),"x",""))</f>
        <v/>
      </c>
      <c r="U929" s="22" t="str">
        <f>IF(AND(B929&gt;='IN-NX'!$P$3,B929&lt;='IN-NX'!$Q$3,'IN-NX'!$D$7=D929,OR(LEFT(L929,2)="15",AND(LEFT(M929,2)&lt;&gt;"15",LEFT(M929,2)&lt;&gt;"33"))),"x","")</f>
        <v/>
      </c>
      <c r="V929" s="22" t="str">
        <f>IF(AND(OR(LEFT(TH!L929,2)="15",LEFT(TH!M929,2)="15"),'152-CT'!$J$8=TH!F929),"x","")</f>
        <v/>
      </c>
      <c r="W929" s="22" t="str">
        <f>IF(AND(OR(LEFT(TH!L929,2)="15",LEFT(TH!M929,2)="15"),TK!$E$7=TH!F929),"x","")</f>
        <v/>
      </c>
      <c r="X929" s="22" t="str">
        <f>IF(OR(TH!L929=TH!$X$7,M929=TH!$X$7),"x","")</f>
        <v/>
      </c>
      <c r="Y929" s="22" t="str">
        <f>IF(AND(B929&lt;=NKC!$N$8,B929&gt;=NKC!$M$8),"x","")</f>
        <v>x</v>
      </c>
      <c r="Z929" s="581"/>
      <c r="AA929" s="406"/>
      <c r="AB929" s="406"/>
    </row>
    <row r="930" spans="1:31" s="130" customFormat="1" ht="15.75" customHeight="1">
      <c r="A930" s="123" t="str">
        <f>IF(B930&lt;&gt;"",IF(AND(B930&gt;=_TM1,B930&lt;=_TM2,OR(TH!L930="1111",TH!M930="1111")),TH!D930,""),"")</f>
        <v/>
      </c>
      <c r="B930" s="12">
        <f t="shared" si="42"/>
        <v>8</v>
      </c>
      <c r="C930" s="108">
        <f t="shared" si="48"/>
        <v>42594</v>
      </c>
      <c r="D930" s="113" t="s">
        <v>1073</v>
      </c>
      <c r="E930" s="486">
        <v>42594</v>
      </c>
      <c r="F930" s="167" t="s">
        <v>657</v>
      </c>
      <c r="G930" s="487" t="s">
        <v>724</v>
      </c>
      <c r="H930" s="115" t="s">
        <v>1074</v>
      </c>
      <c r="I930" s="139">
        <v>80</v>
      </c>
      <c r="J930" s="139">
        <v>10469.177357183798</v>
      </c>
      <c r="K930" s="13">
        <f t="shared" si="46"/>
        <v>837534</v>
      </c>
      <c r="L930" s="116" t="s">
        <v>162</v>
      </c>
      <c r="M930" s="116" t="s">
        <v>160</v>
      </c>
      <c r="N930" s="22" t="str">
        <f>IF(AND('331-CT'!$E$7=TH!H930,OR(L930="331",M930="331")),"331",IF(AND(OR(L930="131",M930="131"),H930='131-CT'!$E$7),"131",""))</f>
        <v/>
      </c>
      <c r="O930" s="22" t="str">
        <f>IF(AND($B930&gt;='111'!$N$11,$B930&lt;='111'!$O$11,OR($L930=$O$7,$M930=$O$7)),"x","")</f>
        <v/>
      </c>
      <c r="P930" s="22" t="str">
        <f>IF(AND($L930=$O$7,$B930&lt;'111'!$N$11),"x","")</f>
        <v/>
      </c>
      <c r="Q930" s="22" t="str">
        <f>IF(AND($M930=$O$7,$B930&lt;'111'!$N$11),"x","")</f>
        <v/>
      </c>
      <c r="R930" s="22" t="str">
        <f>IF(ISERROR(FIND('112'!$M$9,G930,1)),"",IF((AND(FIND('112'!$M$9,G930,1)&gt;=1,$B930&gt;='112'!$N$8,$B930&lt;='112'!$O$8,OR($L930='112'!$I$6,$M930='112'!$I$6))),"x",""))</f>
        <v/>
      </c>
      <c r="S930" s="22" t="str">
        <f>IF(ISERROR(FIND('112'!$M$9,G930,1)),"",IF((AND(LEFT(G930,2)=LEFT('112'!$M$9,2),B930&lt;'112'!$N$8,$L930='112'!$I$6)),"x",""))</f>
        <v/>
      </c>
      <c r="T930" s="22" t="str">
        <f>IF(ISERROR(FIND('112'!$M$9,G930,1)),"",IF((AND(RIGHT(G930,2)=RIGHT('112'!$M$9,2),B930&lt;'112'!$N$8,$M930='112'!$I$6)),"x",""))</f>
        <v/>
      </c>
      <c r="U930" s="22" t="str">
        <f>IF(AND(B930&gt;='IN-NX'!$P$3,B930&lt;='IN-NX'!$Q$3,'IN-NX'!$D$7=D930,OR(LEFT(L930,2)="15",AND(LEFT(M930,2)&lt;&gt;"15",LEFT(M930,2)&lt;&gt;"33"))),"x","")</f>
        <v/>
      </c>
      <c r="V930" s="22" t="str">
        <f>IF(AND(OR(LEFT(TH!L930,2)="15",LEFT(TH!M930,2)="15"),'152-CT'!$J$8=TH!F930),"x","")</f>
        <v/>
      </c>
      <c r="W930" s="22" t="str">
        <f>IF(AND(OR(LEFT(TH!L930,2)="15",LEFT(TH!M930,2)="15"),TK!$E$7=TH!F930),"x","")</f>
        <v/>
      </c>
      <c r="X930" s="22" t="str">
        <f>IF(OR(TH!L930=TH!$X$7,M930=TH!$X$7),"x","")</f>
        <v/>
      </c>
      <c r="Y930" s="22" t="str">
        <f>IF(AND(B930&lt;=NKC!$N$8,B930&gt;=NKC!$M$8),"x","")</f>
        <v>x</v>
      </c>
      <c r="Z930" s="581"/>
      <c r="AA930" s="406"/>
      <c r="AB930" s="406"/>
    </row>
    <row r="931" spans="1:31" s="130" customFormat="1" ht="15.75" customHeight="1">
      <c r="A931" s="123" t="str">
        <f>IF(B931&lt;&gt;"",IF(AND(B931&gt;=_TM1,B931&lt;=_TM2,OR(TH!L931="1111",TH!M931="1111")),TH!D931,""),"")</f>
        <v/>
      </c>
      <c r="B931" s="12">
        <f t="shared" si="42"/>
        <v>8</v>
      </c>
      <c r="C931" s="108">
        <f t="shared" si="48"/>
        <v>42594</v>
      </c>
      <c r="D931" s="113" t="s">
        <v>1073</v>
      </c>
      <c r="E931" s="486">
        <v>42594</v>
      </c>
      <c r="F931" s="167" t="s">
        <v>658</v>
      </c>
      <c r="G931" s="487" t="s">
        <v>724</v>
      </c>
      <c r="H931" s="115" t="s">
        <v>1074</v>
      </c>
      <c r="I931" s="139">
        <v>35</v>
      </c>
      <c r="J931" s="139">
        <v>10634.046291942599</v>
      </c>
      <c r="K931" s="13">
        <f t="shared" si="46"/>
        <v>372192</v>
      </c>
      <c r="L931" s="116" t="s">
        <v>162</v>
      </c>
      <c r="M931" s="116" t="s">
        <v>160</v>
      </c>
      <c r="N931" s="22" t="str">
        <f>IF(AND('331-CT'!$E$7=TH!H931,OR(L931="331",M931="331")),"331",IF(AND(OR(L931="131",M931="131"),H931='131-CT'!$E$7),"131",""))</f>
        <v/>
      </c>
      <c r="O931" s="22" t="str">
        <f>IF(AND($B931&gt;='111'!$N$11,$B931&lt;='111'!$O$11,OR($L931=$O$7,$M931=$O$7)),"x","")</f>
        <v/>
      </c>
      <c r="P931" s="22" t="str">
        <f>IF(AND($L931=$O$7,$B931&lt;'111'!$N$11),"x","")</f>
        <v/>
      </c>
      <c r="Q931" s="22" t="str">
        <f>IF(AND($M931=$O$7,$B931&lt;'111'!$N$11),"x","")</f>
        <v/>
      </c>
      <c r="R931" s="22" t="str">
        <f>IF(ISERROR(FIND('112'!$M$9,G931,1)),"",IF((AND(FIND('112'!$M$9,G931,1)&gt;=1,$B931&gt;='112'!$N$8,$B931&lt;='112'!$O$8,OR($L931='112'!$I$6,$M931='112'!$I$6))),"x",""))</f>
        <v/>
      </c>
      <c r="S931" s="22" t="str">
        <f>IF(ISERROR(FIND('112'!$M$9,G931,1)),"",IF((AND(LEFT(G931,2)=LEFT('112'!$M$9,2),B931&lt;'112'!$N$8,$L931='112'!$I$6)),"x",""))</f>
        <v/>
      </c>
      <c r="T931" s="22" t="str">
        <f>IF(ISERROR(FIND('112'!$M$9,G931,1)),"",IF((AND(RIGHT(G931,2)=RIGHT('112'!$M$9,2),B931&lt;'112'!$N$8,$M931='112'!$I$6)),"x",""))</f>
        <v/>
      </c>
      <c r="U931" s="22" t="str">
        <f>IF(AND(B931&gt;='IN-NX'!$P$3,B931&lt;='IN-NX'!$Q$3,'IN-NX'!$D$7=D931,OR(LEFT(L931,2)="15",AND(LEFT(M931,2)&lt;&gt;"15",LEFT(M931,2)&lt;&gt;"33"))),"x","")</f>
        <v/>
      </c>
      <c r="V931" s="22" t="str">
        <f>IF(AND(OR(LEFT(TH!L931,2)="15",LEFT(TH!M931,2)="15"),'152-CT'!$J$8=TH!F931),"x","")</f>
        <v/>
      </c>
      <c r="W931" s="22" t="str">
        <f>IF(AND(OR(LEFT(TH!L931,2)="15",LEFT(TH!M931,2)="15"),TK!$E$7=TH!F931),"x","")</f>
        <v/>
      </c>
      <c r="X931" s="22" t="str">
        <f>IF(OR(TH!L931=TH!$X$7,M931=TH!$X$7),"x","")</f>
        <v/>
      </c>
      <c r="Y931" s="22" t="str">
        <f>IF(AND(B931&lt;=NKC!$N$8,B931&gt;=NKC!$M$8),"x","")</f>
        <v>x</v>
      </c>
      <c r="Z931" s="581"/>
      <c r="AA931" s="406"/>
      <c r="AB931" s="406"/>
    </row>
    <row r="932" spans="1:31" s="130" customFormat="1" ht="15.75" customHeight="1">
      <c r="A932" s="123" t="str">
        <f>IF(B932&lt;&gt;"",IF(AND(B932&gt;=_TM1,B932&lt;=_TM2,OR(TH!L932="1111",TH!M932="1111")),TH!D932,""),"")</f>
        <v/>
      </c>
      <c r="B932" s="12">
        <f t="shared" si="42"/>
        <v>8</v>
      </c>
      <c r="C932" s="108">
        <f t="shared" si="48"/>
        <v>42594</v>
      </c>
      <c r="D932" s="113" t="s">
        <v>1073</v>
      </c>
      <c r="E932" s="486">
        <v>42594</v>
      </c>
      <c r="F932" s="167" t="s">
        <v>659</v>
      </c>
      <c r="G932" s="487" t="s">
        <v>724</v>
      </c>
      <c r="H932" s="115" t="s">
        <v>1074</v>
      </c>
      <c r="I932" s="139">
        <v>90</v>
      </c>
      <c r="J932" s="139">
        <v>8738.0535422163994</v>
      </c>
      <c r="K932" s="13">
        <f t="shared" si="46"/>
        <v>786425</v>
      </c>
      <c r="L932" s="116" t="s">
        <v>162</v>
      </c>
      <c r="M932" s="116" t="s">
        <v>160</v>
      </c>
      <c r="N932" s="22" t="str">
        <f>IF(AND('331-CT'!$E$7=TH!H932,OR(L932="331",M932="331")),"331",IF(AND(OR(L932="131",M932="131"),H932='131-CT'!$E$7),"131",""))</f>
        <v/>
      </c>
      <c r="O932" s="22" t="str">
        <f>IF(AND($B932&gt;='111'!$N$11,$B932&lt;='111'!$O$11,OR($L932=$O$7,$M932=$O$7)),"x","")</f>
        <v/>
      </c>
      <c r="P932" s="22" t="str">
        <f>IF(AND($L932=$O$7,$B932&lt;'111'!$N$11),"x","")</f>
        <v/>
      </c>
      <c r="Q932" s="22" t="str">
        <f>IF(AND($M932=$O$7,$B932&lt;'111'!$N$11),"x","")</f>
        <v/>
      </c>
      <c r="R932" s="22" t="str">
        <f>IF(ISERROR(FIND('112'!$M$9,G932,1)),"",IF((AND(FIND('112'!$M$9,G932,1)&gt;=1,$B932&gt;='112'!$N$8,$B932&lt;='112'!$O$8,OR($L932='112'!$I$6,$M932='112'!$I$6))),"x",""))</f>
        <v/>
      </c>
      <c r="S932" s="22" t="str">
        <f>IF(ISERROR(FIND('112'!$M$9,G932,1)),"",IF((AND(LEFT(G932,2)=LEFT('112'!$M$9,2),B932&lt;'112'!$N$8,$L932='112'!$I$6)),"x",""))</f>
        <v/>
      </c>
      <c r="T932" s="22" t="str">
        <f>IF(ISERROR(FIND('112'!$M$9,G932,1)),"",IF((AND(RIGHT(G932,2)=RIGHT('112'!$M$9,2),B932&lt;'112'!$N$8,$M932='112'!$I$6)),"x",""))</f>
        <v/>
      </c>
      <c r="U932" s="22" t="str">
        <f>IF(AND(B932&gt;='IN-NX'!$P$3,B932&lt;='IN-NX'!$Q$3,'IN-NX'!$D$7=D932,OR(LEFT(L932,2)="15",AND(LEFT(M932,2)&lt;&gt;"15",LEFT(M932,2)&lt;&gt;"33"))),"x","")</f>
        <v/>
      </c>
      <c r="V932" s="22" t="str">
        <f>IF(AND(OR(LEFT(TH!L932,2)="15",LEFT(TH!M932,2)="15"),'152-CT'!$J$8=TH!F932),"x","")</f>
        <v/>
      </c>
      <c r="W932" s="22" t="str">
        <f>IF(AND(OR(LEFT(TH!L932,2)="15",LEFT(TH!M932,2)="15"),TK!$E$7=TH!F932),"x","")</f>
        <v/>
      </c>
      <c r="X932" s="22" t="str">
        <f>IF(OR(TH!L932=TH!$X$7,M932=TH!$X$7),"x","")</f>
        <v/>
      </c>
      <c r="Y932" s="22" t="str">
        <f>IF(AND(B932&lt;=NKC!$N$8,B932&gt;=NKC!$M$8),"x","")</f>
        <v>x</v>
      </c>
      <c r="Z932" s="581"/>
      <c r="AA932" s="406"/>
      <c r="AB932" s="406"/>
    </row>
    <row r="933" spans="1:31" s="130" customFormat="1" ht="15.75" customHeight="1">
      <c r="A933" s="123" t="str">
        <f>IF(B933&lt;&gt;"",IF(AND(B933&gt;=_TM1,B933&lt;=_TM2,OR(TH!L933="1111",TH!M933="1111")),TH!D933,""),"")</f>
        <v/>
      </c>
      <c r="B933" s="12">
        <f t="shared" si="42"/>
        <v>8</v>
      </c>
      <c r="C933" s="108">
        <f t="shared" si="48"/>
        <v>42594</v>
      </c>
      <c r="D933" s="113" t="s">
        <v>1073</v>
      </c>
      <c r="E933" s="486">
        <v>42594</v>
      </c>
      <c r="F933" s="167" t="s">
        <v>660</v>
      </c>
      <c r="G933" s="487" t="s">
        <v>724</v>
      </c>
      <c r="H933" s="115" t="s">
        <v>1074</v>
      </c>
      <c r="I933" s="139">
        <v>650</v>
      </c>
      <c r="J933" s="139">
        <v>6842.0607924901988</v>
      </c>
      <c r="K933" s="13">
        <f t="shared" si="46"/>
        <v>4447340</v>
      </c>
      <c r="L933" s="116" t="s">
        <v>162</v>
      </c>
      <c r="M933" s="116" t="s">
        <v>160</v>
      </c>
      <c r="N933" s="22" t="str">
        <f>IF(AND('331-CT'!$E$7=TH!H933,OR(L933="331",M933="331")),"331",IF(AND(OR(L933="131",M933="131"),H933='131-CT'!$E$7),"131",""))</f>
        <v/>
      </c>
      <c r="O933" s="22" t="str">
        <f>IF(AND($B933&gt;='111'!$N$11,$B933&lt;='111'!$O$11,OR($L933=$O$7,$M933=$O$7)),"x","")</f>
        <v/>
      </c>
      <c r="P933" s="22" t="str">
        <f>IF(AND($L933=$O$7,$B933&lt;'111'!$N$11),"x","")</f>
        <v/>
      </c>
      <c r="Q933" s="22" t="str">
        <f>IF(AND($M933=$O$7,$B933&lt;'111'!$N$11),"x","")</f>
        <v/>
      </c>
      <c r="R933" s="22" t="str">
        <f>IF(ISERROR(FIND('112'!$M$9,G933,1)),"",IF((AND(FIND('112'!$M$9,G933,1)&gt;=1,$B933&gt;='112'!$N$8,$B933&lt;='112'!$O$8,OR($L933='112'!$I$6,$M933='112'!$I$6))),"x",""))</f>
        <v/>
      </c>
      <c r="S933" s="22" t="str">
        <f>IF(ISERROR(FIND('112'!$M$9,G933,1)),"",IF((AND(LEFT(G933,2)=LEFT('112'!$M$9,2),B933&lt;'112'!$N$8,$L933='112'!$I$6)),"x",""))</f>
        <v/>
      </c>
      <c r="T933" s="22" t="str">
        <f>IF(ISERROR(FIND('112'!$M$9,G933,1)),"",IF((AND(RIGHT(G933,2)=RIGHT('112'!$M$9,2),B933&lt;'112'!$N$8,$M933='112'!$I$6)),"x",""))</f>
        <v/>
      </c>
      <c r="U933" s="22" t="str">
        <f>IF(AND(B933&gt;='IN-NX'!$P$3,B933&lt;='IN-NX'!$Q$3,'IN-NX'!$D$7=D933,OR(LEFT(L933,2)="15",AND(LEFT(M933,2)&lt;&gt;"15",LEFT(M933,2)&lt;&gt;"33"))),"x","")</f>
        <v/>
      </c>
      <c r="V933" s="22" t="str">
        <f>IF(AND(OR(LEFT(TH!L933,2)="15",LEFT(TH!M933,2)="15"),'152-CT'!$J$8=TH!F933),"x","")</f>
        <v/>
      </c>
      <c r="W933" s="22" t="str">
        <f>IF(AND(OR(LEFT(TH!L933,2)="15",LEFT(TH!M933,2)="15"),TK!$E$7=TH!F933),"x","")</f>
        <v/>
      </c>
      <c r="X933" s="22" t="str">
        <f>IF(OR(TH!L933=TH!$X$7,M933=TH!$X$7),"x","")</f>
        <v/>
      </c>
      <c r="Y933" s="22" t="str">
        <f>IF(AND(B933&lt;=NKC!$N$8,B933&gt;=NKC!$M$8),"x","")</f>
        <v>x</v>
      </c>
      <c r="Z933" s="581"/>
      <c r="AA933" s="406"/>
      <c r="AB933" s="406"/>
      <c r="AC933" s="406"/>
    </row>
    <row r="934" spans="1:31" s="130" customFormat="1" ht="15.75" customHeight="1">
      <c r="A934" s="123" t="str">
        <f>IF(B934&lt;&gt;"",IF(AND(B934&gt;=_TM1,B934&lt;=_TM2,OR(TH!L934="1111",TH!M934="1111")),TH!D934,""),"")</f>
        <v/>
      </c>
      <c r="B934" s="12">
        <f t="shared" si="42"/>
        <v>8</v>
      </c>
      <c r="C934" s="108">
        <f t="shared" si="48"/>
        <v>42594</v>
      </c>
      <c r="D934" s="113" t="s">
        <v>1073</v>
      </c>
      <c r="E934" s="486">
        <v>42594</v>
      </c>
      <c r="F934" s="167" t="s">
        <v>661</v>
      </c>
      <c r="G934" s="487" t="s">
        <v>724</v>
      </c>
      <c r="H934" s="115" t="s">
        <v>1074</v>
      </c>
      <c r="I934" s="139">
        <v>210</v>
      </c>
      <c r="J934" s="139">
        <v>10881.3496940808</v>
      </c>
      <c r="K934" s="13">
        <f t="shared" ref="K934:K997" si="49">ROUND(I934*J934,0)</f>
        <v>2285083</v>
      </c>
      <c r="L934" s="116" t="s">
        <v>162</v>
      </c>
      <c r="M934" s="116" t="s">
        <v>160</v>
      </c>
      <c r="N934" s="22" t="str">
        <f>IF(AND('331-CT'!$E$7=TH!H934,OR(L934="331",M934="331")),"331",IF(AND(OR(L934="131",M934="131"),H934='131-CT'!$E$7),"131",""))</f>
        <v/>
      </c>
      <c r="O934" s="22" t="str">
        <f>IF(AND($B934&gt;='111'!$N$11,$B934&lt;='111'!$O$11,OR($L934=$O$7,$M934=$O$7)),"x","")</f>
        <v/>
      </c>
      <c r="P934" s="22" t="str">
        <f>IF(AND($L934=$O$7,$B934&lt;'111'!$N$11),"x","")</f>
        <v/>
      </c>
      <c r="Q934" s="22" t="str">
        <f>IF(AND($M934=$O$7,$B934&lt;'111'!$N$11),"x","")</f>
        <v/>
      </c>
      <c r="R934" s="22" t="str">
        <f>IF(ISERROR(FIND('112'!$M$9,G934,1)),"",IF((AND(FIND('112'!$M$9,G934,1)&gt;=1,$B934&gt;='112'!$N$8,$B934&lt;='112'!$O$8,OR($L934='112'!$I$6,$M934='112'!$I$6))),"x",""))</f>
        <v/>
      </c>
      <c r="S934" s="22" t="str">
        <f>IF(ISERROR(FIND('112'!$M$9,G934,1)),"",IF((AND(LEFT(G934,2)=LEFT('112'!$M$9,2),B934&lt;'112'!$N$8,$L934='112'!$I$6)),"x",""))</f>
        <v/>
      </c>
      <c r="T934" s="22" t="str">
        <f>IF(ISERROR(FIND('112'!$M$9,G934,1)),"",IF((AND(RIGHT(G934,2)=RIGHT('112'!$M$9,2),B934&lt;'112'!$N$8,$M934='112'!$I$6)),"x",""))</f>
        <v/>
      </c>
      <c r="U934" s="22" t="str">
        <f>IF(AND(B934&gt;='IN-NX'!$P$3,B934&lt;='IN-NX'!$Q$3,'IN-NX'!$D$7=D934,OR(LEFT(L934,2)="15",AND(LEFT(M934,2)&lt;&gt;"15",LEFT(M934,2)&lt;&gt;"33"))),"x","")</f>
        <v/>
      </c>
      <c r="V934" s="22" t="str">
        <f>IF(AND(OR(LEFT(TH!L934,2)="15",LEFT(TH!M934,2)="15"),'152-CT'!$J$8=TH!F934),"x","")</f>
        <v/>
      </c>
      <c r="W934" s="22" t="str">
        <f>IF(AND(OR(LEFT(TH!L934,2)="15",LEFT(TH!M934,2)="15"),TK!$E$7=TH!F934),"x","")</f>
        <v/>
      </c>
      <c r="X934" s="22" t="str">
        <f>IF(OR(TH!L934=TH!$X$7,M934=TH!$X$7),"x","")</f>
        <v/>
      </c>
      <c r="Y934" s="22" t="str">
        <f>IF(AND(B934&lt;=NKC!$N$8,B934&gt;=NKC!$M$8),"x","")</f>
        <v>x</v>
      </c>
      <c r="Z934" s="581"/>
      <c r="AA934" s="406"/>
      <c r="AB934" s="406"/>
    </row>
    <row r="935" spans="1:31" s="130" customFormat="1" ht="15.75" customHeight="1">
      <c r="A935" s="123" t="str">
        <f>IF(B935&lt;&gt;"",IF(AND(B935&gt;=_TM1,B935&lt;=_TM2,OR(TH!L935="1111",TH!M935="1111")),TH!D935,""),"")</f>
        <v/>
      </c>
      <c r="B935" s="12">
        <f t="shared" si="42"/>
        <v>8</v>
      </c>
      <c r="C935" s="108">
        <f t="shared" si="48"/>
        <v>42597</v>
      </c>
      <c r="D935" s="113" t="s">
        <v>1073</v>
      </c>
      <c r="E935" s="486">
        <v>42597</v>
      </c>
      <c r="F935" s="167" t="s">
        <v>527</v>
      </c>
      <c r="G935" s="487" t="s">
        <v>725</v>
      </c>
      <c r="H935" s="115" t="s">
        <v>1074</v>
      </c>
      <c r="I935" s="139">
        <v>429</v>
      </c>
      <c r="J935" s="139">
        <v>6594.7573903519997</v>
      </c>
      <c r="K935" s="13">
        <f t="shared" si="49"/>
        <v>2829151</v>
      </c>
      <c r="L935" s="116" t="s">
        <v>162</v>
      </c>
      <c r="M935" s="116" t="s">
        <v>160</v>
      </c>
      <c r="N935" s="22" t="str">
        <f>IF(AND('331-CT'!$E$7=TH!H935,OR(L935="331",M935="331")),"331",IF(AND(OR(L935="131",M935="131"),H935='131-CT'!$E$7),"131",""))</f>
        <v/>
      </c>
      <c r="O935" s="22" t="str">
        <f>IF(AND($B935&gt;='111'!$N$11,$B935&lt;='111'!$O$11,OR($L935=$O$7,$M935=$O$7)),"x","")</f>
        <v/>
      </c>
      <c r="P935" s="22" t="str">
        <f>IF(AND($L935=$O$7,$B935&lt;'111'!$N$11),"x","")</f>
        <v/>
      </c>
      <c r="Q935" s="22" t="str">
        <f>IF(AND($M935=$O$7,$B935&lt;'111'!$N$11),"x","")</f>
        <v/>
      </c>
      <c r="R935" s="22" t="str">
        <f>IF(ISERROR(FIND('112'!$M$9,G935,1)),"",IF((AND(FIND('112'!$M$9,G935,1)&gt;=1,$B935&gt;='112'!$N$8,$B935&lt;='112'!$O$8,OR($L935='112'!$I$6,$M935='112'!$I$6))),"x",""))</f>
        <v/>
      </c>
      <c r="S935" s="22" t="str">
        <f>IF(ISERROR(FIND('112'!$M$9,G935,1)),"",IF((AND(LEFT(G935,2)=LEFT('112'!$M$9,2),B935&lt;'112'!$N$8,$L935='112'!$I$6)),"x",""))</f>
        <v/>
      </c>
      <c r="T935" s="22" t="str">
        <f>IF(ISERROR(FIND('112'!$M$9,G935,1)),"",IF((AND(RIGHT(G935,2)=RIGHT('112'!$M$9,2),B935&lt;'112'!$N$8,$M935='112'!$I$6)),"x",""))</f>
        <v/>
      </c>
      <c r="U935" s="22" t="str">
        <f>IF(AND(B935&gt;='IN-NX'!$P$3,B935&lt;='IN-NX'!$Q$3,'IN-NX'!$D$7=D935,OR(LEFT(L935,2)="15",AND(LEFT(M935,2)&lt;&gt;"15",LEFT(M935,2)&lt;&gt;"33"))),"x","")</f>
        <v/>
      </c>
      <c r="V935" s="22" t="str">
        <f>IF(AND(OR(LEFT(TH!L935,2)="15",LEFT(TH!M935,2)="15"),'152-CT'!$J$8=TH!F935),"x","")</f>
        <v/>
      </c>
      <c r="W935" s="22" t="str">
        <f>IF(AND(OR(LEFT(TH!L935,2)="15",LEFT(TH!M935,2)="15"),TK!$E$7=TH!F935),"x","")</f>
        <v/>
      </c>
      <c r="X935" s="22" t="str">
        <f>IF(OR(TH!L935=TH!$X$7,M935=TH!$X$7),"x","")</f>
        <v/>
      </c>
      <c r="Y935" s="22" t="str">
        <f>IF(AND(B935&lt;=NKC!$N$8,B935&gt;=NKC!$M$8),"x","")</f>
        <v>x</v>
      </c>
      <c r="Z935" s="581"/>
      <c r="AA935" s="406"/>
    </row>
    <row r="936" spans="1:31" s="130" customFormat="1" ht="15.75" customHeight="1">
      <c r="A936" s="123" t="str">
        <f>IF(B936&lt;&gt;"",IF(AND(B936&gt;=_TM1,B936&lt;=_TM2,OR(TH!L936="1111",TH!M936="1111")),TH!D936,""),"")</f>
        <v/>
      </c>
      <c r="B936" s="12">
        <f t="shared" ref="B936:B999" si="50">IF(C936&lt;&gt;"",MONTH(C936),"")</f>
        <v>8</v>
      </c>
      <c r="C936" s="108">
        <f t="shared" si="48"/>
        <v>42597</v>
      </c>
      <c r="D936" s="113" t="s">
        <v>1073</v>
      </c>
      <c r="E936" s="486">
        <v>42597</v>
      </c>
      <c r="F936" s="167" t="s">
        <v>528</v>
      </c>
      <c r="G936" s="487" t="s">
        <v>725</v>
      </c>
      <c r="H936" s="115" t="s">
        <v>1074</v>
      </c>
      <c r="I936" s="139">
        <v>370</v>
      </c>
      <c r="J936" s="139">
        <v>7666.4054662842</v>
      </c>
      <c r="K936" s="13">
        <f t="shared" si="49"/>
        <v>2836570</v>
      </c>
      <c r="L936" s="116" t="s">
        <v>162</v>
      </c>
      <c r="M936" s="116" t="s">
        <v>160</v>
      </c>
      <c r="N936" s="22" t="str">
        <f>IF(AND('331-CT'!$E$7=TH!H936,OR(L936="331",M936="331")),"331",IF(AND(OR(L936="131",M936="131"),H936='131-CT'!$E$7),"131",""))</f>
        <v/>
      </c>
      <c r="O936" s="22" t="str">
        <f>IF(AND($B936&gt;='111'!$N$11,$B936&lt;='111'!$O$11,OR($L936=$O$7,$M936=$O$7)),"x","")</f>
        <v/>
      </c>
      <c r="P936" s="22" t="str">
        <f>IF(AND($L936=$O$7,$B936&lt;'111'!$N$11),"x","")</f>
        <v/>
      </c>
      <c r="Q936" s="22" t="str">
        <f>IF(AND($M936=$O$7,$B936&lt;'111'!$N$11),"x","")</f>
        <v/>
      </c>
      <c r="R936" s="22" t="str">
        <f>IF(ISERROR(FIND('112'!$M$9,G936,1)),"",IF((AND(FIND('112'!$M$9,G936,1)&gt;=1,$B936&gt;='112'!$N$8,$B936&lt;='112'!$O$8,OR($L936='112'!$I$6,$M936='112'!$I$6))),"x",""))</f>
        <v/>
      </c>
      <c r="S936" s="22" t="str">
        <f>IF(ISERROR(FIND('112'!$M$9,G936,1)),"",IF((AND(LEFT(G936,2)=LEFT('112'!$M$9,2),B936&lt;'112'!$N$8,$L936='112'!$I$6)),"x",""))</f>
        <v/>
      </c>
      <c r="T936" s="22" t="str">
        <f>IF(ISERROR(FIND('112'!$M$9,G936,1)),"",IF((AND(RIGHT(G936,2)=RIGHT('112'!$M$9,2),B936&lt;'112'!$N$8,$M936='112'!$I$6)),"x",""))</f>
        <v/>
      </c>
      <c r="U936" s="22" t="str">
        <f>IF(AND(B936&gt;='IN-NX'!$P$3,B936&lt;='IN-NX'!$Q$3,'IN-NX'!$D$7=D936,OR(LEFT(L936,2)="15",AND(LEFT(M936,2)&lt;&gt;"15",LEFT(M936,2)&lt;&gt;"33"))),"x","")</f>
        <v/>
      </c>
      <c r="V936" s="22" t="str">
        <f>IF(AND(OR(LEFT(TH!L936,2)="15",LEFT(TH!M936,2)="15"),'152-CT'!$J$8=TH!F936),"x","")</f>
        <v/>
      </c>
      <c r="W936" s="22" t="str">
        <f>IF(AND(OR(LEFT(TH!L936,2)="15",LEFT(TH!M936,2)="15"),TK!$E$7=TH!F936),"x","")</f>
        <v/>
      </c>
      <c r="X936" s="22" t="str">
        <f>IF(OR(TH!L936=TH!$X$7,M936=TH!$X$7),"x","")</f>
        <v/>
      </c>
      <c r="Y936" s="22" t="str">
        <f>IF(AND(B936&lt;=NKC!$N$8,B936&gt;=NKC!$M$8),"x","")</f>
        <v>x</v>
      </c>
      <c r="Z936" s="581"/>
      <c r="AA936" s="406"/>
      <c r="AB936" s="406"/>
    </row>
    <row r="937" spans="1:31" s="130" customFormat="1" ht="15.75" customHeight="1">
      <c r="A937" s="123" t="str">
        <f>IF(B937&lt;&gt;"",IF(AND(B937&gt;=_TM1,B937&lt;=_TM2,OR(TH!L937="1111",TH!M937="1111")),TH!D937,""),"")</f>
        <v/>
      </c>
      <c r="B937" s="12">
        <f t="shared" si="50"/>
        <v>8</v>
      </c>
      <c r="C937" s="108">
        <f t="shared" si="48"/>
        <v>42597</v>
      </c>
      <c r="D937" s="113" t="s">
        <v>1073</v>
      </c>
      <c r="E937" s="486">
        <v>42597</v>
      </c>
      <c r="F937" s="167" t="s">
        <v>529</v>
      </c>
      <c r="G937" s="487" t="s">
        <v>726</v>
      </c>
      <c r="H937" s="115" t="s">
        <v>1074</v>
      </c>
      <c r="I937" s="140">
        <v>130</v>
      </c>
      <c r="J937" s="140">
        <v>59764.988850064998</v>
      </c>
      <c r="K937" s="13">
        <f t="shared" si="49"/>
        <v>7769449</v>
      </c>
      <c r="L937" s="116" t="s">
        <v>162</v>
      </c>
      <c r="M937" s="116" t="s">
        <v>160</v>
      </c>
      <c r="N937" s="22" t="str">
        <f>IF(AND('331-CT'!$E$7=TH!H937,OR(L937="331",M937="331")),"331",IF(AND(OR(L937="131",M937="131"),H937='131-CT'!$E$7),"131",""))</f>
        <v/>
      </c>
      <c r="O937" s="22" t="str">
        <f>IF(AND($B937&gt;='111'!$N$11,$B937&lt;='111'!$O$11,OR($L937=$O$7,$M937=$O$7)),"x","")</f>
        <v/>
      </c>
      <c r="P937" s="22" t="str">
        <f>IF(AND($L937=$O$7,$B937&lt;'111'!$N$11),"x","")</f>
        <v/>
      </c>
      <c r="Q937" s="22" t="str">
        <f>IF(AND($M937=$O$7,$B937&lt;'111'!$N$11),"x","")</f>
        <v/>
      </c>
      <c r="R937" s="22" t="str">
        <f>IF(ISERROR(FIND('112'!$M$9,G937,1)),"",IF((AND(FIND('112'!$M$9,G937,1)&gt;=1,$B937&gt;='112'!$N$8,$B937&lt;='112'!$O$8,OR($L937='112'!$I$6,$M937='112'!$I$6))),"x",""))</f>
        <v/>
      </c>
      <c r="S937" s="22" t="str">
        <f>IF(ISERROR(FIND('112'!$M$9,G937,1)),"",IF((AND(LEFT(G937,2)=LEFT('112'!$M$9,2),B937&lt;'112'!$N$8,$L937='112'!$I$6)),"x",""))</f>
        <v/>
      </c>
      <c r="T937" s="22" t="str">
        <f>IF(ISERROR(FIND('112'!$M$9,G937,1)),"",IF((AND(RIGHT(G937,2)=RIGHT('112'!$M$9,2),B937&lt;'112'!$N$8,$M937='112'!$I$6)),"x",""))</f>
        <v/>
      </c>
      <c r="U937" s="22" t="str">
        <f>IF(AND(B937&gt;='IN-NX'!$P$3,B937&lt;='IN-NX'!$Q$3,'IN-NX'!$D$7=D937,OR(LEFT(L937,2)="15",AND(LEFT(M937,2)&lt;&gt;"15",LEFT(M937,2)&lt;&gt;"33"))),"x","")</f>
        <v/>
      </c>
      <c r="V937" s="22" t="str">
        <f>IF(AND(OR(LEFT(TH!L937,2)="15",LEFT(TH!M937,2)="15"),'152-CT'!$J$8=TH!F937),"x","")</f>
        <v/>
      </c>
      <c r="W937" s="22" t="str">
        <f>IF(AND(OR(LEFT(TH!L937,2)="15",LEFT(TH!M937,2)="15"),TK!$E$7=TH!F937),"x","")</f>
        <v/>
      </c>
      <c r="X937" s="22" t="str">
        <f>IF(OR(TH!L937=TH!$X$7,M937=TH!$X$7),"x","")</f>
        <v/>
      </c>
      <c r="Y937" s="22" t="str">
        <f>IF(AND(B937&lt;=NKC!$N$8,B937&gt;=NKC!$M$8),"x","")</f>
        <v>x</v>
      </c>
      <c r="Z937" s="581"/>
      <c r="AA937" s="406"/>
    </row>
    <row r="938" spans="1:31" s="130" customFormat="1" ht="15.75" customHeight="1">
      <c r="A938" s="123" t="str">
        <f>IF(B938&lt;&gt;"",IF(AND(B938&gt;=_TM1,B938&lt;=_TM2,OR(TH!L938="1111",TH!M938="1111")),TH!D938,""),"")</f>
        <v/>
      </c>
      <c r="B938" s="12">
        <f t="shared" si="50"/>
        <v>8</v>
      </c>
      <c r="C938" s="108">
        <f t="shared" si="48"/>
        <v>42599</v>
      </c>
      <c r="D938" s="113" t="s">
        <v>1073</v>
      </c>
      <c r="E938" s="486">
        <v>42599</v>
      </c>
      <c r="F938" s="167" t="s">
        <v>530</v>
      </c>
      <c r="G938" s="487" t="s">
        <v>727</v>
      </c>
      <c r="H938" s="115" t="s">
        <v>1074</v>
      </c>
      <c r="I938" s="140">
        <v>309</v>
      </c>
      <c r="J938" s="140">
        <v>6100.1505860755997</v>
      </c>
      <c r="K938" s="13">
        <f t="shared" si="49"/>
        <v>1884947</v>
      </c>
      <c r="L938" s="116" t="s">
        <v>162</v>
      </c>
      <c r="M938" s="116" t="s">
        <v>160</v>
      </c>
      <c r="N938" s="22" t="str">
        <f>IF(AND('331-CT'!$E$7=TH!H938,OR(L938="331",M938="331")),"331",IF(AND(OR(L938="131",M938="131"),H938='131-CT'!$E$7),"131",""))</f>
        <v/>
      </c>
      <c r="O938" s="22" t="str">
        <f>IF(AND($B938&gt;='111'!$N$11,$B938&lt;='111'!$O$11,OR($L938=$O$7,$M938=$O$7)),"x","")</f>
        <v/>
      </c>
      <c r="P938" s="22" t="str">
        <f>IF(AND($L938=$O$7,$B938&lt;'111'!$N$11),"x","")</f>
        <v/>
      </c>
      <c r="Q938" s="22" t="str">
        <f>IF(AND($M938=$O$7,$B938&lt;'111'!$N$11),"x","")</f>
        <v/>
      </c>
      <c r="R938" s="22" t="str">
        <f>IF(ISERROR(FIND('112'!$M$9,G938,1)),"",IF((AND(FIND('112'!$M$9,G938,1)&gt;=1,$B938&gt;='112'!$N$8,$B938&lt;='112'!$O$8,OR($L938='112'!$I$6,$M938='112'!$I$6))),"x",""))</f>
        <v/>
      </c>
      <c r="S938" s="22" t="str">
        <f>IF(ISERROR(FIND('112'!$M$9,G938,1)),"",IF((AND(LEFT(G938,2)=LEFT('112'!$M$9,2),B938&lt;'112'!$N$8,$L938='112'!$I$6)),"x",""))</f>
        <v/>
      </c>
      <c r="T938" s="22" t="str">
        <f>IF(ISERROR(FIND('112'!$M$9,G938,1)),"",IF((AND(RIGHT(G938,2)=RIGHT('112'!$M$9,2),B938&lt;'112'!$N$8,$M938='112'!$I$6)),"x",""))</f>
        <v/>
      </c>
      <c r="U938" s="22" t="str">
        <f>IF(AND(B938&gt;='IN-NX'!$P$3,B938&lt;='IN-NX'!$Q$3,'IN-NX'!$D$7=D938,OR(LEFT(L938,2)="15",AND(LEFT(M938,2)&lt;&gt;"15",LEFT(M938,2)&lt;&gt;"33"))),"x","")</f>
        <v/>
      </c>
      <c r="V938" s="22" t="str">
        <f>IF(AND(OR(LEFT(TH!L938,2)="15",LEFT(TH!M938,2)="15"),'152-CT'!$J$8=TH!F938),"x","")</f>
        <v/>
      </c>
      <c r="W938" s="22" t="str">
        <f>IF(AND(OR(LEFT(TH!L938,2)="15",LEFT(TH!M938,2)="15"),TK!$E$7=TH!F938),"x","")</f>
        <v/>
      </c>
      <c r="X938" s="22" t="str">
        <f>IF(OR(TH!L938=TH!$X$7,M938=TH!$X$7),"x","")</f>
        <v/>
      </c>
      <c r="Y938" s="22" t="str">
        <f>IF(AND(B938&lt;=NKC!$N$8,B938&gt;=NKC!$M$8),"x","")</f>
        <v>x</v>
      </c>
      <c r="Z938" s="581"/>
      <c r="AA938" s="406"/>
      <c r="AB938" s="406"/>
    </row>
    <row r="939" spans="1:31" s="130" customFormat="1" ht="15.75" customHeight="1">
      <c r="A939" s="123" t="str">
        <f>IF(B939&lt;&gt;"",IF(AND(B939&gt;=_TM1,B939&lt;=_TM2,OR(TH!L939="1111",TH!M939="1111")),TH!D939,""),"")</f>
        <v/>
      </c>
      <c r="B939" s="12">
        <f t="shared" si="50"/>
        <v>8</v>
      </c>
      <c r="C939" s="108">
        <f t="shared" si="48"/>
        <v>42599</v>
      </c>
      <c r="D939" s="113" t="s">
        <v>1073</v>
      </c>
      <c r="E939" s="486">
        <v>42599</v>
      </c>
      <c r="F939" s="167" t="s">
        <v>531</v>
      </c>
      <c r="G939" s="487" t="s">
        <v>728</v>
      </c>
      <c r="H939" s="115" t="s">
        <v>1074</v>
      </c>
      <c r="I939" s="139">
        <v>19</v>
      </c>
      <c r="J939" s="139">
        <v>11293.5220309778</v>
      </c>
      <c r="K939" s="13">
        <f t="shared" si="49"/>
        <v>214577</v>
      </c>
      <c r="L939" s="116" t="s">
        <v>162</v>
      </c>
      <c r="M939" s="116" t="s">
        <v>160</v>
      </c>
      <c r="N939" s="22" t="str">
        <f>IF(AND('331-CT'!$E$7=TH!H939,OR(L939="331",M939="331")),"331",IF(AND(OR(L939="131",M939="131"),H939='131-CT'!$E$7),"131",""))</f>
        <v/>
      </c>
      <c r="O939" s="22" t="str">
        <f>IF(AND($B939&gt;='111'!$N$11,$B939&lt;='111'!$O$11,OR($L939=$O$7,$M939=$O$7)),"x","")</f>
        <v/>
      </c>
      <c r="P939" s="22" t="str">
        <f>IF(AND($L939=$O$7,$B939&lt;'111'!$N$11),"x","")</f>
        <v/>
      </c>
      <c r="Q939" s="22" t="str">
        <f>IF(AND($M939=$O$7,$B939&lt;'111'!$N$11),"x","")</f>
        <v/>
      </c>
      <c r="R939" s="22" t="str">
        <f>IF(ISERROR(FIND('112'!$M$9,G939,1)),"",IF((AND(FIND('112'!$M$9,G939,1)&gt;=1,$B939&gt;='112'!$N$8,$B939&lt;='112'!$O$8,OR($L939='112'!$I$6,$M939='112'!$I$6))),"x",""))</f>
        <v/>
      </c>
      <c r="S939" s="22" t="str">
        <f>IF(ISERROR(FIND('112'!$M$9,G939,1)),"",IF((AND(LEFT(G939,2)=LEFT('112'!$M$9,2),B939&lt;'112'!$N$8,$L939='112'!$I$6)),"x",""))</f>
        <v/>
      </c>
      <c r="T939" s="22" t="str">
        <f>IF(ISERROR(FIND('112'!$M$9,G939,1)),"",IF((AND(RIGHT(G939,2)=RIGHT('112'!$M$9,2),B939&lt;'112'!$N$8,$M939='112'!$I$6)),"x",""))</f>
        <v/>
      </c>
      <c r="U939" s="22" t="str">
        <f>IF(AND(B939&gt;='IN-NX'!$P$3,B939&lt;='IN-NX'!$Q$3,'IN-NX'!$D$7=D939,OR(LEFT(L939,2)="15",AND(LEFT(M939,2)&lt;&gt;"15",LEFT(M939,2)&lt;&gt;"33"))),"x","")</f>
        <v/>
      </c>
      <c r="V939" s="22" t="str">
        <f>IF(AND(OR(LEFT(TH!L939,2)="15",LEFT(TH!M939,2)="15"),'152-CT'!$J$8=TH!F939),"x","")</f>
        <v/>
      </c>
      <c r="W939" s="22" t="str">
        <f>IF(AND(OR(LEFT(TH!L939,2)="15",LEFT(TH!M939,2)="15"),TK!$E$7=TH!F939),"x","")</f>
        <v/>
      </c>
      <c r="X939" s="22" t="str">
        <f>IF(OR(TH!L939=TH!$X$7,M939=TH!$X$7),"x","")</f>
        <v/>
      </c>
      <c r="Y939" s="22" t="str">
        <f>IF(AND(B939&lt;=NKC!$N$8,B939&gt;=NKC!$M$8),"x","")</f>
        <v>x</v>
      </c>
      <c r="Z939" s="581"/>
      <c r="AA939" s="406"/>
      <c r="AB939" s="406"/>
      <c r="AD939" s="406"/>
      <c r="AE939" s="406"/>
    </row>
    <row r="940" spans="1:31" s="130" customFormat="1" ht="15.75" customHeight="1">
      <c r="A940" s="123" t="str">
        <f>IF(B940&lt;&gt;"",IF(AND(B940&gt;=_TM1,B940&lt;=_TM2,OR(TH!L940="1111",TH!M940="1111")),TH!D940,""),"")</f>
        <v/>
      </c>
      <c r="B940" s="12">
        <f t="shared" si="50"/>
        <v>8</v>
      </c>
      <c r="C940" s="108">
        <f t="shared" si="48"/>
        <v>42602</v>
      </c>
      <c r="D940" s="113" t="s">
        <v>1073</v>
      </c>
      <c r="E940" s="486">
        <v>42602</v>
      </c>
      <c r="F940" s="167" t="s">
        <v>510</v>
      </c>
      <c r="G940" s="487" t="s">
        <v>730</v>
      </c>
      <c r="H940" s="115" t="s">
        <v>1074</v>
      </c>
      <c r="I940" s="139">
        <v>940</v>
      </c>
      <c r="J940" s="139">
        <v>5687.9782491785991</v>
      </c>
      <c r="K940" s="13">
        <f t="shared" si="49"/>
        <v>5346700</v>
      </c>
      <c r="L940" s="116" t="s">
        <v>162</v>
      </c>
      <c r="M940" s="116" t="s">
        <v>160</v>
      </c>
      <c r="N940" s="22" t="str">
        <f>IF(AND('331-CT'!$E$7=TH!H940,OR(L940="331",M940="331")),"331",IF(AND(OR(L940="131",M940="131"),H940='131-CT'!$E$7),"131",""))</f>
        <v/>
      </c>
      <c r="O940" s="22" t="str">
        <f>IF(AND($B940&gt;='111'!$N$11,$B940&lt;='111'!$O$11,OR($L940=$O$7,$M940=$O$7)),"x","")</f>
        <v/>
      </c>
      <c r="P940" s="22" t="str">
        <f>IF(AND($L940=$O$7,$B940&lt;'111'!$N$11),"x","")</f>
        <v/>
      </c>
      <c r="Q940" s="22" t="str">
        <f>IF(AND($M940=$O$7,$B940&lt;'111'!$N$11),"x","")</f>
        <v/>
      </c>
      <c r="R940" s="22" t="str">
        <f>IF(ISERROR(FIND('112'!$M$9,G940,1)),"",IF((AND(FIND('112'!$M$9,G940,1)&gt;=1,$B940&gt;='112'!$N$8,$B940&lt;='112'!$O$8,OR($L940='112'!$I$6,$M940='112'!$I$6))),"x",""))</f>
        <v/>
      </c>
      <c r="S940" s="22" t="str">
        <f>IF(ISERROR(FIND('112'!$M$9,G940,1)),"",IF((AND(LEFT(G940,2)=LEFT('112'!$M$9,2),B940&lt;'112'!$N$8,$L940='112'!$I$6)),"x",""))</f>
        <v/>
      </c>
      <c r="T940" s="22" t="str">
        <f>IF(ISERROR(FIND('112'!$M$9,G940,1)),"",IF((AND(RIGHT(G940,2)=RIGHT('112'!$M$9,2),B940&lt;'112'!$N$8,$M940='112'!$I$6)),"x",""))</f>
        <v/>
      </c>
      <c r="U940" s="22" t="str">
        <f>IF(AND(B940&gt;='IN-NX'!$P$3,B940&lt;='IN-NX'!$Q$3,'IN-NX'!$D$7=D940,OR(LEFT(L940,2)="15",AND(LEFT(M940,2)&lt;&gt;"15",LEFT(M940,2)&lt;&gt;"33"))),"x","")</f>
        <v/>
      </c>
      <c r="V940" s="22" t="str">
        <f>IF(AND(OR(LEFT(TH!L940,2)="15",LEFT(TH!M940,2)="15"),'152-CT'!$J$8=TH!F940),"x","")</f>
        <v/>
      </c>
      <c r="W940" s="22" t="str">
        <f>IF(AND(OR(LEFT(TH!L940,2)="15",LEFT(TH!M940,2)="15"),TK!$E$7=TH!F940),"x","")</f>
        <v/>
      </c>
      <c r="X940" s="22" t="str">
        <f>IF(OR(TH!L940=TH!$X$7,M940=TH!$X$7),"x","")</f>
        <v/>
      </c>
      <c r="Y940" s="22" t="str">
        <f>IF(AND(B940&lt;=NKC!$N$8,B940&gt;=NKC!$M$8),"x","")</f>
        <v>x</v>
      </c>
      <c r="Z940" s="581"/>
      <c r="AA940" s="406"/>
      <c r="AB940" s="406"/>
      <c r="AD940" s="406"/>
      <c r="AE940" s="406"/>
    </row>
    <row r="941" spans="1:31" s="130" customFormat="1" ht="15.75" customHeight="1">
      <c r="A941" s="123" t="str">
        <f>IF(B941&lt;&gt;"",IF(AND(B941&gt;=_TM1,B941&lt;=_TM2,OR(TH!L941="1111",TH!M941="1111")),TH!D941,""),"")</f>
        <v/>
      </c>
      <c r="B941" s="12">
        <f t="shared" si="50"/>
        <v>8</v>
      </c>
      <c r="C941" s="108">
        <f t="shared" si="48"/>
        <v>42605</v>
      </c>
      <c r="D941" s="113" t="s">
        <v>1073</v>
      </c>
      <c r="E941" s="486">
        <v>42605</v>
      </c>
      <c r="F941" s="167" t="s">
        <v>685</v>
      </c>
      <c r="G941" s="487" t="s">
        <v>731</v>
      </c>
      <c r="H941" s="115" t="s">
        <v>1074</v>
      </c>
      <c r="I941" s="140">
        <v>58</v>
      </c>
      <c r="J941" s="140">
        <v>16239.590073741798</v>
      </c>
      <c r="K941" s="13">
        <f t="shared" si="49"/>
        <v>941896</v>
      </c>
      <c r="L941" s="116" t="s">
        <v>162</v>
      </c>
      <c r="M941" s="116" t="s">
        <v>160</v>
      </c>
      <c r="N941" s="22" t="str">
        <f>IF(AND('331-CT'!$E$7=TH!H941,OR(L941="331",M941="331")),"331",IF(AND(OR(L941="131",M941="131"),H941='131-CT'!$E$7),"131",""))</f>
        <v/>
      </c>
      <c r="O941" s="22" t="str">
        <f>IF(AND($B941&gt;='111'!$N$11,$B941&lt;='111'!$O$11,OR($L941=$O$7,$M941=$O$7)),"x","")</f>
        <v/>
      </c>
      <c r="P941" s="22" t="str">
        <f>IF(AND($L941=$O$7,$B941&lt;'111'!$N$11),"x","")</f>
        <v/>
      </c>
      <c r="Q941" s="22" t="str">
        <f>IF(AND($M941=$O$7,$B941&lt;'111'!$N$11),"x","")</f>
        <v/>
      </c>
      <c r="R941" s="22" t="str">
        <f>IF(ISERROR(FIND('112'!$M$9,G941,1)),"",IF((AND(FIND('112'!$M$9,G941,1)&gt;=1,$B941&gt;='112'!$N$8,$B941&lt;='112'!$O$8,OR($L941='112'!$I$6,$M941='112'!$I$6))),"x",""))</f>
        <v/>
      </c>
      <c r="S941" s="22" t="str">
        <f>IF(ISERROR(FIND('112'!$M$9,G941,1)),"",IF((AND(LEFT(G941,2)=LEFT('112'!$M$9,2),B941&lt;'112'!$N$8,$L941='112'!$I$6)),"x",""))</f>
        <v/>
      </c>
      <c r="T941" s="22" t="str">
        <f>IF(ISERROR(FIND('112'!$M$9,G941,1)),"",IF((AND(RIGHT(G941,2)=RIGHT('112'!$M$9,2),B941&lt;'112'!$N$8,$M941='112'!$I$6)),"x",""))</f>
        <v/>
      </c>
      <c r="U941" s="22" t="str">
        <f>IF(AND(B941&gt;='IN-NX'!$P$3,B941&lt;='IN-NX'!$Q$3,'IN-NX'!$D$7=D941,OR(LEFT(L941,2)="15",AND(LEFT(M941,2)&lt;&gt;"15",LEFT(M941,2)&lt;&gt;"33"))),"x","")</f>
        <v/>
      </c>
      <c r="V941" s="22" t="str">
        <f>IF(AND(OR(LEFT(TH!L941,2)="15",LEFT(TH!M941,2)="15"),'152-CT'!$J$8=TH!F941),"x","")</f>
        <v/>
      </c>
      <c r="W941" s="22" t="str">
        <f>IF(AND(OR(LEFT(TH!L941,2)="15",LEFT(TH!M941,2)="15"),TK!$E$7=TH!F941),"x","")</f>
        <v/>
      </c>
      <c r="X941" s="22" t="str">
        <f>IF(OR(TH!L941=TH!$X$7,M941=TH!$X$7),"x","")</f>
        <v/>
      </c>
      <c r="Y941" s="22" t="str">
        <f>IF(AND(B941&lt;=NKC!$N$8,B941&gt;=NKC!$M$8),"x","")</f>
        <v>x</v>
      </c>
      <c r="Z941" s="581"/>
      <c r="AA941" s="406"/>
      <c r="AB941" s="406"/>
    </row>
    <row r="942" spans="1:31" s="130" customFormat="1" ht="15.75" customHeight="1">
      <c r="A942" s="123" t="str">
        <f>IF(B942&lt;&gt;"",IF(AND(B942&gt;=_TM1,B942&lt;=_TM2,OR(TH!L942="1111",TH!M942="1111")),TH!D942,""),"")</f>
        <v/>
      </c>
      <c r="B942" s="12">
        <f t="shared" si="50"/>
        <v>8</v>
      </c>
      <c r="C942" s="108">
        <f t="shared" si="48"/>
        <v>42605</v>
      </c>
      <c r="D942" s="113" t="s">
        <v>1073</v>
      </c>
      <c r="E942" s="486">
        <v>42605</v>
      </c>
      <c r="F942" s="167" t="s">
        <v>498</v>
      </c>
      <c r="G942" s="487" t="s">
        <v>731</v>
      </c>
      <c r="H942" s="115" t="s">
        <v>1074</v>
      </c>
      <c r="I942" s="139">
        <v>56</v>
      </c>
      <c r="J942" s="139">
        <v>824.34467379399996</v>
      </c>
      <c r="K942" s="13">
        <f t="shared" si="49"/>
        <v>46163</v>
      </c>
      <c r="L942" s="116" t="s">
        <v>162</v>
      </c>
      <c r="M942" s="116" t="s">
        <v>160</v>
      </c>
      <c r="N942" s="22" t="str">
        <f>IF(AND('331-CT'!$E$7=TH!H942,OR(L942="331",M942="331")),"331",IF(AND(OR(L942="131",M942="131"),H942='131-CT'!$E$7),"131",""))</f>
        <v/>
      </c>
      <c r="O942" s="22" t="str">
        <f>IF(AND($B942&gt;='111'!$N$11,$B942&lt;='111'!$O$11,OR($L942=$O$7,$M942=$O$7)),"x","")</f>
        <v/>
      </c>
      <c r="P942" s="22" t="str">
        <f>IF(AND($L942=$O$7,$B942&lt;'111'!$N$11),"x","")</f>
        <v/>
      </c>
      <c r="Q942" s="22" t="str">
        <f>IF(AND($M942=$O$7,$B942&lt;'111'!$N$11),"x","")</f>
        <v/>
      </c>
      <c r="R942" s="22" t="str">
        <f>IF(ISERROR(FIND('112'!$M$9,G942,1)),"",IF((AND(FIND('112'!$M$9,G942,1)&gt;=1,$B942&gt;='112'!$N$8,$B942&lt;='112'!$O$8,OR($L942='112'!$I$6,$M942='112'!$I$6))),"x",""))</f>
        <v/>
      </c>
      <c r="S942" s="22" t="str">
        <f>IF(ISERROR(FIND('112'!$M$9,G942,1)),"",IF((AND(LEFT(G942,2)=LEFT('112'!$M$9,2),B942&lt;'112'!$N$8,$L942='112'!$I$6)),"x",""))</f>
        <v/>
      </c>
      <c r="T942" s="22" t="str">
        <f>IF(ISERROR(FIND('112'!$M$9,G942,1)),"",IF((AND(RIGHT(G942,2)=RIGHT('112'!$M$9,2),B942&lt;'112'!$N$8,$M942='112'!$I$6)),"x",""))</f>
        <v/>
      </c>
      <c r="U942" s="22" t="str">
        <f>IF(AND(B942&gt;='IN-NX'!$P$3,B942&lt;='IN-NX'!$Q$3,'IN-NX'!$D$7=D942,OR(LEFT(L942,2)="15",AND(LEFT(M942,2)&lt;&gt;"15",LEFT(M942,2)&lt;&gt;"33"))),"x","")</f>
        <v/>
      </c>
      <c r="V942" s="22" t="str">
        <f>IF(AND(OR(LEFT(TH!L942,2)="15",LEFT(TH!M942,2)="15"),'152-CT'!$J$8=TH!F942),"x","")</f>
        <v/>
      </c>
      <c r="W942" s="22" t="str">
        <f>IF(AND(OR(LEFT(TH!L942,2)="15",LEFT(TH!M942,2)="15"),TK!$E$7=TH!F942),"x","")</f>
        <v/>
      </c>
      <c r="X942" s="22" t="str">
        <f>IF(OR(TH!L942=TH!$X$7,M942=TH!$X$7),"x","")</f>
        <v/>
      </c>
      <c r="Y942" s="22" t="str">
        <f>IF(AND(B942&lt;=NKC!$N$8,B942&gt;=NKC!$M$8),"x","")</f>
        <v>x</v>
      </c>
      <c r="Z942" s="581"/>
      <c r="AA942" s="406"/>
    </row>
    <row r="943" spans="1:31" s="130" customFormat="1" ht="15.75" customHeight="1">
      <c r="A943" s="123" t="str">
        <f>IF(B943&lt;&gt;"",IF(AND(B943&gt;=_TM1,B943&lt;=_TM2,OR(TH!L943="1111",TH!M943="1111")),TH!D943,""),"")</f>
        <v/>
      </c>
      <c r="B943" s="12">
        <f t="shared" si="50"/>
        <v>8</v>
      </c>
      <c r="C943" s="108">
        <f t="shared" si="48"/>
        <v>42607</v>
      </c>
      <c r="D943" s="113" t="s">
        <v>1073</v>
      </c>
      <c r="E943" s="486">
        <v>42607</v>
      </c>
      <c r="F943" s="167" t="s">
        <v>653</v>
      </c>
      <c r="G943" s="487" t="s">
        <v>732</v>
      </c>
      <c r="H943" s="115" t="s">
        <v>1074</v>
      </c>
      <c r="I943" s="139">
        <v>1040</v>
      </c>
      <c r="J943" s="139">
        <v>11870.563302633598</v>
      </c>
      <c r="K943" s="13">
        <f t="shared" si="49"/>
        <v>12345386</v>
      </c>
      <c r="L943" s="116" t="s">
        <v>162</v>
      </c>
      <c r="M943" s="116" t="s">
        <v>160</v>
      </c>
      <c r="N943" s="22" t="str">
        <f>IF(AND('331-CT'!$E$7=TH!H943,OR(L943="331",M943="331")),"331",IF(AND(OR(L943="131",M943="131"),H943='131-CT'!$E$7),"131",""))</f>
        <v/>
      </c>
      <c r="O943" s="22" t="str">
        <f>IF(AND($B943&gt;='111'!$N$11,$B943&lt;='111'!$O$11,OR($L943=$O$7,$M943=$O$7)),"x","")</f>
        <v/>
      </c>
      <c r="P943" s="22" t="str">
        <f>IF(AND($L943=$O$7,$B943&lt;'111'!$N$11),"x","")</f>
        <v/>
      </c>
      <c r="Q943" s="22" t="str">
        <f>IF(AND($M943=$O$7,$B943&lt;'111'!$N$11),"x","")</f>
        <v/>
      </c>
      <c r="R943" s="22" t="str">
        <f>IF(ISERROR(FIND('112'!$M$9,G943,1)),"",IF((AND(FIND('112'!$M$9,G943,1)&gt;=1,$B943&gt;='112'!$N$8,$B943&lt;='112'!$O$8,OR($L943='112'!$I$6,$M943='112'!$I$6))),"x",""))</f>
        <v/>
      </c>
      <c r="S943" s="22" t="str">
        <f>IF(ISERROR(FIND('112'!$M$9,G943,1)),"",IF((AND(LEFT(G943,2)=LEFT('112'!$M$9,2),B943&lt;'112'!$N$8,$L943='112'!$I$6)),"x",""))</f>
        <v/>
      </c>
      <c r="T943" s="22" t="str">
        <f>IF(ISERROR(FIND('112'!$M$9,G943,1)),"",IF((AND(RIGHT(G943,2)=RIGHT('112'!$M$9,2),B943&lt;'112'!$N$8,$M943='112'!$I$6)),"x",""))</f>
        <v/>
      </c>
      <c r="U943" s="22" t="str">
        <f>IF(AND(B943&gt;='IN-NX'!$P$3,B943&lt;='IN-NX'!$Q$3,'IN-NX'!$D$7=D943,OR(LEFT(L943,2)="15",AND(LEFT(M943,2)&lt;&gt;"15",LEFT(M943,2)&lt;&gt;"33"))),"x","")</f>
        <v/>
      </c>
      <c r="V943" s="22" t="str">
        <f>IF(AND(OR(LEFT(TH!L943,2)="15",LEFT(TH!M943,2)="15"),'152-CT'!$J$8=TH!F943),"x","")</f>
        <v/>
      </c>
      <c r="W943" s="22" t="str">
        <f>IF(AND(OR(LEFT(TH!L943,2)="15",LEFT(TH!M943,2)="15"),TK!$E$7=TH!F943),"x","")</f>
        <v/>
      </c>
      <c r="X943" s="22" t="str">
        <f>IF(OR(TH!L943=TH!$X$7,M943=TH!$X$7),"x","")</f>
        <v/>
      </c>
      <c r="Y943" s="22" t="str">
        <f>IF(AND(B943&lt;=NKC!$N$8,B943&gt;=NKC!$M$8),"x","")</f>
        <v>x</v>
      </c>
      <c r="Z943" s="581"/>
      <c r="AA943" s="406"/>
      <c r="AB943" s="406"/>
    </row>
    <row r="944" spans="1:31" s="130" customFormat="1" ht="15.75" customHeight="1">
      <c r="A944" s="123" t="str">
        <f>IF(B944&lt;&gt;"",IF(AND(B944&gt;=_TM1,B944&lt;=_TM2,OR(TH!L944="1111",TH!M944="1111")),TH!D944,""),"")</f>
        <v/>
      </c>
      <c r="B944" s="12">
        <f t="shared" si="50"/>
        <v>8</v>
      </c>
      <c r="C944" s="108">
        <f t="shared" si="48"/>
        <v>42607</v>
      </c>
      <c r="D944" s="113" t="s">
        <v>1073</v>
      </c>
      <c r="E944" s="486">
        <v>42607</v>
      </c>
      <c r="F944" s="167" t="s">
        <v>653</v>
      </c>
      <c r="G944" s="487" t="s">
        <v>733</v>
      </c>
      <c r="H944" s="115" t="s">
        <v>1074</v>
      </c>
      <c r="I944" s="139">
        <v>110</v>
      </c>
      <c r="J944" s="139">
        <v>11870.563302633598</v>
      </c>
      <c r="K944" s="13">
        <f t="shared" si="49"/>
        <v>1305762</v>
      </c>
      <c r="L944" s="116" t="s">
        <v>162</v>
      </c>
      <c r="M944" s="116" t="s">
        <v>160</v>
      </c>
      <c r="N944" s="22" t="str">
        <f>IF(AND('331-CT'!$E$7=TH!H944,OR(L944="331",M944="331")),"331",IF(AND(OR(L944="131",M944="131"),H944='131-CT'!$E$7),"131",""))</f>
        <v/>
      </c>
      <c r="O944" s="22" t="str">
        <f>IF(AND($B944&gt;='111'!$N$11,$B944&lt;='111'!$O$11,OR($L944=$O$7,$M944=$O$7)),"x","")</f>
        <v/>
      </c>
      <c r="P944" s="22" t="str">
        <f>IF(AND($L944=$O$7,$B944&lt;'111'!$N$11),"x","")</f>
        <v/>
      </c>
      <c r="Q944" s="22" t="str">
        <f>IF(AND($M944=$O$7,$B944&lt;'111'!$N$11),"x","")</f>
        <v/>
      </c>
      <c r="R944" s="22" t="str">
        <f>IF(ISERROR(FIND('112'!$M$9,G944,1)),"",IF((AND(FIND('112'!$M$9,G944,1)&gt;=1,$B944&gt;='112'!$N$8,$B944&lt;='112'!$O$8,OR($L944='112'!$I$6,$M944='112'!$I$6))),"x",""))</f>
        <v/>
      </c>
      <c r="S944" s="22" t="str">
        <f>IF(ISERROR(FIND('112'!$M$9,G944,1)),"",IF((AND(LEFT(G944,2)=LEFT('112'!$M$9,2),B944&lt;'112'!$N$8,$L944='112'!$I$6)),"x",""))</f>
        <v/>
      </c>
      <c r="T944" s="22" t="str">
        <f>IF(ISERROR(FIND('112'!$M$9,G944,1)),"",IF((AND(RIGHT(G944,2)=RIGHT('112'!$M$9,2),B944&lt;'112'!$N$8,$M944='112'!$I$6)),"x",""))</f>
        <v/>
      </c>
      <c r="U944" s="22" t="str">
        <f>IF(AND(B944&gt;='IN-NX'!$P$3,B944&lt;='IN-NX'!$Q$3,'IN-NX'!$D$7=D944,OR(LEFT(L944,2)="15",AND(LEFT(M944,2)&lt;&gt;"15",LEFT(M944,2)&lt;&gt;"33"))),"x","")</f>
        <v/>
      </c>
      <c r="V944" s="22" t="str">
        <f>IF(AND(OR(LEFT(TH!L944,2)="15",LEFT(TH!M944,2)="15"),'152-CT'!$J$8=TH!F944),"x","")</f>
        <v/>
      </c>
      <c r="W944" s="22" t="str">
        <f>IF(AND(OR(LEFT(TH!L944,2)="15",LEFT(TH!M944,2)="15"),TK!$E$7=TH!F944),"x","")</f>
        <v/>
      </c>
      <c r="X944" s="22" t="str">
        <f>IF(OR(TH!L944=TH!$X$7,M944=TH!$X$7),"x","")</f>
        <v/>
      </c>
      <c r="Y944" s="22" t="str">
        <f>IF(AND(B944&lt;=NKC!$N$8,B944&gt;=NKC!$M$8),"x","")</f>
        <v>x</v>
      </c>
      <c r="Z944" s="581"/>
      <c r="AA944" s="406"/>
    </row>
    <row r="945" spans="1:28" s="130" customFormat="1" ht="15.75" customHeight="1">
      <c r="A945" s="123" t="str">
        <f>IF(B945&lt;&gt;"",IF(AND(B945&gt;=_TM1,B945&lt;=_TM2,OR(TH!L945="1111",TH!M945="1111")),TH!D945,""),"")</f>
        <v/>
      </c>
      <c r="B945" s="12">
        <f t="shared" si="50"/>
        <v>8</v>
      </c>
      <c r="C945" s="108">
        <f t="shared" si="48"/>
        <v>42608</v>
      </c>
      <c r="D945" s="113" t="s">
        <v>1073</v>
      </c>
      <c r="E945" s="486">
        <v>42608</v>
      </c>
      <c r="F945" s="167" t="s">
        <v>534</v>
      </c>
      <c r="G945" s="487" t="s">
        <v>734</v>
      </c>
      <c r="H945" s="115" t="s">
        <v>1074</v>
      </c>
      <c r="I945" s="139">
        <v>120</v>
      </c>
      <c r="J945" s="139">
        <v>12612.473509048199</v>
      </c>
      <c r="K945" s="13">
        <f t="shared" si="49"/>
        <v>1513497</v>
      </c>
      <c r="L945" s="116" t="s">
        <v>162</v>
      </c>
      <c r="M945" s="116" t="s">
        <v>160</v>
      </c>
      <c r="N945" s="22" t="str">
        <f>IF(AND('331-CT'!$E$7=TH!H945,OR(L945="331",M945="331")),"331",IF(AND(OR(L945="131",M945="131"),H945='131-CT'!$E$7),"131",""))</f>
        <v/>
      </c>
      <c r="O945" s="22" t="str">
        <f>IF(AND($B945&gt;='111'!$N$11,$B945&lt;='111'!$O$11,OR($L945=$O$7,$M945=$O$7)),"x","")</f>
        <v/>
      </c>
      <c r="P945" s="22" t="str">
        <f>IF(AND($L945=$O$7,$B945&lt;'111'!$N$11),"x","")</f>
        <v/>
      </c>
      <c r="Q945" s="22" t="str">
        <f>IF(AND($M945=$O$7,$B945&lt;'111'!$N$11),"x","")</f>
        <v/>
      </c>
      <c r="R945" s="22" t="str">
        <f>IF(ISERROR(FIND('112'!$M$9,G945,1)),"",IF((AND(FIND('112'!$M$9,G945,1)&gt;=1,$B945&gt;='112'!$N$8,$B945&lt;='112'!$O$8,OR($L945='112'!$I$6,$M945='112'!$I$6))),"x",""))</f>
        <v/>
      </c>
      <c r="S945" s="22" t="str">
        <f>IF(ISERROR(FIND('112'!$M$9,G945,1)),"",IF((AND(LEFT(G945,2)=LEFT('112'!$M$9,2),B945&lt;'112'!$N$8,$L945='112'!$I$6)),"x",""))</f>
        <v/>
      </c>
      <c r="T945" s="22" t="str">
        <f>IF(ISERROR(FIND('112'!$M$9,G945,1)),"",IF((AND(RIGHT(G945,2)=RIGHT('112'!$M$9,2),B945&lt;'112'!$N$8,$M945='112'!$I$6)),"x",""))</f>
        <v/>
      </c>
      <c r="U945" s="22" t="str">
        <f>IF(AND(B945&gt;='IN-NX'!$P$3,B945&lt;='IN-NX'!$Q$3,'IN-NX'!$D$7=D945,OR(LEFT(L945,2)="15",AND(LEFT(M945,2)&lt;&gt;"15",LEFT(M945,2)&lt;&gt;"33"))),"x","")</f>
        <v/>
      </c>
      <c r="V945" s="22" t="str">
        <f>IF(AND(OR(LEFT(TH!L945,2)="15",LEFT(TH!M945,2)="15"),'152-CT'!$J$8=TH!F945),"x","")</f>
        <v/>
      </c>
      <c r="W945" s="22" t="str">
        <f>IF(AND(OR(LEFT(TH!L945,2)="15",LEFT(TH!M945,2)="15"),TK!$E$7=TH!F945),"x","")</f>
        <v/>
      </c>
      <c r="X945" s="22" t="str">
        <f>IF(OR(TH!L945=TH!$X$7,M945=TH!$X$7),"x","")</f>
        <v/>
      </c>
      <c r="Y945" s="22" t="str">
        <f>IF(AND(B945&lt;=NKC!$N$8,B945&gt;=NKC!$M$8),"x","")</f>
        <v>x</v>
      </c>
      <c r="Z945" s="581"/>
      <c r="AA945" s="406"/>
      <c r="AB945" s="406"/>
    </row>
    <row r="946" spans="1:28" s="130" customFormat="1" ht="15.75" customHeight="1">
      <c r="A946" s="123" t="str">
        <f>IF(B946&lt;&gt;"",IF(AND(B946&gt;=_TM1,B946&lt;=_TM2,OR(TH!L946="1111",TH!M946="1111")),TH!D946,""),"")</f>
        <v/>
      </c>
      <c r="B946" s="12">
        <f t="shared" si="50"/>
        <v>8</v>
      </c>
      <c r="C946" s="108">
        <f t="shared" si="48"/>
        <v>42608</v>
      </c>
      <c r="D946" s="113" t="s">
        <v>1073</v>
      </c>
      <c r="E946" s="486">
        <v>42608</v>
      </c>
      <c r="F946" s="167" t="s">
        <v>535</v>
      </c>
      <c r="G946" s="487" t="s">
        <v>734</v>
      </c>
      <c r="H946" s="115" t="s">
        <v>1074</v>
      </c>
      <c r="I946" s="139">
        <v>240</v>
      </c>
      <c r="J946" s="139">
        <v>1566.2548802085998</v>
      </c>
      <c r="K946" s="13">
        <f t="shared" si="49"/>
        <v>375901</v>
      </c>
      <c r="L946" s="116" t="s">
        <v>162</v>
      </c>
      <c r="M946" s="116" t="s">
        <v>160</v>
      </c>
      <c r="N946" s="22" t="str">
        <f>IF(AND('331-CT'!$E$7=TH!H946,OR(L946="331",M946="331")),"331",IF(AND(OR(L946="131",M946="131"),H946='131-CT'!$E$7),"131",""))</f>
        <v/>
      </c>
      <c r="O946" s="22" t="str">
        <f>IF(AND($B946&gt;='111'!$N$11,$B946&lt;='111'!$O$11,OR($L946=$O$7,$M946=$O$7)),"x","")</f>
        <v/>
      </c>
      <c r="P946" s="22" t="str">
        <f>IF(AND($L946=$O$7,$B946&lt;'111'!$N$11),"x","")</f>
        <v/>
      </c>
      <c r="Q946" s="22" t="str">
        <f>IF(AND($M946=$O$7,$B946&lt;'111'!$N$11),"x","")</f>
        <v/>
      </c>
      <c r="R946" s="22" t="str">
        <f>IF(ISERROR(FIND('112'!$M$9,G946,1)),"",IF((AND(FIND('112'!$M$9,G946,1)&gt;=1,$B946&gt;='112'!$N$8,$B946&lt;='112'!$O$8,OR($L946='112'!$I$6,$M946='112'!$I$6))),"x",""))</f>
        <v/>
      </c>
      <c r="S946" s="22" t="str">
        <f>IF(ISERROR(FIND('112'!$M$9,G946,1)),"",IF((AND(LEFT(G946,2)=LEFT('112'!$M$9,2),B946&lt;'112'!$N$8,$L946='112'!$I$6)),"x",""))</f>
        <v/>
      </c>
      <c r="T946" s="22" t="str">
        <f>IF(ISERROR(FIND('112'!$M$9,G946,1)),"",IF((AND(RIGHT(G946,2)=RIGHT('112'!$M$9,2),B946&lt;'112'!$N$8,$M946='112'!$I$6)),"x",""))</f>
        <v/>
      </c>
      <c r="U946" s="22" t="str">
        <f>IF(AND(B946&gt;='IN-NX'!$P$3,B946&lt;='IN-NX'!$Q$3,'IN-NX'!$D$7=D946,OR(LEFT(L946,2)="15",AND(LEFT(M946,2)&lt;&gt;"15",LEFT(M946,2)&lt;&gt;"33"))),"x","")</f>
        <v/>
      </c>
      <c r="V946" s="22" t="str">
        <f>IF(AND(OR(LEFT(TH!L946,2)="15",LEFT(TH!M946,2)="15"),'152-CT'!$J$8=TH!F946),"x","")</f>
        <v/>
      </c>
      <c r="W946" s="22" t="str">
        <f>IF(AND(OR(LEFT(TH!L946,2)="15",LEFT(TH!M946,2)="15"),TK!$E$7=TH!F946),"x","")</f>
        <v/>
      </c>
      <c r="X946" s="22" t="str">
        <f>IF(OR(TH!L946=TH!$X$7,M946=TH!$X$7),"x","")</f>
        <v/>
      </c>
      <c r="Y946" s="22" t="str">
        <f>IF(AND(B946&lt;=NKC!$N$8,B946&gt;=NKC!$M$8),"x","")</f>
        <v>x</v>
      </c>
      <c r="Z946" s="581"/>
      <c r="AA946" s="406"/>
    </row>
    <row r="947" spans="1:28" s="130" customFormat="1" ht="15.75" customHeight="1">
      <c r="A947" s="123" t="str">
        <f>IF(B947&lt;&gt;"",IF(AND(B947&gt;=_TM1,B947&lt;=_TM2,OR(TH!L947="1111",TH!M947="1111")),TH!D947,""),"")</f>
        <v/>
      </c>
      <c r="B947" s="12">
        <f t="shared" si="50"/>
        <v>8</v>
      </c>
      <c r="C947" s="108">
        <f t="shared" si="48"/>
        <v>42608</v>
      </c>
      <c r="D947" s="113" t="s">
        <v>1073</v>
      </c>
      <c r="E947" s="486">
        <v>42608</v>
      </c>
      <c r="F947" s="167" t="s">
        <v>515</v>
      </c>
      <c r="G947" s="487" t="s">
        <v>735</v>
      </c>
      <c r="H947" s="115" t="s">
        <v>1074</v>
      </c>
      <c r="I947" s="139">
        <v>513</v>
      </c>
      <c r="J947" s="139">
        <v>7831.2744010429988</v>
      </c>
      <c r="K947" s="13">
        <f t="shared" si="49"/>
        <v>4017444</v>
      </c>
      <c r="L947" s="116" t="s">
        <v>162</v>
      </c>
      <c r="M947" s="116" t="s">
        <v>160</v>
      </c>
      <c r="N947" s="22" t="str">
        <f>IF(AND('331-CT'!$E$7=TH!H947,OR(L947="331",M947="331")),"331",IF(AND(OR(L947="131",M947="131"),H947='131-CT'!$E$7),"131",""))</f>
        <v/>
      </c>
      <c r="O947" s="22" t="str">
        <f>IF(AND($B947&gt;='111'!$N$11,$B947&lt;='111'!$O$11,OR($L947=$O$7,$M947=$O$7)),"x","")</f>
        <v/>
      </c>
      <c r="P947" s="22" t="str">
        <f>IF(AND($L947=$O$7,$B947&lt;'111'!$N$11),"x","")</f>
        <v/>
      </c>
      <c r="Q947" s="22" t="str">
        <f>IF(AND($M947=$O$7,$B947&lt;'111'!$N$11),"x","")</f>
        <v/>
      </c>
      <c r="R947" s="22" t="str">
        <f>IF(ISERROR(FIND('112'!$M$9,G947,1)),"",IF((AND(FIND('112'!$M$9,G947,1)&gt;=1,$B947&gt;='112'!$N$8,$B947&lt;='112'!$O$8,OR($L947='112'!$I$6,$M947='112'!$I$6))),"x",""))</f>
        <v/>
      </c>
      <c r="S947" s="22" t="str">
        <f>IF(ISERROR(FIND('112'!$M$9,G947,1)),"",IF((AND(LEFT(G947,2)=LEFT('112'!$M$9,2),B947&lt;'112'!$N$8,$L947='112'!$I$6)),"x",""))</f>
        <v/>
      </c>
      <c r="T947" s="22" t="str">
        <f>IF(ISERROR(FIND('112'!$M$9,G947,1)),"",IF((AND(RIGHT(G947,2)=RIGHT('112'!$M$9,2),B947&lt;'112'!$N$8,$M947='112'!$I$6)),"x",""))</f>
        <v/>
      </c>
      <c r="U947" s="22" t="str">
        <f>IF(AND(B947&gt;='IN-NX'!$P$3,B947&lt;='IN-NX'!$Q$3,'IN-NX'!$D$7=D947,OR(LEFT(L947,2)="15",AND(LEFT(M947,2)&lt;&gt;"15",LEFT(M947,2)&lt;&gt;"33"))),"x","")</f>
        <v/>
      </c>
      <c r="V947" s="22" t="str">
        <f>IF(AND(OR(LEFT(TH!L947,2)="15",LEFT(TH!M947,2)="15"),'152-CT'!$J$8=TH!F947),"x","")</f>
        <v/>
      </c>
      <c r="W947" s="22" t="str">
        <f>IF(AND(OR(LEFT(TH!L947,2)="15",LEFT(TH!M947,2)="15"),TK!$E$7=TH!F947),"x","")</f>
        <v/>
      </c>
      <c r="X947" s="22" t="str">
        <f>IF(OR(TH!L947=TH!$X$7,M947=TH!$X$7),"x","")</f>
        <v/>
      </c>
      <c r="Y947" s="22" t="str">
        <f>IF(AND(B947&lt;=NKC!$N$8,B947&gt;=NKC!$M$8),"x","")</f>
        <v>x</v>
      </c>
      <c r="Z947" s="581"/>
      <c r="AA947" s="406"/>
      <c r="AB947" s="406"/>
    </row>
    <row r="948" spans="1:28" s="130" customFormat="1" ht="15.75" customHeight="1">
      <c r="A948" s="123" t="str">
        <f>IF(B948&lt;&gt;"",IF(AND(B948&gt;=_TM1,B948&lt;=_TM2,OR(TH!L948="1111",TH!M948="1111")),TH!D948,""),"")</f>
        <v/>
      </c>
      <c r="B948" s="12">
        <f t="shared" si="50"/>
        <v>8</v>
      </c>
      <c r="C948" s="108">
        <f t="shared" si="48"/>
        <v>42608</v>
      </c>
      <c r="D948" s="113" t="s">
        <v>1073</v>
      </c>
      <c r="E948" s="486">
        <v>42608</v>
      </c>
      <c r="F948" s="167" t="s">
        <v>536</v>
      </c>
      <c r="G948" s="487" t="s">
        <v>736</v>
      </c>
      <c r="H948" s="115" t="s">
        <v>1074</v>
      </c>
      <c r="I948" s="139">
        <v>1000</v>
      </c>
      <c r="J948" s="139">
        <v>5935.2816513167991</v>
      </c>
      <c r="K948" s="13">
        <f t="shared" si="49"/>
        <v>5935282</v>
      </c>
      <c r="L948" s="116" t="s">
        <v>162</v>
      </c>
      <c r="M948" s="116" t="s">
        <v>160</v>
      </c>
      <c r="N948" s="22" t="str">
        <f>IF(AND('331-CT'!$E$7=TH!H948,OR(L948="331",M948="331")),"331",IF(AND(OR(L948="131",M948="131"),H948='131-CT'!$E$7),"131",""))</f>
        <v/>
      </c>
      <c r="O948" s="22" t="str">
        <f>IF(AND($B948&gt;='111'!$N$11,$B948&lt;='111'!$O$11,OR($L948=$O$7,$M948=$O$7)),"x","")</f>
        <v/>
      </c>
      <c r="P948" s="22" t="str">
        <f>IF(AND($L948=$O$7,$B948&lt;'111'!$N$11),"x","")</f>
        <v/>
      </c>
      <c r="Q948" s="22" t="str">
        <f>IF(AND($M948=$O$7,$B948&lt;'111'!$N$11),"x","")</f>
        <v/>
      </c>
      <c r="R948" s="22" t="str">
        <f>IF(ISERROR(FIND('112'!$M$9,G948,1)),"",IF((AND(FIND('112'!$M$9,G948,1)&gt;=1,$B948&gt;='112'!$N$8,$B948&lt;='112'!$O$8,OR($L948='112'!$I$6,$M948='112'!$I$6))),"x",""))</f>
        <v/>
      </c>
      <c r="S948" s="22" t="str">
        <f>IF(ISERROR(FIND('112'!$M$9,G948,1)),"",IF((AND(LEFT(G948,2)=LEFT('112'!$M$9,2),B948&lt;'112'!$N$8,$L948='112'!$I$6)),"x",""))</f>
        <v/>
      </c>
      <c r="T948" s="22" t="str">
        <f>IF(ISERROR(FIND('112'!$M$9,G948,1)),"",IF((AND(RIGHT(G948,2)=RIGHT('112'!$M$9,2),B948&lt;'112'!$N$8,$M948='112'!$I$6)),"x",""))</f>
        <v/>
      </c>
      <c r="U948" s="22" t="str">
        <f>IF(AND(B948&gt;='IN-NX'!$P$3,B948&lt;='IN-NX'!$Q$3,'IN-NX'!$D$7=D948,OR(LEFT(L948,2)="15",AND(LEFT(M948,2)&lt;&gt;"15",LEFT(M948,2)&lt;&gt;"33"))),"x","")</f>
        <v/>
      </c>
      <c r="V948" s="22" t="str">
        <f>IF(AND(OR(LEFT(TH!L948,2)="15",LEFT(TH!M948,2)="15"),'152-CT'!$J$8=TH!F948),"x","")</f>
        <v/>
      </c>
      <c r="W948" s="22" t="str">
        <f>IF(AND(OR(LEFT(TH!L948,2)="15",LEFT(TH!M948,2)="15"),TK!$E$7=TH!F948),"x","")</f>
        <v/>
      </c>
      <c r="X948" s="22" t="str">
        <f>IF(OR(TH!L948=TH!$X$7,M948=TH!$X$7),"x","")</f>
        <v/>
      </c>
      <c r="Y948" s="22" t="str">
        <f>IF(AND(B948&lt;=NKC!$N$8,B948&gt;=NKC!$M$8),"x","")</f>
        <v>x</v>
      </c>
      <c r="Z948" s="581"/>
      <c r="AA948" s="406"/>
    </row>
    <row r="949" spans="1:28" s="130" customFormat="1" ht="15.75" customHeight="1">
      <c r="A949" s="123" t="str">
        <f>IF(B949&lt;&gt;"",IF(AND(B949&gt;=_TM1,B949&lt;=_TM2,OR(TH!L949="1111",TH!M949="1111")),TH!D949,""),"")</f>
        <v/>
      </c>
      <c r="B949" s="12">
        <f t="shared" si="50"/>
        <v>8</v>
      </c>
      <c r="C949" s="108">
        <f t="shared" si="48"/>
        <v>42608</v>
      </c>
      <c r="D949" s="113" t="s">
        <v>1073</v>
      </c>
      <c r="E949" s="486">
        <v>42608</v>
      </c>
      <c r="F949" s="167" t="s">
        <v>537</v>
      </c>
      <c r="G949" s="487" t="s">
        <v>736</v>
      </c>
      <c r="H949" s="115" t="s">
        <v>1074</v>
      </c>
      <c r="I949" s="140">
        <v>970</v>
      </c>
      <c r="J949" s="140">
        <v>6182.5850534549991</v>
      </c>
      <c r="K949" s="13">
        <f t="shared" si="49"/>
        <v>5997108</v>
      </c>
      <c r="L949" s="116" t="s">
        <v>162</v>
      </c>
      <c r="M949" s="116" t="s">
        <v>160</v>
      </c>
      <c r="N949" s="22" t="str">
        <f>IF(AND('331-CT'!$E$7=TH!H949,OR(L949="331",M949="331")),"331",IF(AND(OR(L949="131",M949="131"),H949='131-CT'!$E$7),"131",""))</f>
        <v/>
      </c>
      <c r="O949" s="22" t="str">
        <f>IF(AND($B949&gt;='111'!$N$11,$B949&lt;='111'!$O$11,OR($L949=$O$7,$M949=$O$7)),"x","")</f>
        <v/>
      </c>
      <c r="P949" s="22" t="str">
        <f>IF(AND($L949=$O$7,$B949&lt;'111'!$N$11),"x","")</f>
        <v/>
      </c>
      <c r="Q949" s="22" t="str">
        <f>IF(AND($M949=$O$7,$B949&lt;'111'!$N$11),"x","")</f>
        <v/>
      </c>
      <c r="R949" s="22" t="str">
        <f>IF(ISERROR(FIND('112'!$M$9,G949,1)),"",IF((AND(FIND('112'!$M$9,G949,1)&gt;=1,$B949&gt;='112'!$N$8,$B949&lt;='112'!$O$8,OR($L949='112'!$I$6,$M949='112'!$I$6))),"x",""))</f>
        <v/>
      </c>
      <c r="S949" s="22" t="str">
        <f>IF(ISERROR(FIND('112'!$M$9,G949,1)),"",IF((AND(LEFT(G949,2)=LEFT('112'!$M$9,2),B949&lt;'112'!$N$8,$L949='112'!$I$6)),"x",""))</f>
        <v/>
      </c>
      <c r="T949" s="22" t="str">
        <f>IF(ISERROR(FIND('112'!$M$9,G949,1)),"",IF((AND(RIGHT(G949,2)=RIGHT('112'!$M$9,2),B949&lt;'112'!$N$8,$M949='112'!$I$6)),"x",""))</f>
        <v/>
      </c>
      <c r="U949" s="22" t="str">
        <f>IF(AND(B949&gt;='IN-NX'!$P$3,B949&lt;='IN-NX'!$Q$3,'IN-NX'!$D$7=D949,OR(LEFT(L949,2)="15",AND(LEFT(M949,2)&lt;&gt;"15",LEFT(M949,2)&lt;&gt;"33"))),"x","")</f>
        <v/>
      </c>
      <c r="V949" s="22" t="str">
        <f>IF(AND(OR(LEFT(TH!L949,2)="15",LEFT(TH!M949,2)="15"),'152-CT'!$J$8=TH!F949),"x","")</f>
        <v/>
      </c>
      <c r="W949" s="22" t="str">
        <f>IF(AND(OR(LEFT(TH!L949,2)="15",LEFT(TH!M949,2)="15"),TK!$E$7=TH!F949),"x","")</f>
        <v/>
      </c>
      <c r="X949" s="22" t="str">
        <f>IF(OR(TH!L949=TH!$X$7,M949=TH!$X$7),"x","")</f>
        <v/>
      </c>
      <c r="Y949" s="22" t="str">
        <f>IF(AND(B949&lt;=NKC!$N$8,B949&gt;=NKC!$M$8),"x","")</f>
        <v>x</v>
      </c>
      <c r="Z949" s="581"/>
      <c r="AA949" s="406"/>
      <c r="AB949" s="406"/>
    </row>
    <row r="950" spans="1:28" s="130" customFormat="1" ht="15.75" customHeight="1">
      <c r="A950" s="123" t="str">
        <f>IF(B950&lt;&gt;"",IF(AND(B950&gt;=_TM1,B950&lt;=_TM2,OR(TH!L950="1111",TH!M950="1111")),TH!D950,""),"")</f>
        <v/>
      </c>
      <c r="B950" s="12">
        <f t="shared" si="50"/>
        <v>8</v>
      </c>
      <c r="C950" s="108">
        <f t="shared" si="48"/>
        <v>42609</v>
      </c>
      <c r="D950" s="113" t="s">
        <v>1073</v>
      </c>
      <c r="E950" s="486">
        <v>42609</v>
      </c>
      <c r="F950" s="167" t="s">
        <v>538</v>
      </c>
      <c r="G950" s="487" t="s">
        <v>737</v>
      </c>
      <c r="H950" s="115" t="s">
        <v>1074</v>
      </c>
      <c r="I950" s="139">
        <v>203</v>
      </c>
      <c r="J950" s="139">
        <v>6429.8884555932</v>
      </c>
      <c r="K950" s="13">
        <f t="shared" si="49"/>
        <v>1305267</v>
      </c>
      <c r="L950" s="116" t="s">
        <v>162</v>
      </c>
      <c r="M950" s="116" t="s">
        <v>160</v>
      </c>
      <c r="N950" s="22" t="str">
        <f>IF(AND('331-CT'!$E$7=TH!H950,OR(L950="331",M950="331")),"331",IF(AND(OR(L950="131",M950="131"),H950='131-CT'!$E$7),"131",""))</f>
        <v/>
      </c>
      <c r="O950" s="22" t="str">
        <f>IF(AND($B950&gt;='111'!$N$11,$B950&lt;='111'!$O$11,OR($L950=$O$7,$M950=$O$7)),"x","")</f>
        <v/>
      </c>
      <c r="P950" s="22" t="str">
        <f>IF(AND($L950=$O$7,$B950&lt;'111'!$N$11),"x","")</f>
        <v/>
      </c>
      <c r="Q950" s="22" t="str">
        <f>IF(AND($M950=$O$7,$B950&lt;'111'!$N$11),"x","")</f>
        <v/>
      </c>
      <c r="R950" s="22" t="str">
        <f>IF(ISERROR(FIND('112'!$M$9,G950,1)),"",IF((AND(FIND('112'!$M$9,G950,1)&gt;=1,$B950&gt;='112'!$N$8,$B950&lt;='112'!$O$8,OR($L950='112'!$I$6,$M950='112'!$I$6))),"x",""))</f>
        <v/>
      </c>
      <c r="S950" s="22" t="str">
        <f>IF(ISERROR(FIND('112'!$M$9,G950,1)),"",IF((AND(LEFT(G950,2)=LEFT('112'!$M$9,2),B950&lt;'112'!$N$8,$L950='112'!$I$6)),"x",""))</f>
        <v/>
      </c>
      <c r="T950" s="22" t="str">
        <f>IF(ISERROR(FIND('112'!$M$9,G950,1)),"",IF((AND(RIGHT(G950,2)=RIGHT('112'!$M$9,2),B950&lt;'112'!$N$8,$M950='112'!$I$6)),"x",""))</f>
        <v/>
      </c>
      <c r="U950" s="22" t="str">
        <f>IF(AND(B950&gt;='IN-NX'!$P$3,B950&lt;='IN-NX'!$Q$3,'IN-NX'!$D$7=D950,OR(LEFT(L950,2)="15",AND(LEFT(M950,2)&lt;&gt;"15",LEFT(M950,2)&lt;&gt;"33"))),"x","")</f>
        <v/>
      </c>
      <c r="V950" s="22" t="str">
        <f>IF(AND(OR(LEFT(TH!L950,2)="15",LEFT(TH!M950,2)="15"),'152-CT'!$J$8=TH!F950),"x","")</f>
        <v/>
      </c>
      <c r="W950" s="22" t="str">
        <f>IF(AND(OR(LEFT(TH!L950,2)="15",LEFT(TH!M950,2)="15"),TK!$E$7=TH!F950),"x","")</f>
        <v/>
      </c>
      <c r="X950" s="22" t="str">
        <f>IF(OR(TH!L950=TH!$X$7,M950=TH!$X$7),"x","")</f>
        <v/>
      </c>
      <c r="Y950" s="22" t="str">
        <f>IF(AND(B950&lt;=NKC!$N$8,B950&gt;=NKC!$M$8),"x","")</f>
        <v>x</v>
      </c>
      <c r="Z950" s="581"/>
      <c r="AA950" s="406"/>
      <c r="AB950" s="406"/>
    </row>
    <row r="951" spans="1:28" s="130" customFormat="1" ht="15.75" customHeight="1">
      <c r="A951" s="123" t="str">
        <f>IF(B951&lt;&gt;"",IF(AND(B951&gt;=_TM1,B951&lt;=_TM2,OR(TH!L951="1111",TH!M951="1111")),TH!D951,""),"")</f>
        <v/>
      </c>
      <c r="B951" s="12">
        <f t="shared" si="50"/>
        <v>8</v>
      </c>
      <c r="C951" s="108">
        <f t="shared" si="48"/>
        <v>42611</v>
      </c>
      <c r="D951" s="113" t="s">
        <v>1073</v>
      </c>
      <c r="E951" s="486">
        <v>42611</v>
      </c>
      <c r="F951" s="167" t="s">
        <v>529</v>
      </c>
      <c r="G951" s="487" t="s">
        <v>738</v>
      </c>
      <c r="H951" s="115" t="s">
        <v>1074</v>
      </c>
      <c r="I951" s="139">
        <v>160</v>
      </c>
      <c r="J951" s="139">
        <v>59764.988850064998</v>
      </c>
      <c r="K951" s="13">
        <f t="shared" si="49"/>
        <v>9562398</v>
      </c>
      <c r="L951" s="116" t="s">
        <v>162</v>
      </c>
      <c r="M951" s="116" t="s">
        <v>160</v>
      </c>
      <c r="N951" s="22" t="str">
        <f>IF(AND('331-CT'!$E$7=TH!H951,OR(L951="331",M951="331")),"331",IF(AND(OR(L951="131",M951="131"),H951='131-CT'!$E$7),"131",""))</f>
        <v/>
      </c>
      <c r="O951" s="22" t="str">
        <f>IF(AND($B951&gt;='111'!$N$11,$B951&lt;='111'!$O$11,OR($L951=$O$7,$M951=$O$7)),"x","")</f>
        <v/>
      </c>
      <c r="P951" s="22" t="str">
        <f>IF(AND($L951=$O$7,$B951&lt;'111'!$N$11),"x","")</f>
        <v/>
      </c>
      <c r="Q951" s="22" t="str">
        <f>IF(AND($M951=$O$7,$B951&lt;'111'!$N$11),"x","")</f>
        <v/>
      </c>
      <c r="R951" s="22" t="str">
        <f>IF(ISERROR(FIND('112'!$M$9,G951,1)),"",IF((AND(FIND('112'!$M$9,G951,1)&gt;=1,$B951&gt;='112'!$N$8,$B951&lt;='112'!$O$8,OR($L951='112'!$I$6,$M951='112'!$I$6))),"x",""))</f>
        <v/>
      </c>
      <c r="S951" s="22" t="str">
        <f>IF(ISERROR(FIND('112'!$M$9,G951,1)),"",IF((AND(LEFT(G951,2)=LEFT('112'!$M$9,2),B951&lt;'112'!$N$8,$L951='112'!$I$6)),"x",""))</f>
        <v/>
      </c>
      <c r="T951" s="22" t="str">
        <f>IF(ISERROR(FIND('112'!$M$9,G951,1)),"",IF((AND(RIGHT(G951,2)=RIGHT('112'!$M$9,2),B951&lt;'112'!$N$8,$M951='112'!$I$6)),"x",""))</f>
        <v/>
      </c>
      <c r="U951" s="22" t="str">
        <f>IF(AND(B951&gt;='IN-NX'!$P$3,B951&lt;='IN-NX'!$Q$3,'IN-NX'!$D$7=D951,OR(LEFT(L951,2)="15",AND(LEFT(M951,2)&lt;&gt;"15",LEFT(M951,2)&lt;&gt;"33"))),"x","")</f>
        <v/>
      </c>
      <c r="V951" s="22" t="str">
        <f>IF(AND(OR(LEFT(TH!L951,2)="15",LEFT(TH!M951,2)="15"),'152-CT'!$J$8=TH!F951),"x","")</f>
        <v/>
      </c>
      <c r="W951" s="22" t="str">
        <f>IF(AND(OR(LEFT(TH!L951,2)="15",LEFT(TH!M951,2)="15"),TK!$E$7=TH!F951),"x","")</f>
        <v/>
      </c>
      <c r="X951" s="22" t="str">
        <f>IF(OR(TH!L951=TH!$X$7,M951=TH!$X$7),"x","")</f>
        <v/>
      </c>
      <c r="Y951" s="22" t="str">
        <f>IF(AND(B951&lt;=NKC!$N$8,B951&gt;=NKC!$M$8),"x","")</f>
        <v>x</v>
      </c>
      <c r="Z951" s="581"/>
      <c r="AA951" s="406"/>
      <c r="AB951" s="406"/>
    </row>
    <row r="952" spans="1:28" s="130" customFormat="1" ht="15.75" customHeight="1">
      <c r="A952" s="123" t="str">
        <f>IF(B952&lt;&gt;"",IF(AND(B952&gt;=_TM1,B952&lt;=_TM2,OR(TH!L952="1111",TH!M952="1111")),TH!D952,""),"")</f>
        <v/>
      </c>
      <c r="B952" s="12">
        <f t="shared" si="50"/>
        <v>8</v>
      </c>
      <c r="C952" s="108">
        <f t="shared" si="48"/>
        <v>42612</v>
      </c>
      <c r="D952" s="113" t="s">
        <v>1073</v>
      </c>
      <c r="E952" s="486">
        <v>42612</v>
      </c>
      <c r="F952" s="167" t="s">
        <v>370</v>
      </c>
      <c r="G952" s="487" t="s">
        <v>739</v>
      </c>
      <c r="H952" s="115" t="s">
        <v>1074</v>
      </c>
      <c r="I952" s="139">
        <v>500</v>
      </c>
      <c r="J952" s="139">
        <v>19042.361964641397</v>
      </c>
      <c r="K952" s="13">
        <f t="shared" si="49"/>
        <v>9521181</v>
      </c>
      <c r="L952" s="116" t="s">
        <v>162</v>
      </c>
      <c r="M952" s="116" t="s">
        <v>160</v>
      </c>
      <c r="N952" s="22" t="str">
        <f>IF(AND('331-CT'!$E$7=TH!H952,OR(L952="331",M952="331")),"331",IF(AND(OR(L952="131",M952="131"),H952='131-CT'!$E$7),"131",""))</f>
        <v/>
      </c>
      <c r="O952" s="22" t="str">
        <f>IF(AND($B952&gt;='111'!$N$11,$B952&lt;='111'!$O$11,OR($L952=$O$7,$M952=$O$7)),"x","")</f>
        <v/>
      </c>
      <c r="P952" s="22" t="str">
        <f>IF(AND($L952=$O$7,$B952&lt;'111'!$N$11),"x","")</f>
        <v/>
      </c>
      <c r="Q952" s="22" t="str">
        <f>IF(AND($M952=$O$7,$B952&lt;'111'!$N$11),"x","")</f>
        <v/>
      </c>
      <c r="R952" s="22" t="str">
        <f>IF(ISERROR(FIND('112'!$M$9,G952,1)),"",IF((AND(FIND('112'!$M$9,G952,1)&gt;=1,$B952&gt;='112'!$N$8,$B952&lt;='112'!$O$8,OR($L952='112'!$I$6,$M952='112'!$I$6))),"x",""))</f>
        <v/>
      </c>
      <c r="S952" s="22" t="str">
        <f>IF(ISERROR(FIND('112'!$M$9,G952,1)),"",IF((AND(LEFT(G952,2)=LEFT('112'!$M$9,2),B952&lt;'112'!$N$8,$L952='112'!$I$6)),"x",""))</f>
        <v/>
      </c>
      <c r="T952" s="22" t="str">
        <f>IF(ISERROR(FIND('112'!$M$9,G952,1)),"",IF((AND(RIGHT(G952,2)=RIGHT('112'!$M$9,2),B952&lt;'112'!$N$8,$M952='112'!$I$6)),"x",""))</f>
        <v/>
      </c>
      <c r="U952" s="22" t="str">
        <f>IF(AND(B952&gt;='IN-NX'!$P$3,B952&lt;='IN-NX'!$Q$3,'IN-NX'!$D$7=D952,OR(LEFT(L952,2)="15",AND(LEFT(M952,2)&lt;&gt;"15",LEFT(M952,2)&lt;&gt;"33"))),"x","")</f>
        <v/>
      </c>
      <c r="V952" s="22" t="str">
        <f>IF(AND(OR(LEFT(TH!L952,2)="15",LEFT(TH!M952,2)="15"),'152-CT'!$J$8=TH!F952),"x","")</f>
        <v/>
      </c>
      <c r="W952" s="22" t="str">
        <f>IF(AND(OR(LEFT(TH!L952,2)="15",LEFT(TH!M952,2)="15"),TK!$E$7=TH!F952),"x","")</f>
        <v/>
      </c>
      <c r="X952" s="22" t="str">
        <f>IF(OR(TH!L952=TH!$X$7,M952=TH!$X$7),"x","")</f>
        <v/>
      </c>
      <c r="Y952" s="22" t="str">
        <f>IF(AND(B952&lt;=NKC!$N$8,B952&gt;=NKC!$M$8),"x","")</f>
        <v>x</v>
      </c>
      <c r="Z952" s="581"/>
      <c r="AA952" s="406"/>
      <c r="AB952" s="406"/>
    </row>
    <row r="953" spans="1:28" s="130" customFormat="1" ht="15.75" customHeight="1">
      <c r="A953" s="123" t="str">
        <f>IF(B953&lt;&gt;"",IF(AND(B953&gt;=_TM1,B953&lt;=_TM2,OR(TH!L953="1111",TH!M953="1111")),TH!D953,""),"")</f>
        <v/>
      </c>
      <c r="B953" s="12">
        <f t="shared" si="50"/>
        <v>8</v>
      </c>
      <c r="C953" s="108">
        <f t="shared" si="48"/>
        <v>42613</v>
      </c>
      <c r="D953" s="113" t="s">
        <v>1073</v>
      </c>
      <c r="E953" s="486">
        <v>42613</v>
      </c>
      <c r="F953" s="167" t="s">
        <v>502</v>
      </c>
      <c r="G953" s="487" t="s">
        <v>740</v>
      </c>
      <c r="H953" s="115" t="s">
        <v>1074</v>
      </c>
      <c r="I953" s="139">
        <v>1500</v>
      </c>
      <c r="J953" s="139">
        <v>9397.5292812515981</v>
      </c>
      <c r="K953" s="13">
        <f t="shared" si="49"/>
        <v>14096294</v>
      </c>
      <c r="L953" s="116" t="s">
        <v>162</v>
      </c>
      <c r="M953" s="116" t="s">
        <v>160</v>
      </c>
      <c r="N953" s="22" t="str">
        <f>IF(AND('331-CT'!$E$7=TH!H953,OR(L953="331",M953="331")),"331",IF(AND(OR(L953="131",M953="131"),H953='131-CT'!$E$7),"131",""))</f>
        <v/>
      </c>
      <c r="O953" s="22" t="str">
        <f>IF(AND($B953&gt;='111'!$N$11,$B953&lt;='111'!$O$11,OR($L953=$O$7,$M953=$O$7)),"x","")</f>
        <v/>
      </c>
      <c r="P953" s="22" t="str">
        <f>IF(AND($L953=$O$7,$B953&lt;'111'!$N$11),"x","")</f>
        <v/>
      </c>
      <c r="Q953" s="22" t="str">
        <f>IF(AND($M953=$O$7,$B953&lt;'111'!$N$11),"x","")</f>
        <v/>
      </c>
      <c r="R953" s="22" t="str">
        <f>IF(ISERROR(FIND('112'!$M$9,G953,1)),"",IF((AND(FIND('112'!$M$9,G953,1)&gt;=1,$B953&gt;='112'!$N$8,$B953&lt;='112'!$O$8,OR($L953='112'!$I$6,$M953='112'!$I$6))),"x",""))</f>
        <v/>
      </c>
      <c r="S953" s="22" t="str">
        <f>IF(ISERROR(FIND('112'!$M$9,G953,1)),"",IF((AND(LEFT(G953,2)=LEFT('112'!$M$9,2),B953&lt;'112'!$N$8,$L953='112'!$I$6)),"x",""))</f>
        <v/>
      </c>
      <c r="T953" s="22" t="str">
        <f>IF(ISERROR(FIND('112'!$M$9,G953,1)),"",IF((AND(RIGHT(G953,2)=RIGHT('112'!$M$9,2),B953&lt;'112'!$N$8,$M953='112'!$I$6)),"x",""))</f>
        <v/>
      </c>
      <c r="U953" s="22" t="str">
        <f>IF(AND(B953&gt;='IN-NX'!$P$3,B953&lt;='IN-NX'!$Q$3,'IN-NX'!$D$7=D953,OR(LEFT(L953,2)="15",AND(LEFT(M953,2)&lt;&gt;"15",LEFT(M953,2)&lt;&gt;"33"))),"x","")</f>
        <v/>
      </c>
      <c r="V953" s="22" t="str">
        <f>IF(AND(OR(LEFT(TH!L953,2)="15",LEFT(TH!M953,2)="15"),'152-CT'!$J$8=TH!F953),"x","")</f>
        <v/>
      </c>
      <c r="W953" s="22" t="str">
        <f>IF(AND(OR(LEFT(TH!L953,2)="15",LEFT(TH!M953,2)="15"),TK!$E$7=TH!F953),"x","")</f>
        <v/>
      </c>
      <c r="X953" s="22" t="str">
        <f>IF(OR(TH!L953=TH!$X$7,M953=TH!$X$7),"x","")</f>
        <v/>
      </c>
      <c r="Y953" s="22" t="str">
        <f>IF(AND(B953&lt;=NKC!$N$8,B953&gt;=NKC!$M$8),"x","")</f>
        <v>x</v>
      </c>
      <c r="Z953" s="581"/>
      <c r="AA953" s="406"/>
      <c r="AB953" s="406"/>
    </row>
    <row r="954" spans="1:28" s="130" customFormat="1" ht="15.75" customHeight="1">
      <c r="A954" s="123" t="str">
        <f>IF(B954&lt;&gt;"",IF(AND(B954&gt;=_TM1,B954&lt;=_TM2,OR(TH!L954="1111",TH!M954="1111")),TH!D954,""),"")</f>
        <v/>
      </c>
      <c r="B954" s="12">
        <f t="shared" si="50"/>
        <v>8</v>
      </c>
      <c r="C954" s="108">
        <f t="shared" si="48"/>
        <v>42613</v>
      </c>
      <c r="D954" s="113" t="s">
        <v>1073</v>
      </c>
      <c r="E954" s="486">
        <v>42613</v>
      </c>
      <c r="F954" s="167" t="s">
        <v>502</v>
      </c>
      <c r="G954" s="487" t="s">
        <v>740</v>
      </c>
      <c r="H954" s="115" t="s">
        <v>1074</v>
      </c>
      <c r="I954" s="139">
        <v>400</v>
      </c>
      <c r="J954" s="139">
        <v>9397.5292812515981</v>
      </c>
      <c r="K954" s="13">
        <f t="shared" si="49"/>
        <v>3759012</v>
      </c>
      <c r="L954" s="116" t="s">
        <v>162</v>
      </c>
      <c r="M954" s="116" t="s">
        <v>160</v>
      </c>
      <c r="N954" s="22" t="str">
        <f>IF(AND('331-CT'!$E$7=TH!H954,OR(L954="331",M954="331")),"331",IF(AND(OR(L954="131",M954="131"),H954='131-CT'!$E$7),"131",""))</f>
        <v/>
      </c>
      <c r="O954" s="22" t="str">
        <f>IF(AND($B954&gt;='111'!$N$11,$B954&lt;='111'!$O$11,OR($L954=$O$7,$M954=$O$7)),"x","")</f>
        <v/>
      </c>
      <c r="P954" s="22" t="str">
        <f>IF(AND($L954=$O$7,$B954&lt;'111'!$N$11),"x","")</f>
        <v/>
      </c>
      <c r="Q954" s="22" t="str">
        <f>IF(AND($M954=$O$7,$B954&lt;'111'!$N$11),"x","")</f>
        <v/>
      </c>
      <c r="R954" s="22" t="str">
        <f>IF(ISERROR(FIND('112'!$M$9,G954,1)),"",IF((AND(FIND('112'!$M$9,G954,1)&gt;=1,$B954&gt;='112'!$N$8,$B954&lt;='112'!$O$8,OR($L954='112'!$I$6,$M954='112'!$I$6))),"x",""))</f>
        <v/>
      </c>
      <c r="S954" s="22" t="str">
        <f>IF(ISERROR(FIND('112'!$M$9,G954,1)),"",IF((AND(LEFT(G954,2)=LEFT('112'!$M$9,2),B954&lt;'112'!$N$8,$L954='112'!$I$6)),"x",""))</f>
        <v/>
      </c>
      <c r="T954" s="22" t="str">
        <f>IF(ISERROR(FIND('112'!$M$9,G954,1)),"",IF((AND(RIGHT(G954,2)=RIGHT('112'!$M$9,2),B954&lt;'112'!$N$8,$M954='112'!$I$6)),"x",""))</f>
        <v/>
      </c>
      <c r="U954" s="22" t="str">
        <f>IF(AND(B954&gt;='IN-NX'!$P$3,B954&lt;='IN-NX'!$Q$3,'IN-NX'!$D$7=D954,OR(LEFT(L954,2)="15",AND(LEFT(M954,2)&lt;&gt;"15",LEFT(M954,2)&lt;&gt;"33"))),"x","")</f>
        <v/>
      </c>
      <c r="V954" s="22" t="str">
        <f>IF(AND(OR(LEFT(TH!L954,2)="15",LEFT(TH!M954,2)="15"),'152-CT'!$J$8=TH!F954),"x","")</f>
        <v/>
      </c>
      <c r="W954" s="22" t="str">
        <f>IF(AND(OR(LEFT(TH!L954,2)="15",LEFT(TH!M954,2)="15"),TK!$E$7=TH!F954),"x","")</f>
        <v/>
      </c>
      <c r="X954" s="22" t="str">
        <f>IF(OR(TH!L954=TH!$X$7,M954=TH!$X$7),"x","")</f>
        <v/>
      </c>
      <c r="Y954" s="22" t="str">
        <f>IF(AND(B954&lt;=NKC!$N$8,B954&gt;=NKC!$M$8),"x","")</f>
        <v>x</v>
      </c>
      <c r="Z954" s="581"/>
      <c r="AA954" s="406"/>
      <c r="AB954" s="406"/>
    </row>
    <row r="955" spans="1:28" s="130" customFormat="1" ht="15.75" customHeight="1">
      <c r="A955" s="123" t="str">
        <f>IF(B955&lt;&gt;"",IF(AND(B955&gt;=_TM1,B955&lt;=_TM2,OR(TH!L955="1111",TH!M955="1111")),TH!D955,""),"")</f>
        <v/>
      </c>
      <c r="B955" s="12">
        <f t="shared" si="50"/>
        <v>8</v>
      </c>
      <c r="C955" s="108">
        <f t="shared" si="48"/>
        <v>42613</v>
      </c>
      <c r="D955" s="113" t="s">
        <v>1073</v>
      </c>
      <c r="E955" s="486">
        <v>42613</v>
      </c>
      <c r="F955" s="167" t="s">
        <v>377</v>
      </c>
      <c r="G955" s="487" t="s">
        <v>740</v>
      </c>
      <c r="H955" s="115" t="s">
        <v>1074</v>
      </c>
      <c r="I955" s="139">
        <v>3800</v>
      </c>
      <c r="J955" s="139">
        <v>741.91020641459988</v>
      </c>
      <c r="K955" s="13">
        <f t="shared" si="49"/>
        <v>2819259</v>
      </c>
      <c r="L955" s="116" t="s">
        <v>162</v>
      </c>
      <c r="M955" s="116" t="s">
        <v>160</v>
      </c>
      <c r="N955" s="22" t="str">
        <f>IF(AND('331-CT'!$E$7=TH!H955,OR(L955="331",M955="331")),"331",IF(AND(OR(L955="131",M955="131"),H955='131-CT'!$E$7),"131",""))</f>
        <v/>
      </c>
      <c r="O955" s="22" t="str">
        <f>IF(AND($B955&gt;='111'!$N$11,$B955&lt;='111'!$O$11,OR($L955=$O$7,$M955=$O$7)),"x","")</f>
        <v/>
      </c>
      <c r="P955" s="22" t="str">
        <f>IF(AND($L955=$O$7,$B955&lt;'111'!$N$11),"x","")</f>
        <v/>
      </c>
      <c r="Q955" s="22" t="str">
        <f>IF(AND($M955=$O$7,$B955&lt;'111'!$N$11),"x","")</f>
        <v/>
      </c>
      <c r="R955" s="22" t="str">
        <f>IF(ISERROR(FIND('112'!$M$9,G955,1)),"",IF((AND(FIND('112'!$M$9,G955,1)&gt;=1,$B955&gt;='112'!$N$8,$B955&lt;='112'!$O$8,OR($L955='112'!$I$6,$M955='112'!$I$6))),"x",""))</f>
        <v/>
      </c>
      <c r="S955" s="22" t="str">
        <f>IF(ISERROR(FIND('112'!$M$9,G955,1)),"",IF((AND(LEFT(G955,2)=LEFT('112'!$M$9,2),B955&lt;'112'!$N$8,$L955='112'!$I$6)),"x",""))</f>
        <v/>
      </c>
      <c r="T955" s="22" t="str">
        <f>IF(ISERROR(FIND('112'!$M$9,G955,1)),"",IF((AND(RIGHT(G955,2)=RIGHT('112'!$M$9,2),B955&lt;'112'!$N$8,$M955='112'!$I$6)),"x",""))</f>
        <v/>
      </c>
      <c r="U955" s="22" t="str">
        <f>IF(AND(B955&gt;='IN-NX'!$P$3,B955&lt;='IN-NX'!$Q$3,'IN-NX'!$D$7=D955,OR(LEFT(L955,2)="15",AND(LEFT(M955,2)&lt;&gt;"15",LEFT(M955,2)&lt;&gt;"33"))),"x","")</f>
        <v/>
      </c>
      <c r="V955" s="22" t="str">
        <f>IF(AND(OR(LEFT(TH!L955,2)="15",LEFT(TH!M955,2)="15"),'152-CT'!$J$8=TH!F955),"x","")</f>
        <v/>
      </c>
      <c r="W955" s="22" t="str">
        <f>IF(AND(OR(LEFT(TH!L955,2)="15",LEFT(TH!M955,2)="15"),TK!$E$7=TH!F955),"x","")</f>
        <v/>
      </c>
      <c r="X955" s="22" t="str">
        <f>IF(OR(TH!L955=TH!$X$7,M955=TH!$X$7),"x","")</f>
        <v/>
      </c>
      <c r="Y955" s="22" t="str">
        <f>IF(AND(B955&lt;=NKC!$N$8,B955&gt;=NKC!$M$8),"x","")</f>
        <v>x</v>
      </c>
      <c r="Z955" s="581"/>
      <c r="AA955" s="406"/>
      <c r="AB955" s="406"/>
    </row>
    <row r="956" spans="1:28" s="130" customFormat="1" ht="15.75" customHeight="1">
      <c r="A956" s="123" t="str">
        <f>IF(B956&lt;&gt;"",IF(AND(B956&gt;=_TM1,B956&lt;=_TM2,OR(TH!L956="1111",TH!M956="1111")),TH!D956,""),"")</f>
        <v/>
      </c>
      <c r="B956" s="12">
        <f t="shared" si="50"/>
        <v>8</v>
      </c>
      <c r="C956" s="108">
        <f t="shared" si="48"/>
        <v>42613</v>
      </c>
      <c r="D956" s="113" t="s">
        <v>1073</v>
      </c>
      <c r="E956" s="486">
        <v>42613</v>
      </c>
      <c r="F956" s="167" t="s">
        <v>520</v>
      </c>
      <c r="G956" s="487" t="s">
        <v>741</v>
      </c>
      <c r="H956" s="115" t="s">
        <v>1074</v>
      </c>
      <c r="I956" s="139">
        <v>819</v>
      </c>
      <c r="J956" s="139">
        <v>6759.6263251107994</v>
      </c>
      <c r="K956" s="13">
        <f t="shared" si="49"/>
        <v>5536134</v>
      </c>
      <c r="L956" s="116" t="s">
        <v>162</v>
      </c>
      <c r="M956" s="116" t="s">
        <v>160</v>
      </c>
      <c r="N956" s="22" t="str">
        <f>IF(AND('331-CT'!$E$7=TH!H956,OR(L956="331",M956="331")),"331",IF(AND(OR(L956="131",M956="131"),H956='131-CT'!$E$7),"131",""))</f>
        <v/>
      </c>
      <c r="O956" s="22" t="str">
        <f>IF(AND($B956&gt;='111'!$N$11,$B956&lt;='111'!$O$11,OR($L956=$O$7,$M956=$O$7)),"x","")</f>
        <v/>
      </c>
      <c r="P956" s="22" t="str">
        <f>IF(AND($L956=$O$7,$B956&lt;'111'!$N$11),"x","")</f>
        <v/>
      </c>
      <c r="Q956" s="22" t="str">
        <f>IF(AND($M956=$O$7,$B956&lt;'111'!$N$11),"x","")</f>
        <v/>
      </c>
      <c r="R956" s="22" t="str">
        <f>IF(ISERROR(FIND('112'!$M$9,G956,1)),"",IF((AND(FIND('112'!$M$9,G956,1)&gt;=1,$B956&gt;='112'!$N$8,$B956&lt;='112'!$O$8,OR($L956='112'!$I$6,$M956='112'!$I$6))),"x",""))</f>
        <v/>
      </c>
      <c r="S956" s="22" t="str">
        <f>IF(ISERROR(FIND('112'!$M$9,G956,1)),"",IF((AND(LEFT(G956,2)=LEFT('112'!$M$9,2),B956&lt;'112'!$N$8,$L956='112'!$I$6)),"x",""))</f>
        <v/>
      </c>
      <c r="T956" s="22" t="str">
        <f>IF(ISERROR(FIND('112'!$M$9,G956,1)),"",IF((AND(RIGHT(G956,2)=RIGHT('112'!$M$9,2),B956&lt;'112'!$N$8,$M956='112'!$I$6)),"x",""))</f>
        <v/>
      </c>
      <c r="U956" s="22" t="str">
        <f>IF(AND(B956&gt;='IN-NX'!$P$3,B956&lt;='IN-NX'!$Q$3,'IN-NX'!$D$7=D956,OR(LEFT(L956,2)="15",AND(LEFT(M956,2)&lt;&gt;"15",LEFT(M956,2)&lt;&gt;"33"))),"x","")</f>
        <v/>
      </c>
      <c r="V956" s="22" t="str">
        <f>IF(AND(OR(LEFT(TH!L956,2)="15",LEFT(TH!M956,2)="15"),'152-CT'!$J$8=TH!F956),"x","")</f>
        <v/>
      </c>
      <c r="W956" s="22" t="str">
        <f>IF(AND(OR(LEFT(TH!L956,2)="15",LEFT(TH!M956,2)="15"),TK!$E$7=TH!F956),"x","")</f>
        <v/>
      </c>
      <c r="X956" s="22" t="str">
        <f>IF(OR(TH!L956=TH!$X$7,M956=TH!$X$7),"x","")</f>
        <v/>
      </c>
      <c r="Y956" s="22" t="str">
        <f>IF(AND(B956&lt;=NKC!$N$8,B956&gt;=NKC!$M$8),"x","")</f>
        <v>x</v>
      </c>
      <c r="Z956" s="581"/>
      <c r="AA956" s="406"/>
      <c r="AB956" s="406"/>
    </row>
    <row r="957" spans="1:28" s="130" customFormat="1" ht="15.75" customHeight="1">
      <c r="A957" s="123" t="str">
        <f>IF(B957&lt;&gt;"",IF(AND(B957&gt;=_TM1,B957&lt;=_TM2,OR(TH!L957="1111",TH!M957="1111")),TH!D957,""),"")</f>
        <v/>
      </c>
      <c r="B957" s="12">
        <f t="shared" si="50"/>
        <v>8</v>
      </c>
      <c r="C957" s="108">
        <f t="shared" si="48"/>
        <v>42613</v>
      </c>
      <c r="D957" s="113" t="s">
        <v>1073</v>
      </c>
      <c r="E957" s="486">
        <v>42613</v>
      </c>
      <c r="F957" s="167" t="s">
        <v>546</v>
      </c>
      <c r="G957" s="487" t="s">
        <v>741</v>
      </c>
      <c r="H957" s="115" t="s">
        <v>1074</v>
      </c>
      <c r="I957" s="139">
        <v>610</v>
      </c>
      <c r="J957" s="139">
        <v>7501.5365315253994</v>
      </c>
      <c r="K957" s="13">
        <f t="shared" si="49"/>
        <v>4575937</v>
      </c>
      <c r="L957" s="116" t="s">
        <v>162</v>
      </c>
      <c r="M957" s="116" t="s">
        <v>160</v>
      </c>
      <c r="N957" s="22" t="str">
        <f>IF(AND('331-CT'!$E$7=TH!H957,OR(L957="331",M957="331")),"331",IF(AND(OR(L957="131",M957="131"),H957='131-CT'!$E$7),"131",""))</f>
        <v/>
      </c>
      <c r="O957" s="22" t="str">
        <f>IF(AND($B957&gt;='111'!$N$11,$B957&lt;='111'!$O$11,OR($L957=$O$7,$M957=$O$7)),"x","")</f>
        <v/>
      </c>
      <c r="P957" s="22" t="str">
        <f>IF(AND($L957=$O$7,$B957&lt;'111'!$N$11),"x","")</f>
        <v/>
      </c>
      <c r="Q957" s="22" t="str">
        <f>IF(AND($M957=$O$7,$B957&lt;'111'!$N$11),"x","")</f>
        <v/>
      </c>
      <c r="R957" s="22" t="str">
        <f>IF(ISERROR(FIND('112'!$M$9,G957,1)),"",IF((AND(FIND('112'!$M$9,G957,1)&gt;=1,$B957&gt;='112'!$N$8,$B957&lt;='112'!$O$8,OR($L957='112'!$I$6,$M957='112'!$I$6))),"x",""))</f>
        <v/>
      </c>
      <c r="S957" s="22" t="str">
        <f>IF(ISERROR(FIND('112'!$M$9,G957,1)),"",IF((AND(LEFT(G957,2)=LEFT('112'!$M$9,2),B957&lt;'112'!$N$8,$L957='112'!$I$6)),"x",""))</f>
        <v/>
      </c>
      <c r="T957" s="22" t="str">
        <f>IF(ISERROR(FIND('112'!$M$9,G957,1)),"",IF((AND(RIGHT(G957,2)=RIGHT('112'!$M$9,2),B957&lt;'112'!$N$8,$M957='112'!$I$6)),"x",""))</f>
        <v/>
      </c>
      <c r="U957" s="22" t="str">
        <f>IF(AND(B957&gt;='IN-NX'!$P$3,B957&lt;='IN-NX'!$Q$3,'IN-NX'!$D$7=D957,OR(LEFT(L957,2)="15",AND(LEFT(M957,2)&lt;&gt;"15",LEFT(M957,2)&lt;&gt;"33"))),"x","")</f>
        <v/>
      </c>
      <c r="V957" s="22" t="str">
        <f>IF(AND(OR(LEFT(TH!L957,2)="15",LEFT(TH!M957,2)="15"),'152-CT'!$J$8=TH!F957),"x","")</f>
        <v/>
      </c>
      <c r="W957" s="22" t="str">
        <f>IF(AND(OR(LEFT(TH!L957,2)="15",LEFT(TH!M957,2)="15"),TK!$E$7=TH!F957),"x","")</f>
        <v/>
      </c>
      <c r="X957" s="22" t="str">
        <f>IF(OR(TH!L957=TH!$X$7,M957=TH!$X$7),"x","")</f>
        <v/>
      </c>
      <c r="Y957" s="22" t="str">
        <f>IF(AND(B957&lt;=NKC!$N$8,B957&gt;=NKC!$M$8),"x","")</f>
        <v>x</v>
      </c>
      <c r="Z957" s="581"/>
      <c r="AA957" s="406"/>
      <c r="AB957" s="406"/>
    </row>
    <row r="958" spans="1:28" s="130" customFormat="1" ht="15.75" customHeight="1">
      <c r="A958" s="123" t="str">
        <f>IF(B958&lt;&gt;"",IF(AND(B958&gt;=_TM1,B958&lt;=_TM2,OR(TH!L958="1111",TH!M958="1111")),TH!D958,""),"")</f>
        <v/>
      </c>
      <c r="B958" s="12">
        <f t="shared" si="50"/>
        <v>8</v>
      </c>
      <c r="C958" s="108">
        <f t="shared" si="48"/>
        <v>42613</v>
      </c>
      <c r="D958" s="113" t="s">
        <v>1073</v>
      </c>
      <c r="E958" s="486">
        <v>42613</v>
      </c>
      <c r="F958" s="167" t="s">
        <v>522</v>
      </c>
      <c r="G958" s="487" t="s">
        <v>741</v>
      </c>
      <c r="H958" s="115" t="s">
        <v>1074</v>
      </c>
      <c r="I958" s="140">
        <v>599</v>
      </c>
      <c r="J958" s="140">
        <v>13024.645845945199</v>
      </c>
      <c r="K958" s="13">
        <f t="shared" si="49"/>
        <v>7801763</v>
      </c>
      <c r="L958" s="116" t="s">
        <v>162</v>
      </c>
      <c r="M958" s="116" t="s">
        <v>160</v>
      </c>
      <c r="N958" s="22" t="str">
        <f>IF(AND('331-CT'!$E$7=TH!H958,OR(L958="331",M958="331")),"331",IF(AND(OR(L958="131",M958="131"),H958='131-CT'!$E$7),"131",""))</f>
        <v/>
      </c>
      <c r="O958" s="22" t="str">
        <f>IF(AND($B958&gt;='111'!$N$11,$B958&lt;='111'!$O$11,OR($L958=$O$7,$M958=$O$7)),"x","")</f>
        <v/>
      </c>
      <c r="P958" s="22" t="str">
        <f>IF(AND($L958=$O$7,$B958&lt;'111'!$N$11),"x","")</f>
        <v/>
      </c>
      <c r="Q958" s="22" t="str">
        <f>IF(AND($M958=$O$7,$B958&lt;'111'!$N$11),"x","")</f>
        <v/>
      </c>
      <c r="R958" s="22" t="str">
        <f>IF(ISERROR(FIND('112'!$M$9,G958,1)),"",IF((AND(FIND('112'!$M$9,G958,1)&gt;=1,$B958&gt;='112'!$N$8,$B958&lt;='112'!$O$8,OR($L958='112'!$I$6,$M958='112'!$I$6))),"x",""))</f>
        <v/>
      </c>
      <c r="S958" s="22" t="str">
        <f>IF(ISERROR(FIND('112'!$M$9,G958,1)),"",IF((AND(LEFT(G958,2)=LEFT('112'!$M$9,2),B958&lt;'112'!$N$8,$L958='112'!$I$6)),"x",""))</f>
        <v/>
      </c>
      <c r="T958" s="22" t="str">
        <f>IF(ISERROR(FIND('112'!$M$9,G958,1)),"",IF((AND(RIGHT(G958,2)=RIGHT('112'!$M$9,2),B958&lt;'112'!$N$8,$M958='112'!$I$6)),"x",""))</f>
        <v/>
      </c>
      <c r="U958" s="22" t="str">
        <f>IF(AND(B958&gt;='IN-NX'!$P$3,B958&lt;='IN-NX'!$Q$3,'IN-NX'!$D$7=D958,OR(LEFT(L958,2)="15",AND(LEFT(M958,2)&lt;&gt;"15",LEFT(M958,2)&lt;&gt;"33"))),"x","")</f>
        <v/>
      </c>
      <c r="V958" s="22" t="str">
        <f>IF(AND(OR(LEFT(TH!L958,2)="15",LEFT(TH!M958,2)="15"),'152-CT'!$J$8=TH!F958),"x","")</f>
        <v/>
      </c>
      <c r="W958" s="22" t="str">
        <f>IF(AND(OR(LEFT(TH!L958,2)="15",LEFT(TH!M958,2)="15"),TK!$E$7=TH!F958),"x","")</f>
        <v/>
      </c>
      <c r="X958" s="22" t="str">
        <f>IF(OR(TH!L958=TH!$X$7,M958=TH!$X$7),"x","")</f>
        <v/>
      </c>
      <c r="Y958" s="22" t="str">
        <f>IF(AND(B958&lt;=NKC!$N$8,B958&gt;=NKC!$M$8),"x","")</f>
        <v>x</v>
      </c>
      <c r="Z958" s="581"/>
      <c r="AA958" s="406"/>
    </row>
    <row r="959" spans="1:28" s="130" customFormat="1" ht="15.75" customHeight="1">
      <c r="A959" s="123" t="str">
        <f>IF(B959&lt;&gt;"",IF(AND(B959&gt;=_TM1,B959&lt;=_TM2,OR(TH!L959="1111",TH!M959="1111")),TH!D959,""),"")</f>
        <v/>
      </c>
      <c r="B959" s="12">
        <f t="shared" si="50"/>
        <v>8</v>
      </c>
      <c r="C959" s="108">
        <f t="shared" si="48"/>
        <v>42613</v>
      </c>
      <c r="D959" s="113" t="s">
        <v>1073</v>
      </c>
      <c r="E959" s="486">
        <v>42613</v>
      </c>
      <c r="F959" s="167" t="s">
        <v>625</v>
      </c>
      <c r="G959" s="487" t="s">
        <v>741</v>
      </c>
      <c r="H959" s="115" t="s">
        <v>1074</v>
      </c>
      <c r="I959" s="140">
        <v>305</v>
      </c>
      <c r="J959" s="140">
        <v>15827.417736844798</v>
      </c>
      <c r="K959" s="13">
        <f t="shared" si="49"/>
        <v>4827362</v>
      </c>
      <c r="L959" s="116" t="s">
        <v>162</v>
      </c>
      <c r="M959" s="116" t="s">
        <v>160</v>
      </c>
      <c r="N959" s="22" t="str">
        <f>IF(AND('331-CT'!$E$7=TH!H959,OR(L959="331",M959="331")),"331",IF(AND(OR(L959="131",M959="131"),H959='131-CT'!$E$7),"131",""))</f>
        <v/>
      </c>
      <c r="O959" s="22" t="str">
        <f>IF(AND($B959&gt;='111'!$N$11,$B959&lt;='111'!$O$11,OR($L959=$O$7,$M959=$O$7)),"x","")</f>
        <v/>
      </c>
      <c r="P959" s="22" t="str">
        <f>IF(AND($L959=$O$7,$B959&lt;'111'!$N$11),"x","")</f>
        <v/>
      </c>
      <c r="Q959" s="22" t="str">
        <f>IF(AND($M959=$O$7,$B959&lt;'111'!$N$11),"x","")</f>
        <v/>
      </c>
      <c r="R959" s="22" t="str">
        <f>IF(ISERROR(FIND('112'!$M$9,G959,1)),"",IF((AND(FIND('112'!$M$9,G959,1)&gt;=1,$B959&gt;='112'!$N$8,$B959&lt;='112'!$O$8,OR($L959='112'!$I$6,$M959='112'!$I$6))),"x",""))</f>
        <v/>
      </c>
      <c r="S959" s="22" t="str">
        <f>IF(ISERROR(FIND('112'!$M$9,G959,1)),"",IF((AND(LEFT(G959,2)=LEFT('112'!$M$9,2),B959&lt;'112'!$N$8,$L959='112'!$I$6)),"x",""))</f>
        <v/>
      </c>
      <c r="T959" s="22" t="str">
        <f>IF(ISERROR(FIND('112'!$M$9,G959,1)),"",IF((AND(RIGHT(G959,2)=RIGHT('112'!$M$9,2),B959&lt;'112'!$N$8,$M959='112'!$I$6)),"x",""))</f>
        <v/>
      </c>
      <c r="U959" s="22" t="str">
        <f>IF(AND(B959&gt;='IN-NX'!$P$3,B959&lt;='IN-NX'!$Q$3,'IN-NX'!$D$7=D959,OR(LEFT(L959,2)="15",AND(LEFT(M959,2)&lt;&gt;"15",LEFT(M959,2)&lt;&gt;"33"))),"x","")</f>
        <v/>
      </c>
      <c r="V959" s="22" t="str">
        <f>IF(AND(OR(LEFT(TH!L959,2)="15",LEFT(TH!M959,2)="15"),'152-CT'!$J$8=TH!F959),"x","")</f>
        <v/>
      </c>
      <c r="W959" s="22" t="str">
        <f>IF(AND(OR(LEFT(TH!L959,2)="15",LEFT(TH!M959,2)="15"),TK!$E$7=TH!F959),"x","")</f>
        <v/>
      </c>
      <c r="X959" s="22" t="str">
        <f>IF(OR(TH!L959=TH!$X$7,M959=TH!$X$7),"x","")</f>
        <v/>
      </c>
      <c r="Y959" s="22" t="str">
        <f>IF(AND(B959&lt;=NKC!$N$8,B959&gt;=NKC!$M$8),"x","")</f>
        <v>x</v>
      </c>
      <c r="Z959" s="581"/>
      <c r="AA959" s="406"/>
      <c r="AB959" s="406"/>
    </row>
    <row r="960" spans="1:28" s="130" customFormat="1" ht="15.75" customHeight="1">
      <c r="A960" s="123" t="str">
        <f>IF(B960&lt;&gt;"",IF(AND(B960&gt;=_TM1,B960&lt;=_TM2,OR(TH!L960="1111",TH!M960="1111")),TH!D960,""),"")</f>
        <v/>
      </c>
      <c r="B960" s="12">
        <f t="shared" si="50"/>
        <v>9</v>
      </c>
      <c r="C960" s="108">
        <f t="shared" si="48"/>
        <v>42614</v>
      </c>
      <c r="D960" s="113" t="s">
        <v>1073</v>
      </c>
      <c r="E960" s="486">
        <v>42614</v>
      </c>
      <c r="F960" s="167" t="s">
        <v>540</v>
      </c>
      <c r="G960" s="487" t="s">
        <v>742</v>
      </c>
      <c r="H960" s="115" t="s">
        <v>1074</v>
      </c>
      <c r="I960" s="139">
        <v>504</v>
      </c>
      <c r="J960" s="139">
        <v>7996.1433358017994</v>
      </c>
      <c r="K960" s="13">
        <f t="shared" si="49"/>
        <v>4030056</v>
      </c>
      <c r="L960" s="116" t="s">
        <v>162</v>
      </c>
      <c r="M960" s="116" t="s">
        <v>160</v>
      </c>
      <c r="N960" s="22" t="str">
        <f>IF(AND('331-CT'!$E$7=TH!H960,OR(L960="331",M960="331")),"331",IF(AND(OR(L960="131",M960="131"),H960='131-CT'!$E$7),"131",""))</f>
        <v/>
      </c>
      <c r="O960" s="22" t="str">
        <f>IF(AND($B960&gt;='111'!$N$11,$B960&lt;='111'!$O$11,OR($L960=$O$7,$M960=$O$7)),"x","")</f>
        <v/>
      </c>
      <c r="P960" s="22" t="str">
        <f>IF(AND($L960=$O$7,$B960&lt;'111'!$N$11),"x","")</f>
        <v/>
      </c>
      <c r="Q960" s="22" t="str">
        <f>IF(AND($M960=$O$7,$B960&lt;'111'!$N$11),"x","")</f>
        <v/>
      </c>
      <c r="R960" s="22" t="str">
        <f>IF(ISERROR(FIND('112'!$M$9,G960,1)),"",IF((AND(FIND('112'!$M$9,G960,1)&gt;=1,$B960&gt;='112'!$N$8,$B960&lt;='112'!$O$8,OR($L960='112'!$I$6,$M960='112'!$I$6))),"x",""))</f>
        <v/>
      </c>
      <c r="S960" s="22" t="str">
        <f>IF(ISERROR(FIND('112'!$M$9,G960,1)),"",IF((AND(LEFT(G960,2)=LEFT('112'!$M$9,2),B960&lt;'112'!$N$8,$L960='112'!$I$6)),"x",""))</f>
        <v/>
      </c>
      <c r="T960" s="22" t="str">
        <f>IF(ISERROR(FIND('112'!$M$9,G960,1)),"",IF((AND(RIGHT(G960,2)=RIGHT('112'!$M$9,2),B960&lt;'112'!$N$8,$M960='112'!$I$6)),"x",""))</f>
        <v/>
      </c>
      <c r="U960" s="22" t="str">
        <f>IF(AND(B960&gt;='IN-NX'!$P$3,B960&lt;='IN-NX'!$Q$3,'IN-NX'!$D$7=D960,OR(LEFT(L960,2)="15",AND(LEFT(M960,2)&lt;&gt;"15",LEFT(M960,2)&lt;&gt;"33"))),"x","")</f>
        <v/>
      </c>
      <c r="V960" s="22" t="str">
        <f>IF(AND(OR(LEFT(TH!L960,2)="15",LEFT(TH!M960,2)="15"),'152-CT'!$J$8=TH!F960),"x","")</f>
        <v/>
      </c>
      <c r="W960" s="22" t="str">
        <f>IF(AND(OR(LEFT(TH!L960,2)="15",LEFT(TH!M960,2)="15"),TK!$E$7=TH!F960),"x","")</f>
        <v/>
      </c>
      <c r="X960" s="22" t="str">
        <f>IF(OR(TH!L960=TH!$X$7,M960=TH!$X$7),"x","")</f>
        <v/>
      </c>
      <c r="Y960" s="22" t="str">
        <f>IF(AND(B960&lt;=NKC!$N$8,B960&gt;=NKC!$M$8),"x","")</f>
        <v>x</v>
      </c>
      <c r="Z960" s="581"/>
      <c r="AA960" s="406"/>
      <c r="AB960" s="406"/>
    </row>
    <row r="961" spans="1:29" s="130" customFormat="1" ht="15.75" customHeight="1">
      <c r="A961" s="123" t="str">
        <f>IF(B961&lt;&gt;"",IF(AND(B961&gt;=_TM1,B961&lt;=_TM2,OR(TH!L961="1111",TH!M961="1111")),TH!D961,""),"")</f>
        <v/>
      </c>
      <c r="B961" s="12">
        <f t="shared" si="50"/>
        <v>9</v>
      </c>
      <c r="C961" s="108">
        <f t="shared" si="48"/>
        <v>42614</v>
      </c>
      <c r="D961" s="113" t="s">
        <v>1073</v>
      </c>
      <c r="E961" s="486">
        <v>42614</v>
      </c>
      <c r="F961" s="167" t="s">
        <v>541</v>
      </c>
      <c r="G961" s="487" t="s">
        <v>743</v>
      </c>
      <c r="H961" s="115" t="s">
        <v>1074</v>
      </c>
      <c r="I961" s="139">
        <v>2660</v>
      </c>
      <c r="J961" s="139">
        <v>5358.2403796609997</v>
      </c>
      <c r="K961" s="13">
        <f t="shared" si="49"/>
        <v>14252919</v>
      </c>
      <c r="L961" s="116" t="s">
        <v>162</v>
      </c>
      <c r="M961" s="116" t="s">
        <v>160</v>
      </c>
      <c r="N961" s="22" t="str">
        <f>IF(AND('331-CT'!$E$7=TH!H961,OR(L961="331",M961="331")),"331",IF(AND(OR(L961="131",M961="131"),H961='131-CT'!$E$7),"131",""))</f>
        <v/>
      </c>
      <c r="O961" s="22" t="str">
        <f>IF(AND($B961&gt;='111'!$N$11,$B961&lt;='111'!$O$11,OR($L961=$O$7,$M961=$O$7)),"x","")</f>
        <v/>
      </c>
      <c r="P961" s="22" t="str">
        <f>IF(AND($L961=$O$7,$B961&lt;'111'!$N$11),"x","")</f>
        <v/>
      </c>
      <c r="Q961" s="22" t="str">
        <f>IF(AND($M961=$O$7,$B961&lt;'111'!$N$11),"x","")</f>
        <v/>
      </c>
      <c r="R961" s="22" t="str">
        <f>IF(ISERROR(FIND('112'!$M$9,G961,1)),"",IF((AND(FIND('112'!$M$9,G961,1)&gt;=1,$B961&gt;='112'!$N$8,$B961&lt;='112'!$O$8,OR($L961='112'!$I$6,$M961='112'!$I$6))),"x",""))</f>
        <v/>
      </c>
      <c r="S961" s="22" t="str">
        <f>IF(ISERROR(FIND('112'!$M$9,G961,1)),"",IF((AND(LEFT(G961,2)=LEFT('112'!$M$9,2),B961&lt;'112'!$N$8,$L961='112'!$I$6)),"x",""))</f>
        <v/>
      </c>
      <c r="T961" s="22" t="str">
        <f>IF(ISERROR(FIND('112'!$M$9,G961,1)),"",IF((AND(RIGHT(G961,2)=RIGHT('112'!$M$9,2),B961&lt;'112'!$N$8,$M961='112'!$I$6)),"x",""))</f>
        <v/>
      </c>
      <c r="U961" s="22" t="str">
        <f>IF(AND(B961&gt;='IN-NX'!$P$3,B961&lt;='IN-NX'!$Q$3,'IN-NX'!$D$7=D961,OR(LEFT(L961,2)="15",AND(LEFT(M961,2)&lt;&gt;"15",LEFT(M961,2)&lt;&gt;"33"))),"x","")</f>
        <v/>
      </c>
      <c r="V961" s="22" t="str">
        <f>IF(AND(OR(LEFT(TH!L961,2)="15",LEFT(TH!M961,2)="15"),'152-CT'!$J$8=TH!F961),"x","")</f>
        <v/>
      </c>
      <c r="W961" s="22" t="str">
        <f>IF(AND(OR(LEFT(TH!L961,2)="15",LEFT(TH!M961,2)="15"),TK!$E$7=TH!F961),"x","")</f>
        <v/>
      </c>
      <c r="X961" s="22" t="str">
        <f>IF(OR(TH!L961=TH!$X$7,M961=TH!$X$7),"x","")</f>
        <v/>
      </c>
      <c r="Y961" s="22" t="str">
        <f>IF(AND(B961&lt;=NKC!$N$8,B961&gt;=NKC!$M$8),"x","")</f>
        <v>x</v>
      </c>
      <c r="Z961" s="581"/>
      <c r="AA961" s="406"/>
    </row>
    <row r="962" spans="1:29" s="130" customFormat="1" ht="15.75" customHeight="1">
      <c r="A962" s="123" t="str">
        <f>IF(B962&lt;&gt;"",IF(AND(B962&gt;=_TM1,B962&lt;=_TM2,OR(TH!L962="1111",TH!M962="1111")),TH!D962,""),"")</f>
        <v/>
      </c>
      <c r="B962" s="12">
        <f t="shared" si="50"/>
        <v>9</v>
      </c>
      <c r="C962" s="108">
        <f t="shared" si="48"/>
        <v>42618</v>
      </c>
      <c r="D962" s="113" t="s">
        <v>1073</v>
      </c>
      <c r="E962" s="486">
        <v>42618</v>
      </c>
      <c r="F962" s="167" t="s">
        <v>651</v>
      </c>
      <c r="G962" s="487" t="s">
        <v>744</v>
      </c>
      <c r="H962" s="115" t="s">
        <v>1074</v>
      </c>
      <c r="I962" s="139">
        <v>412</v>
      </c>
      <c r="J962" s="139">
        <v>8573.1846074575988</v>
      </c>
      <c r="K962" s="13">
        <f t="shared" si="49"/>
        <v>3532152</v>
      </c>
      <c r="L962" s="116" t="s">
        <v>162</v>
      </c>
      <c r="M962" s="116" t="s">
        <v>160</v>
      </c>
      <c r="N962" s="22" t="str">
        <f>IF(AND('331-CT'!$E$7=TH!H962,OR(L962="331",M962="331")),"331",IF(AND(OR(L962="131",M962="131"),H962='131-CT'!$E$7),"131",""))</f>
        <v/>
      </c>
      <c r="O962" s="22" t="str">
        <f>IF(AND($B962&gt;='111'!$N$11,$B962&lt;='111'!$O$11,OR($L962=$O$7,$M962=$O$7)),"x","")</f>
        <v/>
      </c>
      <c r="P962" s="22" t="str">
        <f>IF(AND($L962=$O$7,$B962&lt;'111'!$N$11),"x","")</f>
        <v/>
      </c>
      <c r="Q962" s="22" t="str">
        <f>IF(AND($M962=$O$7,$B962&lt;'111'!$N$11),"x","")</f>
        <v/>
      </c>
      <c r="R962" s="22" t="str">
        <f>IF(ISERROR(FIND('112'!$M$9,G962,1)),"",IF((AND(FIND('112'!$M$9,G962,1)&gt;=1,$B962&gt;='112'!$N$8,$B962&lt;='112'!$O$8,OR($L962='112'!$I$6,$M962='112'!$I$6))),"x",""))</f>
        <v/>
      </c>
      <c r="S962" s="22" t="str">
        <f>IF(ISERROR(FIND('112'!$M$9,G962,1)),"",IF((AND(LEFT(G962,2)=LEFT('112'!$M$9,2),B962&lt;'112'!$N$8,$L962='112'!$I$6)),"x",""))</f>
        <v/>
      </c>
      <c r="T962" s="22" t="str">
        <f>IF(ISERROR(FIND('112'!$M$9,G962,1)),"",IF((AND(RIGHT(G962,2)=RIGHT('112'!$M$9,2),B962&lt;'112'!$N$8,$M962='112'!$I$6)),"x",""))</f>
        <v/>
      </c>
      <c r="U962" s="22" t="str">
        <f>IF(AND(B962&gt;='IN-NX'!$P$3,B962&lt;='IN-NX'!$Q$3,'IN-NX'!$D$7=D962,OR(LEFT(L962,2)="15",AND(LEFT(M962,2)&lt;&gt;"15",LEFT(M962,2)&lt;&gt;"33"))),"x","")</f>
        <v/>
      </c>
      <c r="V962" s="22" t="str">
        <f>IF(AND(OR(LEFT(TH!L962,2)="15",LEFT(TH!M962,2)="15"),'152-CT'!$J$8=TH!F962),"x","")</f>
        <v/>
      </c>
      <c r="W962" s="22" t="str">
        <f>IF(AND(OR(LEFT(TH!L962,2)="15",LEFT(TH!M962,2)="15"),TK!$E$7=TH!F962),"x","")</f>
        <v/>
      </c>
      <c r="X962" s="22" t="str">
        <f>IF(OR(TH!L962=TH!$X$7,M962=TH!$X$7),"x","")</f>
        <v/>
      </c>
      <c r="Y962" s="22" t="str">
        <f>IF(AND(B962&lt;=NKC!$N$8,B962&gt;=NKC!$M$8),"x","")</f>
        <v>x</v>
      </c>
      <c r="Z962" s="581"/>
      <c r="AA962" s="406"/>
      <c r="AB962" s="406"/>
    </row>
    <row r="963" spans="1:29" s="130" customFormat="1" ht="15.75" customHeight="1">
      <c r="A963" s="123" t="str">
        <f>IF(B963&lt;&gt;"",IF(AND(B963&gt;=_TM1,B963&lt;=_TM2,OR(TH!L963="1111",TH!M963="1111")),TH!D963,""),"")</f>
        <v/>
      </c>
      <c r="B963" s="12">
        <f t="shared" si="50"/>
        <v>9</v>
      </c>
      <c r="C963" s="108">
        <f t="shared" si="48"/>
        <v>42618</v>
      </c>
      <c r="D963" s="113" t="s">
        <v>1073</v>
      </c>
      <c r="E963" s="486">
        <v>42618</v>
      </c>
      <c r="F963" s="167" t="s">
        <v>500</v>
      </c>
      <c r="G963" s="487" t="s">
        <v>744</v>
      </c>
      <c r="H963" s="115" t="s">
        <v>1074</v>
      </c>
      <c r="I963" s="139">
        <v>382</v>
      </c>
      <c r="J963" s="139">
        <v>10551.611824563199</v>
      </c>
      <c r="K963" s="13">
        <f t="shared" si="49"/>
        <v>4030716</v>
      </c>
      <c r="L963" s="116" t="s">
        <v>162</v>
      </c>
      <c r="M963" s="116" t="s">
        <v>160</v>
      </c>
      <c r="N963" s="22" t="str">
        <f>IF(AND('331-CT'!$E$7=TH!H963,OR(L963="331",M963="331")),"331",IF(AND(OR(L963="131",M963="131"),H963='131-CT'!$E$7),"131",""))</f>
        <v/>
      </c>
      <c r="O963" s="22" t="str">
        <f>IF(AND($B963&gt;='111'!$N$11,$B963&lt;='111'!$O$11,OR($L963=$O$7,$M963=$O$7)),"x","")</f>
        <v/>
      </c>
      <c r="P963" s="22" t="str">
        <f>IF(AND($L963=$O$7,$B963&lt;'111'!$N$11),"x","")</f>
        <v/>
      </c>
      <c r="Q963" s="22" t="str">
        <f>IF(AND($M963=$O$7,$B963&lt;'111'!$N$11),"x","")</f>
        <v/>
      </c>
      <c r="R963" s="22" t="str">
        <f>IF(ISERROR(FIND('112'!$M$9,G963,1)),"",IF((AND(FIND('112'!$M$9,G963,1)&gt;=1,$B963&gt;='112'!$N$8,$B963&lt;='112'!$O$8,OR($L963='112'!$I$6,$M963='112'!$I$6))),"x",""))</f>
        <v/>
      </c>
      <c r="S963" s="22" t="str">
        <f>IF(ISERROR(FIND('112'!$M$9,G963,1)),"",IF((AND(LEFT(G963,2)=LEFT('112'!$M$9,2),B963&lt;'112'!$N$8,$L963='112'!$I$6)),"x",""))</f>
        <v/>
      </c>
      <c r="T963" s="22" t="str">
        <f>IF(ISERROR(FIND('112'!$M$9,G963,1)),"",IF((AND(RIGHT(G963,2)=RIGHT('112'!$M$9,2),B963&lt;'112'!$N$8,$M963='112'!$I$6)),"x",""))</f>
        <v/>
      </c>
      <c r="U963" s="22" t="str">
        <f>IF(AND(B963&gt;='IN-NX'!$P$3,B963&lt;='IN-NX'!$Q$3,'IN-NX'!$D$7=D963,OR(LEFT(L963,2)="15",AND(LEFT(M963,2)&lt;&gt;"15",LEFT(M963,2)&lt;&gt;"33"))),"x","")</f>
        <v/>
      </c>
      <c r="V963" s="22" t="str">
        <f>IF(AND(OR(LEFT(TH!L963,2)="15",LEFT(TH!M963,2)="15"),'152-CT'!$J$8=TH!F963),"x","")</f>
        <v/>
      </c>
      <c r="W963" s="22" t="str">
        <f>IF(AND(OR(LEFT(TH!L963,2)="15",LEFT(TH!M963,2)="15"),TK!$E$7=TH!F963),"x","")</f>
        <v/>
      </c>
      <c r="X963" s="22" t="str">
        <f>IF(OR(TH!L963=TH!$X$7,M963=TH!$X$7),"x","")</f>
        <v/>
      </c>
      <c r="Y963" s="22" t="str">
        <f>IF(AND(B963&lt;=NKC!$N$8,B963&gt;=NKC!$M$8),"x","")</f>
        <v>x</v>
      </c>
      <c r="Z963" s="581"/>
      <c r="AA963" s="406"/>
      <c r="AB963" s="406"/>
      <c r="AC963" s="406"/>
    </row>
    <row r="964" spans="1:29" s="130" customFormat="1" ht="15.75" customHeight="1">
      <c r="A964" s="123" t="str">
        <f>IF(B964&lt;&gt;"",IF(AND(B964&gt;=_TM1,B964&lt;=_TM2,OR(TH!L964="1111",TH!M964="1111")),TH!D964,""),"")</f>
        <v/>
      </c>
      <c r="B964" s="12">
        <f t="shared" si="50"/>
        <v>9</v>
      </c>
      <c r="C964" s="108">
        <f t="shared" si="48"/>
        <v>42618</v>
      </c>
      <c r="D964" s="113" t="s">
        <v>1073</v>
      </c>
      <c r="E964" s="486">
        <v>42618</v>
      </c>
      <c r="F964" s="167" t="s">
        <v>500</v>
      </c>
      <c r="G964" s="487" t="s">
        <v>744</v>
      </c>
      <c r="H964" s="115" t="s">
        <v>1074</v>
      </c>
      <c r="I964" s="139">
        <v>110</v>
      </c>
      <c r="J964" s="139">
        <v>10551.611824563199</v>
      </c>
      <c r="K964" s="13">
        <f t="shared" si="49"/>
        <v>1160677</v>
      </c>
      <c r="L964" s="116" t="s">
        <v>162</v>
      </c>
      <c r="M964" s="116" t="s">
        <v>160</v>
      </c>
      <c r="N964" s="22" t="str">
        <f>IF(AND('331-CT'!$E$7=TH!H964,OR(L964="331",M964="331")),"331",IF(AND(OR(L964="131",M964="131"),H964='131-CT'!$E$7),"131",""))</f>
        <v/>
      </c>
      <c r="O964" s="22" t="str">
        <f>IF(AND($B964&gt;='111'!$N$11,$B964&lt;='111'!$O$11,OR($L964=$O$7,$M964=$O$7)),"x","")</f>
        <v/>
      </c>
      <c r="P964" s="22" t="str">
        <f>IF(AND($L964=$O$7,$B964&lt;'111'!$N$11),"x","")</f>
        <v/>
      </c>
      <c r="Q964" s="22" t="str">
        <f>IF(AND($M964=$O$7,$B964&lt;'111'!$N$11),"x","")</f>
        <v/>
      </c>
      <c r="R964" s="22" t="str">
        <f>IF(ISERROR(FIND('112'!$M$9,G964,1)),"",IF((AND(FIND('112'!$M$9,G964,1)&gt;=1,$B964&gt;='112'!$N$8,$B964&lt;='112'!$O$8,OR($L964='112'!$I$6,$M964='112'!$I$6))),"x",""))</f>
        <v/>
      </c>
      <c r="S964" s="22" t="str">
        <f>IF(ISERROR(FIND('112'!$M$9,G964,1)),"",IF((AND(LEFT(G964,2)=LEFT('112'!$M$9,2),B964&lt;'112'!$N$8,$L964='112'!$I$6)),"x",""))</f>
        <v/>
      </c>
      <c r="T964" s="22" t="str">
        <f>IF(ISERROR(FIND('112'!$M$9,G964,1)),"",IF((AND(RIGHT(G964,2)=RIGHT('112'!$M$9,2),B964&lt;'112'!$N$8,$M964='112'!$I$6)),"x",""))</f>
        <v/>
      </c>
      <c r="U964" s="22" t="str">
        <f>IF(AND(B964&gt;='IN-NX'!$P$3,B964&lt;='IN-NX'!$Q$3,'IN-NX'!$D$7=D964,OR(LEFT(L964,2)="15",AND(LEFT(M964,2)&lt;&gt;"15",LEFT(M964,2)&lt;&gt;"33"))),"x","")</f>
        <v/>
      </c>
      <c r="V964" s="22" t="str">
        <f>IF(AND(OR(LEFT(TH!L964,2)="15",LEFT(TH!M964,2)="15"),'152-CT'!$J$8=TH!F964),"x","")</f>
        <v/>
      </c>
      <c r="W964" s="22" t="str">
        <f>IF(AND(OR(LEFT(TH!L964,2)="15",LEFT(TH!M964,2)="15"),TK!$E$7=TH!F964),"x","")</f>
        <v/>
      </c>
      <c r="X964" s="22" t="str">
        <f>IF(OR(TH!L964=TH!$X$7,M964=TH!$X$7),"x","")</f>
        <v/>
      </c>
      <c r="Y964" s="22" t="str">
        <f>IF(AND(B964&lt;=NKC!$N$8,B964&gt;=NKC!$M$8),"x","")</f>
        <v>x</v>
      </c>
      <c r="Z964" s="581"/>
      <c r="AA964" s="406"/>
      <c r="AB964" s="406"/>
    </row>
    <row r="965" spans="1:29" s="130" customFormat="1" ht="15.75" customHeight="1">
      <c r="A965" s="123" t="str">
        <f>IF(B965&lt;&gt;"",IF(AND(B965&gt;=_TM1,B965&lt;=_TM2,OR(TH!L965="1111",TH!M965="1111")),TH!D965,""),"")</f>
        <v/>
      </c>
      <c r="B965" s="12">
        <f t="shared" si="50"/>
        <v>9</v>
      </c>
      <c r="C965" s="108">
        <f t="shared" si="48"/>
        <v>42618</v>
      </c>
      <c r="D965" s="113" t="s">
        <v>1073</v>
      </c>
      <c r="E965" s="486">
        <v>42618</v>
      </c>
      <c r="F965" s="167" t="s">
        <v>652</v>
      </c>
      <c r="G965" s="487" t="s">
        <v>744</v>
      </c>
      <c r="H965" s="115" t="s">
        <v>1074</v>
      </c>
      <c r="I965" s="139">
        <v>110</v>
      </c>
      <c r="J965" s="139">
        <v>7006.9297272489994</v>
      </c>
      <c r="K965" s="13">
        <f t="shared" si="49"/>
        <v>770762</v>
      </c>
      <c r="L965" s="116" t="s">
        <v>162</v>
      </c>
      <c r="M965" s="116" t="s">
        <v>160</v>
      </c>
      <c r="N965" s="22" t="str">
        <f>IF(AND('331-CT'!$E$7=TH!H965,OR(L965="331",M965="331")),"331",IF(AND(OR(L965="131",M965="131"),H965='131-CT'!$E$7),"131",""))</f>
        <v/>
      </c>
      <c r="O965" s="22" t="str">
        <f>IF(AND($B965&gt;='111'!$N$11,$B965&lt;='111'!$O$11,OR($L965=$O$7,$M965=$O$7)),"x","")</f>
        <v/>
      </c>
      <c r="P965" s="22" t="str">
        <f>IF(AND($L965=$O$7,$B965&lt;'111'!$N$11),"x","")</f>
        <v/>
      </c>
      <c r="Q965" s="22" t="str">
        <f>IF(AND($M965=$O$7,$B965&lt;'111'!$N$11),"x","")</f>
        <v/>
      </c>
      <c r="R965" s="22" t="str">
        <f>IF(ISERROR(FIND('112'!$M$9,G965,1)),"",IF((AND(FIND('112'!$M$9,G965,1)&gt;=1,$B965&gt;='112'!$N$8,$B965&lt;='112'!$O$8,OR($L965='112'!$I$6,$M965='112'!$I$6))),"x",""))</f>
        <v/>
      </c>
      <c r="S965" s="22" t="str">
        <f>IF(ISERROR(FIND('112'!$M$9,G965,1)),"",IF((AND(LEFT(G965,2)=LEFT('112'!$M$9,2),B965&lt;'112'!$N$8,$L965='112'!$I$6)),"x",""))</f>
        <v/>
      </c>
      <c r="T965" s="22" t="str">
        <f>IF(ISERROR(FIND('112'!$M$9,G965,1)),"",IF((AND(RIGHT(G965,2)=RIGHT('112'!$M$9,2),B965&lt;'112'!$N$8,$M965='112'!$I$6)),"x",""))</f>
        <v/>
      </c>
      <c r="U965" s="22" t="str">
        <f>IF(AND(B965&gt;='IN-NX'!$P$3,B965&lt;='IN-NX'!$Q$3,'IN-NX'!$D$7=D965,OR(LEFT(L965,2)="15",AND(LEFT(M965,2)&lt;&gt;"15",LEFT(M965,2)&lt;&gt;"33"))),"x","")</f>
        <v/>
      </c>
      <c r="V965" s="22" t="str">
        <f>IF(AND(OR(LEFT(TH!L965,2)="15",LEFT(TH!M965,2)="15"),'152-CT'!$J$8=TH!F965),"x","")</f>
        <v/>
      </c>
      <c r="W965" s="22" t="str">
        <f>IF(AND(OR(LEFT(TH!L965,2)="15",LEFT(TH!M965,2)="15"),TK!$E$7=TH!F965),"x","")</f>
        <v/>
      </c>
      <c r="X965" s="22" t="str">
        <f>IF(OR(TH!L965=TH!$X$7,M965=TH!$X$7),"x","")</f>
        <v/>
      </c>
      <c r="Y965" s="22" t="str">
        <f>IF(AND(B965&lt;=NKC!$N$8,B965&gt;=NKC!$M$8),"x","")</f>
        <v>x</v>
      </c>
      <c r="Z965" s="581"/>
      <c r="AA965" s="406"/>
      <c r="AB965" s="406"/>
    </row>
    <row r="966" spans="1:29" s="130" customFormat="1" ht="15.75" customHeight="1">
      <c r="A966" s="123" t="str">
        <f>IF(B966&lt;&gt;"",IF(AND(B966&gt;=_TM1,B966&lt;=_TM2,OR(TH!L966="1111",TH!M966="1111")),TH!D966,""),"")</f>
        <v/>
      </c>
      <c r="B966" s="12">
        <f t="shared" si="50"/>
        <v>9</v>
      </c>
      <c r="C966" s="108">
        <f t="shared" si="48"/>
        <v>42618</v>
      </c>
      <c r="D966" s="113" t="s">
        <v>1073</v>
      </c>
      <c r="E966" s="486">
        <v>42618</v>
      </c>
      <c r="F966" s="167" t="s">
        <v>653</v>
      </c>
      <c r="G966" s="487" t="s">
        <v>745</v>
      </c>
      <c r="H966" s="115" t="s">
        <v>1074</v>
      </c>
      <c r="I966" s="139">
        <v>65</v>
      </c>
      <c r="J966" s="139">
        <v>11870.563302633598</v>
      </c>
      <c r="K966" s="13">
        <f t="shared" si="49"/>
        <v>771587</v>
      </c>
      <c r="L966" s="116" t="s">
        <v>162</v>
      </c>
      <c r="M966" s="116" t="s">
        <v>160</v>
      </c>
      <c r="N966" s="22" t="str">
        <f>IF(AND('331-CT'!$E$7=TH!H966,OR(L966="331",M966="331")),"331",IF(AND(OR(L966="131",M966="131"),H966='131-CT'!$E$7),"131",""))</f>
        <v/>
      </c>
      <c r="O966" s="22" t="str">
        <f>IF(AND($B966&gt;='111'!$N$11,$B966&lt;='111'!$O$11,OR($L966=$O$7,$M966=$O$7)),"x","")</f>
        <v/>
      </c>
      <c r="P966" s="22" t="str">
        <f>IF(AND($L966=$O$7,$B966&lt;'111'!$N$11),"x","")</f>
        <v/>
      </c>
      <c r="Q966" s="22" t="str">
        <f>IF(AND($M966=$O$7,$B966&lt;'111'!$N$11),"x","")</f>
        <v/>
      </c>
      <c r="R966" s="22" t="str">
        <f>IF(ISERROR(FIND('112'!$M$9,G966,1)),"",IF((AND(FIND('112'!$M$9,G966,1)&gt;=1,$B966&gt;='112'!$N$8,$B966&lt;='112'!$O$8,OR($L966='112'!$I$6,$M966='112'!$I$6))),"x",""))</f>
        <v/>
      </c>
      <c r="S966" s="22" t="str">
        <f>IF(ISERROR(FIND('112'!$M$9,G966,1)),"",IF((AND(LEFT(G966,2)=LEFT('112'!$M$9,2),B966&lt;'112'!$N$8,$L966='112'!$I$6)),"x",""))</f>
        <v/>
      </c>
      <c r="T966" s="22" t="str">
        <f>IF(ISERROR(FIND('112'!$M$9,G966,1)),"",IF((AND(RIGHT(G966,2)=RIGHT('112'!$M$9,2),B966&lt;'112'!$N$8,$M966='112'!$I$6)),"x",""))</f>
        <v/>
      </c>
      <c r="U966" s="22" t="str">
        <f>IF(AND(B966&gt;='IN-NX'!$P$3,B966&lt;='IN-NX'!$Q$3,'IN-NX'!$D$7=D966,OR(LEFT(L966,2)="15",AND(LEFT(M966,2)&lt;&gt;"15",LEFT(M966,2)&lt;&gt;"33"))),"x","")</f>
        <v/>
      </c>
      <c r="V966" s="22" t="str">
        <f>IF(AND(OR(LEFT(TH!L966,2)="15",LEFT(TH!M966,2)="15"),'152-CT'!$J$8=TH!F966),"x","")</f>
        <v/>
      </c>
      <c r="W966" s="22" t="str">
        <f>IF(AND(OR(LEFT(TH!L966,2)="15",LEFT(TH!M966,2)="15"),TK!$E$7=TH!F966),"x","")</f>
        <v/>
      </c>
      <c r="X966" s="22" t="str">
        <f>IF(OR(TH!L966=TH!$X$7,M966=TH!$X$7),"x","")</f>
        <v/>
      </c>
      <c r="Y966" s="22" t="str">
        <f>IF(AND(B966&lt;=NKC!$N$8,B966&gt;=NKC!$M$8),"x","")</f>
        <v>x</v>
      </c>
      <c r="Z966" s="581"/>
      <c r="AA966" s="406"/>
      <c r="AB966" s="406"/>
    </row>
    <row r="967" spans="1:29" s="130" customFormat="1" ht="15.75" customHeight="1">
      <c r="A967" s="123" t="str">
        <f>IF(B967&lt;&gt;"",IF(AND(B967&gt;=_TM1,B967&lt;=_TM2,OR(TH!L967="1111",TH!M967="1111")),TH!D967,""),"")</f>
        <v/>
      </c>
      <c r="B967" s="12">
        <f t="shared" si="50"/>
        <v>9</v>
      </c>
      <c r="C967" s="108">
        <f t="shared" si="48"/>
        <v>42618</v>
      </c>
      <c r="D967" s="113" t="s">
        <v>1073</v>
      </c>
      <c r="E967" s="486">
        <v>42618</v>
      </c>
      <c r="F967" s="167" t="s">
        <v>654</v>
      </c>
      <c r="G967" s="487" t="s">
        <v>745</v>
      </c>
      <c r="H967" s="115" t="s">
        <v>1074</v>
      </c>
      <c r="I967" s="139">
        <v>917</v>
      </c>
      <c r="J967" s="139">
        <v>8820.4880095957997</v>
      </c>
      <c r="K967" s="13">
        <f t="shared" si="49"/>
        <v>8088388</v>
      </c>
      <c r="L967" s="116" t="s">
        <v>162</v>
      </c>
      <c r="M967" s="116" t="s">
        <v>160</v>
      </c>
      <c r="N967" s="22" t="str">
        <f>IF(AND('331-CT'!$E$7=TH!H967,OR(L967="331",M967="331")),"331",IF(AND(OR(L967="131",M967="131"),H967='131-CT'!$E$7),"131",""))</f>
        <v/>
      </c>
      <c r="O967" s="22" t="str">
        <f>IF(AND($B967&gt;='111'!$N$11,$B967&lt;='111'!$O$11,OR($L967=$O$7,$M967=$O$7)),"x","")</f>
        <v/>
      </c>
      <c r="P967" s="22" t="str">
        <f>IF(AND($L967=$O$7,$B967&lt;'111'!$N$11),"x","")</f>
        <v/>
      </c>
      <c r="Q967" s="22" t="str">
        <f>IF(AND($M967=$O$7,$B967&lt;'111'!$N$11),"x","")</f>
        <v/>
      </c>
      <c r="R967" s="22" t="str">
        <f>IF(ISERROR(FIND('112'!$M$9,G967,1)),"",IF((AND(FIND('112'!$M$9,G967,1)&gt;=1,$B967&gt;='112'!$N$8,$B967&lt;='112'!$O$8,OR($L967='112'!$I$6,$M967='112'!$I$6))),"x",""))</f>
        <v/>
      </c>
      <c r="S967" s="22" t="str">
        <f>IF(ISERROR(FIND('112'!$M$9,G967,1)),"",IF((AND(LEFT(G967,2)=LEFT('112'!$M$9,2),B967&lt;'112'!$N$8,$L967='112'!$I$6)),"x",""))</f>
        <v/>
      </c>
      <c r="T967" s="22" t="str">
        <f>IF(ISERROR(FIND('112'!$M$9,G967,1)),"",IF((AND(RIGHT(G967,2)=RIGHT('112'!$M$9,2),B967&lt;'112'!$N$8,$M967='112'!$I$6)),"x",""))</f>
        <v/>
      </c>
      <c r="U967" s="22" t="str">
        <f>IF(AND(B967&gt;='IN-NX'!$P$3,B967&lt;='IN-NX'!$Q$3,'IN-NX'!$D$7=D967,OR(LEFT(L967,2)="15",AND(LEFT(M967,2)&lt;&gt;"15",LEFT(M967,2)&lt;&gt;"33"))),"x","")</f>
        <v/>
      </c>
      <c r="V967" s="22" t="str">
        <f>IF(AND(OR(LEFT(TH!L967,2)="15",LEFT(TH!M967,2)="15"),'152-CT'!$J$8=TH!F967),"x","")</f>
        <v/>
      </c>
      <c r="W967" s="22" t="str">
        <f>IF(AND(OR(LEFT(TH!L967,2)="15",LEFT(TH!M967,2)="15"),TK!$E$7=TH!F967),"x","")</f>
        <v/>
      </c>
      <c r="X967" s="22" t="str">
        <f>IF(OR(TH!L967=TH!$X$7,M967=TH!$X$7),"x","")</f>
        <v/>
      </c>
      <c r="Y967" s="22" t="str">
        <f>IF(AND(B967&lt;=NKC!$N$8,B967&gt;=NKC!$M$8),"x","")</f>
        <v>x</v>
      </c>
      <c r="Z967" s="581"/>
      <c r="AA967" s="406"/>
      <c r="AB967" s="406"/>
    </row>
    <row r="968" spans="1:29" s="130" customFormat="1" ht="15.75" customHeight="1">
      <c r="A968" s="123" t="str">
        <f>IF(B968&lt;&gt;"",IF(AND(B968&gt;=_TM1,B968&lt;=_TM2,OR(TH!L968="1111",TH!M968="1111")),TH!D968,""),"")</f>
        <v/>
      </c>
      <c r="B968" s="12">
        <f t="shared" si="50"/>
        <v>9</v>
      </c>
      <c r="C968" s="108">
        <f t="shared" si="48"/>
        <v>42618</v>
      </c>
      <c r="D968" s="113" t="s">
        <v>1073</v>
      </c>
      <c r="E968" s="486">
        <v>42618</v>
      </c>
      <c r="F968" s="167" t="s">
        <v>500</v>
      </c>
      <c r="G968" s="487" t="s">
        <v>745</v>
      </c>
      <c r="H968" s="115" t="s">
        <v>1074</v>
      </c>
      <c r="I968" s="139">
        <v>72</v>
      </c>
      <c r="J968" s="139">
        <v>10551.611824563199</v>
      </c>
      <c r="K968" s="13">
        <f t="shared" si="49"/>
        <v>759716</v>
      </c>
      <c r="L968" s="116" t="s">
        <v>162</v>
      </c>
      <c r="M968" s="116" t="s">
        <v>160</v>
      </c>
      <c r="N968" s="22" t="str">
        <f>IF(AND('331-CT'!$E$7=TH!H968,OR(L968="331",M968="331")),"331",IF(AND(OR(L968="131",M968="131"),H968='131-CT'!$E$7),"131",""))</f>
        <v/>
      </c>
      <c r="O968" s="22" t="str">
        <f>IF(AND($B968&gt;='111'!$N$11,$B968&lt;='111'!$O$11,OR($L968=$O$7,$M968=$O$7)),"x","")</f>
        <v/>
      </c>
      <c r="P968" s="22" t="str">
        <f>IF(AND($L968=$O$7,$B968&lt;'111'!$N$11),"x","")</f>
        <v/>
      </c>
      <c r="Q968" s="22" t="str">
        <f>IF(AND($M968=$O$7,$B968&lt;'111'!$N$11),"x","")</f>
        <v/>
      </c>
      <c r="R968" s="22" t="str">
        <f>IF(ISERROR(FIND('112'!$M$9,G968,1)),"",IF((AND(FIND('112'!$M$9,G968,1)&gt;=1,$B968&gt;='112'!$N$8,$B968&lt;='112'!$O$8,OR($L968='112'!$I$6,$M968='112'!$I$6))),"x",""))</f>
        <v/>
      </c>
      <c r="S968" s="22" t="str">
        <f>IF(ISERROR(FIND('112'!$M$9,G968,1)),"",IF((AND(LEFT(G968,2)=LEFT('112'!$M$9,2),B968&lt;'112'!$N$8,$L968='112'!$I$6)),"x",""))</f>
        <v/>
      </c>
      <c r="T968" s="22" t="str">
        <f>IF(ISERROR(FIND('112'!$M$9,G968,1)),"",IF((AND(RIGHT(G968,2)=RIGHT('112'!$M$9,2),B968&lt;'112'!$N$8,$M968='112'!$I$6)),"x",""))</f>
        <v/>
      </c>
      <c r="U968" s="22" t="str">
        <f>IF(AND(B968&gt;='IN-NX'!$P$3,B968&lt;='IN-NX'!$Q$3,'IN-NX'!$D$7=D968,OR(LEFT(L968,2)="15",AND(LEFT(M968,2)&lt;&gt;"15",LEFT(M968,2)&lt;&gt;"33"))),"x","")</f>
        <v/>
      </c>
      <c r="V968" s="22" t="str">
        <f>IF(AND(OR(LEFT(TH!L968,2)="15",LEFT(TH!M968,2)="15"),'152-CT'!$J$8=TH!F968),"x","")</f>
        <v/>
      </c>
      <c r="W968" s="22" t="str">
        <f>IF(AND(OR(LEFT(TH!L968,2)="15",LEFT(TH!M968,2)="15"),TK!$E$7=TH!F968),"x","")</f>
        <v/>
      </c>
      <c r="X968" s="22" t="str">
        <f>IF(OR(TH!L968=TH!$X$7,M968=TH!$X$7),"x","")</f>
        <v/>
      </c>
      <c r="Y968" s="22" t="str">
        <f>IF(AND(B968&lt;=NKC!$N$8,B968&gt;=NKC!$M$8),"x","")</f>
        <v>x</v>
      </c>
      <c r="Z968" s="581"/>
      <c r="AA968" s="406"/>
      <c r="AB968" s="406"/>
    </row>
    <row r="969" spans="1:29" s="130" customFormat="1" ht="15.75" customHeight="1">
      <c r="A969" s="123" t="str">
        <f>IF(B969&lt;&gt;"",IF(AND(B969&gt;=_TM1,B969&lt;=_TM2,OR(TH!L969="1111",TH!M969="1111")),TH!D969,""),"")</f>
        <v/>
      </c>
      <c r="B969" s="12">
        <f t="shared" si="50"/>
        <v>9</v>
      </c>
      <c r="C969" s="108">
        <f t="shared" si="48"/>
        <v>42619</v>
      </c>
      <c r="D969" s="113" t="s">
        <v>1073</v>
      </c>
      <c r="E969" s="486">
        <v>42619</v>
      </c>
      <c r="F969" s="167" t="s">
        <v>510</v>
      </c>
      <c r="G969" s="487" t="s">
        <v>746</v>
      </c>
      <c r="H969" s="115" t="s">
        <v>1074</v>
      </c>
      <c r="I969" s="139">
        <v>1036</v>
      </c>
      <c r="J969" s="139">
        <v>5687.9782491785991</v>
      </c>
      <c r="K969" s="13">
        <f t="shared" si="49"/>
        <v>5892745</v>
      </c>
      <c r="L969" s="116" t="s">
        <v>162</v>
      </c>
      <c r="M969" s="116" t="s">
        <v>160</v>
      </c>
      <c r="N969" s="22" t="str">
        <f>IF(AND('331-CT'!$E$7=TH!H969,OR(L969="331",M969="331")),"331",IF(AND(OR(L969="131",M969="131"),H969='131-CT'!$E$7),"131",""))</f>
        <v/>
      </c>
      <c r="O969" s="22" t="str">
        <f>IF(AND($B969&gt;='111'!$N$11,$B969&lt;='111'!$O$11,OR($L969=$O$7,$M969=$O$7)),"x","")</f>
        <v/>
      </c>
      <c r="P969" s="22" t="str">
        <f>IF(AND($L969=$O$7,$B969&lt;'111'!$N$11),"x","")</f>
        <v/>
      </c>
      <c r="Q969" s="22" t="str">
        <f>IF(AND($M969=$O$7,$B969&lt;'111'!$N$11),"x","")</f>
        <v/>
      </c>
      <c r="R969" s="22" t="str">
        <f>IF(ISERROR(FIND('112'!$M$9,G969,1)),"",IF((AND(FIND('112'!$M$9,G969,1)&gt;=1,$B969&gt;='112'!$N$8,$B969&lt;='112'!$O$8,OR($L969='112'!$I$6,$M969='112'!$I$6))),"x",""))</f>
        <v/>
      </c>
      <c r="S969" s="22" t="str">
        <f>IF(ISERROR(FIND('112'!$M$9,G969,1)),"",IF((AND(LEFT(G969,2)=LEFT('112'!$M$9,2),B969&lt;'112'!$N$8,$L969='112'!$I$6)),"x",""))</f>
        <v/>
      </c>
      <c r="T969" s="22" t="str">
        <f>IF(ISERROR(FIND('112'!$M$9,G969,1)),"",IF((AND(RIGHT(G969,2)=RIGHT('112'!$M$9,2),B969&lt;'112'!$N$8,$M969='112'!$I$6)),"x",""))</f>
        <v/>
      </c>
      <c r="U969" s="22" t="str">
        <f>IF(AND(B969&gt;='IN-NX'!$P$3,B969&lt;='IN-NX'!$Q$3,'IN-NX'!$D$7=D969,OR(LEFT(L969,2)="15",AND(LEFT(M969,2)&lt;&gt;"15",LEFT(M969,2)&lt;&gt;"33"))),"x","")</f>
        <v/>
      </c>
      <c r="V969" s="22" t="str">
        <f>IF(AND(OR(LEFT(TH!L969,2)="15",LEFT(TH!M969,2)="15"),'152-CT'!$J$8=TH!F969),"x","")</f>
        <v/>
      </c>
      <c r="W969" s="22" t="str">
        <f>IF(AND(OR(LEFT(TH!L969,2)="15",LEFT(TH!M969,2)="15"),TK!$E$7=TH!F969),"x","")</f>
        <v/>
      </c>
      <c r="X969" s="22" t="str">
        <f>IF(OR(TH!L969=TH!$X$7,M969=TH!$X$7),"x","")</f>
        <v/>
      </c>
      <c r="Y969" s="22" t="str">
        <f>IF(AND(B969&lt;=NKC!$N$8,B969&gt;=NKC!$M$8),"x","")</f>
        <v>x</v>
      </c>
      <c r="Z969" s="581"/>
      <c r="AA969" s="406"/>
      <c r="AB969" s="406"/>
    </row>
    <row r="970" spans="1:29" s="130" customFormat="1" ht="15.75" customHeight="1">
      <c r="A970" s="123" t="str">
        <f>IF(B970&lt;&gt;"",IF(AND(B970&gt;=_TM1,B970&lt;=_TM2,OR(TH!L970="1111",TH!M970="1111")),TH!D970,""),"")</f>
        <v/>
      </c>
      <c r="B970" s="12">
        <f t="shared" si="50"/>
        <v>9</v>
      </c>
      <c r="C970" s="108">
        <f t="shared" si="48"/>
        <v>42619</v>
      </c>
      <c r="D970" s="113" t="s">
        <v>1073</v>
      </c>
      <c r="E970" s="486">
        <v>42619</v>
      </c>
      <c r="F970" s="167" t="s">
        <v>664</v>
      </c>
      <c r="G970" s="487" t="s">
        <v>748</v>
      </c>
      <c r="H970" s="115" t="s">
        <v>1074</v>
      </c>
      <c r="I970" s="139">
        <v>212</v>
      </c>
      <c r="J970" s="139">
        <v>7748.8399336635994</v>
      </c>
      <c r="K970" s="13">
        <f t="shared" si="49"/>
        <v>1642754</v>
      </c>
      <c r="L970" s="116" t="s">
        <v>162</v>
      </c>
      <c r="M970" s="116" t="s">
        <v>160</v>
      </c>
      <c r="N970" s="22" t="str">
        <f>IF(AND('331-CT'!$E$7=TH!H970,OR(L970="331",M970="331")),"331",IF(AND(OR(L970="131",M970="131"),H970='131-CT'!$E$7),"131",""))</f>
        <v/>
      </c>
      <c r="O970" s="22" t="str">
        <f>IF(AND($B970&gt;='111'!$N$11,$B970&lt;='111'!$O$11,OR($L970=$O$7,$M970=$O$7)),"x","")</f>
        <v/>
      </c>
      <c r="P970" s="22" t="str">
        <f>IF(AND($L970=$O$7,$B970&lt;'111'!$N$11),"x","")</f>
        <v/>
      </c>
      <c r="Q970" s="22" t="str">
        <f>IF(AND($M970=$O$7,$B970&lt;'111'!$N$11),"x","")</f>
        <v/>
      </c>
      <c r="R970" s="22" t="str">
        <f>IF(ISERROR(FIND('112'!$M$9,G970,1)),"",IF((AND(FIND('112'!$M$9,G970,1)&gt;=1,$B970&gt;='112'!$N$8,$B970&lt;='112'!$O$8,OR($L970='112'!$I$6,$M970='112'!$I$6))),"x",""))</f>
        <v/>
      </c>
      <c r="S970" s="22" t="str">
        <f>IF(ISERROR(FIND('112'!$M$9,G970,1)),"",IF((AND(LEFT(G970,2)=LEFT('112'!$M$9,2),B970&lt;'112'!$N$8,$L970='112'!$I$6)),"x",""))</f>
        <v/>
      </c>
      <c r="T970" s="22" t="str">
        <f>IF(ISERROR(FIND('112'!$M$9,G970,1)),"",IF((AND(RIGHT(G970,2)=RIGHT('112'!$M$9,2),B970&lt;'112'!$N$8,$M970='112'!$I$6)),"x",""))</f>
        <v/>
      </c>
      <c r="U970" s="22" t="str">
        <f>IF(AND(B970&gt;='IN-NX'!$P$3,B970&lt;='IN-NX'!$Q$3,'IN-NX'!$D$7=D970,OR(LEFT(L970,2)="15",AND(LEFT(M970,2)&lt;&gt;"15",LEFT(M970,2)&lt;&gt;"33"))),"x","")</f>
        <v/>
      </c>
      <c r="V970" s="22" t="str">
        <f>IF(AND(OR(LEFT(TH!L970,2)="15",LEFT(TH!M970,2)="15"),'152-CT'!$J$8=TH!F970),"x","")</f>
        <v/>
      </c>
      <c r="W970" s="22" t="str">
        <f>IF(AND(OR(LEFT(TH!L970,2)="15",LEFT(TH!M970,2)="15"),TK!$E$7=TH!F970),"x","")</f>
        <v/>
      </c>
      <c r="X970" s="22" t="str">
        <f>IF(OR(TH!L970=TH!$X$7,M970=TH!$X$7),"x","")</f>
        <v/>
      </c>
      <c r="Y970" s="22" t="str">
        <f>IF(AND(B970&lt;=NKC!$N$8,B970&gt;=NKC!$M$8),"x","")</f>
        <v>x</v>
      </c>
      <c r="Z970" s="581"/>
      <c r="AA970" s="406"/>
    </row>
    <row r="971" spans="1:29" s="130" customFormat="1" ht="15.75" customHeight="1">
      <c r="A971" s="123" t="str">
        <f>IF(B971&lt;&gt;"",IF(AND(B971&gt;=_TM1,B971&lt;=_TM2,OR(TH!L971="1111",TH!M971="1111")),TH!D971,""),"")</f>
        <v/>
      </c>
      <c r="B971" s="12">
        <f t="shared" si="50"/>
        <v>9</v>
      </c>
      <c r="C971" s="108">
        <f t="shared" si="48"/>
        <v>42620</v>
      </c>
      <c r="D971" s="113" t="s">
        <v>1073</v>
      </c>
      <c r="E971" s="486">
        <v>42620</v>
      </c>
      <c r="F971" s="167" t="s">
        <v>529</v>
      </c>
      <c r="G971" s="487" t="s">
        <v>750</v>
      </c>
      <c r="H971" s="115" t="s">
        <v>1074</v>
      </c>
      <c r="I971" s="139">
        <v>60</v>
      </c>
      <c r="J971" s="139">
        <v>59764.988850064998</v>
      </c>
      <c r="K971" s="13">
        <f t="shared" si="49"/>
        <v>3585899</v>
      </c>
      <c r="L971" s="116" t="s">
        <v>162</v>
      </c>
      <c r="M971" s="116" t="s">
        <v>160</v>
      </c>
      <c r="N971" s="22" t="str">
        <f>IF(AND('331-CT'!$E$7=TH!H971,OR(L971="331",M971="331")),"331",IF(AND(OR(L971="131",M971="131"),H971='131-CT'!$E$7),"131",""))</f>
        <v/>
      </c>
      <c r="O971" s="22" t="str">
        <f>IF(AND($B971&gt;='111'!$N$11,$B971&lt;='111'!$O$11,OR($L971=$O$7,$M971=$O$7)),"x","")</f>
        <v/>
      </c>
      <c r="P971" s="22" t="str">
        <f>IF(AND($L971=$O$7,$B971&lt;'111'!$N$11),"x","")</f>
        <v/>
      </c>
      <c r="Q971" s="22" t="str">
        <f>IF(AND($M971=$O$7,$B971&lt;'111'!$N$11),"x","")</f>
        <v/>
      </c>
      <c r="R971" s="22" t="str">
        <f>IF(ISERROR(FIND('112'!$M$9,G971,1)),"",IF((AND(FIND('112'!$M$9,G971,1)&gt;=1,$B971&gt;='112'!$N$8,$B971&lt;='112'!$O$8,OR($L971='112'!$I$6,$M971='112'!$I$6))),"x",""))</f>
        <v/>
      </c>
      <c r="S971" s="22" t="str">
        <f>IF(ISERROR(FIND('112'!$M$9,G971,1)),"",IF((AND(LEFT(G971,2)=LEFT('112'!$M$9,2),B971&lt;'112'!$N$8,$L971='112'!$I$6)),"x",""))</f>
        <v/>
      </c>
      <c r="T971" s="22" t="str">
        <f>IF(ISERROR(FIND('112'!$M$9,G971,1)),"",IF((AND(RIGHT(G971,2)=RIGHT('112'!$M$9,2),B971&lt;'112'!$N$8,$M971='112'!$I$6)),"x",""))</f>
        <v/>
      </c>
      <c r="U971" s="22" t="str">
        <f>IF(AND(B971&gt;='IN-NX'!$P$3,B971&lt;='IN-NX'!$Q$3,'IN-NX'!$D$7=D971,OR(LEFT(L971,2)="15",AND(LEFT(M971,2)&lt;&gt;"15",LEFT(M971,2)&lt;&gt;"33"))),"x","")</f>
        <v/>
      </c>
      <c r="V971" s="22" t="str">
        <f>IF(AND(OR(LEFT(TH!L971,2)="15",LEFT(TH!M971,2)="15"),'152-CT'!$J$8=TH!F971),"x","")</f>
        <v/>
      </c>
      <c r="W971" s="22" t="str">
        <f>IF(AND(OR(LEFT(TH!L971,2)="15",LEFT(TH!M971,2)="15"),TK!$E$7=TH!F971),"x","")</f>
        <v/>
      </c>
      <c r="X971" s="22" t="str">
        <f>IF(OR(TH!L971=TH!$X$7,M971=TH!$X$7),"x","")</f>
        <v/>
      </c>
      <c r="Y971" s="22" t="str">
        <f>IF(AND(B971&lt;=NKC!$N$8,B971&gt;=NKC!$M$8),"x","")</f>
        <v>x</v>
      </c>
      <c r="Z971" s="581"/>
      <c r="AA971" s="406"/>
      <c r="AB971" s="406"/>
    </row>
    <row r="972" spans="1:29" s="130" customFormat="1" ht="15.75" customHeight="1">
      <c r="A972" s="123" t="str">
        <f>IF(B972&lt;&gt;"",IF(AND(B972&gt;=_TM1,B972&lt;=_TM2,OR(TH!L972="1111",TH!M972="1111")),TH!D972,""),"")</f>
        <v/>
      </c>
      <c r="B972" s="12">
        <f t="shared" si="50"/>
        <v>9</v>
      </c>
      <c r="C972" s="108">
        <f t="shared" si="48"/>
        <v>42620</v>
      </c>
      <c r="D972" s="113" t="s">
        <v>1073</v>
      </c>
      <c r="E972" s="486">
        <v>42620</v>
      </c>
      <c r="F972" s="167" t="s">
        <v>666</v>
      </c>
      <c r="G972" s="487" t="s">
        <v>750</v>
      </c>
      <c r="H972" s="115" t="s">
        <v>1074</v>
      </c>
      <c r="I972" s="139">
        <v>20</v>
      </c>
      <c r="J972" s="139">
        <v>69739.559402972402</v>
      </c>
      <c r="K972" s="13">
        <f t="shared" si="49"/>
        <v>1394791</v>
      </c>
      <c r="L972" s="116" t="s">
        <v>162</v>
      </c>
      <c r="M972" s="116" t="s">
        <v>160</v>
      </c>
      <c r="N972" s="22" t="str">
        <f>IF(AND('331-CT'!$E$7=TH!H972,OR(L972="331",M972="331")),"331",IF(AND(OR(L972="131",M972="131"),H972='131-CT'!$E$7),"131",""))</f>
        <v/>
      </c>
      <c r="O972" s="22" t="str">
        <f>IF(AND($B972&gt;='111'!$N$11,$B972&lt;='111'!$O$11,OR($L972=$O$7,$M972=$O$7)),"x","")</f>
        <v/>
      </c>
      <c r="P972" s="22" t="str">
        <f>IF(AND($L972=$O$7,$B972&lt;'111'!$N$11),"x","")</f>
        <v/>
      </c>
      <c r="Q972" s="22" t="str">
        <f>IF(AND($M972=$O$7,$B972&lt;'111'!$N$11),"x","")</f>
        <v/>
      </c>
      <c r="R972" s="22" t="str">
        <f>IF(ISERROR(FIND('112'!$M$9,G972,1)),"",IF((AND(FIND('112'!$M$9,G972,1)&gt;=1,$B972&gt;='112'!$N$8,$B972&lt;='112'!$O$8,OR($L972='112'!$I$6,$M972='112'!$I$6))),"x",""))</f>
        <v/>
      </c>
      <c r="S972" s="22" t="str">
        <f>IF(ISERROR(FIND('112'!$M$9,G972,1)),"",IF((AND(LEFT(G972,2)=LEFT('112'!$M$9,2),B972&lt;'112'!$N$8,$L972='112'!$I$6)),"x",""))</f>
        <v/>
      </c>
      <c r="T972" s="22" t="str">
        <f>IF(ISERROR(FIND('112'!$M$9,G972,1)),"",IF((AND(RIGHT(G972,2)=RIGHT('112'!$M$9,2),B972&lt;'112'!$N$8,$M972='112'!$I$6)),"x",""))</f>
        <v/>
      </c>
      <c r="U972" s="22" t="str">
        <f>IF(AND(B972&gt;='IN-NX'!$P$3,B972&lt;='IN-NX'!$Q$3,'IN-NX'!$D$7=D972,OR(LEFT(L972,2)="15",AND(LEFT(M972,2)&lt;&gt;"15",LEFT(M972,2)&lt;&gt;"33"))),"x","")</f>
        <v/>
      </c>
      <c r="V972" s="22" t="str">
        <f>IF(AND(OR(LEFT(TH!L972,2)="15",LEFT(TH!M972,2)="15"),'152-CT'!$J$8=TH!F972),"x","")</f>
        <v/>
      </c>
      <c r="W972" s="22" t="str">
        <f>IF(AND(OR(LEFT(TH!L972,2)="15",LEFT(TH!M972,2)="15"),TK!$E$7=TH!F972),"x","")</f>
        <v/>
      </c>
      <c r="X972" s="22" t="str">
        <f>IF(OR(TH!L972=TH!$X$7,M972=TH!$X$7),"x","")</f>
        <v/>
      </c>
      <c r="Y972" s="22" t="str">
        <f>IF(AND(B972&lt;=NKC!$N$8,B972&gt;=NKC!$M$8),"x","")</f>
        <v>x</v>
      </c>
      <c r="Z972" s="581"/>
      <c r="AA972" s="406"/>
    </row>
    <row r="973" spans="1:29" s="130" customFormat="1" ht="15.75" customHeight="1">
      <c r="A973" s="123" t="str">
        <f>IF(B973&lt;&gt;"",IF(AND(B973&gt;=_TM1,B973&lt;=_TM2,OR(TH!L973="1111",TH!M973="1111")),TH!D973,""),"")</f>
        <v/>
      </c>
      <c r="B973" s="12">
        <f t="shared" si="50"/>
        <v>9</v>
      </c>
      <c r="C973" s="108">
        <f t="shared" si="48"/>
        <v>42621</v>
      </c>
      <c r="D973" s="113" t="s">
        <v>1073</v>
      </c>
      <c r="E973" s="486">
        <v>42621</v>
      </c>
      <c r="F973" s="167" t="s">
        <v>543</v>
      </c>
      <c r="G973" s="487" t="s">
        <v>751</v>
      </c>
      <c r="H973" s="115" t="s">
        <v>1074</v>
      </c>
      <c r="I973" s="139">
        <v>1027</v>
      </c>
      <c r="J973" s="139">
        <v>4616.3301732463997</v>
      </c>
      <c r="K973" s="13">
        <f t="shared" si="49"/>
        <v>4740971</v>
      </c>
      <c r="L973" s="116" t="s">
        <v>162</v>
      </c>
      <c r="M973" s="116" t="s">
        <v>160</v>
      </c>
      <c r="N973" s="22" t="str">
        <f>IF(AND('331-CT'!$E$7=TH!H973,OR(L973="331",M973="331")),"331",IF(AND(OR(L973="131",M973="131"),H973='131-CT'!$E$7),"131",""))</f>
        <v/>
      </c>
      <c r="O973" s="22" t="str">
        <f>IF(AND($B973&gt;='111'!$N$11,$B973&lt;='111'!$O$11,OR($L973=$O$7,$M973=$O$7)),"x","")</f>
        <v/>
      </c>
      <c r="P973" s="22" t="str">
        <f>IF(AND($L973=$O$7,$B973&lt;'111'!$N$11),"x","")</f>
        <v/>
      </c>
      <c r="Q973" s="22" t="str">
        <f>IF(AND($M973=$O$7,$B973&lt;'111'!$N$11),"x","")</f>
        <v/>
      </c>
      <c r="R973" s="22" t="str">
        <f>IF(ISERROR(FIND('112'!$M$9,G973,1)),"",IF((AND(FIND('112'!$M$9,G973,1)&gt;=1,$B973&gt;='112'!$N$8,$B973&lt;='112'!$O$8,OR($L973='112'!$I$6,$M973='112'!$I$6))),"x",""))</f>
        <v/>
      </c>
      <c r="S973" s="22" t="str">
        <f>IF(ISERROR(FIND('112'!$M$9,G973,1)),"",IF((AND(LEFT(G973,2)=LEFT('112'!$M$9,2),B973&lt;'112'!$N$8,$L973='112'!$I$6)),"x",""))</f>
        <v/>
      </c>
      <c r="T973" s="22" t="str">
        <f>IF(ISERROR(FIND('112'!$M$9,G973,1)),"",IF((AND(RIGHT(G973,2)=RIGHT('112'!$M$9,2),B973&lt;'112'!$N$8,$M973='112'!$I$6)),"x",""))</f>
        <v/>
      </c>
      <c r="U973" s="22" t="str">
        <f>IF(AND(B973&gt;='IN-NX'!$P$3,B973&lt;='IN-NX'!$Q$3,'IN-NX'!$D$7=D973,OR(LEFT(L973,2)="15",AND(LEFT(M973,2)&lt;&gt;"15",LEFT(M973,2)&lt;&gt;"33"))),"x","")</f>
        <v/>
      </c>
      <c r="V973" s="22" t="str">
        <f>IF(AND(OR(LEFT(TH!L973,2)="15",LEFT(TH!M973,2)="15"),'152-CT'!$J$8=TH!F973),"x","")</f>
        <v/>
      </c>
      <c r="W973" s="22" t="str">
        <f>IF(AND(OR(LEFT(TH!L973,2)="15",LEFT(TH!M973,2)="15"),TK!$E$7=TH!F973),"x","")</f>
        <v/>
      </c>
      <c r="X973" s="22" t="str">
        <f>IF(OR(TH!L973=TH!$X$7,M973=TH!$X$7),"x","")</f>
        <v/>
      </c>
      <c r="Y973" s="22" t="str">
        <f>IF(AND(B973&lt;=NKC!$N$8,B973&gt;=NKC!$M$8),"x","")</f>
        <v>x</v>
      </c>
      <c r="Z973" s="581"/>
      <c r="AA973" s="406"/>
      <c r="AB973" s="406"/>
    </row>
    <row r="974" spans="1:29" s="130" customFormat="1" ht="15.75" customHeight="1">
      <c r="A974" s="123" t="str">
        <f>IF(B974&lt;&gt;"",IF(AND(B974&gt;=_TM1,B974&lt;=_TM2,OR(TH!L974="1111",TH!M974="1111")),TH!D974,""),"")</f>
        <v/>
      </c>
      <c r="B974" s="12">
        <f t="shared" si="50"/>
        <v>9</v>
      </c>
      <c r="C974" s="108">
        <f t="shared" si="48"/>
        <v>42621</v>
      </c>
      <c r="D974" s="113" t="s">
        <v>1073</v>
      </c>
      <c r="E974" s="486">
        <v>42621</v>
      </c>
      <c r="F974" s="167" t="s">
        <v>646</v>
      </c>
      <c r="G974" s="487" t="s">
        <v>752</v>
      </c>
      <c r="H974" s="115" t="s">
        <v>1074</v>
      </c>
      <c r="I974" s="139">
        <v>300</v>
      </c>
      <c r="J974" s="139">
        <v>10221.873955045599</v>
      </c>
      <c r="K974" s="13">
        <f t="shared" si="49"/>
        <v>3066562</v>
      </c>
      <c r="L974" s="116" t="s">
        <v>162</v>
      </c>
      <c r="M974" s="116" t="s">
        <v>160</v>
      </c>
      <c r="N974" s="22" t="str">
        <f>IF(AND('331-CT'!$E$7=TH!H974,OR(L974="331",M974="331")),"331",IF(AND(OR(L974="131",M974="131"),H974='131-CT'!$E$7),"131",""))</f>
        <v/>
      </c>
      <c r="O974" s="22" t="str">
        <f>IF(AND($B974&gt;='111'!$N$11,$B974&lt;='111'!$O$11,OR($L974=$O$7,$M974=$O$7)),"x","")</f>
        <v/>
      </c>
      <c r="P974" s="22" t="str">
        <f>IF(AND($L974=$O$7,$B974&lt;'111'!$N$11),"x","")</f>
        <v/>
      </c>
      <c r="Q974" s="22" t="str">
        <f>IF(AND($M974=$O$7,$B974&lt;'111'!$N$11),"x","")</f>
        <v/>
      </c>
      <c r="R974" s="22" t="str">
        <f>IF(ISERROR(FIND('112'!$M$9,G974,1)),"",IF((AND(FIND('112'!$M$9,G974,1)&gt;=1,$B974&gt;='112'!$N$8,$B974&lt;='112'!$O$8,OR($L974='112'!$I$6,$M974='112'!$I$6))),"x",""))</f>
        <v/>
      </c>
      <c r="S974" s="22" t="str">
        <f>IF(ISERROR(FIND('112'!$M$9,G974,1)),"",IF((AND(LEFT(G974,2)=LEFT('112'!$M$9,2),B974&lt;'112'!$N$8,$L974='112'!$I$6)),"x",""))</f>
        <v/>
      </c>
      <c r="T974" s="22" t="str">
        <f>IF(ISERROR(FIND('112'!$M$9,G974,1)),"",IF((AND(RIGHT(G974,2)=RIGHT('112'!$M$9,2),B974&lt;'112'!$N$8,$M974='112'!$I$6)),"x",""))</f>
        <v/>
      </c>
      <c r="U974" s="22" t="str">
        <f>IF(AND(B974&gt;='IN-NX'!$P$3,B974&lt;='IN-NX'!$Q$3,'IN-NX'!$D$7=D974,OR(LEFT(L974,2)="15",AND(LEFT(M974,2)&lt;&gt;"15",LEFT(M974,2)&lt;&gt;"33"))),"x","")</f>
        <v/>
      </c>
      <c r="V974" s="22" t="str">
        <f>IF(AND(OR(LEFT(TH!L974,2)="15",LEFT(TH!M974,2)="15"),'152-CT'!$J$8=TH!F974),"x","")</f>
        <v/>
      </c>
      <c r="W974" s="22" t="str">
        <f>IF(AND(OR(LEFT(TH!L974,2)="15",LEFT(TH!M974,2)="15"),TK!$E$7=TH!F974),"x","")</f>
        <v/>
      </c>
      <c r="X974" s="22" t="str">
        <f>IF(OR(TH!L974=TH!$X$7,M974=TH!$X$7),"x","")</f>
        <v/>
      </c>
      <c r="Y974" s="22" t="str">
        <f>IF(AND(B974&lt;=NKC!$N$8,B974&gt;=NKC!$M$8),"x","")</f>
        <v>x</v>
      </c>
      <c r="Z974" s="581"/>
      <c r="AA974" s="406"/>
      <c r="AB974" s="406"/>
    </row>
    <row r="975" spans="1:29" s="130" customFormat="1" ht="15.75" customHeight="1">
      <c r="A975" s="123" t="str">
        <f>IF(B975&lt;&gt;"",IF(AND(B975&gt;=_TM1,B975&lt;=_TM2,OR(TH!L975="1111",TH!M975="1111")),TH!D975,""),"")</f>
        <v/>
      </c>
      <c r="B975" s="12">
        <f t="shared" si="50"/>
        <v>9</v>
      </c>
      <c r="C975" s="108">
        <f t="shared" si="48"/>
        <v>42621</v>
      </c>
      <c r="D975" s="113" t="s">
        <v>1073</v>
      </c>
      <c r="E975" s="486">
        <v>42621</v>
      </c>
      <c r="F975" s="167" t="s">
        <v>647</v>
      </c>
      <c r="G975" s="487" t="s">
        <v>752</v>
      </c>
      <c r="H975" s="115" t="s">
        <v>1074</v>
      </c>
      <c r="I975" s="139">
        <v>300</v>
      </c>
      <c r="J975" s="139">
        <v>12530.039041668799</v>
      </c>
      <c r="K975" s="13">
        <f t="shared" si="49"/>
        <v>3759012</v>
      </c>
      <c r="L975" s="116" t="s">
        <v>162</v>
      </c>
      <c r="M975" s="116" t="s">
        <v>160</v>
      </c>
      <c r="N975" s="22" t="str">
        <f>IF(AND('331-CT'!$E$7=TH!H975,OR(L975="331",M975="331")),"331",IF(AND(OR(L975="131",M975="131"),H975='131-CT'!$E$7),"131",""))</f>
        <v/>
      </c>
      <c r="O975" s="22" t="str">
        <f>IF(AND($B975&gt;='111'!$N$11,$B975&lt;='111'!$O$11,OR($L975=$O$7,$M975=$O$7)),"x","")</f>
        <v/>
      </c>
      <c r="P975" s="22" t="str">
        <f>IF(AND($L975=$O$7,$B975&lt;'111'!$N$11),"x","")</f>
        <v/>
      </c>
      <c r="Q975" s="22" t="str">
        <f>IF(AND($M975=$O$7,$B975&lt;'111'!$N$11),"x","")</f>
        <v/>
      </c>
      <c r="R975" s="22" t="str">
        <f>IF(ISERROR(FIND('112'!$M$9,G975,1)),"",IF((AND(FIND('112'!$M$9,G975,1)&gt;=1,$B975&gt;='112'!$N$8,$B975&lt;='112'!$O$8,OR($L975='112'!$I$6,$M975='112'!$I$6))),"x",""))</f>
        <v/>
      </c>
      <c r="S975" s="22" t="str">
        <f>IF(ISERROR(FIND('112'!$M$9,G975,1)),"",IF((AND(LEFT(G975,2)=LEFT('112'!$M$9,2),B975&lt;'112'!$N$8,$L975='112'!$I$6)),"x",""))</f>
        <v/>
      </c>
      <c r="T975" s="22" t="str">
        <f>IF(ISERROR(FIND('112'!$M$9,G975,1)),"",IF((AND(RIGHT(G975,2)=RIGHT('112'!$M$9,2),B975&lt;'112'!$N$8,$M975='112'!$I$6)),"x",""))</f>
        <v/>
      </c>
      <c r="U975" s="22" t="str">
        <f>IF(AND(B975&gt;='IN-NX'!$P$3,B975&lt;='IN-NX'!$Q$3,'IN-NX'!$D$7=D975,OR(LEFT(L975,2)="15",AND(LEFT(M975,2)&lt;&gt;"15",LEFT(M975,2)&lt;&gt;"33"))),"x","")</f>
        <v/>
      </c>
      <c r="V975" s="22" t="str">
        <f>IF(AND(OR(LEFT(TH!L975,2)="15",LEFT(TH!M975,2)="15"),'152-CT'!$J$8=TH!F975),"x","")</f>
        <v/>
      </c>
      <c r="W975" s="22" t="str">
        <f>IF(AND(OR(LEFT(TH!L975,2)="15",LEFT(TH!M975,2)="15"),TK!$E$7=TH!F975),"x","")</f>
        <v/>
      </c>
      <c r="X975" s="22" t="str">
        <f>IF(OR(TH!L975=TH!$X$7,M975=TH!$X$7),"x","")</f>
        <v/>
      </c>
      <c r="Y975" s="22" t="str">
        <f>IF(AND(B975&lt;=NKC!$N$8,B975&gt;=NKC!$M$8),"x","")</f>
        <v>x</v>
      </c>
      <c r="Z975" s="581"/>
      <c r="AA975" s="406"/>
      <c r="AB975" s="406"/>
    </row>
    <row r="976" spans="1:29" s="130" customFormat="1" ht="15.75" customHeight="1">
      <c r="A976" s="123" t="str">
        <f>IF(B976&lt;&gt;"",IF(AND(B976&gt;=_TM1,B976&lt;=_TM2,OR(TH!L976="1111",TH!M976="1111")),TH!D976,""),"")</f>
        <v/>
      </c>
      <c r="B976" s="12">
        <f t="shared" si="50"/>
        <v>9</v>
      </c>
      <c r="C976" s="108">
        <f t="shared" si="48"/>
        <v>42621</v>
      </c>
      <c r="D976" s="113" t="s">
        <v>1073</v>
      </c>
      <c r="E976" s="486">
        <v>42621</v>
      </c>
      <c r="F976" s="167" t="s">
        <v>650</v>
      </c>
      <c r="G976" s="487" t="s">
        <v>752</v>
      </c>
      <c r="H976" s="115" t="s">
        <v>1074</v>
      </c>
      <c r="I976" s="139">
        <v>300</v>
      </c>
      <c r="J976" s="139">
        <v>8985.3569443546003</v>
      </c>
      <c r="K976" s="13">
        <f t="shared" si="49"/>
        <v>2695607</v>
      </c>
      <c r="L976" s="116" t="s">
        <v>162</v>
      </c>
      <c r="M976" s="116" t="s">
        <v>160</v>
      </c>
      <c r="N976" s="22" t="str">
        <f>IF(AND('331-CT'!$E$7=TH!H976,OR(L976="331",M976="331")),"331",IF(AND(OR(L976="131",M976="131"),H976='131-CT'!$E$7),"131",""))</f>
        <v/>
      </c>
      <c r="O976" s="22" t="str">
        <f>IF(AND($B976&gt;='111'!$N$11,$B976&lt;='111'!$O$11,OR($L976=$O$7,$M976=$O$7)),"x","")</f>
        <v/>
      </c>
      <c r="P976" s="22" t="str">
        <f>IF(AND($L976=$O$7,$B976&lt;'111'!$N$11),"x","")</f>
        <v/>
      </c>
      <c r="Q976" s="22" t="str">
        <f>IF(AND($M976=$O$7,$B976&lt;'111'!$N$11),"x","")</f>
        <v/>
      </c>
      <c r="R976" s="22" t="str">
        <f>IF(ISERROR(FIND('112'!$M$9,G976,1)),"",IF((AND(FIND('112'!$M$9,G976,1)&gt;=1,$B976&gt;='112'!$N$8,$B976&lt;='112'!$O$8,OR($L976='112'!$I$6,$M976='112'!$I$6))),"x",""))</f>
        <v/>
      </c>
      <c r="S976" s="22" t="str">
        <f>IF(ISERROR(FIND('112'!$M$9,G976,1)),"",IF((AND(LEFT(G976,2)=LEFT('112'!$M$9,2),B976&lt;'112'!$N$8,$L976='112'!$I$6)),"x",""))</f>
        <v/>
      </c>
      <c r="T976" s="22" t="str">
        <f>IF(ISERROR(FIND('112'!$M$9,G976,1)),"",IF((AND(RIGHT(G976,2)=RIGHT('112'!$M$9,2),B976&lt;'112'!$N$8,$M976='112'!$I$6)),"x",""))</f>
        <v/>
      </c>
      <c r="U976" s="22" t="str">
        <f>IF(AND(B976&gt;='IN-NX'!$P$3,B976&lt;='IN-NX'!$Q$3,'IN-NX'!$D$7=D976,OR(LEFT(L976,2)="15",AND(LEFT(M976,2)&lt;&gt;"15",LEFT(M976,2)&lt;&gt;"33"))),"x","")</f>
        <v/>
      </c>
      <c r="V976" s="22" t="str">
        <f>IF(AND(OR(LEFT(TH!L976,2)="15",LEFT(TH!M976,2)="15"),'152-CT'!$J$8=TH!F976),"x","")</f>
        <v/>
      </c>
      <c r="W976" s="22" t="str">
        <f>IF(AND(OR(LEFT(TH!L976,2)="15",LEFT(TH!M976,2)="15"),TK!$E$7=TH!F976),"x","")</f>
        <v/>
      </c>
      <c r="X976" s="22" t="str">
        <f>IF(OR(TH!L976=TH!$X$7,M976=TH!$X$7),"x","")</f>
        <v/>
      </c>
      <c r="Y976" s="22" t="str">
        <f>IF(AND(B976&lt;=NKC!$N$8,B976&gt;=NKC!$M$8),"x","")</f>
        <v>x</v>
      </c>
      <c r="Z976" s="581"/>
      <c r="AA976" s="406"/>
      <c r="AB976" s="406"/>
    </row>
    <row r="977" spans="1:31" s="130" customFormat="1" ht="15.75" customHeight="1">
      <c r="A977" s="123" t="str">
        <f>IF(B977&lt;&gt;"",IF(AND(B977&gt;=_TM1,B977&lt;=_TM2,OR(TH!L977="1111",TH!M977="1111")),TH!D977,""),"")</f>
        <v/>
      </c>
      <c r="B977" s="12">
        <f t="shared" si="50"/>
        <v>9</v>
      </c>
      <c r="C977" s="108">
        <f t="shared" si="48"/>
        <v>42621</v>
      </c>
      <c r="D977" s="113" t="s">
        <v>1073</v>
      </c>
      <c r="E977" s="486">
        <v>42621</v>
      </c>
      <c r="F977" s="167" t="s">
        <v>648</v>
      </c>
      <c r="G977" s="487" t="s">
        <v>752</v>
      </c>
      <c r="H977" s="115" t="s">
        <v>1074</v>
      </c>
      <c r="I977" s="139">
        <v>300</v>
      </c>
      <c r="J977" s="139">
        <v>9974.5705529073985</v>
      </c>
      <c r="K977" s="13">
        <f t="shared" si="49"/>
        <v>2992371</v>
      </c>
      <c r="L977" s="116" t="s">
        <v>162</v>
      </c>
      <c r="M977" s="116" t="s">
        <v>160</v>
      </c>
      <c r="N977" s="22" t="str">
        <f>IF(AND('331-CT'!$E$7=TH!H977,OR(L977="331",M977="331")),"331",IF(AND(OR(L977="131",M977="131"),H977='131-CT'!$E$7),"131",""))</f>
        <v/>
      </c>
      <c r="O977" s="22" t="str">
        <f>IF(AND($B977&gt;='111'!$N$11,$B977&lt;='111'!$O$11,OR($L977=$O$7,$M977=$O$7)),"x","")</f>
        <v/>
      </c>
      <c r="P977" s="22" t="str">
        <f>IF(AND($L977=$O$7,$B977&lt;'111'!$N$11),"x","")</f>
        <v/>
      </c>
      <c r="Q977" s="22" t="str">
        <f>IF(AND($M977=$O$7,$B977&lt;'111'!$N$11),"x","")</f>
        <v/>
      </c>
      <c r="R977" s="22" t="str">
        <f>IF(ISERROR(FIND('112'!$M$9,G977,1)),"",IF((AND(FIND('112'!$M$9,G977,1)&gt;=1,$B977&gt;='112'!$N$8,$B977&lt;='112'!$O$8,OR($L977='112'!$I$6,$M977='112'!$I$6))),"x",""))</f>
        <v/>
      </c>
      <c r="S977" s="22" t="str">
        <f>IF(ISERROR(FIND('112'!$M$9,G977,1)),"",IF((AND(LEFT(G977,2)=LEFT('112'!$M$9,2),B977&lt;'112'!$N$8,$L977='112'!$I$6)),"x",""))</f>
        <v/>
      </c>
      <c r="T977" s="22" t="str">
        <f>IF(ISERROR(FIND('112'!$M$9,G977,1)),"",IF((AND(RIGHT(G977,2)=RIGHT('112'!$M$9,2),B977&lt;'112'!$N$8,$M977='112'!$I$6)),"x",""))</f>
        <v/>
      </c>
      <c r="U977" s="22" t="str">
        <f>IF(AND(B977&gt;='IN-NX'!$P$3,B977&lt;='IN-NX'!$Q$3,'IN-NX'!$D$7=D977,OR(LEFT(L977,2)="15",AND(LEFT(M977,2)&lt;&gt;"15",LEFT(M977,2)&lt;&gt;"33"))),"x","")</f>
        <v/>
      </c>
      <c r="V977" s="22" t="str">
        <f>IF(AND(OR(LEFT(TH!L977,2)="15",LEFT(TH!M977,2)="15"),'152-CT'!$J$8=TH!F977),"x","")</f>
        <v/>
      </c>
      <c r="W977" s="22" t="str">
        <f>IF(AND(OR(LEFT(TH!L977,2)="15",LEFT(TH!M977,2)="15"),TK!$E$7=TH!F977),"x","")</f>
        <v/>
      </c>
      <c r="X977" s="22" t="str">
        <f>IF(OR(TH!L977=TH!$X$7,M977=TH!$X$7),"x","")</f>
        <v/>
      </c>
      <c r="Y977" s="22" t="str">
        <f>IF(AND(B977&lt;=NKC!$N$8,B977&gt;=NKC!$M$8),"x","")</f>
        <v>x</v>
      </c>
      <c r="Z977" s="581"/>
      <c r="AA977" s="406"/>
      <c r="AB977" s="406"/>
    </row>
    <row r="978" spans="1:31" s="130" customFormat="1" ht="15.75" customHeight="1">
      <c r="A978" s="123" t="str">
        <f>IF(B978&lt;&gt;"",IF(AND(B978&gt;=_TM1,B978&lt;=_TM2,OR(TH!L978="1111",TH!M978="1111")),TH!D978,""),"")</f>
        <v/>
      </c>
      <c r="B978" s="12">
        <f t="shared" si="50"/>
        <v>9</v>
      </c>
      <c r="C978" s="108">
        <f t="shared" si="48"/>
        <v>42621</v>
      </c>
      <c r="D978" s="113" t="s">
        <v>1073</v>
      </c>
      <c r="E978" s="486">
        <v>42621</v>
      </c>
      <c r="F978" s="167" t="s">
        <v>649</v>
      </c>
      <c r="G978" s="487" t="s">
        <v>752</v>
      </c>
      <c r="H978" s="115" t="s">
        <v>1074</v>
      </c>
      <c r="I978" s="139">
        <v>300</v>
      </c>
      <c r="J978" s="139">
        <v>10963.7841614602</v>
      </c>
      <c r="K978" s="13">
        <f t="shared" si="49"/>
        <v>3289135</v>
      </c>
      <c r="L978" s="116" t="s">
        <v>162</v>
      </c>
      <c r="M978" s="116" t="s">
        <v>160</v>
      </c>
      <c r="N978" s="22" t="str">
        <f>IF(AND('331-CT'!$E$7=TH!H978,OR(L978="331",M978="331")),"331",IF(AND(OR(L978="131",M978="131"),H978='131-CT'!$E$7),"131",""))</f>
        <v/>
      </c>
      <c r="O978" s="22" t="str">
        <f>IF(AND($B978&gt;='111'!$N$11,$B978&lt;='111'!$O$11,OR($L978=$O$7,$M978=$O$7)),"x","")</f>
        <v/>
      </c>
      <c r="P978" s="22" t="str">
        <f>IF(AND($L978=$O$7,$B978&lt;'111'!$N$11),"x","")</f>
        <v/>
      </c>
      <c r="Q978" s="22" t="str">
        <f>IF(AND($M978=$O$7,$B978&lt;'111'!$N$11),"x","")</f>
        <v/>
      </c>
      <c r="R978" s="22" t="str">
        <f>IF(ISERROR(FIND('112'!$M$9,G978,1)),"",IF((AND(FIND('112'!$M$9,G978,1)&gt;=1,$B978&gt;='112'!$N$8,$B978&lt;='112'!$O$8,OR($L978='112'!$I$6,$M978='112'!$I$6))),"x",""))</f>
        <v/>
      </c>
      <c r="S978" s="22" t="str">
        <f>IF(ISERROR(FIND('112'!$M$9,G978,1)),"",IF((AND(LEFT(G978,2)=LEFT('112'!$M$9,2),B978&lt;'112'!$N$8,$L978='112'!$I$6)),"x",""))</f>
        <v/>
      </c>
      <c r="T978" s="22" t="str">
        <f>IF(ISERROR(FIND('112'!$M$9,G978,1)),"",IF((AND(RIGHT(G978,2)=RIGHT('112'!$M$9,2),B978&lt;'112'!$N$8,$M978='112'!$I$6)),"x",""))</f>
        <v/>
      </c>
      <c r="U978" s="22" t="str">
        <f>IF(AND(B978&gt;='IN-NX'!$P$3,B978&lt;='IN-NX'!$Q$3,'IN-NX'!$D$7=D978,OR(LEFT(L978,2)="15",AND(LEFT(M978,2)&lt;&gt;"15",LEFT(M978,2)&lt;&gt;"33"))),"x","")</f>
        <v/>
      </c>
      <c r="V978" s="22" t="str">
        <f>IF(AND(OR(LEFT(TH!L978,2)="15",LEFT(TH!M978,2)="15"),'152-CT'!$J$8=TH!F978),"x","")</f>
        <v/>
      </c>
      <c r="W978" s="22" t="str">
        <f>IF(AND(OR(LEFT(TH!L978,2)="15",LEFT(TH!M978,2)="15"),TK!$E$7=TH!F978),"x","")</f>
        <v/>
      </c>
      <c r="X978" s="22" t="str">
        <f>IF(OR(TH!L978=TH!$X$7,M978=TH!$X$7),"x","")</f>
        <v/>
      </c>
      <c r="Y978" s="22" t="str">
        <f>IF(AND(B978&lt;=NKC!$N$8,B978&gt;=NKC!$M$8),"x","")</f>
        <v>x</v>
      </c>
      <c r="Z978" s="581"/>
      <c r="AA978" s="406"/>
      <c r="AB978" s="406"/>
    </row>
    <row r="979" spans="1:31" s="130" customFormat="1" ht="15.75" customHeight="1">
      <c r="A979" s="123" t="str">
        <f>IF(B979&lt;&gt;"",IF(AND(B979&gt;=_TM1,B979&lt;=_TM2,OR(TH!L979="1111",TH!M979="1111")),TH!D979,""),"")</f>
        <v/>
      </c>
      <c r="B979" s="12">
        <f t="shared" si="50"/>
        <v>9</v>
      </c>
      <c r="C979" s="108">
        <f t="shared" si="48"/>
        <v>42624</v>
      </c>
      <c r="D979" s="113" t="s">
        <v>1073</v>
      </c>
      <c r="E979" s="486">
        <v>42624</v>
      </c>
      <c r="F979" s="167" t="s">
        <v>545</v>
      </c>
      <c r="G979" s="487" t="s">
        <v>753</v>
      </c>
      <c r="H979" s="115" t="s">
        <v>1074</v>
      </c>
      <c r="I979" s="139">
        <v>10520</v>
      </c>
      <c r="J979" s="139">
        <v>6759.6263251107994</v>
      </c>
      <c r="K979" s="13">
        <f t="shared" si="49"/>
        <v>71111269</v>
      </c>
      <c r="L979" s="116" t="s">
        <v>162</v>
      </c>
      <c r="M979" s="116" t="s">
        <v>160</v>
      </c>
      <c r="N979" s="22" t="str">
        <f>IF(AND('331-CT'!$E$7=TH!H979,OR(L979="331",M979="331")),"331",IF(AND(OR(L979="131",M979="131"),H979='131-CT'!$E$7),"131",""))</f>
        <v/>
      </c>
      <c r="O979" s="22" t="str">
        <f>IF(AND($B979&gt;='111'!$N$11,$B979&lt;='111'!$O$11,OR($L979=$O$7,$M979=$O$7)),"x","")</f>
        <v/>
      </c>
      <c r="P979" s="22" t="str">
        <f>IF(AND($L979=$O$7,$B979&lt;'111'!$N$11),"x","")</f>
        <v/>
      </c>
      <c r="Q979" s="22" t="str">
        <f>IF(AND($M979=$O$7,$B979&lt;'111'!$N$11),"x","")</f>
        <v/>
      </c>
      <c r="R979" s="22" t="str">
        <f>IF(ISERROR(FIND('112'!$M$9,G979,1)),"",IF((AND(FIND('112'!$M$9,G979,1)&gt;=1,$B979&gt;='112'!$N$8,$B979&lt;='112'!$O$8,OR($L979='112'!$I$6,$M979='112'!$I$6))),"x",""))</f>
        <v/>
      </c>
      <c r="S979" s="22" t="str">
        <f>IF(ISERROR(FIND('112'!$M$9,G979,1)),"",IF((AND(LEFT(G979,2)=LEFT('112'!$M$9,2),B979&lt;'112'!$N$8,$L979='112'!$I$6)),"x",""))</f>
        <v/>
      </c>
      <c r="T979" s="22" t="str">
        <f>IF(ISERROR(FIND('112'!$M$9,G979,1)),"",IF((AND(RIGHT(G979,2)=RIGHT('112'!$M$9,2),B979&lt;'112'!$N$8,$M979='112'!$I$6)),"x",""))</f>
        <v/>
      </c>
      <c r="U979" s="22" t="str">
        <f>IF(AND(B979&gt;='IN-NX'!$P$3,B979&lt;='IN-NX'!$Q$3,'IN-NX'!$D$7=D979,OR(LEFT(L979,2)="15",AND(LEFT(M979,2)&lt;&gt;"15",LEFT(M979,2)&lt;&gt;"33"))),"x","")</f>
        <v/>
      </c>
      <c r="V979" s="22" t="str">
        <f>IF(AND(OR(LEFT(TH!L979,2)="15",LEFT(TH!M979,2)="15"),'152-CT'!$J$8=TH!F979),"x","")</f>
        <v/>
      </c>
      <c r="W979" s="22" t="str">
        <f>IF(AND(OR(LEFT(TH!L979,2)="15",LEFT(TH!M979,2)="15"),TK!$E$7=TH!F979),"x","")</f>
        <v/>
      </c>
      <c r="X979" s="22" t="str">
        <f>IF(OR(TH!L979=TH!$X$7,M979=TH!$X$7),"x","")</f>
        <v/>
      </c>
      <c r="Y979" s="22" t="str">
        <f>IF(AND(B979&lt;=NKC!$N$8,B979&gt;=NKC!$M$8),"x","")</f>
        <v>x</v>
      </c>
      <c r="Z979" s="581"/>
      <c r="AA979" s="406"/>
      <c r="AB979" s="406"/>
    </row>
    <row r="980" spans="1:31" s="130" customFormat="1" ht="15.75" customHeight="1">
      <c r="A980" s="123" t="str">
        <f>IF(B980&lt;&gt;"",IF(AND(B980&gt;=_TM1,B980&lt;=_TM2,OR(TH!L980="1111",TH!M980="1111")),TH!D980,""),"")</f>
        <v/>
      </c>
      <c r="B980" s="12">
        <f t="shared" si="50"/>
        <v>9</v>
      </c>
      <c r="C980" s="108">
        <f t="shared" si="48"/>
        <v>42626</v>
      </c>
      <c r="D980" s="113" t="s">
        <v>1073</v>
      </c>
      <c r="E980" s="486">
        <v>42626</v>
      </c>
      <c r="F980" s="167" t="s">
        <v>664</v>
      </c>
      <c r="G980" s="487" t="s">
        <v>754</v>
      </c>
      <c r="H980" s="115" t="s">
        <v>1074</v>
      </c>
      <c r="I980" s="139">
        <v>210</v>
      </c>
      <c r="J980" s="139">
        <v>7748.8399336635994</v>
      </c>
      <c r="K980" s="13">
        <f t="shared" si="49"/>
        <v>1627256</v>
      </c>
      <c r="L980" s="116" t="s">
        <v>162</v>
      </c>
      <c r="M980" s="116" t="s">
        <v>160</v>
      </c>
      <c r="N980" s="22" t="str">
        <f>IF(AND('331-CT'!$E$7=TH!H980,OR(L980="331",M980="331")),"331",IF(AND(OR(L980="131",M980="131"),H980='131-CT'!$E$7),"131",""))</f>
        <v/>
      </c>
      <c r="O980" s="22" t="str">
        <f>IF(AND($B980&gt;='111'!$N$11,$B980&lt;='111'!$O$11,OR($L980=$O$7,$M980=$O$7)),"x","")</f>
        <v/>
      </c>
      <c r="P980" s="22" t="str">
        <f>IF(AND($L980=$O$7,$B980&lt;'111'!$N$11),"x","")</f>
        <v/>
      </c>
      <c r="Q980" s="22" t="str">
        <f>IF(AND($M980=$O$7,$B980&lt;'111'!$N$11),"x","")</f>
        <v/>
      </c>
      <c r="R980" s="22" t="str">
        <f>IF(ISERROR(FIND('112'!$M$9,G980,1)),"",IF((AND(FIND('112'!$M$9,G980,1)&gt;=1,$B980&gt;='112'!$N$8,$B980&lt;='112'!$O$8,OR($L980='112'!$I$6,$M980='112'!$I$6))),"x",""))</f>
        <v/>
      </c>
      <c r="S980" s="22" t="str">
        <f>IF(ISERROR(FIND('112'!$M$9,G980,1)),"",IF((AND(LEFT(G980,2)=LEFT('112'!$M$9,2),B980&lt;'112'!$N$8,$L980='112'!$I$6)),"x",""))</f>
        <v/>
      </c>
      <c r="T980" s="22" t="str">
        <f>IF(ISERROR(FIND('112'!$M$9,G980,1)),"",IF((AND(RIGHT(G980,2)=RIGHT('112'!$M$9,2),B980&lt;'112'!$N$8,$M980='112'!$I$6)),"x",""))</f>
        <v/>
      </c>
      <c r="U980" s="22" t="str">
        <f>IF(AND(B980&gt;='IN-NX'!$P$3,B980&lt;='IN-NX'!$Q$3,'IN-NX'!$D$7=D980,OR(LEFT(L980,2)="15",AND(LEFT(M980,2)&lt;&gt;"15",LEFT(M980,2)&lt;&gt;"33"))),"x","")</f>
        <v/>
      </c>
      <c r="V980" s="22" t="str">
        <f>IF(AND(OR(LEFT(TH!L980,2)="15",LEFT(TH!M980,2)="15"),'152-CT'!$J$8=TH!F980),"x","")</f>
        <v/>
      </c>
      <c r="W980" s="22" t="str">
        <f>IF(AND(OR(LEFT(TH!L980,2)="15",LEFT(TH!M980,2)="15"),TK!$E$7=TH!F980),"x","")</f>
        <v/>
      </c>
      <c r="X980" s="22" t="str">
        <f>IF(OR(TH!L980=TH!$X$7,M980=TH!$X$7),"x","")</f>
        <v/>
      </c>
      <c r="Y980" s="22" t="str">
        <f>IF(AND(B980&lt;=NKC!$N$8,B980&gt;=NKC!$M$8),"x","")</f>
        <v>x</v>
      </c>
      <c r="Z980" s="581"/>
      <c r="AA980" s="406"/>
      <c r="AB980" s="406"/>
    </row>
    <row r="981" spans="1:31" s="130" customFormat="1" ht="15.75" customHeight="1">
      <c r="A981" s="123" t="str">
        <f>IF(B981&lt;&gt;"",IF(AND(B981&gt;=_TM1,B981&lt;=_TM2,OR(TH!L981="1111",TH!M981="1111")),TH!D981,""),"")</f>
        <v/>
      </c>
      <c r="B981" s="12">
        <f t="shared" si="50"/>
        <v>9</v>
      </c>
      <c r="C981" s="108">
        <f t="shared" si="48"/>
        <v>42626</v>
      </c>
      <c r="D981" s="113" t="s">
        <v>1073</v>
      </c>
      <c r="E981" s="486">
        <v>42626</v>
      </c>
      <c r="F981" s="167" t="s">
        <v>665</v>
      </c>
      <c r="G981" s="487" t="s">
        <v>754</v>
      </c>
      <c r="H981" s="115" t="s">
        <v>1074</v>
      </c>
      <c r="I981" s="139">
        <v>200</v>
      </c>
      <c r="J981" s="139">
        <v>7089.3641946283997</v>
      </c>
      <c r="K981" s="13">
        <f t="shared" si="49"/>
        <v>1417873</v>
      </c>
      <c r="L981" s="116" t="s">
        <v>162</v>
      </c>
      <c r="M981" s="116" t="s">
        <v>160</v>
      </c>
      <c r="N981" s="22" t="str">
        <f>IF(AND('331-CT'!$E$7=TH!H981,OR(L981="331",M981="331")),"331",IF(AND(OR(L981="131",M981="131"),H981='131-CT'!$E$7),"131",""))</f>
        <v/>
      </c>
      <c r="O981" s="22" t="str">
        <f>IF(AND($B981&gt;='111'!$N$11,$B981&lt;='111'!$O$11,OR($L981=$O$7,$M981=$O$7)),"x","")</f>
        <v/>
      </c>
      <c r="P981" s="22" t="str">
        <f>IF(AND($L981=$O$7,$B981&lt;'111'!$N$11),"x","")</f>
        <v/>
      </c>
      <c r="Q981" s="22" t="str">
        <f>IF(AND($M981=$O$7,$B981&lt;'111'!$N$11),"x","")</f>
        <v/>
      </c>
      <c r="R981" s="22" t="str">
        <f>IF(ISERROR(FIND('112'!$M$9,G981,1)),"",IF((AND(FIND('112'!$M$9,G981,1)&gt;=1,$B981&gt;='112'!$N$8,$B981&lt;='112'!$O$8,OR($L981='112'!$I$6,$M981='112'!$I$6))),"x",""))</f>
        <v/>
      </c>
      <c r="S981" s="22" t="str">
        <f>IF(ISERROR(FIND('112'!$M$9,G981,1)),"",IF((AND(LEFT(G981,2)=LEFT('112'!$M$9,2),B981&lt;'112'!$N$8,$L981='112'!$I$6)),"x",""))</f>
        <v/>
      </c>
      <c r="T981" s="22" t="str">
        <f>IF(ISERROR(FIND('112'!$M$9,G981,1)),"",IF((AND(RIGHT(G981,2)=RIGHT('112'!$M$9,2),B981&lt;'112'!$N$8,$M981='112'!$I$6)),"x",""))</f>
        <v/>
      </c>
      <c r="U981" s="22" t="str">
        <f>IF(AND(B981&gt;='IN-NX'!$P$3,B981&lt;='IN-NX'!$Q$3,'IN-NX'!$D$7=D981,OR(LEFT(L981,2)="15",AND(LEFT(M981,2)&lt;&gt;"15",LEFT(M981,2)&lt;&gt;"33"))),"x","")</f>
        <v/>
      </c>
      <c r="V981" s="22" t="str">
        <f>IF(AND(OR(LEFT(TH!L981,2)="15",LEFT(TH!M981,2)="15"),'152-CT'!$J$8=TH!F981),"x","")</f>
        <v/>
      </c>
      <c r="W981" s="22" t="str">
        <f>IF(AND(OR(LEFT(TH!L981,2)="15",LEFT(TH!M981,2)="15"),TK!$E$7=TH!F981),"x","")</f>
        <v/>
      </c>
      <c r="X981" s="22" t="str">
        <f>IF(OR(TH!L981=TH!$X$7,M981=TH!$X$7),"x","")</f>
        <v/>
      </c>
      <c r="Y981" s="22" t="str">
        <f>IF(AND(B981&lt;=NKC!$N$8,B981&gt;=NKC!$M$8),"x","")</f>
        <v>x</v>
      </c>
      <c r="Z981" s="581"/>
      <c r="AA981" s="406"/>
    </row>
    <row r="982" spans="1:31" s="130" customFormat="1" ht="15.75" customHeight="1">
      <c r="A982" s="123" t="str">
        <f>IF(B982&lt;&gt;"",IF(AND(B982&gt;=_TM1,B982&lt;=_TM2,OR(TH!L982="1111",TH!M982="1111")),TH!D982,""),"")</f>
        <v/>
      </c>
      <c r="B982" s="12">
        <f t="shared" si="50"/>
        <v>9</v>
      </c>
      <c r="C982" s="108">
        <f t="shared" si="48"/>
        <v>42626</v>
      </c>
      <c r="D982" s="113" t="s">
        <v>1073</v>
      </c>
      <c r="E982" s="486">
        <v>42626</v>
      </c>
      <c r="F982" s="167" t="s">
        <v>663</v>
      </c>
      <c r="G982" s="487" t="s">
        <v>754</v>
      </c>
      <c r="H982" s="115" t="s">
        <v>1074</v>
      </c>
      <c r="I982" s="139">
        <v>171</v>
      </c>
      <c r="J982" s="139">
        <v>8985.3569443546003</v>
      </c>
      <c r="K982" s="13">
        <f t="shared" si="49"/>
        <v>1536496</v>
      </c>
      <c r="L982" s="116" t="s">
        <v>162</v>
      </c>
      <c r="M982" s="116" t="s">
        <v>160</v>
      </c>
      <c r="N982" s="22" t="str">
        <f>IF(AND('331-CT'!$E$7=TH!H982,OR(L982="331",M982="331")),"331",IF(AND(OR(L982="131",M982="131"),H982='131-CT'!$E$7),"131",""))</f>
        <v/>
      </c>
      <c r="O982" s="22" t="str">
        <f>IF(AND($B982&gt;='111'!$N$11,$B982&lt;='111'!$O$11,OR($L982=$O$7,$M982=$O$7)),"x","")</f>
        <v/>
      </c>
      <c r="P982" s="22" t="str">
        <f>IF(AND($L982=$O$7,$B982&lt;'111'!$N$11),"x","")</f>
        <v/>
      </c>
      <c r="Q982" s="22" t="str">
        <f>IF(AND($M982=$O$7,$B982&lt;'111'!$N$11),"x","")</f>
        <v/>
      </c>
      <c r="R982" s="22" t="str">
        <f>IF(ISERROR(FIND('112'!$M$9,G982,1)),"",IF((AND(FIND('112'!$M$9,G982,1)&gt;=1,$B982&gt;='112'!$N$8,$B982&lt;='112'!$O$8,OR($L982='112'!$I$6,$M982='112'!$I$6))),"x",""))</f>
        <v/>
      </c>
      <c r="S982" s="22" t="str">
        <f>IF(ISERROR(FIND('112'!$M$9,G982,1)),"",IF((AND(LEFT(G982,2)=LEFT('112'!$M$9,2),B982&lt;'112'!$N$8,$L982='112'!$I$6)),"x",""))</f>
        <v/>
      </c>
      <c r="T982" s="22" t="str">
        <f>IF(ISERROR(FIND('112'!$M$9,G982,1)),"",IF((AND(RIGHT(G982,2)=RIGHT('112'!$M$9,2),B982&lt;'112'!$N$8,$M982='112'!$I$6)),"x",""))</f>
        <v/>
      </c>
      <c r="U982" s="22" t="str">
        <f>IF(AND(B982&gt;='IN-NX'!$P$3,B982&lt;='IN-NX'!$Q$3,'IN-NX'!$D$7=D982,OR(LEFT(L982,2)="15",AND(LEFT(M982,2)&lt;&gt;"15",LEFT(M982,2)&lt;&gt;"33"))),"x","")</f>
        <v/>
      </c>
      <c r="V982" s="22" t="str">
        <f>IF(AND(OR(LEFT(TH!L982,2)="15",LEFT(TH!M982,2)="15"),'152-CT'!$J$8=TH!F982),"x","")</f>
        <v/>
      </c>
      <c r="W982" s="22" t="str">
        <f>IF(AND(OR(LEFT(TH!L982,2)="15",LEFT(TH!M982,2)="15"),TK!$E$7=TH!F982),"x","")</f>
        <v/>
      </c>
      <c r="X982" s="22" t="str">
        <f>IF(OR(TH!L982=TH!$X$7,M982=TH!$X$7),"x","")</f>
        <v/>
      </c>
      <c r="Y982" s="22" t="str">
        <f>IF(AND(B982&lt;=NKC!$N$8,B982&gt;=NKC!$M$8),"x","")</f>
        <v>x</v>
      </c>
      <c r="Z982" s="581"/>
      <c r="AA982" s="406"/>
      <c r="AB982" s="406"/>
    </row>
    <row r="983" spans="1:31" s="130" customFormat="1" ht="15.75" customHeight="1">
      <c r="A983" s="123" t="str">
        <f>IF(B983&lt;&gt;"",IF(AND(B983&gt;=_TM1,B983&lt;=_TM2,OR(TH!L983="1111",TH!M983="1111")),TH!D983,""),"")</f>
        <v/>
      </c>
      <c r="B983" s="12">
        <f t="shared" si="50"/>
        <v>9</v>
      </c>
      <c r="C983" s="108">
        <f t="shared" si="48"/>
        <v>42627</v>
      </c>
      <c r="D983" s="113" t="s">
        <v>1073</v>
      </c>
      <c r="E983" s="486">
        <v>42627</v>
      </c>
      <c r="F983" s="167" t="s">
        <v>817</v>
      </c>
      <c r="G983" s="487" t="s">
        <v>755</v>
      </c>
      <c r="H983" s="115" t="s">
        <v>1074</v>
      </c>
      <c r="I983" s="139">
        <v>2400</v>
      </c>
      <c r="J983" s="139">
        <v>3214.9442277966</v>
      </c>
      <c r="K983" s="13">
        <f t="shared" si="49"/>
        <v>7715866</v>
      </c>
      <c r="L983" s="116" t="s">
        <v>162</v>
      </c>
      <c r="M983" s="116" t="s">
        <v>160</v>
      </c>
      <c r="N983" s="22" t="str">
        <f>IF(AND('331-CT'!$E$7=TH!H983,OR(L983="331",M983="331")),"331",IF(AND(OR(L983="131",M983="131"),H983='131-CT'!$E$7),"131",""))</f>
        <v/>
      </c>
      <c r="O983" s="22" t="str">
        <f>IF(AND($B983&gt;='111'!$N$11,$B983&lt;='111'!$O$11,OR($L983=$O$7,$M983=$O$7)),"x","")</f>
        <v/>
      </c>
      <c r="P983" s="22" t="str">
        <f>IF(AND($L983=$O$7,$B983&lt;'111'!$N$11),"x","")</f>
        <v/>
      </c>
      <c r="Q983" s="22" t="str">
        <f>IF(AND($M983=$O$7,$B983&lt;'111'!$N$11),"x","")</f>
        <v/>
      </c>
      <c r="R983" s="22" t="str">
        <f>IF(ISERROR(FIND('112'!$M$9,G983,1)),"",IF((AND(FIND('112'!$M$9,G983,1)&gt;=1,$B983&gt;='112'!$N$8,$B983&lt;='112'!$O$8,OR($L983='112'!$I$6,$M983='112'!$I$6))),"x",""))</f>
        <v/>
      </c>
      <c r="S983" s="22" t="str">
        <f>IF(ISERROR(FIND('112'!$M$9,G983,1)),"",IF((AND(LEFT(G983,2)=LEFT('112'!$M$9,2),B983&lt;'112'!$N$8,$L983='112'!$I$6)),"x",""))</f>
        <v/>
      </c>
      <c r="T983" s="22" t="str">
        <f>IF(ISERROR(FIND('112'!$M$9,G983,1)),"",IF((AND(RIGHT(G983,2)=RIGHT('112'!$M$9,2),B983&lt;'112'!$N$8,$M983='112'!$I$6)),"x",""))</f>
        <v/>
      </c>
      <c r="U983" s="22" t="str">
        <f>IF(AND(B983&gt;='IN-NX'!$P$3,B983&lt;='IN-NX'!$Q$3,'IN-NX'!$D$7=D983,OR(LEFT(L983,2)="15",AND(LEFT(M983,2)&lt;&gt;"15",LEFT(M983,2)&lt;&gt;"33"))),"x","")</f>
        <v/>
      </c>
      <c r="V983" s="22" t="str">
        <f>IF(AND(OR(LEFT(TH!L983,2)="15",LEFT(TH!M983,2)="15"),'152-CT'!$J$8=TH!F983),"x","")</f>
        <v/>
      </c>
      <c r="W983" s="22" t="str">
        <f>IF(AND(OR(LEFT(TH!L983,2)="15",LEFT(TH!M983,2)="15"),TK!$E$7=TH!F983),"x","")</f>
        <v/>
      </c>
      <c r="X983" s="22" t="str">
        <f>IF(OR(TH!L983=TH!$X$7,M983=TH!$X$7),"x","")</f>
        <v/>
      </c>
      <c r="Y983" s="22" t="str">
        <f>IF(AND(B983&lt;=NKC!$N$8,B983&gt;=NKC!$M$8),"x","")</f>
        <v>x</v>
      </c>
      <c r="Z983" s="581"/>
      <c r="AA983" s="406"/>
      <c r="AB983" s="406"/>
      <c r="AC983" s="421"/>
    </row>
    <row r="984" spans="1:31" s="130" customFormat="1" ht="15.75" customHeight="1">
      <c r="A984" s="123" t="str">
        <f>IF(B984&lt;&gt;"",IF(AND(B984&gt;=_TM1,B984&lt;=_TM2,OR(TH!L984="1111",TH!M984="1111")),TH!D984,""),"")</f>
        <v/>
      </c>
      <c r="B984" s="12">
        <f t="shared" si="50"/>
        <v>9</v>
      </c>
      <c r="C984" s="108">
        <f t="shared" si="48"/>
        <v>42627</v>
      </c>
      <c r="D984" s="113" t="s">
        <v>1073</v>
      </c>
      <c r="E984" s="486">
        <v>42627</v>
      </c>
      <c r="F984" s="167" t="s">
        <v>818</v>
      </c>
      <c r="G984" s="487" t="s">
        <v>755</v>
      </c>
      <c r="H984" s="115" t="s">
        <v>1074</v>
      </c>
      <c r="I984" s="139">
        <v>500</v>
      </c>
      <c r="J984" s="139">
        <v>6594.7573903519997</v>
      </c>
      <c r="K984" s="13">
        <f t="shared" si="49"/>
        <v>3297379</v>
      </c>
      <c r="L984" s="116" t="s">
        <v>162</v>
      </c>
      <c r="M984" s="116" t="s">
        <v>160</v>
      </c>
      <c r="N984" s="22" t="str">
        <f>IF(AND('331-CT'!$E$7=TH!H984,OR(L984="331",M984="331")),"331",IF(AND(OR(L984="131",M984="131"),H984='131-CT'!$E$7),"131",""))</f>
        <v/>
      </c>
      <c r="O984" s="22" t="str">
        <f>IF(AND($B984&gt;='111'!$N$11,$B984&lt;='111'!$O$11,OR($L984=$O$7,$M984=$O$7)),"x","")</f>
        <v/>
      </c>
      <c r="P984" s="22" t="str">
        <f>IF(AND($L984=$O$7,$B984&lt;'111'!$N$11),"x","")</f>
        <v/>
      </c>
      <c r="Q984" s="22" t="str">
        <f>IF(AND($M984=$O$7,$B984&lt;'111'!$N$11),"x","")</f>
        <v/>
      </c>
      <c r="R984" s="22" t="str">
        <f>IF(ISERROR(FIND('112'!$M$9,G984,1)),"",IF((AND(FIND('112'!$M$9,G984,1)&gt;=1,$B984&gt;='112'!$N$8,$B984&lt;='112'!$O$8,OR($L984='112'!$I$6,$M984='112'!$I$6))),"x",""))</f>
        <v/>
      </c>
      <c r="S984" s="22" t="str">
        <f>IF(ISERROR(FIND('112'!$M$9,G984,1)),"",IF((AND(LEFT(G984,2)=LEFT('112'!$M$9,2),B984&lt;'112'!$N$8,$L984='112'!$I$6)),"x",""))</f>
        <v/>
      </c>
      <c r="T984" s="22" t="str">
        <f>IF(ISERROR(FIND('112'!$M$9,G984,1)),"",IF((AND(RIGHT(G984,2)=RIGHT('112'!$M$9,2),B984&lt;'112'!$N$8,$M984='112'!$I$6)),"x",""))</f>
        <v/>
      </c>
      <c r="U984" s="22" t="str">
        <f>IF(AND(B984&gt;='IN-NX'!$P$3,B984&lt;='IN-NX'!$Q$3,'IN-NX'!$D$7=D984,OR(LEFT(L984,2)="15",AND(LEFT(M984,2)&lt;&gt;"15",LEFT(M984,2)&lt;&gt;"33"))),"x","")</f>
        <v/>
      </c>
      <c r="V984" s="22" t="str">
        <f>IF(AND(OR(LEFT(TH!L984,2)="15",LEFT(TH!M984,2)="15"),'152-CT'!$J$8=TH!F984),"x","")</f>
        <v/>
      </c>
      <c r="W984" s="22" t="str">
        <f>IF(AND(OR(LEFT(TH!L984,2)="15",LEFT(TH!M984,2)="15"),TK!$E$7=TH!F984),"x","")</f>
        <v/>
      </c>
      <c r="X984" s="22" t="str">
        <f>IF(OR(TH!L984=TH!$X$7,M984=TH!$X$7),"x","")</f>
        <v/>
      </c>
      <c r="Y984" s="22" t="str">
        <f>IF(AND(B984&lt;=NKC!$N$8,B984&gt;=NKC!$M$8),"x","")</f>
        <v>x</v>
      </c>
      <c r="Z984" s="581"/>
      <c r="AA984" s="406"/>
      <c r="AB984" s="406"/>
    </row>
    <row r="985" spans="1:31" s="130" customFormat="1" ht="15.75" customHeight="1">
      <c r="A985" s="123" t="str">
        <f>IF(B985&lt;&gt;"",IF(AND(B985&gt;=_TM1,B985&lt;=_TM2,OR(TH!L985="1111",TH!M985="1111")),TH!D985,""),"")</f>
        <v/>
      </c>
      <c r="B985" s="12">
        <f t="shared" si="50"/>
        <v>9</v>
      </c>
      <c r="C985" s="108">
        <f t="shared" si="48"/>
        <v>42628</v>
      </c>
      <c r="D985" s="113" t="s">
        <v>1073</v>
      </c>
      <c r="E985" s="486">
        <v>42628</v>
      </c>
      <c r="F985" s="167" t="s">
        <v>520</v>
      </c>
      <c r="G985" s="487" t="s">
        <v>756</v>
      </c>
      <c r="H985" s="115" t="s">
        <v>1074</v>
      </c>
      <c r="I985" s="139">
        <v>1820</v>
      </c>
      <c r="J985" s="139">
        <v>6759.6263251107994</v>
      </c>
      <c r="K985" s="13">
        <f t="shared" si="49"/>
        <v>12302520</v>
      </c>
      <c r="L985" s="116" t="s">
        <v>162</v>
      </c>
      <c r="M985" s="116" t="s">
        <v>160</v>
      </c>
      <c r="N985" s="22" t="str">
        <f>IF(AND('331-CT'!$E$7=TH!H985,OR(L985="331",M985="331")),"331",IF(AND(OR(L985="131",M985="131"),H985='131-CT'!$E$7),"131",""))</f>
        <v/>
      </c>
      <c r="O985" s="22" t="str">
        <f>IF(AND($B985&gt;='111'!$N$11,$B985&lt;='111'!$O$11,OR($L985=$O$7,$M985=$O$7)),"x","")</f>
        <v/>
      </c>
      <c r="P985" s="22" t="str">
        <f>IF(AND($L985=$O$7,$B985&lt;'111'!$N$11),"x","")</f>
        <v/>
      </c>
      <c r="Q985" s="22" t="str">
        <f>IF(AND($M985=$O$7,$B985&lt;'111'!$N$11),"x","")</f>
        <v/>
      </c>
      <c r="R985" s="22" t="str">
        <f>IF(ISERROR(FIND('112'!$M$9,G985,1)),"",IF((AND(FIND('112'!$M$9,G985,1)&gt;=1,$B985&gt;='112'!$N$8,$B985&lt;='112'!$O$8,OR($L985='112'!$I$6,$M985='112'!$I$6))),"x",""))</f>
        <v/>
      </c>
      <c r="S985" s="22" t="str">
        <f>IF(ISERROR(FIND('112'!$M$9,G985,1)),"",IF((AND(LEFT(G985,2)=LEFT('112'!$M$9,2),B985&lt;'112'!$N$8,$L985='112'!$I$6)),"x",""))</f>
        <v/>
      </c>
      <c r="T985" s="22" t="str">
        <f>IF(ISERROR(FIND('112'!$M$9,G985,1)),"",IF((AND(RIGHT(G985,2)=RIGHT('112'!$M$9,2),B985&lt;'112'!$N$8,$M985='112'!$I$6)),"x",""))</f>
        <v/>
      </c>
      <c r="U985" s="22" t="str">
        <f>IF(AND(B985&gt;='IN-NX'!$P$3,B985&lt;='IN-NX'!$Q$3,'IN-NX'!$D$7=D985,OR(LEFT(L985,2)="15",AND(LEFT(M985,2)&lt;&gt;"15",LEFT(M985,2)&lt;&gt;"33"))),"x","")</f>
        <v/>
      </c>
      <c r="V985" s="22" t="str">
        <f>IF(AND(OR(LEFT(TH!L985,2)="15",LEFT(TH!M985,2)="15"),'152-CT'!$J$8=TH!F985),"x","")</f>
        <v/>
      </c>
      <c r="W985" s="22" t="str">
        <f>IF(AND(OR(LEFT(TH!L985,2)="15",LEFT(TH!M985,2)="15"),TK!$E$7=TH!F985),"x","")</f>
        <v/>
      </c>
      <c r="X985" s="22" t="str">
        <f>IF(OR(TH!L985=TH!$X$7,M985=TH!$X$7),"x","")</f>
        <v/>
      </c>
      <c r="Y985" s="22" t="str">
        <f>IF(AND(B985&lt;=NKC!$N$8,B985&gt;=NKC!$M$8),"x","")</f>
        <v>x</v>
      </c>
      <c r="Z985" s="581"/>
      <c r="AA985" s="406"/>
    </row>
    <row r="986" spans="1:31" s="130" customFormat="1" ht="15.75" customHeight="1">
      <c r="A986" s="123" t="str">
        <f>IF(B986&lt;&gt;"",IF(AND(B986&gt;=_TM1,B986&lt;=_TM2,OR(TH!L986="1111",TH!M986="1111")),TH!D986,""),"")</f>
        <v/>
      </c>
      <c r="B986" s="12">
        <f t="shared" si="50"/>
        <v>9</v>
      </c>
      <c r="C986" s="108">
        <f t="shared" si="48"/>
        <v>42628</v>
      </c>
      <c r="D986" s="113" t="s">
        <v>1073</v>
      </c>
      <c r="E986" s="486">
        <v>42628</v>
      </c>
      <c r="F986" s="167" t="s">
        <v>546</v>
      </c>
      <c r="G986" s="487" t="s">
        <v>756</v>
      </c>
      <c r="H986" s="115" t="s">
        <v>1074</v>
      </c>
      <c r="I986" s="139">
        <v>620</v>
      </c>
      <c r="J986" s="139">
        <v>7501.5365315253994</v>
      </c>
      <c r="K986" s="13">
        <f t="shared" si="49"/>
        <v>4650953</v>
      </c>
      <c r="L986" s="116" t="s">
        <v>162</v>
      </c>
      <c r="M986" s="116" t="s">
        <v>160</v>
      </c>
      <c r="N986" s="22" t="str">
        <f>IF(AND('331-CT'!$E$7=TH!H986,OR(L986="331",M986="331")),"331",IF(AND(OR(L986="131",M986="131"),H986='131-CT'!$E$7),"131",""))</f>
        <v/>
      </c>
      <c r="O986" s="22" t="str">
        <f>IF(AND($B986&gt;='111'!$N$11,$B986&lt;='111'!$O$11,OR($L986=$O$7,$M986=$O$7)),"x","")</f>
        <v/>
      </c>
      <c r="P986" s="22" t="str">
        <f>IF(AND($L986=$O$7,$B986&lt;'111'!$N$11),"x","")</f>
        <v/>
      </c>
      <c r="Q986" s="22" t="str">
        <f>IF(AND($M986=$O$7,$B986&lt;'111'!$N$11),"x","")</f>
        <v/>
      </c>
      <c r="R986" s="22" t="str">
        <f>IF(ISERROR(FIND('112'!$M$9,G986,1)),"",IF((AND(FIND('112'!$M$9,G986,1)&gt;=1,$B986&gt;='112'!$N$8,$B986&lt;='112'!$O$8,OR($L986='112'!$I$6,$M986='112'!$I$6))),"x",""))</f>
        <v/>
      </c>
      <c r="S986" s="22" t="str">
        <f>IF(ISERROR(FIND('112'!$M$9,G986,1)),"",IF((AND(LEFT(G986,2)=LEFT('112'!$M$9,2),B986&lt;'112'!$N$8,$L986='112'!$I$6)),"x",""))</f>
        <v/>
      </c>
      <c r="T986" s="22" t="str">
        <f>IF(ISERROR(FIND('112'!$M$9,G986,1)),"",IF((AND(RIGHT(G986,2)=RIGHT('112'!$M$9,2),B986&lt;'112'!$N$8,$M986='112'!$I$6)),"x",""))</f>
        <v/>
      </c>
      <c r="U986" s="22" t="str">
        <f>IF(AND(B986&gt;='IN-NX'!$P$3,B986&lt;='IN-NX'!$Q$3,'IN-NX'!$D$7=D986,OR(LEFT(L986,2)="15",AND(LEFT(M986,2)&lt;&gt;"15",LEFT(M986,2)&lt;&gt;"33"))),"x","")</f>
        <v/>
      </c>
      <c r="V986" s="22" t="str">
        <f>IF(AND(OR(LEFT(TH!L986,2)="15",LEFT(TH!M986,2)="15"),'152-CT'!$J$8=TH!F986),"x","")</f>
        <v/>
      </c>
      <c r="W986" s="22" t="str">
        <f>IF(AND(OR(LEFT(TH!L986,2)="15",LEFT(TH!M986,2)="15"),TK!$E$7=TH!F986),"x","")</f>
        <v/>
      </c>
      <c r="X986" s="22" t="str">
        <f>IF(OR(TH!L986=TH!$X$7,M986=TH!$X$7),"x","")</f>
        <v/>
      </c>
      <c r="Y986" s="22" t="str">
        <f>IF(AND(B986&lt;=NKC!$N$8,B986&gt;=NKC!$M$8),"x","")</f>
        <v>x</v>
      </c>
      <c r="Z986" s="581"/>
      <c r="AA986" s="406"/>
      <c r="AB986" s="406"/>
    </row>
    <row r="987" spans="1:31" s="130" customFormat="1" ht="15.75" customHeight="1">
      <c r="A987" s="123" t="str">
        <f>IF(B987&lt;&gt;"",IF(AND(B987&gt;=_TM1,B987&lt;=_TM2,OR(TH!L987="1111",TH!M987="1111")),TH!D987,""),"")</f>
        <v/>
      </c>
      <c r="B987" s="12">
        <f t="shared" si="50"/>
        <v>9</v>
      </c>
      <c r="C987" s="108">
        <f t="shared" si="48"/>
        <v>42628</v>
      </c>
      <c r="D987" s="113" t="s">
        <v>1073</v>
      </c>
      <c r="E987" s="486">
        <v>42628</v>
      </c>
      <c r="F987" s="167" t="s">
        <v>547</v>
      </c>
      <c r="G987" s="487" t="s">
        <v>756</v>
      </c>
      <c r="H987" s="115" t="s">
        <v>1074</v>
      </c>
      <c r="I987" s="139">
        <v>304</v>
      </c>
      <c r="J987" s="139">
        <v>6677.1918577314</v>
      </c>
      <c r="K987" s="13">
        <f t="shared" si="49"/>
        <v>2029866</v>
      </c>
      <c r="L987" s="116" t="s">
        <v>162</v>
      </c>
      <c r="M987" s="116" t="s">
        <v>160</v>
      </c>
      <c r="N987" s="22" t="str">
        <f>IF(AND('331-CT'!$E$7=TH!H987,OR(L987="331",M987="331")),"331",IF(AND(OR(L987="131",M987="131"),H987='131-CT'!$E$7),"131",""))</f>
        <v/>
      </c>
      <c r="O987" s="22" t="str">
        <f>IF(AND($B987&gt;='111'!$N$11,$B987&lt;='111'!$O$11,OR($L987=$O$7,$M987=$O$7)),"x","")</f>
        <v/>
      </c>
      <c r="P987" s="22" t="str">
        <f>IF(AND($L987=$O$7,$B987&lt;'111'!$N$11),"x","")</f>
        <v/>
      </c>
      <c r="Q987" s="22" t="str">
        <f>IF(AND($M987=$O$7,$B987&lt;'111'!$N$11),"x","")</f>
        <v/>
      </c>
      <c r="R987" s="22" t="str">
        <f>IF(ISERROR(FIND('112'!$M$9,G987,1)),"",IF((AND(FIND('112'!$M$9,G987,1)&gt;=1,$B987&gt;='112'!$N$8,$B987&lt;='112'!$O$8,OR($L987='112'!$I$6,$M987='112'!$I$6))),"x",""))</f>
        <v/>
      </c>
      <c r="S987" s="22" t="str">
        <f>IF(ISERROR(FIND('112'!$M$9,G987,1)),"",IF((AND(LEFT(G987,2)=LEFT('112'!$M$9,2),B987&lt;'112'!$N$8,$L987='112'!$I$6)),"x",""))</f>
        <v/>
      </c>
      <c r="T987" s="22" t="str">
        <f>IF(ISERROR(FIND('112'!$M$9,G987,1)),"",IF((AND(RIGHT(G987,2)=RIGHT('112'!$M$9,2),B987&lt;'112'!$N$8,$M987='112'!$I$6)),"x",""))</f>
        <v/>
      </c>
      <c r="U987" s="22" t="str">
        <f>IF(AND(B987&gt;='IN-NX'!$P$3,B987&lt;='IN-NX'!$Q$3,'IN-NX'!$D$7=D987,OR(LEFT(L987,2)="15",AND(LEFT(M987,2)&lt;&gt;"15",LEFT(M987,2)&lt;&gt;"33"))),"x","")</f>
        <v/>
      </c>
      <c r="V987" s="22" t="str">
        <f>IF(AND(OR(LEFT(TH!L987,2)="15",LEFT(TH!M987,2)="15"),'152-CT'!$J$8=TH!F987),"x","")</f>
        <v/>
      </c>
      <c r="W987" s="22" t="str">
        <f>IF(AND(OR(LEFT(TH!L987,2)="15",LEFT(TH!M987,2)="15"),TK!$E$7=TH!F987),"x","")</f>
        <v/>
      </c>
      <c r="X987" s="22" t="str">
        <f>IF(OR(TH!L987=TH!$X$7,M987=TH!$X$7),"x","")</f>
        <v/>
      </c>
      <c r="Y987" s="22" t="str">
        <f>IF(AND(B987&lt;=NKC!$N$8,B987&gt;=NKC!$M$8),"x","")</f>
        <v>x</v>
      </c>
      <c r="Z987" s="581"/>
      <c r="AA987" s="406"/>
    </row>
    <row r="988" spans="1:31" s="130" customFormat="1" ht="15.75" customHeight="1">
      <c r="A988" s="123" t="str">
        <f>IF(B988&lt;&gt;"",IF(AND(B988&gt;=_TM1,B988&lt;=_TM2,OR(TH!L988="1111",TH!M988="1111")),TH!D988,""),"")</f>
        <v/>
      </c>
      <c r="B988" s="12">
        <f t="shared" si="50"/>
        <v>9</v>
      </c>
      <c r="C988" s="108">
        <f t="shared" si="48"/>
        <v>42628</v>
      </c>
      <c r="D988" s="113" t="s">
        <v>1073</v>
      </c>
      <c r="E988" s="486">
        <v>42628</v>
      </c>
      <c r="F988" s="167" t="s">
        <v>548</v>
      </c>
      <c r="G988" s="487" t="s">
        <v>756</v>
      </c>
      <c r="H988" s="115" t="s">
        <v>1074</v>
      </c>
      <c r="I988" s="139">
        <v>316</v>
      </c>
      <c r="J988" s="139">
        <v>7419.102064146</v>
      </c>
      <c r="K988" s="13">
        <f t="shared" si="49"/>
        <v>2344436</v>
      </c>
      <c r="L988" s="116" t="s">
        <v>162</v>
      </c>
      <c r="M988" s="116" t="s">
        <v>160</v>
      </c>
      <c r="N988" s="22" t="str">
        <f>IF(AND('331-CT'!$E$7=TH!H988,OR(L988="331",M988="331")),"331",IF(AND(OR(L988="131",M988="131"),H988='131-CT'!$E$7),"131",""))</f>
        <v/>
      </c>
      <c r="O988" s="22" t="str">
        <f>IF(AND($B988&gt;='111'!$N$11,$B988&lt;='111'!$O$11,OR($L988=$O$7,$M988=$O$7)),"x","")</f>
        <v/>
      </c>
      <c r="P988" s="22" t="str">
        <f>IF(AND($L988=$O$7,$B988&lt;'111'!$N$11),"x","")</f>
        <v/>
      </c>
      <c r="Q988" s="22" t="str">
        <f>IF(AND($M988=$O$7,$B988&lt;'111'!$N$11),"x","")</f>
        <v/>
      </c>
      <c r="R988" s="22" t="str">
        <f>IF(ISERROR(FIND('112'!$M$9,G988,1)),"",IF((AND(FIND('112'!$M$9,G988,1)&gt;=1,$B988&gt;='112'!$N$8,$B988&lt;='112'!$O$8,OR($L988='112'!$I$6,$M988='112'!$I$6))),"x",""))</f>
        <v/>
      </c>
      <c r="S988" s="22" t="str">
        <f>IF(ISERROR(FIND('112'!$M$9,G988,1)),"",IF((AND(LEFT(G988,2)=LEFT('112'!$M$9,2),B988&lt;'112'!$N$8,$L988='112'!$I$6)),"x",""))</f>
        <v/>
      </c>
      <c r="T988" s="22" t="str">
        <f>IF(ISERROR(FIND('112'!$M$9,G988,1)),"",IF((AND(RIGHT(G988,2)=RIGHT('112'!$M$9,2),B988&lt;'112'!$N$8,$M988='112'!$I$6)),"x",""))</f>
        <v/>
      </c>
      <c r="U988" s="22" t="str">
        <f>IF(AND(B988&gt;='IN-NX'!$P$3,B988&lt;='IN-NX'!$Q$3,'IN-NX'!$D$7=D988,OR(LEFT(L988,2)="15",AND(LEFT(M988,2)&lt;&gt;"15",LEFT(M988,2)&lt;&gt;"33"))),"x","")</f>
        <v/>
      </c>
      <c r="V988" s="22" t="str">
        <f>IF(AND(OR(LEFT(TH!L988,2)="15",LEFT(TH!M988,2)="15"),'152-CT'!$J$8=TH!F988),"x","")</f>
        <v/>
      </c>
      <c r="W988" s="22" t="str">
        <f>IF(AND(OR(LEFT(TH!L988,2)="15",LEFT(TH!M988,2)="15"),TK!$E$7=TH!F988),"x","")</f>
        <v/>
      </c>
      <c r="X988" s="22" t="str">
        <f>IF(OR(TH!L988=TH!$X$7,M988=TH!$X$7),"x","")</f>
        <v/>
      </c>
      <c r="Y988" s="22" t="str">
        <f>IF(AND(B988&lt;=NKC!$N$8,B988&gt;=NKC!$M$8),"x","")</f>
        <v>x</v>
      </c>
      <c r="Z988" s="581"/>
      <c r="AA988" s="406"/>
      <c r="AB988" s="406"/>
    </row>
    <row r="989" spans="1:31" s="130" customFormat="1" ht="15.75" customHeight="1">
      <c r="A989" s="123" t="str">
        <f>IF(B989&lt;&gt;"",IF(AND(B989&gt;=_TM1,B989&lt;=_TM2,OR(TH!L989="1111",TH!M989="1111")),TH!D989,""),"")</f>
        <v/>
      </c>
      <c r="B989" s="12">
        <f t="shared" si="50"/>
        <v>9</v>
      </c>
      <c r="C989" s="108">
        <f t="shared" si="48"/>
        <v>42635</v>
      </c>
      <c r="D989" s="113" t="s">
        <v>1073</v>
      </c>
      <c r="E989" s="486">
        <v>42635</v>
      </c>
      <c r="F989" s="167" t="s">
        <v>515</v>
      </c>
      <c r="G989" s="487" t="s">
        <v>757</v>
      </c>
      <c r="H989" s="115" t="s">
        <v>1074</v>
      </c>
      <c r="I989" s="139">
        <v>300</v>
      </c>
      <c r="J989" s="139">
        <v>7831.2744010429988</v>
      </c>
      <c r="K989" s="13">
        <f t="shared" si="49"/>
        <v>2349382</v>
      </c>
      <c r="L989" s="116" t="s">
        <v>162</v>
      </c>
      <c r="M989" s="116" t="s">
        <v>160</v>
      </c>
      <c r="N989" s="22" t="str">
        <f>IF(AND('331-CT'!$E$7=TH!H989,OR(L989="331",M989="331")),"331",IF(AND(OR(L989="131",M989="131"),H989='131-CT'!$E$7),"131",""))</f>
        <v/>
      </c>
      <c r="O989" s="22" t="str">
        <f>IF(AND($B989&gt;='111'!$N$11,$B989&lt;='111'!$O$11,OR($L989=$O$7,$M989=$O$7)),"x","")</f>
        <v/>
      </c>
      <c r="P989" s="22" t="str">
        <f>IF(AND($L989=$O$7,$B989&lt;'111'!$N$11),"x","")</f>
        <v/>
      </c>
      <c r="Q989" s="22" t="str">
        <f>IF(AND($M989=$O$7,$B989&lt;'111'!$N$11),"x","")</f>
        <v/>
      </c>
      <c r="R989" s="22" t="str">
        <f>IF(ISERROR(FIND('112'!$M$9,G989,1)),"",IF((AND(FIND('112'!$M$9,G989,1)&gt;=1,$B989&gt;='112'!$N$8,$B989&lt;='112'!$O$8,OR($L989='112'!$I$6,$M989='112'!$I$6))),"x",""))</f>
        <v/>
      </c>
      <c r="S989" s="22" t="str">
        <f>IF(ISERROR(FIND('112'!$M$9,G989,1)),"",IF((AND(LEFT(G989,2)=LEFT('112'!$M$9,2),B989&lt;'112'!$N$8,$L989='112'!$I$6)),"x",""))</f>
        <v/>
      </c>
      <c r="T989" s="22" t="str">
        <f>IF(ISERROR(FIND('112'!$M$9,G989,1)),"",IF((AND(RIGHT(G989,2)=RIGHT('112'!$M$9,2),B989&lt;'112'!$N$8,$M989='112'!$I$6)),"x",""))</f>
        <v/>
      </c>
      <c r="U989" s="22" t="str">
        <f>IF(AND(B989&gt;='IN-NX'!$P$3,B989&lt;='IN-NX'!$Q$3,'IN-NX'!$D$7=D989,OR(LEFT(L989,2)="15",AND(LEFT(M989,2)&lt;&gt;"15",LEFT(M989,2)&lt;&gt;"33"))),"x","")</f>
        <v/>
      </c>
      <c r="V989" s="22" t="str">
        <f>IF(AND(OR(LEFT(TH!L989,2)="15",LEFT(TH!M989,2)="15"),'152-CT'!$J$8=TH!F989),"x","")</f>
        <v/>
      </c>
      <c r="W989" s="22" t="str">
        <f>IF(AND(OR(LEFT(TH!L989,2)="15",LEFT(TH!M989,2)="15"),TK!$E$7=TH!F989),"x","")</f>
        <v/>
      </c>
      <c r="X989" s="22" t="str">
        <f>IF(OR(TH!L989=TH!$X$7,M989=TH!$X$7),"x","")</f>
        <v/>
      </c>
      <c r="Y989" s="22" t="str">
        <f>IF(AND(B989&lt;=NKC!$N$8,B989&gt;=NKC!$M$8),"x","")</f>
        <v>x</v>
      </c>
      <c r="Z989" s="581"/>
      <c r="AA989" s="406"/>
      <c r="AD989" s="406"/>
      <c r="AE989" s="406"/>
    </row>
    <row r="990" spans="1:31" s="130" customFormat="1" ht="15.75" customHeight="1">
      <c r="A990" s="123" t="str">
        <f>IF(B990&lt;&gt;"",IF(AND(B990&gt;=_TM1,B990&lt;=_TM2,OR(TH!L990="1111",TH!M990="1111")),TH!D990,""),"")</f>
        <v/>
      </c>
      <c r="B990" s="12">
        <f t="shared" si="50"/>
        <v>9</v>
      </c>
      <c r="C990" s="108">
        <f t="shared" ref="C990:C1023" si="51">E990</f>
        <v>42639</v>
      </c>
      <c r="D990" s="113" t="s">
        <v>1073</v>
      </c>
      <c r="E990" s="486">
        <v>42639</v>
      </c>
      <c r="F990" s="167" t="s">
        <v>549</v>
      </c>
      <c r="G990" s="487" t="s">
        <v>758</v>
      </c>
      <c r="H990" s="115" t="s">
        <v>1074</v>
      </c>
      <c r="I990" s="139">
        <v>109</v>
      </c>
      <c r="J990" s="139">
        <v>4451.4612384876</v>
      </c>
      <c r="K990" s="13">
        <f t="shared" si="49"/>
        <v>485209</v>
      </c>
      <c r="L990" s="116" t="s">
        <v>162</v>
      </c>
      <c r="M990" s="116" t="s">
        <v>160</v>
      </c>
      <c r="N990" s="22" t="str">
        <f>IF(AND('331-CT'!$E$7=TH!H990,OR(L990="331",M990="331")),"331",IF(AND(OR(L990="131",M990="131"),H990='131-CT'!$E$7),"131",""))</f>
        <v/>
      </c>
      <c r="O990" s="22" t="str">
        <f>IF(AND($B990&gt;='111'!$N$11,$B990&lt;='111'!$O$11,OR($L990=$O$7,$M990=$O$7)),"x","")</f>
        <v/>
      </c>
      <c r="P990" s="22" t="str">
        <f>IF(AND($L990=$O$7,$B990&lt;'111'!$N$11),"x","")</f>
        <v/>
      </c>
      <c r="Q990" s="22" t="str">
        <f>IF(AND($M990=$O$7,$B990&lt;'111'!$N$11),"x","")</f>
        <v/>
      </c>
      <c r="R990" s="22" t="str">
        <f>IF(ISERROR(FIND('112'!$M$9,G990,1)),"",IF((AND(FIND('112'!$M$9,G990,1)&gt;=1,$B990&gt;='112'!$N$8,$B990&lt;='112'!$O$8,OR($L990='112'!$I$6,$M990='112'!$I$6))),"x",""))</f>
        <v/>
      </c>
      <c r="S990" s="22" t="str">
        <f>IF(ISERROR(FIND('112'!$M$9,G990,1)),"",IF((AND(LEFT(G990,2)=LEFT('112'!$M$9,2),B990&lt;'112'!$N$8,$L990='112'!$I$6)),"x",""))</f>
        <v/>
      </c>
      <c r="T990" s="22" t="str">
        <f>IF(ISERROR(FIND('112'!$M$9,G990,1)),"",IF((AND(RIGHT(G990,2)=RIGHT('112'!$M$9,2),B990&lt;'112'!$N$8,$M990='112'!$I$6)),"x",""))</f>
        <v/>
      </c>
      <c r="U990" s="22" t="str">
        <f>IF(AND(B990&gt;='IN-NX'!$P$3,B990&lt;='IN-NX'!$Q$3,'IN-NX'!$D$7=D990,OR(LEFT(L990,2)="15",AND(LEFT(M990,2)&lt;&gt;"15",LEFT(M990,2)&lt;&gt;"33"))),"x","")</f>
        <v/>
      </c>
      <c r="V990" s="22" t="str">
        <f>IF(AND(OR(LEFT(TH!L990,2)="15",LEFT(TH!M990,2)="15"),'152-CT'!$J$8=TH!F990),"x","")</f>
        <v/>
      </c>
      <c r="W990" s="22" t="str">
        <f>IF(AND(OR(LEFT(TH!L990,2)="15",LEFT(TH!M990,2)="15"),TK!$E$7=TH!F990),"x","")</f>
        <v/>
      </c>
      <c r="X990" s="22" t="str">
        <f>IF(OR(TH!L990=TH!$X$7,M990=TH!$X$7),"x","")</f>
        <v/>
      </c>
      <c r="Y990" s="22" t="str">
        <f>IF(AND(B990&lt;=NKC!$N$8,B990&gt;=NKC!$M$8),"x","")</f>
        <v>x</v>
      </c>
      <c r="Z990" s="581"/>
      <c r="AA990" s="406"/>
      <c r="AB990" s="406"/>
      <c r="AD990" s="406"/>
      <c r="AE990" s="406"/>
    </row>
    <row r="991" spans="1:31" s="130" customFormat="1" ht="15.75" customHeight="1">
      <c r="A991" s="123" t="str">
        <f>IF(B991&lt;&gt;"",IF(AND(B991&gt;=_TM1,B991&lt;=_TM2,OR(TH!L991="1111",TH!M991="1111")),TH!D991,""),"")</f>
        <v/>
      </c>
      <c r="B991" s="12">
        <f t="shared" si="50"/>
        <v>9</v>
      </c>
      <c r="C991" s="108">
        <f t="shared" si="51"/>
        <v>42639</v>
      </c>
      <c r="D991" s="113" t="s">
        <v>1073</v>
      </c>
      <c r="E991" s="486">
        <v>42639</v>
      </c>
      <c r="F991" s="167" t="s">
        <v>550</v>
      </c>
      <c r="G991" s="487" t="s">
        <v>758</v>
      </c>
      <c r="H991" s="115" t="s">
        <v>1074</v>
      </c>
      <c r="I991" s="139">
        <v>102</v>
      </c>
      <c r="J991" s="139">
        <v>5110.9369775227997</v>
      </c>
      <c r="K991" s="13">
        <f t="shared" si="49"/>
        <v>521316</v>
      </c>
      <c r="L991" s="116" t="s">
        <v>162</v>
      </c>
      <c r="M991" s="116" t="s">
        <v>160</v>
      </c>
      <c r="N991" s="22" t="str">
        <f>IF(AND('331-CT'!$E$7=TH!H991,OR(L991="331",M991="331")),"331",IF(AND(OR(L991="131",M991="131"),H991='131-CT'!$E$7),"131",""))</f>
        <v/>
      </c>
      <c r="O991" s="22" t="str">
        <f>IF(AND($B991&gt;='111'!$N$11,$B991&lt;='111'!$O$11,OR($L991=$O$7,$M991=$O$7)),"x","")</f>
        <v/>
      </c>
      <c r="P991" s="22" t="str">
        <f>IF(AND($L991=$O$7,$B991&lt;'111'!$N$11),"x","")</f>
        <v/>
      </c>
      <c r="Q991" s="22" t="str">
        <f>IF(AND($M991=$O$7,$B991&lt;'111'!$N$11),"x","")</f>
        <v/>
      </c>
      <c r="R991" s="22" t="str">
        <f>IF(ISERROR(FIND('112'!$M$9,G991,1)),"",IF((AND(FIND('112'!$M$9,G991,1)&gt;=1,$B991&gt;='112'!$N$8,$B991&lt;='112'!$O$8,OR($L991='112'!$I$6,$M991='112'!$I$6))),"x",""))</f>
        <v/>
      </c>
      <c r="S991" s="22" t="str">
        <f>IF(ISERROR(FIND('112'!$M$9,G991,1)),"",IF((AND(LEFT(G991,2)=LEFT('112'!$M$9,2),B991&lt;'112'!$N$8,$L991='112'!$I$6)),"x",""))</f>
        <v/>
      </c>
      <c r="T991" s="22" t="str">
        <f>IF(ISERROR(FIND('112'!$M$9,G991,1)),"",IF((AND(RIGHT(G991,2)=RIGHT('112'!$M$9,2),B991&lt;'112'!$N$8,$M991='112'!$I$6)),"x",""))</f>
        <v/>
      </c>
      <c r="U991" s="22" t="str">
        <f>IF(AND(B991&gt;='IN-NX'!$P$3,B991&lt;='IN-NX'!$Q$3,'IN-NX'!$D$7=D991,OR(LEFT(L991,2)="15",AND(LEFT(M991,2)&lt;&gt;"15",LEFT(M991,2)&lt;&gt;"33"))),"x","")</f>
        <v/>
      </c>
      <c r="V991" s="22" t="str">
        <f>IF(AND(OR(LEFT(TH!L991,2)="15",LEFT(TH!M991,2)="15"),'152-CT'!$J$8=TH!F991),"x","")</f>
        <v/>
      </c>
      <c r="W991" s="22" t="str">
        <f>IF(AND(OR(LEFT(TH!L991,2)="15",LEFT(TH!M991,2)="15"),TK!$E$7=TH!F991),"x","")</f>
        <v/>
      </c>
      <c r="X991" s="22" t="str">
        <f>IF(OR(TH!L991=TH!$X$7,M991=TH!$X$7),"x","")</f>
        <v/>
      </c>
      <c r="Y991" s="22" t="str">
        <f>IF(AND(B991&lt;=NKC!$N$8,B991&gt;=NKC!$M$8),"x","")</f>
        <v>x</v>
      </c>
      <c r="Z991" s="581"/>
      <c r="AA991" s="406"/>
      <c r="AB991" s="406"/>
    </row>
    <row r="992" spans="1:31" s="130" customFormat="1" ht="15.75" customHeight="1">
      <c r="A992" s="123" t="str">
        <f>IF(B992&lt;&gt;"",IF(AND(B992&gt;=_TM1,B992&lt;=_TM2,OR(TH!L992="1111",TH!M992="1111")),TH!D992,""),"")</f>
        <v/>
      </c>
      <c r="B992" s="12">
        <f t="shared" si="50"/>
        <v>9</v>
      </c>
      <c r="C992" s="108">
        <f t="shared" si="51"/>
        <v>42639</v>
      </c>
      <c r="D992" s="113" t="s">
        <v>1073</v>
      </c>
      <c r="E992" s="486">
        <v>42639</v>
      </c>
      <c r="F992" s="167" t="s">
        <v>663</v>
      </c>
      <c r="G992" s="487" t="s">
        <v>758</v>
      </c>
      <c r="H992" s="115" t="s">
        <v>1074</v>
      </c>
      <c r="I992" s="139">
        <v>56</v>
      </c>
      <c r="J992" s="139">
        <v>8985.3569443546003</v>
      </c>
      <c r="K992" s="13">
        <f t="shared" si="49"/>
        <v>503180</v>
      </c>
      <c r="L992" s="116" t="s">
        <v>162</v>
      </c>
      <c r="M992" s="116" t="s">
        <v>160</v>
      </c>
      <c r="N992" s="22" t="str">
        <f>IF(AND('331-CT'!$E$7=TH!H992,OR(L992="331",M992="331")),"331",IF(AND(OR(L992="131",M992="131"),H992='131-CT'!$E$7),"131",""))</f>
        <v/>
      </c>
      <c r="O992" s="22" t="str">
        <f>IF(AND($B992&gt;='111'!$N$11,$B992&lt;='111'!$O$11,OR($L992=$O$7,$M992=$O$7)),"x","")</f>
        <v/>
      </c>
      <c r="P992" s="22" t="str">
        <f>IF(AND($L992=$O$7,$B992&lt;'111'!$N$11),"x","")</f>
        <v/>
      </c>
      <c r="Q992" s="22" t="str">
        <f>IF(AND($M992=$O$7,$B992&lt;'111'!$N$11),"x","")</f>
        <v/>
      </c>
      <c r="R992" s="22" t="str">
        <f>IF(ISERROR(FIND('112'!$M$9,G992,1)),"",IF((AND(FIND('112'!$M$9,G992,1)&gt;=1,$B992&gt;='112'!$N$8,$B992&lt;='112'!$O$8,OR($L992='112'!$I$6,$M992='112'!$I$6))),"x",""))</f>
        <v/>
      </c>
      <c r="S992" s="22" t="str">
        <f>IF(ISERROR(FIND('112'!$M$9,G992,1)),"",IF((AND(LEFT(G992,2)=LEFT('112'!$M$9,2),B992&lt;'112'!$N$8,$L992='112'!$I$6)),"x",""))</f>
        <v/>
      </c>
      <c r="T992" s="22" t="str">
        <f>IF(ISERROR(FIND('112'!$M$9,G992,1)),"",IF((AND(RIGHT(G992,2)=RIGHT('112'!$M$9,2),B992&lt;'112'!$N$8,$M992='112'!$I$6)),"x",""))</f>
        <v/>
      </c>
      <c r="U992" s="22" t="str">
        <f>IF(AND(B992&gt;='IN-NX'!$P$3,B992&lt;='IN-NX'!$Q$3,'IN-NX'!$D$7=D992,OR(LEFT(L992,2)="15",AND(LEFT(M992,2)&lt;&gt;"15",LEFT(M992,2)&lt;&gt;"33"))),"x","")</f>
        <v/>
      </c>
      <c r="V992" s="22" t="str">
        <f>IF(AND(OR(LEFT(TH!L992,2)="15",LEFT(TH!M992,2)="15"),'152-CT'!$J$8=TH!F992),"x","")</f>
        <v/>
      </c>
      <c r="W992" s="22" t="str">
        <f>IF(AND(OR(LEFT(TH!L992,2)="15",LEFT(TH!M992,2)="15"),TK!$E$7=TH!F992),"x","")</f>
        <v/>
      </c>
      <c r="X992" s="22" t="str">
        <f>IF(OR(TH!L992=TH!$X$7,M992=TH!$X$7),"x","")</f>
        <v/>
      </c>
      <c r="Y992" s="22" t="str">
        <f>IF(AND(B992&lt;=NKC!$N$8,B992&gt;=NKC!$M$8),"x","")</f>
        <v>x</v>
      </c>
      <c r="Z992" s="581"/>
      <c r="AA992" s="406"/>
      <c r="AB992" s="406"/>
    </row>
    <row r="993" spans="1:31" s="130" customFormat="1" ht="15.75" customHeight="1">
      <c r="A993" s="123" t="str">
        <f>IF(B993&lt;&gt;"",IF(AND(B993&gt;=_TM1,B993&lt;=_TM2,OR(TH!L993="1111",TH!M993="1111")),TH!D993,""),"")</f>
        <v/>
      </c>
      <c r="B993" s="12">
        <f t="shared" si="50"/>
        <v>9</v>
      </c>
      <c r="C993" s="108">
        <f t="shared" si="51"/>
        <v>42640</v>
      </c>
      <c r="D993" s="113" t="s">
        <v>1073</v>
      </c>
      <c r="E993" s="486">
        <v>42640</v>
      </c>
      <c r="F993" s="167" t="s">
        <v>500</v>
      </c>
      <c r="G993" s="487" t="s">
        <v>759</v>
      </c>
      <c r="H993" s="115" t="s">
        <v>1074</v>
      </c>
      <c r="I993" s="139">
        <v>533</v>
      </c>
      <c r="J993" s="139">
        <v>10551.611824563199</v>
      </c>
      <c r="K993" s="13">
        <f t="shared" si="49"/>
        <v>5624009</v>
      </c>
      <c r="L993" s="116" t="s">
        <v>162</v>
      </c>
      <c r="M993" s="116" t="s">
        <v>160</v>
      </c>
      <c r="N993" s="22" t="str">
        <f>IF(AND('331-CT'!$E$7=TH!H993,OR(L993="331",M993="331")),"331",IF(AND(OR(L993="131",M993="131"),H993='131-CT'!$E$7),"131",""))</f>
        <v/>
      </c>
      <c r="O993" s="22" t="str">
        <f>IF(AND($B993&gt;='111'!$N$11,$B993&lt;='111'!$O$11,OR($L993=$O$7,$M993=$O$7)),"x","")</f>
        <v/>
      </c>
      <c r="P993" s="22" t="str">
        <f>IF(AND($L993=$O$7,$B993&lt;'111'!$N$11),"x","")</f>
        <v/>
      </c>
      <c r="Q993" s="22" t="str">
        <f>IF(AND($M993=$O$7,$B993&lt;'111'!$N$11),"x","")</f>
        <v/>
      </c>
      <c r="R993" s="22" t="str">
        <f>IF(ISERROR(FIND('112'!$M$9,G993,1)),"",IF((AND(FIND('112'!$M$9,G993,1)&gt;=1,$B993&gt;='112'!$N$8,$B993&lt;='112'!$O$8,OR($L993='112'!$I$6,$M993='112'!$I$6))),"x",""))</f>
        <v/>
      </c>
      <c r="S993" s="22" t="str">
        <f>IF(ISERROR(FIND('112'!$M$9,G993,1)),"",IF((AND(LEFT(G993,2)=LEFT('112'!$M$9,2),B993&lt;'112'!$N$8,$L993='112'!$I$6)),"x",""))</f>
        <v/>
      </c>
      <c r="T993" s="22" t="str">
        <f>IF(ISERROR(FIND('112'!$M$9,G993,1)),"",IF((AND(RIGHT(G993,2)=RIGHT('112'!$M$9,2),B993&lt;'112'!$N$8,$M993='112'!$I$6)),"x",""))</f>
        <v/>
      </c>
      <c r="U993" s="22" t="str">
        <f>IF(AND(B993&gt;='IN-NX'!$P$3,B993&lt;='IN-NX'!$Q$3,'IN-NX'!$D$7=D993,OR(LEFT(L993,2)="15",AND(LEFT(M993,2)&lt;&gt;"15",LEFT(M993,2)&lt;&gt;"33"))),"x","")</f>
        <v/>
      </c>
      <c r="V993" s="22" t="str">
        <f>IF(AND(OR(LEFT(TH!L993,2)="15",LEFT(TH!M993,2)="15"),'152-CT'!$J$8=TH!F993),"x","")</f>
        <v/>
      </c>
      <c r="W993" s="22" t="str">
        <f>IF(AND(OR(LEFT(TH!L993,2)="15",LEFT(TH!M993,2)="15"),TK!$E$7=TH!F993),"x","")</f>
        <v/>
      </c>
      <c r="X993" s="22" t="str">
        <f>IF(OR(TH!L993=TH!$X$7,M993=TH!$X$7),"x","")</f>
        <v/>
      </c>
      <c r="Y993" s="22" t="str">
        <f>IF(AND(B993&lt;=NKC!$N$8,B993&gt;=NKC!$M$8),"x","")</f>
        <v>x</v>
      </c>
      <c r="Z993" s="581"/>
      <c r="AA993" s="406"/>
    </row>
    <row r="994" spans="1:31" s="130" customFormat="1" ht="15.75" customHeight="1">
      <c r="A994" s="123" t="str">
        <f>IF(B994&lt;&gt;"",IF(AND(B994&gt;=_TM1,B994&lt;=_TM2,OR(TH!L994="1111",TH!M994="1111")),TH!D994,""),"")</f>
        <v/>
      </c>
      <c r="B994" s="12">
        <f t="shared" si="50"/>
        <v>9</v>
      </c>
      <c r="C994" s="108">
        <f t="shared" si="51"/>
        <v>42640</v>
      </c>
      <c r="D994" s="113" t="s">
        <v>1073</v>
      </c>
      <c r="E994" s="486">
        <v>42640</v>
      </c>
      <c r="F994" s="167" t="s">
        <v>500</v>
      </c>
      <c r="G994" s="487" t="s">
        <v>760</v>
      </c>
      <c r="H994" s="115" t="s">
        <v>1074</v>
      </c>
      <c r="I994" s="139">
        <v>156</v>
      </c>
      <c r="J994" s="139">
        <v>10551.611824563199</v>
      </c>
      <c r="K994" s="13">
        <f t="shared" si="49"/>
        <v>1646051</v>
      </c>
      <c r="L994" s="116" t="s">
        <v>162</v>
      </c>
      <c r="M994" s="116" t="s">
        <v>160</v>
      </c>
      <c r="N994" s="22" t="str">
        <f>IF(AND('331-CT'!$E$7=TH!H994,OR(L994="331",M994="331")),"331",IF(AND(OR(L994="131",M994="131"),H994='131-CT'!$E$7),"131",""))</f>
        <v/>
      </c>
      <c r="O994" s="22" t="str">
        <f>IF(AND($B994&gt;='111'!$N$11,$B994&lt;='111'!$O$11,OR($L994=$O$7,$M994=$O$7)),"x","")</f>
        <v/>
      </c>
      <c r="P994" s="22" t="str">
        <f>IF(AND($L994=$O$7,$B994&lt;'111'!$N$11),"x","")</f>
        <v/>
      </c>
      <c r="Q994" s="22" t="str">
        <f>IF(AND($M994=$O$7,$B994&lt;'111'!$N$11),"x","")</f>
        <v/>
      </c>
      <c r="R994" s="22" t="str">
        <f>IF(ISERROR(FIND('112'!$M$9,G994,1)),"",IF((AND(FIND('112'!$M$9,G994,1)&gt;=1,$B994&gt;='112'!$N$8,$B994&lt;='112'!$O$8,OR($L994='112'!$I$6,$M994='112'!$I$6))),"x",""))</f>
        <v/>
      </c>
      <c r="S994" s="22" t="str">
        <f>IF(ISERROR(FIND('112'!$M$9,G994,1)),"",IF((AND(LEFT(G994,2)=LEFT('112'!$M$9,2),B994&lt;'112'!$N$8,$L994='112'!$I$6)),"x",""))</f>
        <v/>
      </c>
      <c r="T994" s="22" t="str">
        <f>IF(ISERROR(FIND('112'!$M$9,G994,1)),"",IF((AND(RIGHT(G994,2)=RIGHT('112'!$M$9,2),B994&lt;'112'!$N$8,$M994='112'!$I$6)),"x",""))</f>
        <v/>
      </c>
      <c r="U994" s="22" t="str">
        <f>IF(AND(B994&gt;='IN-NX'!$P$3,B994&lt;='IN-NX'!$Q$3,'IN-NX'!$D$7=D994,OR(LEFT(L994,2)="15",AND(LEFT(M994,2)&lt;&gt;"15",LEFT(M994,2)&lt;&gt;"33"))),"x","")</f>
        <v/>
      </c>
      <c r="V994" s="22" t="str">
        <f>IF(AND(OR(LEFT(TH!L994,2)="15",LEFT(TH!M994,2)="15"),'152-CT'!$J$8=TH!F994),"x","")</f>
        <v/>
      </c>
      <c r="W994" s="22" t="str">
        <f>IF(AND(OR(LEFT(TH!L994,2)="15",LEFT(TH!M994,2)="15"),TK!$E$7=TH!F994),"x","")</f>
        <v/>
      </c>
      <c r="X994" s="22" t="str">
        <f>IF(OR(TH!L994=TH!$X$7,M994=TH!$X$7),"x","")</f>
        <v/>
      </c>
      <c r="Y994" s="22" t="str">
        <f>IF(AND(B994&lt;=NKC!$N$8,B994&gt;=NKC!$M$8),"x","")</f>
        <v>x</v>
      </c>
      <c r="Z994" s="581"/>
      <c r="AA994" s="406"/>
    </row>
    <row r="995" spans="1:31" s="130" customFormat="1" ht="15.75" customHeight="1">
      <c r="A995" s="123" t="str">
        <f>IF(B995&lt;&gt;"",IF(AND(B995&gt;=_TM1,B995&lt;=_TM2,OR(TH!L995="1111",TH!M995="1111")),TH!D995,""),"")</f>
        <v/>
      </c>
      <c r="B995" s="12">
        <f t="shared" si="50"/>
        <v>9</v>
      </c>
      <c r="C995" s="108">
        <f t="shared" si="51"/>
        <v>42640</v>
      </c>
      <c r="D995" s="113" t="s">
        <v>1073</v>
      </c>
      <c r="E995" s="486">
        <v>42640</v>
      </c>
      <c r="F995" s="167" t="s">
        <v>654</v>
      </c>
      <c r="G995" s="487" t="s">
        <v>760</v>
      </c>
      <c r="H995" s="115" t="s">
        <v>1074</v>
      </c>
      <c r="I995" s="139">
        <v>2520</v>
      </c>
      <c r="J995" s="139">
        <v>8820.4880095957997</v>
      </c>
      <c r="K995" s="13">
        <f t="shared" si="49"/>
        <v>22227630</v>
      </c>
      <c r="L995" s="116" t="s">
        <v>162</v>
      </c>
      <c r="M995" s="116" t="s">
        <v>160</v>
      </c>
      <c r="N995" s="22" t="str">
        <f>IF(AND('331-CT'!$E$7=TH!H995,OR(L995="331",M995="331")),"331",IF(AND(OR(L995="131",M995="131"),H995='131-CT'!$E$7),"131",""))</f>
        <v/>
      </c>
      <c r="O995" s="22" t="str">
        <f>IF(AND($B995&gt;='111'!$N$11,$B995&lt;='111'!$O$11,OR($L995=$O$7,$M995=$O$7)),"x","")</f>
        <v/>
      </c>
      <c r="P995" s="22" t="str">
        <f>IF(AND($L995=$O$7,$B995&lt;'111'!$N$11),"x","")</f>
        <v/>
      </c>
      <c r="Q995" s="22" t="str">
        <f>IF(AND($M995=$O$7,$B995&lt;'111'!$N$11),"x","")</f>
        <v/>
      </c>
      <c r="R995" s="22" t="str">
        <f>IF(ISERROR(FIND('112'!$M$9,G995,1)),"",IF((AND(FIND('112'!$M$9,G995,1)&gt;=1,$B995&gt;='112'!$N$8,$B995&lt;='112'!$O$8,OR($L995='112'!$I$6,$M995='112'!$I$6))),"x",""))</f>
        <v/>
      </c>
      <c r="S995" s="22" t="str">
        <f>IF(ISERROR(FIND('112'!$M$9,G995,1)),"",IF((AND(LEFT(G995,2)=LEFT('112'!$M$9,2),B995&lt;'112'!$N$8,$L995='112'!$I$6)),"x",""))</f>
        <v/>
      </c>
      <c r="T995" s="22" t="str">
        <f>IF(ISERROR(FIND('112'!$M$9,G995,1)),"",IF((AND(RIGHT(G995,2)=RIGHT('112'!$M$9,2),B995&lt;'112'!$N$8,$M995='112'!$I$6)),"x",""))</f>
        <v/>
      </c>
      <c r="U995" s="22" t="str">
        <f>IF(AND(B995&gt;='IN-NX'!$P$3,B995&lt;='IN-NX'!$Q$3,'IN-NX'!$D$7=D995,OR(LEFT(L995,2)="15",AND(LEFT(M995,2)&lt;&gt;"15",LEFT(M995,2)&lt;&gt;"33"))),"x","")</f>
        <v/>
      </c>
      <c r="V995" s="22" t="str">
        <f>IF(AND(OR(LEFT(TH!L995,2)="15",LEFT(TH!M995,2)="15"),'152-CT'!$J$8=TH!F995),"x","")</f>
        <v/>
      </c>
      <c r="W995" s="22" t="str">
        <f>IF(AND(OR(LEFT(TH!L995,2)="15",LEFT(TH!M995,2)="15"),TK!$E$7=TH!F995),"x","")</f>
        <v/>
      </c>
      <c r="X995" s="22" t="str">
        <f>IF(OR(TH!L995=TH!$X$7,M995=TH!$X$7),"x","")</f>
        <v/>
      </c>
      <c r="Y995" s="22" t="str">
        <f>IF(AND(B995&lt;=NKC!$N$8,B995&gt;=NKC!$M$8),"x","")</f>
        <v>x</v>
      </c>
      <c r="Z995" s="581"/>
      <c r="AA995" s="406"/>
    </row>
    <row r="996" spans="1:31" s="130" customFormat="1" ht="15.75" customHeight="1">
      <c r="A996" s="123" t="str">
        <f>IF(B996&lt;&gt;"",IF(AND(B996&gt;=_TM1,B996&lt;=_TM2,OR(TH!L996="1111",TH!M996="1111")),TH!D996,""),"")</f>
        <v/>
      </c>
      <c r="B996" s="12">
        <f t="shared" si="50"/>
        <v>9</v>
      </c>
      <c r="C996" s="108">
        <f t="shared" si="51"/>
        <v>42640</v>
      </c>
      <c r="D996" s="113" t="s">
        <v>1073</v>
      </c>
      <c r="E996" s="486">
        <v>42640</v>
      </c>
      <c r="F996" s="167" t="s">
        <v>655</v>
      </c>
      <c r="G996" s="487" t="s">
        <v>760</v>
      </c>
      <c r="H996" s="115" t="s">
        <v>1074</v>
      </c>
      <c r="I996" s="139">
        <v>44</v>
      </c>
      <c r="J996" s="139">
        <v>12777.342443807</v>
      </c>
      <c r="K996" s="13">
        <f t="shared" si="49"/>
        <v>562203</v>
      </c>
      <c r="L996" s="116" t="s">
        <v>162</v>
      </c>
      <c r="M996" s="116" t="s">
        <v>160</v>
      </c>
      <c r="N996" s="22" t="str">
        <f>IF(AND('331-CT'!$E$7=TH!H996,OR(L996="331",M996="331")),"331",IF(AND(OR(L996="131",M996="131"),H996='131-CT'!$E$7),"131",""))</f>
        <v/>
      </c>
      <c r="O996" s="22" t="str">
        <f>IF(AND($B996&gt;='111'!$N$11,$B996&lt;='111'!$O$11,OR($L996=$O$7,$M996=$O$7)),"x","")</f>
        <v/>
      </c>
      <c r="P996" s="22" t="str">
        <f>IF(AND($L996=$O$7,$B996&lt;'111'!$N$11),"x","")</f>
        <v/>
      </c>
      <c r="Q996" s="22" t="str">
        <f>IF(AND($M996=$O$7,$B996&lt;'111'!$N$11),"x","")</f>
        <v/>
      </c>
      <c r="R996" s="22" t="str">
        <f>IF(ISERROR(FIND('112'!$M$9,G996,1)),"",IF((AND(FIND('112'!$M$9,G996,1)&gt;=1,$B996&gt;='112'!$N$8,$B996&lt;='112'!$O$8,OR($L996='112'!$I$6,$M996='112'!$I$6))),"x",""))</f>
        <v/>
      </c>
      <c r="S996" s="22" t="str">
        <f>IF(ISERROR(FIND('112'!$M$9,G996,1)),"",IF((AND(LEFT(G996,2)=LEFT('112'!$M$9,2),B996&lt;'112'!$N$8,$L996='112'!$I$6)),"x",""))</f>
        <v/>
      </c>
      <c r="T996" s="22" t="str">
        <f>IF(ISERROR(FIND('112'!$M$9,G996,1)),"",IF((AND(RIGHT(G996,2)=RIGHT('112'!$M$9,2),B996&lt;'112'!$N$8,$M996='112'!$I$6)),"x",""))</f>
        <v/>
      </c>
      <c r="U996" s="22" t="str">
        <f>IF(AND(B996&gt;='IN-NX'!$P$3,B996&lt;='IN-NX'!$Q$3,'IN-NX'!$D$7=D996,OR(LEFT(L996,2)="15",AND(LEFT(M996,2)&lt;&gt;"15",LEFT(M996,2)&lt;&gt;"33"))),"x","")</f>
        <v/>
      </c>
      <c r="V996" s="22" t="str">
        <f>IF(AND(OR(LEFT(TH!L996,2)="15",LEFT(TH!M996,2)="15"),'152-CT'!$J$8=TH!F996),"x","")</f>
        <v/>
      </c>
      <c r="W996" s="22" t="str">
        <f>IF(AND(OR(LEFT(TH!L996,2)="15",LEFT(TH!M996,2)="15"),TK!$E$7=TH!F996),"x","")</f>
        <v/>
      </c>
      <c r="X996" s="22" t="str">
        <f>IF(OR(TH!L996=TH!$X$7,M996=TH!$X$7),"x","")</f>
        <v/>
      </c>
      <c r="Y996" s="22" t="str">
        <f>IF(AND(B996&lt;=NKC!$N$8,B996&gt;=NKC!$M$8),"x","")</f>
        <v>x</v>
      </c>
      <c r="Z996" s="581"/>
      <c r="AA996" s="406"/>
      <c r="AB996" s="406"/>
    </row>
    <row r="997" spans="1:31" s="130" customFormat="1" ht="15.75" customHeight="1">
      <c r="A997" s="123" t="str">
        <f>IF(B997&lt;&gt;"",IF(AND(B997&gt;=_TM1,B997&lt;=_TM2,OR(TH!L997="1111",TH!M997="1111")),TH!D997,""),"")</f>
        <v/>
      </c>
      <c r="B997" s="12">
        <f t="shared" si="50"/>
        <v>9</v>
      </c>
      <c r="C997" s="108">
        <f t="shared" si="51"/>
        <v>42641</v>
      </c>
      <c r="D997" s="113" t="s">
        <v>1073</v>
      </c>
      <c r="E997" s="486">
        <v>42641</v>
      </c>
      <c r="F997" s="167" t="s">
        <v>511</v>
      </c>
      <c r="G997" s="487" t="s">
        <v>431</v>
      </c>
      <c r="H997" s="115" t="s">
        <v>1074</v>
      </c>
      <c r="I997" s="139">
        <v>211</v>
      </c>
      <c r="J997" s="139">
        <v>11046.218628839601</v>
      </c>
      <c r="K997" s="13">
        <f t="shared" si="49"/>
        <v>2330752</v>
      </c>
      <c r="L997" s="116" t="s">
        <v>162</v>
      </c>
      <c r="M997" s="116" t="s">
        <v>160</v>
      </c>
      <c r="N997" s="22" t="str">
        <f>IF(AND('331-CT'!$E$7=TH!H997,OR(L997="331",M997="331")),"331",IF(AND(OR(L997="131",M997="131"),H997='131-CT'!$E$7),"131",""))</f>
        <v/>
      </c>
      <c r="O997" s="22" t="str">
        <f>IF(AND($B997&gt;='111'!$N$11,$B997&lt;='111'!$O$11,OR($L997=$O$7,$M997=$O$7)),"x","")</f>
        <v/>
      </c>
      <c r="P997" s="22" t="str">
        <f>IF(AND($L997=$O$7,$B997&lt;'111'!$N$11),"x","")</f>
        <v/>
      </c>
      <c r="Q997" s="22" t="str">
        <f>IF(AND($M997=$O$7,$B997&lt;'111'!$N$11),"x","")</f>
        <v/>
      </c>
      <c r="R997" s="22" t="str">
        <f>IF(ISERROR(FIND('112'!$M$9,G997,1)),"",IF((AND(FIND('112'!$M$9,G997,1)&gt;=1,$B997&gt;='112'!$N$8,$B997&lt;='112'!$O$8,OR($L997='112'!$I$6,$M997='112'!$I$6))),"x",""))</f>
        <v/>
      </c>
      <c r="S997" s="22" t="str">
        <f>IF(ISERROR(FIND('112'!$M$9,G997,1)),"",IF((AND(LEFT(G997,2)=LEFT('112'!$M$9,2),B997&lt;'112'!$N$8,$L997='112'!$I$6)),"x",""))</f>
        <v/>
      </c>
      <c r="T997" s="22" t="str">
        <f>IF(ISERROR(FIND('112'!$M$9,G997,1)),"",IF((AND(RIGHT(G997,2)=RIGHT('112'!$M$9,2),B997&lt;'112'!$N$8,$M997='112'!$I$6)),"x",""))</f>
        <v/>
      </c>
      <c r="U997" s="22" t="str">
        <f>IF(AND(B997&gt;='IN-NX'!$P$3,B997&lt;='IN-NX'!$Q$3,'IN-NX'!$D$7=D997,OR(LEFT(L997,2)="15",AND(LEFT(M997,2)&lt;&gt;"15",LEFT(M997,2)&lt;&gt;"33"))),"x","")</f>
        <v/>
      </c>
      <c r="V997" s="22" t="str">
        <f>IF(AND(OR(LEFT(TH!L997,2)="15",LEFT(TH!M997,2)="15"),'152-CT'!$J$8=TH!F997),"x","")</f>
        <v/>
      </c>
      <c r="W997" s="22" t="str">
        <f>IF(AND(OR(LEFT(TH!L997,2)="15",LEFT(TH!M997,2)="15"),TK!$E$7=TH!F997),"x","")</f>
        <v/>
      </c>
      <c r="X997" s="22" t="str">
        <f>IF(OR(TH!L997=TH!$X$7,M997=TH!$X$7),"x","")</f>
        <v/>
      </c>
      <c r="Y997" s="22" t="str">
        <f>IF(AND(B997&lt;=NKC!$N$8,B997&gt;=NKC!$M$8),"x","")</f>
        <v>x</v>
      </c>
      <c r="Z997" s="580"/>
      <c r="AA997" s="406"/>
      <c r="AB997" s="406"/>
    </row>
    <row r="998" spans="1:31" s="564" customFormat="1" ht="15.75" customHeight="1">
      <c r="A998" s="603" t="str">
        <f>IF(B998&lt;&gt;"",IF(AND(B998&gt;=_TM1,B998&lt;=_TM2,OR(TH!L998="1111",TH!M998="1111")),TH!D998,""),"")</f>
        <v/>
      </c>
      <c r="B998" s="556">
        <f t="shared" si="50"/>
        <v>10</v>
      </c>
      <c r="C998" s="557">
        <f t="shared" si="51"/>
        <v>42647</v>
      </c>
      <c r="D998" s="558" t="s">
        <v>1073</v>
      </c>
      <c r="E998" s="617">
        <v>42647</v>
      </c>
      <c r="F998" s="621" t="s">
        <v>802</v>
      </c>
      <c r="G998" s="619" t="s">
        <v>801</v>
      </c>
      <c r="H998" s="620" t="s">
        <v>1074</v>
      </c>
      <c r="I998" s="562">
        <v>423</v>
      </c>
      <c r="J998" s="562">
        <v>5706.4898215078556</v>
      </c>
      <c r="K998" s="568">
        <f t="shared" ref="K998:K1061" si="52">ROUND(I998*J998,0)</f>
        <v>2413845</v>
      </c>
      <c r="L998" s="573" t="s">
        <v>162</v>
      </c>
      <c r="M998" s="573" t="s">
        <v>160</v>
      </c>
      <c r="N998" s="22" t="str">
        <f>IF(AND('331-CT'!$E$7=TH!H998,OR(L998="331",M998="331")),"331",IF(AND(OR(L998="131",M998="131"),H998='131-CT'!$E$7),"131",""))</f>
        <v/>
      </c>
      <c r="O998" s="22" t="str">
        <f>IF(AND($B998&gt;='111'!$N$11,$B998&lt;='111'!$O$11,OR($L998=$O$7,$M998=$O$7)),"x","")</f>
        <v/>
      </c>
      <c r="P998" s="22" t="str">
        <f>IF(AND($L998=$O$7,$B998&lt;'111'!$N$11),"x","")</f>
        <v/>
      </c>
      <c r="Q998" s="22" t="str">
        <f>IF(AND($M998=$O$7,$B998&lt;'111'!$N$11),"x","")</f>
        <v/>
      </c>
      <c r="R998" s="22" t="str">
        <f>IF(ISERROR(FIND('112'!$M$9,G998,1)),"",IF((AND(FIND('112'!$M$9,G998,1)&gt;=1,$B998&gt;='112'!$N$8,$B998&lt;='112'!$O$8,OR($L998='112'!$I$6,$M998='112'!$I$6))),"x",""))</f>
        <v/>
      </c>
      <c r="S998" s="22" t="str">
        <f>IF(ISERROR(FIND('112'!$M$9,G998,1)),"",IF((AND(LEFT(G998,2)=LEFT('112'!$M$9,2),B998&lt;'112'!$N$8,$L998='112'!$I$6)),"x",""))</f>
        <v/>
      </c>
      <c r="T998" s="22" t="str">
        <f>IF(ISERROR(FIND('112'!$M$9,G998,1)),"",IF((AND(RIGHT(G998,2)=RIGHT('112'!$M$9,2),B998&lt;'112'!$N$8,$M998='112'!$I$6)),"x",""))</f>
        <v/>
      </c>
      <c r="U998" s="22" t="str">
        <f>IF(AND(B998&gt;='IN-NX'!$P$3,B998&lt;='IN-NX'!$Q$3,'IN-NX'!$D$7=D998,OR(LEFT(L998,2)="15",AND(LEFT(M998,2)&lt;&gt;"15",LEFT(M998,2)&lt;&gt;"33"))),"x","")</f>
        <v/>
      </c>
      <c r="V998" s="22" t="str">
        <f>IF(AND(OR(LEFT(TH!L998,2)="15",LEFT(TH!M998,2)="15"),'152-CT'!$J$8=TH!F998),"x","")</f>
        <v/>
      </c>
      <c r="W998" s="22" t="str">
        <f>IF(AND(OR(LEFT(TH!L998,2)="15",LEFT(TH!M998,2)="15"),TK!$E$7=TH!F998),"x","")</f>
        <v/>
      </c>
      <c r="X998" s="22" t="str">
        <f>IF(OR(TH!L998=TH!$X$7,M998=TH!$X$7),"x","")</f>
        <v/>
      </c>
      <c r="Y998" s="22" t="str">
        <f>IF(AND(B998&lt;=NKC!$N$8,B998&gt;=NKC!$M$8),"x","")</f>
        <v/>
      </c>
      <c r="Z998" s="582"/>
      <c r="AA998" s="563"/>
      <c r="AB998" s="563"/>
    </row>
    <row r="999" spans="1:31" s="130" customFormat="1" ht="15.75" customHeight="1">
      <c r="A999" s="123" t="str">
        <f>IF(B999&lt;&gt;"",IF(AND(B999&gt;=_TM1,B999&lt;=_TM2,OR(TH!L999="1111",TH!M999="1111")),TH!D999,""),"")</f>
        <v/>
      </c>
      <c r="B999" s="12">
        <f t="shared" si="50"/>
        <v>10</v>
      </c>
      <c r="C999" s="108">
        <f t="shared" si="51"/>
        <v>42647</v>
      </c>
      <c r="D999" s="113" t="s">
        <v>1073</v>
      </c>
      <c r="E999" s="484">
        <v>42647</v>
      </c>
      <c r="F999" s="167" t="s">
        <v>804</v>
      </c>
      <c r="G999" s="485" t="s">
        <v>803</v>
      </c>
      <c r="H999" s="115" t="s">
        <v>1074</v>
      </c>
      <c r="I999" s="139">
        <v>943</v>
      </c>
      <c r="J999" s="139">
        <v>5402.1436976941031</v>
      </c>
      <c r="K999" s="13">
        <f t="shared" si="52"/>
        <v>5094222</v>
      </c>
      <c r="L999" s="116" t="s">
        <v>162</v>
      </c>
      <c r="M999" s="116" t="s">
        <v>160</v>
      </c>
      <c r="N999" s="22" t="str">
        <f>IF(AND('331-CT'!$E$7=TH!H999,OR(L999="331",M999="331")),"331",IF(AND(OR(L999="131",M999="131"),H999='131-CT'!$E$7),"131",""))</f>
        <v/>
      </c>
      <c r="O999" s="22" t="str">
        <f>IF(AND($B999&gt;='111'!$N$11,$B999&lt;='111'!$O$11,OR($L999=$O$7,$M999=$O$7)),"x","")</f>
        <v/>
      </c>
      <c r="P999" s="22" t="str">
        <f>IF(AND($L999=$O$7,$B999&lt;'111'!$N$11),"x","")</f>
        <v/>
      </c>
      <c r="Q999" s="22" t="str">
        <f>IF(AND($M999=$O$7,$B999&lt;'111'!$N$11),"x","")</f>
        <v/>
      </c>
      <c r="R999" s="22" t="str">
        <f>IF(ISERROR(FIND('112'!$M$9,G999,1)),"",IF((AND(FIND('112'!$M$9,G999,1)&gt;=1,$B999&gt;='112'!$N$8,$B999&lt;='112'!$O$8,OR($L999='112'!$I$6,$M999='112'!$I$6))),"x",""))</f>
        <v/>
      </c>
      <c r="S999" s="22" t="str">
        <f>IF(ISERROR(FIND('112'!$M$9,G999,1)),"",IF((AND(LEFT(G999,2)=LEFT('112'!$M$9,2),B999&lt;'112'!$N$8,$L999='112'!$I$6)),"x",""))</f>
        <v/>
      </c>
      <c r="T999" s="22" t="str">
        <f>IF(ISERROR(FIND('112'!$M$9,G999,1)),"",IF((AND(RIGHT(G999,2)=RIGHT('112'!$M$9,2),B999&lt;'112'!$N$8,$M999='112'!$I$6)),"x",""))</f>
        <v/>
      </c>
      <c r="U999" s="22" t="str">
        <f>IF(AND(B999&gt;='IN-NX'!$P$3,B999&lt;='IN-NX'!$Q$3,'IN-NX'!$D$7=D999,OR(LEFT(L999,2)="15",AND(LEFT(M999,2)&lt;&gt;"15",LEFT(M999,2)&lt;&gt;"33"))),"x","")</f>
        <v/>
      </c>
      <c r="V999" s="22" t="str">
        <f>IF(AND(OR(LEFT(TH!L999,2)="15",LEFT(TH!M999,2)="15"),'152-CT'!$J$8=TH!F999),"x","")</f>
        <v/>
      </c>
      <c r="W999" s="22" t="str">
        <f>IF(AND(OR(LEFT(TH!L999,2)="15",LEFT(TH!M999,2)="15"),TK!$E$7=TH!F999),"x","")</f>
        <v/>
      </c>
      <c r="X999" s="22" t="str">
        <f>IF(OR(TH!L999=TH!$X$7,M999=TH!$X$7),"x","")</f>
        <v/>
      </c>
      <c r="Y999" s="22" t="str">
        <f>IF(AND(B999&lt;=NKC!$N$8,B999&gt;=NKC!$M$8),"x","")</f>
        <v/>
      </c>
      <c r="Z999" s="580"/>
      <c r="AA999" s="406"/>
      <c r="AB999" s="406"/>
    </row>
    <row r="1000" spans="1:31" s="130" customFormat="1" ht="15.75" customHeight="1">
      <c r="A1000" s="123" t="str">
        <f>IF(B1000&lt;&gt;"",IF(AND(B1000&gt;=_TM1,B1000&lt;=_TM2,OR(TH!L1000="1111",TH!M1000="1111")),TH!D1000,""),"")</f>
        <v/>
      </c>
      <c r="B1000" s="12">
        <f t="shared" ref="B1000:B1063" si="53">IF(C1000&lt;&gt;"",MONTH(C1000),"")</f>
        <v>10</v>
      </c>
      <c r="C1000" s="108">
        <f t="shared" si="51"/>
        <v>42647</v>
      </c>
      <c r="D1000" s="113" t="s">
        <v>1073</v>
      </c>
      <c r="E1000" s="484">
        <v>42647</v>
      </c>
      <c r="F1000" s="167" t="s">
        <v>805</v>
      </c>
      <c r="G1000" s="485" t="s">
        <v>803</v>
      </c>
      <c r="H1000" s="115" t="s">
        <v>1074</v>
      </c>
      <c r="I1000" s="139">
        <v>270</v>
      </c>
      <c r="J1000" s="139">
        <v>6543.4416619956746</v>
      </c>
      <c r="K1000" s="13">
        <f t="shared" si="52"/>
        <v>1766729</v>
      </c>
      <c r="L1000" s="116" t="s">
        <v>162</v>
      </c>
      <c r="M1000" s="116" t="s">
        <v>160</v>
      </c>
      <c r="N1000" s="22" t="str">
        <f>IF(AND('331-CT'!$E$7=TH!H1000,OR(L1000="331",M1000="331")),"331",IF(AND(OR(L1000="131",M1000="131"),H1000='131-CT'!$E$7),"131",""))</f>
        <v/>
      </c>
      <c r="O1000" s="22" t="str">
        <f>IF(AND($B1000&gt;='111'!$N$11,$B1000&lt;='111'!$O$11,OR($L1000=$O$7,$M1000=$O$7)),"x","")</f>
        <v/>
      </c>
      <c r="P1000" s="22" t="str">
        <f>IF(AND($L1000=$O$7,$B1000&lt;'111'!$N$11),"x","")</f>
        <v/>
      </c>
      <c r="Q1000" s="22" t="str">
        <f>IF(AND($M1000=$O$7,$B1000&lt;'111'!$N$11),"x","")</f>
        <v/>
      </c>
      <c r="R1000" s="22" t="str">
        <f>IF(ISERROR(FIND('112'!$M$9,G1000,1)),"",IF((AND(FIND('112'!$M$9,G1000,1)&gt;=1,$B1000&gt;='112'!$N$8,$B1000&lt;='112'!$O$8,OR($L1000='112'!$I$6,$M1000='112'!$I$6))),"x",""))</f>
        <v/>
      </c>
      <c r="S1000" s="22" t="str">
        <f>IF(ISERROR(FIND('112'!$M$9,G1000,1)),"",IF((AND(LEFT(G1000,2)=LEFT('112'!$M$9,2),B1000&lt;'112'!$N$8,$L1000='112'!$I$6)),"x",""))</f>
        <v/>
      </c>
      <c r="T1000" s="22" t="str">
        <f>IF(ISERROR(FIND('112'!$M$9,G1000,1)),"",IF((AND(RIGHT(G1000,2)=RIGHT('112'!$M$9,2),B1000&lt;'112'!$N$8,$M1000='112'!$I$6)),"x",""))</f>
        <v/>
      </c>
      <c r="U1000" s="22" t="str">
        <f>IF(AND(B1000&gt;='IN-NX'!$P$3,B1000&lt;='IN-NX'!$Q$3,'IN-NX'!$D$7=D1000,OR(LEFT(L1000,2)="15",AND(LEFT(M1000,2)&lt;&gt;"15",LEFT(M1000,2)&lt;&gt;"33"))),"x","")</f>
        <v/>
      </c>
      <c r="V1000" s="22" t="str">
        <f>IF(AND(OR(LEFT(TH!L1000,2)="15",LEFT(TH!M1000,2)="15"),'152-CT'!$J$8=TH!F1000),"x","")</f>
        <v/>
      </c>
      <c r="W1000" s="22" t="str">
        <f>IF(AND(OR(LEFT(TH!L1000,2)="15",LEFT(TH!M1000,2)="15"),TK!$E$7=TH!F1000),"x","")</f>
        <v/>
      </c>
      <c r="X1000" s="22" t="str">
        <f>IF(OR(TH!L1000=TH!$X$7,M1000=TH!$X$7),"x","")</f>
        <v/>
      </c>
      <c r="Y1000" s="22" t="str">
        <f>IF(AND(B1000&lt;=NKC!$N$8,B1000&gt;=NKC!$M$8),"x","")</f>
        <v/>
      </c>
      <c r="Z1000" s="580"/>
      <c r="AA1000" s="406"/>
      <c r="AB1000" s="406"/>
    </row>
    <row r="1001" spans="1:31" s="130" customFormat="1" ht="15.75" customHeight="1">
      <c r="A1001" s="123" t="str">
        <f>IF(B1001&lt;&gt;"",IF(AND(B1001&gt;=_TM1,B1001&lt;=_TM2,OR(TH!L1001="1111",TH!M1001="1111")),TH!D1001,""),"")</f>
        <v/>
      </c>
      <c r="B1001" s="12">
        <f t="shared" si="53"/>
        <v>10</v>
      </c>
      <c r="C1001" s="108">
        <f t="shared" si="51"/>
        <v>42648</v>
      </c>
      <c r="D1001" s="113" t="s">
        <v>1073</v>
      </c>
      <c r="E1001" s="484">
        <v>42648</v>
      </c>
      <c r="F1001" s="167" t="s">
        <v>807</v>
      </c>
      <c r="G1001" s="485" t="s">
        <v>806</v>
      </c>
      <c r="H1001" s="115" t="s">
        <v>1074</v>
      </c>
      <c r="I1001" s="139">
        <v>305</v>
      </c>
      <c r="J1001" s="139">
        <v>7076.0473786697412</v>
      </c>
      <c r="K1001" s="13">
        <f t="shared" si="52"/>
        <v>2158194</v>
      </c>
      <c r="L1001" s="116" t="s">
        <v>162</v>
      </c>
      <c r="M1001" s="116" t="s">
        <v>160</v>
      </c>
      <c r="N1001" s="22" t="str">
        <f>IF(AND('331-CT'!$E$7=TH!H1001,OR(L1001="331",M1001="331")),"331",IF(AND(OR(L1001="131",M1001="131"),H1001='131-CT'!$E$7),"131",""))</f>
        <v/>
      </c>
      <c r="O1001" s="22" t="str">
        <f>IF(AND($B1001&gt;='111'!$N$11,$B1001&lt;='111'!$O$11,OR($L1001=$O$7,$M1001=$O$7)),"x","")</f>
        <v/>
      </c>
      <c r="P1001" s="22" t="str">
        <f>IF(AND($L1001=$O$7,$B1001&lt;'111'!$N$11),"x","")</f>
        <v/>
      </c>
      <c r="Q1001" s="22" t="str">
        <f>IF(AND($M1001=$O$7,$B1001&lt;'111'!$N$11),"x","")</f>
        <v/>
      </c>
      <c r="R1001" s="22" t="str">
        <f>IF(ISERROR(FIND('112'!$M$9,G1001,1)),"",IF((AND(FIND('112'!$M$9,G1001,1)&gt;=1,$B1001&gt;='112'!$N$8,$B1001&lt;='112'!$O$8,OR($L1001='112'!$I$6,$M1001='112'!$I$6))),"x",""))</f>
        <v/>
      </c>
      <c r="S1001" s="22" t="str">
        <f>IF(ISERROR(FIND('112'!$M$9,G1001,1)),"",IF((AND(LEFT(G1001,2)=LEFT('112'!$M$9,2),B1001&lt;'112'!$N$8,$L1001='112'!$I$6)),"x",""))</f>
        <v/>
      </c>
      <c r="T1001" s="22" t="str">
        <f>IF(ISERROR(FIND('112'!$M$9,G1001,1)),"",IF((AND(RIGHT(G1001,2)=RIGHT('112'!$M$9,2),B1001&lt;'112'!$N$8,$M1001='112'!$I$6)),"x",""))</f>
        <v/>
      </c>
      <c r="U1001" s="22" t="str">
        <f>IF(AND(B1001&gt;='IN-NX'!$P$3,B1001&lt;='IN-NX'!$Q$3,'IN-NX'!$D$7=D1001,OR(LEFT(L1001,2)="15",AND(LEFT(M1001,2)&lt;&gt;"15",LEFT(M1001,2)&lt;&gt;"33"))),"x","")</f>
        <v/>
      </c>
      <c r="V1001" s="22" t="str">
        <f>IF(AND(OR(LEFT(TH!L1001,2)="15",LEFT(TH!M1001,2)="15"),'152-CT'!$J$8=TH!F1001),"x","")</f>
        <v/>
      </c>
      <c r="W1001" s="22" t="str">
        <f>IF(AND(OR(LEFT(TH!L1001,2)="15",LEFT(TH!M1001,2)="15"),TK!$E$7=TH!F1001),"x","")</f>
        <v/>
      </c>
      <c r="X1001" s="22" t="str">
        <f>IF(OR(TH!L1001=TH!$X$7,M1001=TH!$X$7),"x","")</f>
        <v/>
      </c>
      <c r="Y1001" s="22" t="str">
        <f>IF(AND(B1001&lt;=NKC!$N$8,B1001&gt;=NKC!$M$8),"x","")</f>
        <v/>
      </c>
      <c r="Z1001" s="580"/>
      <c r="AA1001" s="406"/>
      <c r="AB1001" s="406"/>
    </row>
    <row r="1002" spans="1:31" s="130" customFormat="1" ht="15.75" customHeight="1">
      <c r="A1002" s="123" t="str">
        <f>IF(B1002&lt;&gt;"",IF(AND(B1002&gt;=_TM1,B1002&lt;=_TM2,OR(TH!L1002="1111",TH!M1002="1111")),TH!D1002,""),"")</f>
        <v/>
      </c>
      <c r="B1002" s="12">
        <f t="shared" si="53"/>
        <v>10</v>
      </c>
      <c r="C1002" s="108">
        <f t="shared" si="51"/>
        <v>42648</v>
      </c>
      <c r="D1002" s="113" t="s">
        <v>1073</v>
      </c>
      <c r="E1002" s="484">
        <v>42648</v>
      </c>
      <c r="F1002" s="167" t="s">
        <v>808</v>
      </c>
      <c r="G1002" s="485" t="s">
        <v>806</v>
      </c>
      <c r="H1002" s="115" t="s">
        <v>1074</v>
      </c>
      <c r="I1002" s="139">
        <v>55</v>
      </c>
      <c r="J1002" s="139">
        <v>6847.7877858094271</v>
      </c>
      <c r="K1002" s="13">
        <f t="shared" si="52"/>
        <v>376628</v>
      </c>
      <c r="L1002" s="116" t="s">
        <v>162</v>
      </c>
      <c r="M1002" s="116" t="s">
        <v>160</v>
      </c>
      <c r="N1002" s="22" t="str">
        <f>IF(AND('331-CT'!$E$7=TH!H1002,OR(L1002="331",M1002="331")),"331",IF(AND(OR(L1002="131",M1002="131"),H1002='131-CT'!$E$7),"131",""))</f>
        <v/>
      </c>
      <c r="O1002" s="22" t="str">
        <f>IF(AND($B1002&gt;='111'!$N$11,$B1002&lt;='111'!$O$11,OR($L1002=$O$7,$M1002=$O$7)),"x","")</f>
        <v/>
      </c>
      <c r="P1002" s="22" t="str">
        <f>IF(AND($L1002=$O$7,$B1002&lt;'111'!$N$11),"x","")</f>
        <v/>
      </c>
      <c r="Q1002" s="22" t="str">
        <f>IF(AND($M1002=$O$7,$B1002&lt;'111'!$N$11),"x","")</f>
        <v/>
      </c>
      <c r="R1002" s="22" t="str">
        <f>IF(ISERROR(FIND('112'!$M$9,G1002,1)),"",IF((AND(FIND('112'!$M$9,G1002,1)&gt;=1,$B1002&gt;='112'!$N$8,$B1002&lt;='112'!$O$8,OR($L1002='112'!$I$6,$M1002='112'!$I$6))),"x",""))</f>
        <v/>
      </c>
      <c r="S1002" s="22" t="str">
        <f>IF(ISERROR(FIND('112'!$M$9,G1002,1)),"",IF((AND(LEFT(G1002,2)=LEFT('112'!$M$9,2),B1002&lt;'112'!$N$8,$L1002='112'!$I$6)),"x",""))</f>
        <v/>
      </c>
      <c r="T1002" s="22" t="str">
        <f>IF(ISERROR(FIND('112'!$M$9,G1002,1)),"",IF((AND(RIGHT(G1002,2)=RIGHT('112'!$M$9,2),B1002&lt;'112'!$N$8,$M1002='112'!$I$6)),"x",""))</f>
        <v/>
      </c>
      <c r="U1002" s="22" t="str">
        <f>IF(AND(B1002&gt;='IN-NX'!$P$3,B1002&lt;='IN-NX'!$Q$3,'IN-NX'!$D$7=D1002,OR(LEFT(L1002,2)="15",AND(LEFT(M1002,2)&lt;&gt;"15",LEFT(M1002,2)&lt;&gt;"33"))),"x","")</f>
        <v/>
      </c>
      <c r="V1002" s="22" t="str">
        <f>IF(AND(OR(LEFT(TH!L1002,2)="15",LEFT(TH!M1002,2)="15"),'152-CT'!$J$8=TH!F1002),"x","")</f>
        <v/>
      </c>
      <c r="W1002" s="22" t="str">
        <f>IF(AND(OR(LEFT(TH!L1002,2)="15",LEFT(TH!M1002,2)="15"),TK!$E$7=TH!F1002),"x","")</f>
        <v/>
      </c>
      <c r="X1002" s="22" t="str">
        <f>IF(OR(TH!L1002=TH!$X$7,M1002=TH!$X$7),"x","")</f>
        <v/>
      </c>
      <c r="Y1002" s="22" t="str">
        <f>IF(AND(B1002&lt;=NKC!$N$8,B1002&gt;=NKC!$M$8),"x","")</f>
        <v/>
      </c>
      <c r="Z1002" s="580"/>
      <c r="AA1002" s="406"/>
    </row>
    <row r="1003" spans="1:31" s="130" customFormat="1" ht="15.75" customHeight="1">
      <c r="A1003" s="123" t="str">
        <f>IF(B1003&lt;&gt;"",IF(AND(B1003&gt;=_TM1,B1003&lt;=_TM2,OR(TH!L1003="1111",TH!M1003="1111")),TH!D1003,""),"")</f>
        <v/>
      </c>
      <c r="B1003" s="12">
        <f t="shared" si="53"/>
        <v>10</v>
      </c>
      <c r="C1003" s="108">
        <f t="shared" si="51"/>
        <v>42648</v>
      </c>
      <c r="D1003" s="113" t="s">
        <v>1073</v>
      </c>
      <c r="E1003" s="484">
        <v>42648</v>
      </c>
      <c r="F1003" s="167" t="s">
        <v>809</v>
      </c>
      <c r="G1003" s="485" t="s">
        <v>806</v>
      </c>
      <c r="H1003" s="115" t="s">
        <v>1074</v>
      </c>
      <c r="I1003" s="504">
        <v>205</v>
      </c>
      <c r="J1003" s="139">
        <v>2358.6824595565804</v>
      </c>
      <c r="K1003" s="13">
        <f t="shared" si="52"/>
        <v>483530</v>
      </c>
      <c r="L1003" s="116" t="s">
        <v>162</v>
      </c>
      <c r="M1003" s="116" t="s">
        <v>160</v>
      </c>
      <c r="N1003" s="22" t="str">
        <f>IF(AND('331-CT'!$E$7=TH!H1003,OR(L1003="331",M1003="331")),"331",IF(AND(OR(L1003="131",M1003="131"),H1003='131-CT'!$E$7),"131",""))</f>
        <v/>
      </c>
      <c r="O1003" s="22" t="str">
        <f>IF(AND($B1003&gt;='111'!$N$11,$B1003&lt;='111'!$O$11,OR($L1003=$O$7,$M1003=$O$7)),"x","")</f>
        <v/>
      </c>
      <c r="P1003" s="22" t="str">
        <f>IF(AND($L1003=$O$7,$B1003&lt;'111'!$N$11),"x","")</f>
        <v/>
      </c>
      <c r="Q1003" s="22" t="str">
        <f>IF(AND($M1003=$O$7,$B1003&lt;'111'!$N$11),"x","")</f>
        <v/>
      </c>
      <c r="R1003" s="22" t="str">
        <f>IF(ISERROR(FIND('112'!$M$9,G1003,1)),"",IF((AND(FIND('112'!$M$9,G1003,1)&gt;=1,$B1003&gt;='112'!$N$8,$B1003&lt;='112'!$O$8,OR($L1003='112'!$I$6,$M1003='112'!$I$6))),"x",""))</f>
        <v/>
      </c>
      <c r="S1003" s="22" t="str">
        <f>IF(ISERROR(FIND('112'!$M$9,G1003,1)),"",IF((AND(LEFT(G1003,2)=LEFT('112'!$M$9,2),B1003&lt;'112'!$N$8,$L1003='112'!$I$6)),"x",""))</f>
        <v/>
      </c>
      <c r="T1003" s="22" t="str">
        <f>IF(ISERROR(FIND('112'!$M$9,G1003,1)),"",IF((AND(RIGHT(G1003,2)=RIGHT('112'!$M$9,2),B1003&lt;'112'!$N$8,$M1003='112'!$I$6)),"x",""))</f>
        <v/>
      </c>
      <c r="U1003" s="22" t="str">
        <f>IF(AND(B1003&gt;='IN-NX'!$P$3,B1003&lt;='IN-NX'!$Q$3,'IN-NX'!$D$7=D1003,OR(LEFT(L1003,2)="15",AND(LEFT(M1003,2)&lt;&gt;"15",LEFT(M1003,2)&lt;&gt;"33"))),"x","")</f>
        <v/>
      </c>
      <c r="V1003" s="22" t="str">
        <f>IF(AND(OR(LEFT(TH!L1003,2)="15",LEFT(TH!M1003,2)="15"),'152-CT'!$J$8=TH!F1003),"x","")</f>
        <v/>
      </c>
      <c r="W1003" s="22" t="str">
        <f>IF(AND(OR(LEFT(TH!L1003,2)="15",LEFT(TH!M1003,2)="15"),TK!$E$7=TH!F1003),"x","")</f>
        <v/>
      </c>
      <c r="X1003" s="22" t="str">
        <f>IF(OR(TH!L1003=TH!$X$7,M1003=TH!$X$7),"x","")</f>
        <v/>
      </c>
      <c r="Y1003" s="22" t="str">
        <f>IF(AND(B1003&lt;=NKC!$N$8,B1003&gt;=NKC!$M$8),"x","")</f>
        <v/>
      </c>
      <c r="Z1003" s="580"/>
      <c r="AA1003" s="406"/>
      <c r="AB1003" s="406"/>
    </row>
    <row r="1004" spans="1:31" s="130" customFormat="1" ht="15.75" customHeight="1">
      <c r="A1004" s="123" t="str">
        <f>IF(B1004&lt;&gt;"",IF(AND(B1004&gt;=_TM1,B1004&lt;=_TM2,OR(TH!L1004="1111",TH!M1004="1111")),TH!D1004,""),"")</f>
        <v/>
      </c>
      <c r="B1004" s="556">
        <f t="shared" si="53"/>
        <v>10</v>
      </c>
      <c r="C1004" s="108">
        <f t="shared" si="51"/>
        <v>42648</v>
      </c>
      <c r="D1004" s="113" t="s">
        <v>1073</v>
      </c>
      <c r="E1004" s="484">
        <v>42648</v>
      </c>
      <c r="F1004" s="167" t="s">
        <v>520</v>
      </c>
      <c r="G1004" s="485" t="s">
        <v>810</v>
      </c>
      <c r="H1004" s="115" t="s">
        <v>1074</v>
      </c>
      <c r="I1004" s="142">
        <v>320</v>
      </c>
      <c r="J1004" s="142">
        <v>6239.0955381819222</v>
      </c>
      <c r="K1004" s="13">
        <f t="shared" si="52"/>
        <v>1996511</v>
      </c>
      <c r="L1004" s="116" t="s">
        <v>162</v>
      </c>
      <c r="M1004" s="116" t="s">
        <v>160</v>
      </c>
      <c r="N1004" s="22" t="str">
        <f>IF(AND('331-CT'!$E$7=TH!H1004,OR(L1004="331",M1004="331")),"331",IF(AND(OR(L1004="131",M1004="131"),H1004='131-CT'!$E$7),"131",""))</f>
        <v/>
      </c>
      <c r="O1004" s="22" t="str">
        <f>IF(AND($B1004&gt;='111'!$N$11,$B1004&lt;='111'!$O$11,OR($L1004=$O$7,$M1004=$O$7)),"x","")</f>
        <v/>
      </c>
      <c r="P1004" s="22" t="str">
        <f>IF(AND($L1004=$O$7,$B1004&lt;'111'!$N$11),"x","")</f>
        <v/>
      </c>
      <c r="Q1004" s="22" t="str">
        <f>IF(AND($M1004=$O$7,$B1004&lt;'111'!$N$11),"x","")</f>
        <v/>
      </c>
      <c r="R1004" s="22" t="str">
        <f>IF(ISERROR(FIND('112'!$M$9,G1004,1)),"",IF((AND(FIND('112'!$M$9,G1004,1)&gt;=1,$B1004&gt;='112'!$N$8,$B1004&lt;='112'!$O$8,OR($L1004='112'!$I$6,$M1004='112'!$I$6))),"x",""))</f>
        <v/>
      </c>
      <c r="S1004" s="22" t="str">
        <f>IF(ISERROR(FIND('112'!$M$9,G1004,1)),"",IF((AND(LEFT(G1004,2)=LEFT('112'!$M$9,2),B1004&lt;'112'!$N$8,$L1004='112'!$I$6)),"x",""))</f>
        <v/>
      </c>
      <c r="T1004" s="22" t="str">
        <f>IF(ISERROR(FIND('112'!$M$9,G1004,1)),"",IF((AND(RIGHT(G1004,2)=RIGHT('112'!$M$9,2),B1004&lt;'112'!$N$8,$M1004='112'!$I$6)),"x",""))</f>
        <v/>
      </c>
      <c r="U1004" s="22" t="str">
        <f>IF(AND(B1004&gt;='IN-NX'!$P$3,B1004&lt;='IN-NX'!$Q$3,'IN-NX'!$D$7=D1004,OR(LEFT(L1004,2)="15",AND(LEFT(M1004,2)&lt;&gt;"15",LEFT(M1004,2)&lt;&gt;"33"))),"x","")</f>
        <v/>
      </c>
      <c r="V1004" s="22" t="str">
        <f>IF(AND(OR(LEFT(TH!L1004,2)="15",LEFT(TH!M1004,2)="15"),'152-CT'!$J$8=TH!F1004),"x","")</f>
        <v/>
      </c>
      <c r="W1004" s="22" t="str">
        <f>IF(AND(OR(LEFT(TH!L1004,2)="15",LEFT(TH!M1004,2)="15"),TK!$E$7=TH!F1004),"x","")</f>
        <v/>
      </c>
      <c r="X1004" s="22" t="str">
        <f>IF(OR(TH!L1004=TH!$X$7,M1004=TH!$X$7),"x","")</f>
        <v/>
      </c>
      <c r="Y1004" s="22" t="str">
        <f>IF(AND(B1004&lt;=NKC!$N$8,B1004&gt;=NKC!$M$8),"x","")</f>
        <v/>
      </c>
      <c r="Z1004" s="580"/>
      <c r="AA1004" s="563"/>
      <c r="AB1004" s="564"/>
      <c r="AC1004" s="564"/>
      <c r="AD1004" s="564"/>
      <c r="AE1004" s="565"/>
    </row>
    <row r="1005" spans="1:31" s="130" customFormat="1" ht="15.75" customHeight="1">
      <c r="A1005" s="123" t="str">
        <f>IF(B1005&lt;&gt;"",IF(AND(B1005&gt;=_TM1,B1005&lt;=_TM2,OR(TH!L1005="1111",TH!M1005="1111")),TH!D1005,""),"")</f>
        <v/>
      </c>
      <c r="B1005" s="12">
        <f t="shared" si="53"/>
        <v>10</v>
      </c>
      <c r="C1005" s="108">
        <f t="shared" si="51"/>
        <v>42648</v>
      </c>
      <c r="D1005" s="113" t="s">
        <v>1073</v>
      </c>
      <c r="E1005" s="484">
        <v>42648</v>
      </c>
      <c r="F1005" s="167" t="s">
        <v>522</v>
      </c>
      <c r="G1005" s="485" t="s">
        <v>810</v>
      </c>
      <c r="H1005" s="115" t="s">
        <v>1074</v>
      </c>
      <c r="I1005" s="142">
        <v>659</v>
      </c>
      <c r="J1005" s="142">
        <v>12021.671890643216</v>
      </c>
      <c r="K1005" s="13">
        <f t="shared" si="52"/>
        <v>7922282</v>
      </c>
      <c r="L1005" s="116" t="s">
        <v>162</v>
      </c>
      <c r="M1005" s="116" t="s">
        <v>160</v>
      </c>
      <c r="N1005" s="22" t="str">
        <f>IF(AND('331-CT'!$E$7=TH!H1005,OR(L1005="331",M1005="331")),"331",IF(AND(OR(L1005="131",M1005="131"),H1005='131-CT'!$E$7),"131",""))</f>
        <v/>
      </c>
      <c r="O1005" s="22" t="str">
        <f>IF(AND($B1005&gt;='111'!$N$11,$B1005&lt;='111'!$O$11,OR($L1005=$O$7,$M1005=$O$7)),"x","")</f>
        <v/>
      </c>
      <c r="P1005" s="22" t="str">
        <f>IF(AND($L1005=$O$7,$B1005&lt;'111'!$N$11),"x","")</f>
        <v/>
      </c>
      <c r="Q1005" s="22" t="str">
        <f>IF(AND($M1005=$O$7,$B1005&lt;'111'!$N$11),"x","")</f>
        <v/>
      </c>
      <c r="R1005" s="22" t="str">
        <f>IF(ISERROR(FIND('112'!$M$9,G1005,1)),"",IF((AND(FIND('112'!$M$9,G1005,1)&gt;=1,$B1005&gt;='112'!$N$8,$B1005&lt;='112'!$O$8,OR($L1005='112'!$I$6,$M1005='112'!$I$6))),"x",""))</f>
        <v/>
      </c>
      <c r="S1005" s="22" t="str">
        <f>IF(ISERROR(FIND('112'!$M$9,G1005,1)),"",IF((AND(LEFT(G1005,2)=LEFT('112'!$M$9,2),B1005&lt;'112'!$N$8,$L1005='112'!$I$6)),"x",""))</f>
        <v/>
      </c>
      <c r="T1005" s="22" t="str">
        <f>IF(ISERROR(FIND('112'!$M$9,G1005,1)),"",IF((AND(RIGHT(G1005,2)=RIGHT('112'!$M$9,2),B1005&lt;'112'!$N$8,$M1005='112'!$I$6)),"x",""))</f>
        <v/>
      </c>
      <c r="U1005" s="22" t="str">
        <f>IF(AND(B1005&gt;='IN-NX'!$P$3,B1005&lt;='IN-NX'!$Q$3,'IN-NX'!$D$7=D1005,OR(LEFT(L1005,2)="15",AND(LEFT(M1005,2)&lt;&gt;"15",LEFT(M1005,2)&lt;&gt;"33"))),"x","")</f>
        <v/>
      </c>
      <c r="V1005" s="22" t="str">
        <f>IF(AND(OR(LEFT(TH!L1005,2)="15",LEFT(TH!M1005,2)="15"),'152-CT'!$J$8=TH!F1005),"x","")</f>
        <v/>
      </c>
      <c r="W1005" s="22" t="str">
        <f>IF(AND(OR(LEFT(TH!L1005,2)="15",LEFT(TH!M1005,2)="15"),TK!$E$7=TH!F1005),"x","")</f>
        <v/>
      </c>
      <c r="X1005" s="22" t="str">
        <f>IF(OR(TH!L1005=TH!$X$7,M1005=TH!$X$7),"x","")</f>
        <v/>
      </c>
      <c r="Y1005" s="22" t="str">
        <f>IF(AND(B1005&lt;=NKC!$N$8,B1005&gt;=NKC!$M$8),"x","")</f>
        <v/>
      </c>
      <c r="Z1005" s="580"/>
      <c r="AA1005" s="406"/>
      <c r="AB1005" s="406"/>
    </row>
    <row r="1006" spans="1:31" s="130" customFormat="1" ht="15.75" customHeight="1">
      <c r="A1006" s="123" t="str">
        <f>IF(B1006&lt;&gt;"",IF(AND(B1006&gt;=_TM1,B1006&lt;=_TM2,OR(TH!L1006="1111",TH!M1006="1111")),TH!D1006,""),"")</f>
        <v/>
      </c>
      <c r="B1006" s="12">
        <f t="shared" si="53"/>
        <v>10</v>
      </c>
      <c r="C1006" s="108">
        <f t="shared" si="51"/>
        <v>42649</v>
      </c>
      <c r="D1006" s="113" t="s">
        <v>1073</v>
      </c>
      <c r="E1006" s="484">
        <v>42649</v>
      </c>
      <c r="F1006" s="167" t="s">
        <v>526</v>
      </c>
      <c r="G1006" s="485" t="s">
        <v>436</v>
      </c>
      <c r="H1006" s="115" t="s">
        <v>1074</v>
      </c>
      <c r="I1006" s="139">
        <v>400</v>
      </c>
      <c r="J1006" s="139">
        <v>14304.267819246357</v>
      </c>
      <c r="K1006" s="13">
        <f t="shared" si="52"/>
        <v>5721707</v>
      </c>
      <c r="L1006" s="116" t="s">
        <v>162</v>
      </c>
      <c r="M1006" s="116" t="s">
        <v>160</v>
      </c>
      <c r="N1006" s="22" t="str">
        <f>IF(AND('331-CT'!$E$7=TH!H1006,OR(L1006="331",M1006="331")),"331",IF(AND(OR(L1006="131",M1006="131"),H1006='131-CT'!$E$7),"131",""))</f>
        <v/>
      </c>
      <c r="O1006" s="22" t="str">
        <f>IF(AND($B1006&gt;='111'!$N$11,$B1006&lt;='111'!$O$11,OR($L1006=$O$7,$M1006=$O$7)),"x","")</f>
        <v/>
      </c>
      <c r="P1006" s="22" t="str">
        <f>IF(AND($L1006=$O$7,$B1006&lt;'111'!$N$11),"x","")</f>
        <v/>
      </c>
      <c r="Q1006" s="22" t="str">
        <f>IF(AND($M1006=$O$7,$B1006&lt;'111'!$N$11),"x","")</f>
        <v/>
      </c>
      <c r="R1006" s="22" t="str">
        <f>IF(ISERROR(FIND('112'!$M$9,G1006,1)),"",IF((AND(FIND('112'!$M$9,G1006,1)&gt;=1,$B1006&gt;='112'!$N$8,$B1006&lt;='112'!$O$8,OR($L1006='112'!$I$6,$M1006='112'!$I$6))),"x",""))</f>
        <v/>
      </c>
      <c r="S1006" s="22" t="str">
        <f>IF(ISERROR(FIND('112'!$M$9,G1006,1)),"",IF((AND(LEFT(G1006,2)=LEFT('112'!$M$9,2),B1006&lt;'112'!$N$8,$L1006='112'!$I$6)),"x",""))</f>
        <v/>
      </c>
      <c r="T1006" s="22" t="str">
        <f>IF(ISERROR(FIND('112'!$M$9,G1006,1)),"",IF((AND(RIGHT(G1006,2)=RIGHT('112'!$M$9,2),B1006&lt;'112'!$N$8,$M1006='112'!$I$6)),"x",""))</f>
        <v/>
      </c>
      <c r="U1006" s="22" t="str">
        <f>IF(AND(B1006&gt;='IN-NX'!$P$3,B1006&lt;='IN-NX'!$Q$3,'IN-NX'!$D$7=D1006,OR(LEFT(L1006,2)="15",AND(LEFT(M1006,2)&lt;&gt;"15",LEFT(M1006,2)&lt;&gt;"33"))),"x","")</f>
        <v/>
      </c>
      <c r="V1006" s="22" t="str">
        <f>IF(AND(OR(LEFT(TH!L1006,2)="15",LEFT(TH!M1006,2)="15"),'152-CT'!$J$8=TH!F1006),"x","")</f>
        <v/>
      </c>
      <c r="W1006" s="22" t="str">
        <f>IF(AND(OR(LEFT(TH!L1006,2)="15",LEFT(TH!M1006,2)="15"),TK!$E$7=TH!F1006),"x","")</f>
        <v/>
      </c>
      <c r="X1006" s="22" t="str">
        <f>IF(OR(TH!L1006=TH!$X$7,M1006=TH!$X$7),"x","")</f>
        <v/>
      </c>
      <c r="Y1006" s="22" t="str">
        <f>IF(AND(B1006&lt;=NKC!$N$8,B1006&gt;=NKC!$M$8),"x","")</f>
        <v/>
      </c>
      <c r="Z1006" s="580"/>
      <c r="AA1006" s="406"/>
      <c r="AD1006" s="406"/>
      <c r="AE1006" s="406"/>
    </row>
    <row r="1007" spans="1:31" s="130" customFormat="1" ht="15.75" customHeight="1">
      <c r="A1007" s="123" t="str">
        <f>IF(B1007&lt;&gt;"",IF(AND(B1007&gt;=_TM1,B1007&lt;=_TM2,OR(TH!L1007="1111",TH!M1007="1111")),TH!D1007,""),"")</f>
        <v/>
      </c>
      <c r="B1007" s="12">
        <f t="shared" si="53"/>
        <v>10</v>
      </c>
      <c r="C1007" s="108">
        <f t="shared" si="51"/>
        <v>42660</v>
      </c>
      <c r="D1007" s="113" t="s">
        <v>1073</v>
      </c>
      <c r="E1007" s="484">
        <v>42660</v>
      </c>
      <c r="F1007" s="167" t="s">
        <v>674</v>
      </c>
      <c r="G1007" s="485" t="s">
        <v>761</v>
      </c>
      <c r="H1007" s="115" t="s">
        <v>1074</v>
      </c>
      <c r="I1007" s="139">
        <v>1800</v>
      </c>
      <c r="J1007" s="139">
        <v>9206.4702453660066</v>
      </c>
      <c r="K1007" s="13">
        <f t="shared" si="52"/>
        <v>16571646</v>
      </c>
      <c r="L1007" s="116" t="s">
        <v>162</v>
      </c>
      <c r="M1007" s="116" t="s">
        <v>160</v>
      </c>
      <c r="N1007" s="22" t="str">
        <f>IF(AND('331-CT'!$E$7=TH!H1007,OR(L1007="331",M1007="331")),"331",IF(AND(OR(L1007="131",M1007="131"),H1007='131-CT'!$E$7),"131",""))</f>
        <v/>
      </c>
      <c r="O1007" s="22" t="str">
        <f>IF(AND($B1007&gt;='111'!$N$11,$B1007&lt;='111'!$O$11,OR($L1007=$O$7,$M1007=$O$7)),"x","")</f>
        <v/>
      </c>
      <c r="P1007" s="22" t="str">
        <f>IF(AND($L1007=$O$7,$B1007&lt;'111'!$N$11),"x","")</f>
        <v/>
      </c>
      <c r="Q1007" s="22" t="str">
        <f>IF(AND($M1007=$O$7,$B1007&lt;'111'!$N$11),"x","")</f>
        <v/>
      </c>
      <c r="R1007" s="22" t="str">
        <f>IF(ISERROR(FIND('112'!$M$9,G1007,1)),"",IF((AND(FIND('112'!$M$9,G1007,1)&gt;=1,$B1007&gt;='112'!$N$8,$B1007&lt;='112'!$O$8,OR($L1007='112'!$I$6,$M1007='112'!$I$6))),"x",""))</f>
        <v/>
      </c>
      <c r="S1007" s="22" t="str">
        <f>IF(ISERROR(FIND('112'!$M$9,G1007,1)),"",IF((AND(LEFT(G1007,2)=LEFT('112'!$M$9,2),B1007&lt;'112'!$N$8,$L1007='112'!$I$6)),"x",""))</f>
        <v/>
      </c>
      <c r="T1007" s="22" t="str">
        <f>IF(ISERROR(FIND('112'!$M$9,G1007,1)),"",IF((AND(RIGHT(G1007,2)=RIGHT('112'!$M$9,2),B1007&lt;'112'!$N$8,$M1007='112'!$I$6)),"x",""))</f>
        <v/>
      </c>
      <c r="U1007" s="22" t="str">
        <f>IF(AND(B1007&gt;='IN-NX'!$P$3,B1007&lt;='IN-NX'!$Q$3,'IN-NX'!$D$7=D1007,OR(LEFT(L1007,2)="15",AND(LEFT(M1007,2)&lt;&gt;"15",LEFT(M1007,2)&lt;&gt;"33"))),"x","")</f>
        <v/>
      </c>
      <c r="V1007" s="22" t="str">
        <f>IF(AND(OR(LEFT(TH!L1007,2)="15",LEFT(TH!M1007,2)="15"),'152-CT'!$J$8=TH!F1007),"x","")</f>
        <v/>
      </c>
      <c r="W1007" s="22" t="str">
        <f>IF(AND(OR(LEFT(TH!L1007,2)="15",LEFT(TH!M1007,2)="15"),TK!$E$7=TH!F1007),"x","")</f>
        <v/>
      </c>
      <c r="X1007" s="22" t="str">
        <f>IF(OR(TH!L1007=TH!$X$7,M1007=TH!$X$7),"x","")</f>
        <v/>
      </c>
      <c r="Y1007" s="22" t="str">
        <f>IF(AND(B1007&lt;=NKC!$N$8,B1007&gt;=NKC!$M$8),"x","")</f>
        <v/>
      </c>
      <c r="Z1007" s="580"/>
      <c r="AA1007" s="406"/>
      <c r="AB1007" s="406"/>
      <c r="AD1007" s="406"/>
      <c r="AE1007" s="406"/>
    </row>
    <row r="1008" spans="1:31" s="130" customFormat="1" ht="15.75" customHeight="1">
      <c r="A1008" s="123" t="str">
        <f>IF(B1008&lt;&gt;"",IF(AND(B1008&gt;=_TM1,B1008&lt;=_TM2,OR(TH!L1008="1111",TH!M1008="1111")),TH!D1008,""),"")</f>
        <v/>
      </c>
      <c r="B1008" s="12">
        <f t="shared" si="53"/>
        <v>10</v>
      </c>
      <c r="C1008" s="108">
        <f t="shared" si="51"/>
        <v>42660</v>
      </c>
      <c r="D1008" s="113" t="s">
        <v>1073</v>
      </c>
      <c r="E1008" s="484">
        <v>42660</v>
      </c>
      <c r="F1008" s="167" t="s">
        <v>673</v>
      </c>
      <c r="G1008" s="485" t="s">
        <v>761</v>
      </c>
      <c r="H1008" s="115" t="s">
        <v>1074</v>
      </c>
      <c r="I1008" s="139">
        <v>26</v>
      </c>
      <c r="J1008" s="139">
        <v>8217.3453429713136</v>
      </c>
      <c r="K1008" s="13">
        <f t="shared" si="52"/>
        <v>213651</v>
      </c>
      <c r="L1008" s="116" t="s">
        <v>162</v>
      </c>
      <c r="M1008" s="116" t="s">
        <v>160</v>
      </c>
      <c r="N1008" s="22" t="str">
        <f>IF(AND('331-CT'!$E$7=TH!H1008,OR(L1008="331",M1008="331")),"331",IF(AND(OR(L1008="131",M1008="131"),H1008='131-CT'!$E$7),"131",""))</f>
        <v/>
      </c>
      <c r="O1008" s="22" t="str">
        <f>IF(AND($B1008&gt;='111'!$N$11,$B1008&lt;='111'!$O$11,OR($L1008=$O$7,$M1008=$O$7)),"x","")</f>
        <v/>
      </c>
      <c r="P1008" s="22" t="str">
        <f>IF(AND($L1008=$O$7,$B1008&lt;'111'!$N$11),"x","")</f>
        <v/>
      </c>
      <c r="Q1008" s="22" t="str">
        <f>IF(AND($M1008=$O$7,$B1008&lt;'111'!$N$11),"x","")</f>
        <v/>
      </c>
      <c r="R1008" s="22" t="str">
        <f>IF(ISERROR(FIND('112'!$M$9,G1008,1)),"",IF((AND(FIND('112'!$M$9,G1008,1)&gt;=1,$B1008&gt;='112'!$N$8,$B1008&lt;='112'!$O$8,OR($L1008='112'!$I$6,$M1008='112'!$I$6))),"x",""))</f>
        <v/>
      </c>
      <c r="S1008" s="22" t="str">
        <f>IF(ISERROR(FIND('112'!$M$9,G1008,1)),"",IF((AND(LEFT(G1008,2)=LEFT('112'!$M$9,2),B1008&lt;'112'!$N$8,$L1008='112'!$I$6)),"x",""))</f>
        <v/>
      </c>
      <c r="T1008" s="22" t="str">
        <f>IF(ISERROR(FIND('112'!$M$9,G1008,1)),"",IF((AND(RIGHT(G1008,2)=RIGHT('112'!$M$9,2),B1008&lt;'112'!$N$8,$M1008='112'!$I$6)),"x",""))</f>
        <v/>
      </c>
      <c r="U1008" s="22" t="str">
        <f>IF(AND(B1008&gt;='IN-NX'!$P$3,B1008&lt;='IN-NX'!$Q$3,'IN-NX'!$D$7=D1008,OR(LEFT(L1008,2)="15",AND(LEFT(M1008,2)&lt;&gt;"15",LEFT(M1008,2)&lt;&gt;"33"))),"x","")</f>
        <v/>
      </c>
      <c r="V1008" s="22" t="str">
        <f>IF(AND(OR(LEFT(TH!L1008,2)="15",LEFT(TH!M1008,2)="15"),'152-CT'!$J$8=TH!F1008),"x","")</f>
        <v/>
      </c>
      <c r="W1008" s="22" t="str">
        <f>IF(AND(OR(LEFT(TH!L1008,2)="15",LEFT(TH!M1008,2)="15"),TK!$E$7=TH!F1008),"x","")</f>
        <v/>
      </c>
      <c r="X1008" s="22" t="str">
        <f>IF(OR(TH!L1008=TH!$X$7,M1008=TH!$X$7),"x","")</f>
        <v/>
      </c>
      <c r="Y1008" s="22" t="str">
        <f>IF(AND(B1008&lt;=NKC!$N$8,B1008&gt;=NKC!$M$8),"x","")</f>
        <v/>
      </c>
      <c r="Z1008" s="580"/>
      <c r="AA1008" s="406"/>
      <c r="AB1008" s="406"/>
    </row>
    <row r="1009" spans="1:31" s="130" customFormat="1" ht="15.75" customHeight="1">
      <c r="A1009" s="123" t="str">
        <f>IF(B1009&lt;&gt;"",IF(AND(B1009&gt;=_TM1,B1009&lt;=_TM2,OR(TH!L1009="1111",TH!M1009="1111")),TH!D1009,""),"")</f>
        <v/>
      </c>
      <c r="B1009" s="12">
        <f t="shared" si="53"/>
        <v>10</v>
      </c>
      <c r="C1009" s="108">
        <f t="shared" si="51"/>
        <v>42662</v>
      </c>
      <c r="D1009" s="113" t="s">
        <v>1073</v>
      </c>
      <c r="E1009" s="484">
        <v>42662</v>
      </c>
      <c r="F1009" s="167" t="s">
        <v>667</v>
      </c>
      <c r="G1009" s="485" t="s">
        <v>762</v>
      </c>
      <c r="H1009" s="115" t="s">
        <v>1074</v>
      </c>
      <c r="I1009" s="140">
        <v>520</v>
      </c>
      <c r="J1009" s="140">
        <v>5858.6628834147323</v>
      </c>
      <c r="K1009" s="13">
        <f t="shared" si="52"/>
        <v>3046505</v>
      </c>
      <c r="L1009" s="116" t="s">
        <v>162</v>
      </c>
      <c r="M1009" s="116" t="s">
        <v>160</v>
      </c>
      <c r="N1009" s="22" t="str">
        <f>IF(AND('331-CT'!$E$7=TH!H1009,OR(L1009="331",M1009="331")),"331",IF(AND(OR(L1009="131",M1009="131"),H1009='131-CT'!$E$7),"131",""))</f>
        <v/>
      </c>
      <c r="O1009" s="22" t="str">
        <f>IF(AND($B1009&gt;='111'!$N$11,$B1009&lt;='111'!$O$11,OR($L1009=$O$7,$M1009=$O$7)),"x","")</f>
        <v/>
      </c>
      <c r="P1009" s="22" t="str">
        <f>IF(AND($L1009=$O$7,$B1009&lt;'111'!$N$11),"x","")</f>
        <v/>
      </c>
      <c r="Q1009" s="22" t="str">
        <f>IF(AND($M1009=$O$7,$B1009&lt;'111'!$N$11),"x","")</f>
        <v/>
      </c>
      <c r="R1009" s="22" t="str">
        <f>IF(ISERROR(FIND('112'!$M$9,G1009,1)),"",IF((AND(FIND('112'!$M$9,G1009,1)&gt;=1,$B1009&gt;='112'!$N$8,$B1009&lt;='112'!$O$8,OR($L1009='112'!$I$6,$M1009='112'!$I$6))),"x",""))</f>
        <v/>
      </c>
      <c r="S1009" s="22" t="str">
        <f>IF(ISERROR(FIND('112'!$M$9,G1009,1)),"",IF((AND(LEFT(G1009,2)=LEFT('112'!$M$9,2),B1009&lt;'112'!$N$8,$L1009='112'!$I$6)),"x",""))</f>
        <v/>
      </c>
      <c r="T1009" s="22" t="str">
        <f>IF(ISERROR(FIND('112'!$M$9,G1009,1)),"",IF((AND(RIGHT(G1009,2)=RIGHT('112'!$M$9,2),B1009&lt;'112'!$N$8,$M1009='112'!$I$6)),"x",""))</f>
        <v/>
      </c>
      <c r="U1009" s="22" t="str">
        <f>IF(AND(B1009&gt;='IN-NX'!$P$3,B1009&lt;='IN-NX'!$Q$3,'IN-NX'!$D$7=D1009,OR(LEFT(L1009,2)="15",AND(LEFT(M1009,2)&lt;&gt;"15",LEFT(M1009,2)&lt;&gt;"33"))),"x","")</f>
        <v/>
      </c>
      <c r="V1009" s="22" t="str">
        <f>IF(AND(OR(LEFT(TH!L1009,2)="15",LEFT(TH!M1009,2)="15"),'152-CT'!$J$8=TH!F1009),"x","")</f>
        <v/>
      </c>
      <c r="W1009" s="22" t="str">
        <f>IF(AND(OR(LEFT(TH!L1009,2)="15",LEFT(TH!M1009,2)="15"),TK!$E$7=TH!F1009),"x","")</f>
        <v/>
      </c>
      <c r="X1009" s="22" t="str">
        <f>IF(OR(TH!L1009=TH!$X$7,M1009=TH!$X$7),"x","")</f>
        <v/>
      </c>
      <c r="Y1009" s="22" t="str">
        <f>IF(AND(B1009&lt;=NKC!$N$8,B1009&gt;=NKC!$M$8),"x","")</f>
        <v/>
      </c>
      <c r="Z1009" s="580"/>
      <c r="AA1009" s="406"/>
      <c r="AB1009" s="406"/>
    </row>
    <row r="1010" spans="1:31" s="130" customFormat="1" ht="15.75" customHeight="1">
      <c r="A1010" s="123" t="str">
        <f>IF(B1010&lt;&gt;"",IF(AND(B1010&gt;=_TM1,B1010&lt;=_TM2,OR(TH!L1010="1111",TH!M1010="1111")),TH!D1010,""),"")</f>
        <v/>
      </c>
      <c r="B1010" s="12">
        <f t="shared" si="53"/>
        <v>10</v>
      </c>
      <c r="C1010" s="108">
        <f t="shared" si="51"/>
        <v>42662</v>
      </c>
      <c r="D1010" s="113" t="s">
        <v>1073</v>
      </c>
      <c r="E1010" s="484">
        <v>42662</v>
      </c>
      <c r="F1010" s="167" t="s">
        <v>526</v>
      </c>
      <c r="G1010" s="485" t="s">
        <v>762</v>
      </c>
      <c r="H1010" s="115" t="s">
        <v>1074</v>
      </c>
      <c r="I1010" s="139">
        <v>100</v>
      </c>
      <c r="J1010" s="139">
        <v>14304.267819246357</v>
      </c>
      <c r="K1010" s="13">
        <f t="shared" si="52"/>
        <v>1430427</v>
      </c>
      <c r="L1010" s="116" t="s">
        <v>162</v>
      </c>
      <c r="M1010" s="116" t="s">
        <v>160</v>
      </c>
      <c r="N1010" s="22" t="str">
        <f>IF(AND('331-CT'!$E$7=TH!H1010,OR(L1010="331",M1010="331")),"331",IF(AND(OR(L1010="131",M1010="131"),H1010='131-CT'!$E$7),"131",""))</f>
        <v/>
      </c>
      <c r="O1010" s="22" t="str">
        <f>IF(AND($B1010&gt;='111'!$N$11,$B1010&lt;='111'!$O$11,OR($L1010=$O$7,$M1010=$O$7)),"x","")</f>
        <v/>
      </c>
      <c r="P1010" s="22" t="str">
        <f>IF(AND($L1010=$O$7,$B1010&lt;'111'!$N$11),"x","")</f>
        <v/>
      </c>
      <c r="Q1010" s="22" t="str">
        <f>IF(AND($M1010=$O$7,$B1010&lt;'111'!$N$11),"x","")</f>
        <v/>
      </c>
      <c r="R1010" s="22" t="str">
        <f>IF(ISERROR(FIND('112'!$M$9,G1010,1)),"",IF((AND(FIND('112'!$M$9,G1010,1)&gt;=1,$B1010&gt;='112'!$N$8,$B1010&lt;='112'!$O$8,OR($L1010='112'!$I$6,$M1010='112'!$I$6))),"x",""))</f>
        <v/>
      </c>
      <c r="S1010" s="22" t="str">
        <f>IF(ISERROR(FIND('112'!$M$9,G1010,1)),"",IF((AND(LEFT(G1010,2)=LEFT('112'!$M$9,2),B1010&lt;'112'!$N$8,$L1010='112'!$I$6)),"x",""))</f>
        <v/>
      </c>
      <c r="T1010" s="22" t="str">
        <f>IF(ISERROR(FIND('112'!$M$9,G1010,1)),"",IF((AND(RIGHT(G1010,2)=RIGHT('112'!$M$9,2),B1010&lt;'112'!$N$8,$M1010='112'!$I$6)),"x",""))</f>
        <v/>
      </c>
      <c r="U1010" s="22" t="str">
        <f>IF(AND(B1010&gt;='IN-NX'!$P$3,B1010&lt;='IN-NX'!$Q$3,'IN-NX'!$D$7=D1010,OR(LEFT(L1010,2)="15",AND(LEFT(M1010,2)&lt;&gt;"15",LEFT(M1010,2)&lt;&gt;"33"))),"x","")</f>
        <v/>
      </c>
      <c r="V1010" s="22" t="str">
        <f>IF(AND(OR(LEFT(TH!L1010,2)="15",LEFT(TH!M1010,2)="15"),'152-CT'!$J$8=TH!F1010),"x","")</f>
        <v/>
      </c>
      <c r="W1010" s="22" t="str">
        <f>IF(AND(OR(LEFT(TH!L1010,2)="15",LEFT(TH!M1010,2)="15"),TK!$E$7=TH!F1010),"x","")</f>
        <v/>
      </c>
      <c r="X1010" s="22" t="str">
        <f>IF(OR(TH!L1010=TH!$X$7,M1010=TH!$X$7),"x","")</f>
        <v/>
      </c>
      <c r="Y1010" s="22" t="str">
        <f>IF(AND(B1010&lt;=NKC!$N$8,B1010&gt;=NKC!$M$8),"x","")</f>
        <v/>
      </c>
      <c r="Z1010" s="580"/>
      <c r="AA1010" s="406"/>
      <c r="AC1010" s="406"/>
    </row>
    <row r="1011" spans="1:31" s="130" customFormat="1" ht="15.75" customHeight="1">
      <c r="A1011" s="123" t="str">
        <f>IF(B1011&lt;&gt;"",IF(AND(B1011&gt;=_TM1,B1011&lt;=_TM2,OR(TH!L1011="1111",TH!M1011="1111")),TH!D1011,""),"")</f>
        <v/>
      </c>
      <c r="B1011" s="12">
        <f t="shared" si="53"/>
        <v>10</v>
      </c>
      <c r="C1011" s="108">
        <f t="shared" si="51"/>
        <v>42672</v>
      </c>
      <c r="D1011" s="113" t="s">
        <v>1073</v>
      </c>
      <c r="E1011" s="484">
        <v>42672</v>
      </c>
      <c r="F1011" s="167" t="s">
        <v>668</v>
      </c>
      <c r="G1011" s="485" t="s">
        <v>763</v>
      </c>
      <c r="H1011" s="115" t="s">
        <v>1074</v>
      </c>
      <c r="I1011" s="139">
        <v>36</v>
      </c>
      <c r="J1011" s="139">
        <v>10347.76820966758</v>
      </c>
      <c r="K1011" s="13">
        <f t="shared" si="52"/>
        <v>372520</v>
      </c>
      <c r="L1011" s="116" t="s">
        <v>162</v>
      </c>
      <c r="M1011" s="116" t="s">
        <v>160</v>
      </c>
      <c r="N1011" s="22" t="str">
        <f>IF(AND('331-CT'!$E$7=TH!H1011,OR(L1011="331",M1011="331")),"331",IF(AND(OR(L1011="131",M1011="131"),H1011='131-CT'!$E$7),"131",""))</f>
        <v/>
      </c>
      <c r="O1011" s="22" t="str">
        <f>IF(AND($B1011&gt;='111'!$N$11,$B1011&lt;='111'!$O$11,OR($L1011=$O$7,$M1011=$O$7)),"x","")</f>
        <v/>
      </c>
      <c r="P1011" s="22" t="str">
        <f>IF(AND($L1011=$O$7,$B1011&lt;'111'!$N$11),"x","")</f>
        <v/>
      </c>
      <c r="Q1011" s="22" t="str">
        <f>IF(AND($M1011=$O$7,$B1011&lt;'111'!$N$11),"x","")</f>
        <v/>
      </c>
      <c r="R1011" s="22" t="str">
        <f>IF(ISERROR(FIND('112'!$M$9,G1011,1)),"",IF((AND(FIND('112'!$M$9,G1011,1)&gt;=1,$B1011&gt;='112'!$N$8,$B1011&lt;='112'!$O$8,OR($L1011='112'!$I$6,$M1011='112'!$I$6))),"x",""))</f>
        <v/>
      </c>
      <c r="S1011" s="22" t="str">
        <f>IF(ISERROR(FIND('112'!$M$9,G1011,1)),"",IF((AND(LEFT(G1011,2)=LEFT('112'!$M$9,2),B1011&lt;'112'!$N$8,$L1011='112'!$I$6)),"x",""))</f>
        <v/>
      </c>
      <c r="T1011" s="22" t="str">
        <f>IF(ISERROR(FIND('112'!$M$9,G1011,1)),"",IF((AND(RIGHT(G1011,2)=RIGHT('112'!$M$9,2),B1011&lt;'112'!$N$8,$M1011='112'!$I$6)),"x",""))</f>
        <v/>
      </c>
      <c r="U1011" s="22" t="str">
        <f>IF(AND(B1011&gt;='IN-NX'!$P$3,B1011&lt;='IN-NX'!$Q$3,'IN-NX'!$D$7=D1011,OR(LEFT(L1011,2)="15",AND(LEFT(M1011,2)&lt;&gt;"15",LEFT(M1011,2)&lt;&gt;"33"))),"x","")</f>
        <v/>
      </c>
      <c r="V1011" s="22" t="str">
        <f>IF(AND(OR(LEFT(TH!L1011,2)="15",LEFT(TH!M1011,2)="15"),'152-CT'!$J$8=TH!F1011),"x","")</f>
        <v/>
      </c>
      <c r="W1011" s="22" t="str">
        <f>IF(AND(OR(LEFT(TH!L1011,2)="15",LEFT(TH!M1011,2)="15"),TK!$E$7=TH!F1011),"x","")</f>
        <v/>
      </c>
      <c r="X1011" s="22" t="str">
        <f>IF(OR(TH!L1011=TH!$X$7,M1011=TH!$X$7),"x","")</f>
        <v/>
      </c>
      <c r="Y1011" s="22" t="str">
        <f>IF(AND(B1011&lt;=NKC!$N$8,B1011&gt;=NKC!$M$8),"x","")</f>
        <v/>
      </c>
      <c r="Z1011" s="580"/>
      <c r="AA1011" s="406"/>
      <c r="AB1011" s="406"/>
      <c r="AC1011" s="406"/>
    </row>
    <row r="1012" spans="1:31" s="130" customFormat="1" ht="15.75" customHeight="1">
      <c r="A1012" s="123" t="str">
        <f>IF(B1012&lt;&gt;"",IF(AND(B1012&gt;=_TM1,B1012&lt;=_TM2,OR(TH!L1012="1111",TH!M1012="1111")),TH!D1012,""),"")</f>
        <v/>
      </c>
      <c r="B1012" s="12">
        <f t="shared" si="53"/>
        <v>10</v>
      </c>
      <c r="C1012" s="108">
        <f t="shared" si="51"/>
        <v>42672</v>
      </c>
      <c r="D1012" s="113" t="s">
        <v>1073</v>
      </c>
      <c r="E1012" s="484">
        <v>42672</v>
      </c>
      <c r="F1012" s="167" t="s">
        <v>655</v>
      </c>
      <c r="G1012" s="485" t="s">
        <v>763</v>
      </c>
      <c r="H1012" s="115" t="s">
        <v>1074</v>
      </c>
      <c r="I1012" s="139">
        <v>110</v>
      </c>
      <c r="J1012" s="139">
        <v>11793.412297782903</v>
      </c>
      <c r="K1012" s="13">
        <f t="shared" si="52"/>
        <v>1297275</v>
      </c>
      <c r="L1012" s="116" t="s">
        <v>162</v>
      </c>
      <c r="M1012" s="116" t="s">
        <v>160</v>
      </c>
      <c r="N1012" s="22" t="str">
        <f>IF(AND('331-CT'!$E$7=TH!H1012,OR(L1012="331",M1012="331")),"331",IF(AND(OR(L1012="131",M1012="131"),H1012='131-CT'!$E$7),"131",""))</f>
        <v/>
      </c>
      <c r="O1012" s="22" t="str">
        <f>IF(AND($B1012&gt;='111'!$N$11,$B1012&lt;='111'!$O$11,OR($L1012=$O$7,$M1012=$O$7)),"x","")</f>
        <v/>
      </c>
      <c r="P1012" s="22" t="str">
        <f>IF(AND($L1012=$O$7,$B1012&lt;'111'!$N$11),"x","")</f>
        <v/>
      </c>
      <c r="Q1012" s="22" t="str">
        <f>IF(AND($M1012=$O$7,$B1012&lt;'111'!$N$11),"x","")</f>
        <v/>
      </c>
      <c r="R1012" s="22" t="str">
        <f>IF(ISERROR(FIND('112'!$M$9,G1012,1)),"",IF((AND(FIND('112'!$M$9,G1012,1)&gt;=1,$B1012&gt;='112'!$N$8,$B1012&lt;='112'!$O$8,OR($L1012='112'!$I$6,$M1012='112'!$I$6))),"x",""))</f>
        <v/>
      </c>
      <c r="S1012" s="22" t="str">
        <f>IF(ISERROR(FIND('112'!$M$9,G1012,1)),"",IF((AND(LEFT(G1012,2)=LEFT('112'!$M$9,2),B1012&lt;'112'!$N$8,$L1012='112'!$I$6)),"x",""))</f>
        <v/>
      </c>
      <c r="T1012" s="22" t="str">
        <f>IF(ISERROR(FIND('112'!$M$9,G1012,1)),"",IF((AND(RIGHT(G1012,2)=RIGHT('112'!$M$9,2),B1012&lt;'112'!$N$8,$M1012='112'!$I$6)),"x",""))</f>
        <v/>
      </c>
      <c r="U1012" s="22" t="str">
        <f>IF(AND(B1012&gt;='IN-NX'!$P$3,B1012&lt;='IN-NX'!$Q$3,'IN-NX'!$D$7=D1012,OR(LEFT(L1012,2)="15",AND(LEFT(M1012,2)&lt;&gt;"15",LEFT(M1012,2)&lt;&gt;"33"))),"x","")</f>
        <v/>
      </c>
      <c r="V1012" s="22" t="str">
        <f>IF(AND(OR(LEFT(TH!L1012,2)="15",LEFT(TH!M1012,2)="15"),'152-CT'!$J$8=TH!F1012),"x","")</f>
        <v/>
      </c>
      <c r="W1012" s="22" t="str">
        <f>IF(AND(OR(LEFT(TH!L1012,2)="15",LEFT(TH!M1012,2)="15"),TK!$E$7=TH!F1012),"x","")</f>
        <v/>
      </c>
      <c r="X1012" s="22" t="str">
        <f>IF(OR(TH!L1012=TH!$X$7,M1012=TH!$X$7),"x","")</f>
        <v/>
      </c>
      <c r="Y1012" s="22" t="str">
        <f>IF(AND(B1012&lt;=NKC!$N$8,B1012&gt;=NKC!$M$8),"x","")</f>
        <v/>
      </c>
      <c r="Z1012" s="580"/>
      <c r="AA1012" s="406"/>
      <c r="AB1012" s="406"/>
      <c r="AC1012" s="406"/>
    </row>
    <row r="1013" spans="1:31" s="130" customFormat="1" ht="15.75" customHeight="1">
      <c r="A1013" s="123" t="str">
        <f>IF(B1013&lt;&gt;"",IF(AND(B1013&gt;=_TM1,B1013&lt;=_TM2,OR(TH!L1013="1111",TH!M1013="1111")),TH!D1013,""),"")</f>
        <v/>
      </c>
      <c r="B1013" s="12">
        <f t="shared" si="53"/>
        <v>10</v>
      </c>
      <c r="C1013" s="108">
        <f t="shared" si="51"/>
        <v>42672</v>
      </c>
      <c r="D1013" s="113" t="s">
        <v>1073</v>
      </c>
      <c r="E1013" s="484">
        <v>42672</v>
      </c>
      <c r="F1013" s="167" t="s">
        <v>669</v>
      </c>
      <c r="G1013" s="485" t="s">
        <v>763</v>
      </c>
      <c r="H1013" s="115" t="s">
        <v>1074</v>
      </c>
      <c r="I1013" s="139">
        <v>111</v>
      </c>
      <c r="J1013" s="139">
        <v>7912.9992191575602</v>
      </c>
      <c r="K1013" s="13">
        <f t="shared" si="52"/>
        <v>878343</v>
      </c>
      <c r="L1013" s="116" t="s">
        <v>162</v>
      </c>
      <c r="M1013" s="116" t="s">
        <v>160</v>
      </c>
      <c r="N1013" s="22" t="str">
        <f>IF(AND('331-CT'!$E$7=TH!H1013,OR(L1013="331",M1013="331")),"331",IF(AND(OR(L1013="131",M1013="131"),H1013='131-CT'!$E$7),"131",""))</f>
        <v/>
      </c>
      <c r="O1013" s="22" t="str">
        <f>IF(AND($B1013&gt;='111'!$N$11,$B1013&lt;='111'!$O$11,OR($L1013=$O$7,$M1013=$O$7)),"x","")</f>
        <v/>
      </c>
      <c r="P1013" s="22" t="str">
        <f>IF(AND($L1013=$O$7,$B1013&lt;'111'!$N$11),"x","")</f>
        <v/>
      </c>
      <c r="Q1013" s="22" t="str">
        <f>IF(AND($M1013=$O$7,$B1013&lt;'111'!$N$11),"x","")</f>
        <v/>
      </c>
      <c r="R1013" s="22" t="str">
        <f>IF(ISERROR(FIND('112'!$M$9,G1013,1)),"",IF((AND(FIND('112'!$M$9,G1013,1)&gt;=1,$B1013&gt;='112'!$N$8,$B1013&lt;='112'!$O$8,OR($L1013='112'!$I$6,$M1013='112'!$I$6))),"x",""))</f>
        <v/>
      </c>
      <c r="S1013" s="22" t="str">
        <f>IF(ISERROR(FIND('112'!$M$9,G1013,1)),"",IF((AND(LEFT(G1013,2)=LEFT('112'!$M$9,2),B1013&lt;'112'!$N$8,$L1013='112'!$I$6)),"x",""))</f>
        <v/>
      </c>
      <c r="T1013" s="22" t="str">
        <f>IF(ISERROR(FIND('112'!$M$9,G1013,1)),"",IF((AND(RIGHT(G1013,2)=RIGHT('112'!$M$9,2),B1013&lt;'112'!$N$8,$M1013='112'!$I$6)),"x",""))</f>
        <v/>
      </c>
      <c r="U1013" s="22" t="str">
        <f>IF(AND(B1013&gt;='IN-NX'!$P$3,B1013&lt;='IN-NX'!$Q$3,'IN-NX'!$D$7=D1013,OR(LEFT(L1013,2)="15",AND(LEFT(M1013,2)&lt;&gt;"15",LEFT(M1013,2)&lt;&gt;"33"))),"x","")</f>
        <v/>
      </c>
      <c r="V1013" s="22" t="str">
        <f>IF(AND(OR(LEFT(TH!L1013,2)="15",LEFT(TH!M1013,2)="15"),'152-CT'!$J$8=TH!F1013),"x","")</f>
        <v/>
      </c>
      <c r="W1013" s="22" t="str">
        <f>IF(AND(OR(LEFT(TH!L1013,2)="15",LEFT(TH!M1013,2)="15"),TK!$E$7=TH!F1013),"x","")</f>
        <v/>
      </c>
      <c r="X1013" s="22" t="str">
        <f>IF(OR(TH!L1013=TH!$X$7,M1013=TH!$X$7),"x","")</f>
        <v/>
      </c>
      <c r="Y1013" s="22" t="str">
        <f>IF(AND(B1013&lt;=NKC!$N$8,B1013&gt;=NKC!$M$8),"x","")</f>
        <v/>
      </c>
      <c r="Z1013" s="580"/>
      <c r="AA1013" s="406"/>
    </row>
    <row r="1014" spans="1:31" s="130" customFormat="1" ht="15.75" customHeight="1">
      <c r="A1014" s="123" t="str">
        <f>IF(B1014&lt;&gt;"",IF(AND(B1014&gt;=_TM1,B1014&lt;=_TM2,OR(TH!L1014="1111",TH!M1014="1111")),TH!D1014,""),"")</f>
        <v/>
      </c>
      <c r="B1014" s="12">
        <f t="shared" si="53"/>
        <v>10</v>
      </c>
      <c r="C1014" s="108">
        <f t="shared" si="51"/>
        <v>42672</v>
      </c>
      <c r="D1014" s="113" t="s">
        <v>1073</v>
      </c>
      <c r="E1014" s="484">
        <v>42672</v>
      </c>
      <c r="F1014" s="167" t="s">
        <v>670</v>
      </c>
      <c r="G1014" s="485" t="s">
        <v>763</v>
      </c>
      <c r="H1014" s="115" t="s">
        <v>1074</v>
      </c>
      <c r="I1014" s="139">
        <v>18</v>
      </c>
      <c r="J1014" s="139">
        <v>12097.758421596654</v>
      </c>
      <c r="K1014" s="13">
        <f t="shared" si="52"/>
        <v>217760</v>
      </c>
      <c r="L1014" s="116" t="s">
        <v>162</v>
      </c>
      <c r="M1014" s="116" t="s">
        <v>160</v>
      </c>
      <c r="N1014" s="22" t="str">
        <f>IF(AND('331-CT'!$E$7=TH!H1014,OR(L1014="331",M1014="331")),"331",IF(AND(OR(L1014="131",M1014="131"),H1014='131-CT'!$E$7),"131",""))</f>
        <v/>
      </c>
      <c r="O1014" s="22" t="str">
        <f>IF(AND($B1014&gt;='111'!$N$11,$B1014&lt;='111'!$O$11,OR($L1014=$O$7,$M1014=$O$7)),"x","")</f>
        <v/>
      </c>
      <c r="P1014" s="22" t="str">
        <f>IF(AND($L1014=$O$7,$B1014&lt;'111'!$N$11),"x","")</f>
        <v/>
      </c>
      <c r="Q1014" s="22" t="str">
        <f>IF(AND($M1014=$O$7,$B1014&lt;'111'!$N$11),"x","")</f>
        <v/>
      </c>
      <c r="R1014" s="22" t="str">
        <f>IF(ISERROR(FIND('112'!$M$9,G1014,1)),"",IF((AND(FIND('112'!$M$9,G1014,1)&gt;=1,$B1014&gt;='112'!$N$8,$B1014&lt;='112'!$O$8,OR($L1014='112'!$I$6,$M1014='112'!$I$6))),"x",""))</f>
        <v/>
      </c>
      <c r="S1014" s="22" t="str">
        <f>IF(ISERROR(FIND('112'!$M$9,G1014,1)),"",IF((AND(LEFT(G1014,2)=LEFT('112'!$M$9,2),B1014&lt;'112'!$N$8,$L1014='112'!$I$6)),"x",""))</f>
        <v/>
      </c>
      <c r="T1014" s="22" t="str">
        <f>IF(ISERROR(FIND('112'!$M$9,G1014,1)),"",IF((AND(RIGHT(G1014,2)=RIGHT('112'!$M$9,2),B1014&lt;'112'!$N$8,$M1014='112'!$I$6)),"x",""))</f>
        <v/>
      </c>
      <c r="U1014" s="22" t="str">
        <f>IF(AND(B1014&gt;='IN-NX'!$P$3,B1014&lt;='IN-NX'!$Q$3,'IN-NX'!$D$7=D1014,OR(LEFT(L1014,2)="15",AND(LEFT(M1014,2)&lt;&gt;"15",LEFT(M1014,2)&lt;&gt;"33"))),"x","")</f>
        <v/>
      </c>
      <c r="V1014" s="22" t="str">
        <f>IF(AND(OR(LEFT(TH!L1014,2)="15",LEFT(TH!M1014,2)="15"),'152-CT'!$J$8=TH!F1014),"x","")</f>
        <v/>
      </c>
      <c r="W1014" s="22" t="str">
        <f>IF(AND(OR(LEFT(TH!L1014,2)="15",LEFT(TH!M1014,2)="15"),TK!$E$7=TH!F1014),"x","")</f>
        <v/>
      </c>
      <c r="X1014" s="22" t="str">
        <f>IF(OR(TH!L1014=TH!$X$7,M1014=TH!$X$7),"x","")</f>
        <v/>
      </c>
      <c r="Y1014" s="22" t="str">
        <f>IF(AND(B1014&lt;=NKC!$N$8,B1014&gt;=NKC!$M$8),"x","")</f>
        <v/>
      </c>
      <c r="Z1014" s="580"/>
      <c r="AA1014" s="406"/>
      <c r="AB1014" s="406"/>
      <c r="AC1014" s="406"/>
    </row>
    <row r="1015" spans="1:31" s="130" customFormat="1" ht="15.75" customHeight="1">
      <c r="A1015" s="123" t="str">
        <f>IF(B1015&lt;&gt;"",IF(AND(B1015&gt;=_TM1,B1015&lt;=_TM2,OR(TH!L1015="1111",TH!M1015="1111")),TH!D1015,""),"")</f>
        <v/>
      </c>
      <c r="B1015" s="12">
        <f t="shared" si="53"/>
        <v>10</v>
      </c>
      <c r="C1015" s="108">
        <f t="shared" si="51"/>
        <v>42672</v>
      </c>
      <c r="D1015" s="113" t="s">
        <v>1073</v>
      </c>
      <c r="E1015" s="484">
        <v>42672</v>
      </c>
      <c r="F1015" s="167" t="s">
        <v>500</v>
      </c>
      <c r="G1015" s="485" t="s">
        <v>763</v>
      </c>
      <c r="H1015" s="115" t="s">
        <v>1074</v>
      </c>
      <c r="I1015" s="139">
        <v>52</v>
      </c>
      <c r="J1015" s="139">
        <v>9739.075962040075</v>
      </c>
      <c r="K1015" s="13">
        <f t="shared" si="52"/>
        <v>506432</v>
      </c>
      <c r="L1015" s="116" t="s">
        <v>162</v>
      </c>
      <c r="M1015" s="116" t="s">
        <v>160</v>
      </c>
      <c r="N1015" s="22" t="str">
        <f>IF(AND('331-CT'!$E$7=TH!H1015,OR(L1015="331",M1015="331")),"331",IF(AND(OR(L1015="131",M1015="131"),H1015='131-CT'!$E$7),"131",""))</f>
        <v/>
      </c>
      <c r="O1015" s="22" t="str">
        <f>IF(AND($B1015&gt;='111'!$N$11,$B1015&lt;='111'!$O$11,OR($L1015=$O$7,$M1015=$O$7)),"x","")</f>
        <v/>
      </c>
      <c r="P1015" s="22" t="str">
        <f>IF(AND($L1015=$O$7,$B1015&lt;'111'!$N$11),"x","")</f>
        <v/>
      </c>
      <c r="Q1015" s="22" t="str">
        <f>IF(AND($M1015=$O$7,$B1015&lt;'111'!$N$11),"x","")</f>
        <v/>
      </c>
      <c r="R1015" s="22" t="str">
        <f>IF(ISERROR(FIND('112'!$M$9,G1015,1)),"",IF((AND(FIND('112'!$M$9,G1015,1)&gt;=1,$B1015&gt;='112'!$N$8,$B1015&lt;='112'!$O$8,OR($L1015='112'!$I$6,$M1015='112'!$I$6))),"x",""))</f>
        <v/>
      </c>
      <c r="S1015" s="22" t="str">
        <f>IF(ISERROR(FIND('112'!$M$9,G1015,1)),"",IF((AND(LEFT(G1015,2)=LEFT('112'!$M$9,2),B1015&lt;'112'!$N$8,$L1015='112'!$I$6)),"x",""))</f>
        <v/>
      </c>
      <c r="T1015" s="22" t="str">
        <f>IF(ISERROR(FIND('112'!$M$9,G1015,1)),"",IF((AND(RIGHT(G1015,2)=RIGHT('112'!$M$9,2),B1015&lt;'112'!$N$8,$M1015='112'!$I$6)),"x",""))</f>
        <v/>
      </c>
      <c r="U1015" s="22" t="str">
        <f>IF(AND(B1015&gt;='IN-NX'!$P$3,B1015&lt;='IN-NX'!$Q$3,'IN-NX'!$D$7=D1015,OR(LEFT(L1015,2)="15",AND(LEFT(M1015,2)&lt;&gt;"15",LEFT(M1015,2)&lt;&gt;"33"))),"x","")</f>
        <v/>
      </c>
      <c r="V1015" s="22" t="str">
        <f>IF(AND(OR(LEFT(TH!L1015,2)="15",LEFT(TH!M1015,2)="15"),'152-CT'!$J$8=TH!F1015),"x","")</f>
        <v/>
      </c>
      <c r="W1015" s="22" t="str">
        <f>IF(AND(OR(LEFT(TH!L1015,2)="15",LEFT(TH!M1015,2)="15"),TK!$E$7=TH!F1015),"x","")</f>
        <v/>
      </c>
      <c r="X1015" s="22" t="str">
        <f>IF(OR(TH!L1015=TH!$X$7,M1015=TH!$X$7),"x","")</f>
        <v/>
      </c>
      <c r="Y1015" s="22" t="str">
        <f>IF(AND(B1015&lt;=NKC!$N$8,B1015&gt;=NKC!$M$8),"x","")</f>
        <v/>
      </c>
      <c r="Z1015" s="580"/>
      <c r="AA1015" s="406"/>
      <c r="AC1015" s="406"/>
    </row>
    <row r="1016" spans="1:31" s="130" customFormat="1" ht="15.75" customHeight="1">
      <c r="A1016" s="123" t="str">
        <f>IF(B1016&lt;&gt;"",IF(AND(B1016&gt;=_TM1,B1016&lt;=_TM2,OR(TH!L1016="1111",TH!M1016="1111")),TH!D1016,""),"")</f>
        <v/>
      </c>
      <c r="B1016" s="12">
        <f t="shared" si="53"/>
        <v>10</v>
      </c>
      <c r="C1016" s="108">
        <f t="shared" si="51"/>
        <v>42672</v>
      </c>
      <c r="D1016" s="113" t="s">
        <v>1073</v>
      </c>
      <c r="E1016" s="484">
        <v>42672</v>
      </c>
      <c r="F1016" s="167" t="s">
        <v>500</v>
      </c>
      <c r="G1016" s="485" t="s">
        <v>764</v>
      </c>
      <c r="H1016" s="115" t="s">
        <v>1074</v>
      </c>
      <c r="I1016" s="139">
        <v>206</v>
      </c>
      <c r="J1016" s="139">
        <v>9739.075962040075</v>
      </c>
      <c r="K1016" s="13">
        <f t="shared" si="52"/>
        <v>2006250</v>
      </c>
      <c r="L1016" s="116" t="s">
        <v>162</v>
      </c>
      <c r="M1016" s="116" t="s">
        <v>160</v>
      </c>
      <c r="N1016" s="22" t="str">
        <f>IF(AND('331-CT'!$E$7=TH!H1016,OR(L1016="331",M1016="331")),"331",IF(AND(OR(L1016="131",M1016="131"),H1016='131-CT'!$E$7),"131",""))</f>
        <v/>
      </c>
      <c r="O1016" s="22" t="str">
        <f>IF(AND($B1016&gt;='111'!$N$11,$B1016&lt;='111'!$O$11,OR($L1016=$O$7,$M1016=$O$7)),"x","")</f>
        <v/>
      </c>
      <c r="P1016" s="22" t="str">
        <f>IF(AND($L1016=$O$7,$B1016&lt;'111'!$N$11),"x","")</f>
        <v/>
      </c>
      <c r="Q1016" s="22" t="str">
        <f>IF(AND($M1016=$O$7,$B1016&lt;'111'!$N$11),"x","")</f>
        <v/>
      </c>
      <c r="R1016" s="22" t="str">
        <f>IF(ISERROR(FIND('112'!$M$9,G1016,1)),"",IF((AND(FIND('112'!$M$9,G1016,1)&gt;=1,$B1016&gt;='112'!$N$8,$B1016&lt;='112'!$O$8,OR($L1016='112'!$I$6,$M1016='112'!$I$6))),"x",""))</f>
        <v/>
      </c>
      <c r="S1016" s="22" t="str">
        <f>IF(ISERROR(FIND('112'!$M$9,G1016,1)),"",IF((AND(LEFT(G1016,2)=LEFT('112'!$M$9,2),B1016&lt;'112'!$N$8,$L1016='112'!$I$6)),"x",""))</f>
        <v/>
      </c>
      <c r="T1016" s="22" t="str">
        <f>IF(ISERROR(FIND('112'!$M$9,G1016,1)),"",IF((AND(RIGHT(G1016,2)=RIGHT('112'!$M$9,2),B1016&lt;'112'!$N$8,$M1016='112'!$I$6)),"x",""))</f>
        <v/>
      </c>
      <c r="U1016" s="22" t="str">
        <f>IF(AND(B1016&gt;='IN-NX'!$P$3,B1016&lt;='IN-NX'!$Q$3,'IN-NX'!$D$7=D1016,OR(LEFT(L1016,2)="15",AND(LEFT(M1016,2)&lt;&gt;"15",LEFT(M1016,2)&lt;&gt;"33"))),"x","")</f>
        <v/>
      </c>
      <c r="V1016" s="22" t="str">
        <f>IF(AND(OR(LEFT(TH!L1016,2)="15",LEFT(TH!M1016,2)="15"),'152-CT'!$J$8=TH!F1016),"x","")</f>
        <v/>
      </c>
      <c r="W1016" s="22" t="str">
        <f>IF(AND(OR(LEFT(TH!L1016,2)="15",LEFT(TH!M1016,2)="15"),TK!$E$7=TH!F1016),"x","")</f>
        <v/>
      </c>
      <c r="X1016" s="22" t="str">
        <f>IF(OR(TH!L1016=TH!$X$7,M1016=TH!$X$7),"x","")</f>
        <v/>
      </c>
      <c r="Y1016" s="22" t="str">
        <f>IF(AND(B1016&lt;=NKC!$N$8,B1016&gt;=NKC!$M$8),"x","")</f>
        <v/>
      </c>
      <c r="Z1016" s="580"/>
      <c r="AA1016" s="406"/>
      <c r="AB1016" s="406"/>
    </row>
    <row r="1017" spans="1:31" s="130" customFormat="1" ht="15.75" customHeight="1">
      <c r="A1017" s="123" t="str">
        <f>IF(B1017&lt;&gt;"",IF(AND(B1017&gt;=_TM1,B1017&lt;=_TM2,OR(TH!L1017="1111",TH!M1017="1111")),TH!D1017,""),"")</f>
        <v/>
      </c>
      <c r="B1017" s="12">
        <f t="shared" si="53"/>
        <v>10</v>
      </c>
      <c r="C1017" s="108">
        <f t="shared" si="51"/>
        <v>42672</v>
      </c>
      <c r="D1017" s="113" t="s">
        <v>1073</v>
      </c>
      <c r="E1017" s="484">
        <v>42672</v>
      </c>
      <c r="F1017" s="167" t="s">
        <v>671</v>
      </c>
      <c r="G1017" s="485" t="s">
        <v>764</v>
      </c>
      <c r="H1017" s="115" t="s">
        <v>1074</v>
      </c>
      <c r="I1017" s="139">
        <v>330</v>
      </c>
      <c r="J1017" s="139">
        <v>6923.8743167628654</v>
      </c>
      <c r="K1017" s="13">
        <f t="shared" si="52"/>
        <v>2284879</v>
      </c>
      <c r="L1017" s="116" t="s">
        <v>162</v>
      </c>
      <c r="M1017" s="116" t="s">
        <v>160</v>
      </c>
      <c r="N1017" s="22" t="str">
        <f>IF(AND('331-CT'!$E$7=TH!H1017,OR(L1017="331",M1017="331")),"331",IF(AND(OR(L1017="131",M1017="131"),H1017='131-CT'!$E$7),"131",""))</f>
        <v/>
      </c>
      <c r="O1017" s="22" t="str">
        <f>IF(AND($B1017&gt;='111'!$N$11,$B1017&lt;='111'!$O$11,OR($L1017=$O$7,$M1017=$O$7)),"x","")</f>
        <v/>
      </c>
      <c r="P1017" s="22" t="str">
        <f>IF(AND($L1017=$O$7,$B1017&lt;'111'!$N$11),"x","")</f>
        <v/>
      </c>
      <c r="Q1017" s="22" t="str">
        <f>IF(AND($M1017=$O$7,$B1017&lt;'111'!$N$11),"x","")</f>
        <v/>
      </c>
      <c r="R1017" s="22" t="str">
        <f>IF(ISERROR(FIND('112'!$M$9,G1017,1)),"",IF((AND(FIND('112'!$M$9,G1017,1)&gt;=1,$B1017&gt;='112'!$N$8,$B1017&lt;='112'!$O$8,OR($L1017='112'!$I$6,$M1017='112'!$I$6))),"x",""))</f>
        <v/>
      </c>
      <c r="S1017" s="22" t="str">
        <f>IF(ISERROR(FIND('112'!$M$9,G1017,1)),"",IF((AND(LEFT(G1017,2)=LEFT('112'!$M$9,2),B1017&lt;'112'!$N$8,$L1017='112'!$I$6)),"x",""))</f>
        <v/>
      </c>
      <c r="T1017" s="22" t="str">
        <f>IF(ISERROR(FIND('112'!$M$9,G1017,1)),"",IF((AND(RIGHT(G1017,2)=RIGHT('112'!$M$9,2),B1017&lt;'112'!$N$8,$M1017='112'!$I$6)),"x",""))</f>
        <v/>
      </c>
      <c r="U1017" s="22" t="str">
        <f>IF(AND(B1017&gt;='IN-NX'!$P$3,B1017&lt;='IN-NX'!$Q$3,'IN-NX'!$D$7=D1017,OR(LEFT(L1017,2)="15",AND(LEFT(M1017,2)&lt;&gt;"15",LEFT(M1017,2)&lt;&gt;"33"))),"x","")</f>
        <v/>
      </c>
      <c r="V1017" s="22" t="str">
        <f>IF(AND(OR(LEFT(TH!L1017,2)="15",LEFT(TH!M1017,2)="15"),'152-CT'!$J$8=TH!F1017),"x","")</f>
        <v/>
      </c>
      <c r="W1017" s="22" t="str">
        <f>IF(AND(OR(LEFT(TH!L1017,2)="15",LEFT(TH!M1017,2)="15"),TK!$E$7=TH!F1017),"x","")</f>
        <v/>
      </c>
      <c r="X1017" s="22" t="str">
        <f>IF(OR(TH!L1017=TH!$X$7,M1017=TH!$X$7),"x","")</f>
        <v/>
      </c>
      <c r="Y1017" s="22" t="str">
        <f>IF(AND(B1017&lt;=NKC!$N$8,B1017&gt;=NKC!$M$8),"x","")</f>
        <v/>
      </c>
      <c r="Z1017" s="580"/>
      <c r="AA1017" s="406"/>
    </row>
    <row r="1018" spans="1:31" s="130" customFormat="1" ht="15.75" customHeight="1">
      <c r="A1018" s="123" t="str">
        <f>IF(B1018&lt;&gt;"",IF(AND(B1018&gt;=_TM1,B1018&lt;=_TM2,OR(TH!L1018="1111",TH!M1018="1111")),TH!D1018,""),"")</f>
        <v/>
      </c>
      <c r="B1018" s="12">
        <f t="shared" si="53"/>
        <v>10</v>
      </c>
      <c r="C1018" s="108">
        <f t="shared" si="51"/>
        <v>42672</v>
      </c>
      <c r="D1018" s="113" t="s">
        <v>1073</v>
      </c>
      <c r="E1018" s="484">
        <v>42672</v>
      </c>
      <c r="F1018" s="167" t="s">
        <v>672</v>
      </c>
      <c r="G1018" s="485" t="s">
        <v>764</v>
      </c>
      <c r="H1018" s="115" t="s">
        <v>1074</v>
      </c>
      <c r="I1018" s="139">
        <v>23</v>
      </c>
      <c r="J1018" s="139">
        <v>8597.7779977385017</v>
      </c>
      <c r="K1018" s="13">
        <f t="shared" si="52"/>
        <v>197749</v>
      </c>
      <c r="L1018" s="116" t="s">
        <v>162</v>
      </c>
      <c r="M1018" s="116" t="s">
        <v>160</v>
      </c>
      <c r="N1018" s="22" t="str">
        <f>IF(AND('331-CT'!$E$7=TH!H1018,OR(L1018="331",M1018="331")),"331",IF(AND(OR(L1018="131",M1018="131"),H1018='131-CT'!$E$7),"131",""))</f>
        <v/>
      </c>
      <c r="O1018" s="22" t="str">
        <f>IF(AND($B1018&gt;='111'!$N$11,$B1018&lt;='111'!$O$11,OR($L1018=$O$7,$M1018=$O$7)),"x","")</f>
        <v/>
      </c>
      <c r="P1018" s="22" t="str">
        <f>IF(AND($L1018=$O$7,$B1018&lt;'111'!$N$11),"x","")</f>
        <v/>
      </c>
      <c r="Q1018" s="22" t="str">
        <f>IF(AND($M1018=$O$7,$B1018&lt;'111'!$N$11),"x","")</f>
        <v/>
      </c>
      <c r="R1018" s="22" t="str">
        <f>IF(ISERROR(FIND('112'!$M$9,G1018,1)),"",IF((AND(FIND('112'!$M$9,G1018,1)&gt;=1,$B1018&gt;='112'!$N$8,$B1018&lt;='112'!$O$8,OR($L1018='112'!$I$6,$M1018='112'!$I$6))),"x",""))</f>
        <v/>
      </c>
      <c r="S1018" s="22" t="str">
        <f>IF(ISERROR(FIND('112'!$M$9,G1018,1)),"",IF((AND(LEFT(G1018,2)=LEFT('112'!$M$9,2),B1018&lt;'112'!$N$8,$L1018='112'!$I$6)),"x",""))</f>
        <v/>
      </c>
      <c r="T1018" s="22" t="str">
        <f>IF(ISERROR(FIND('112'!$M$9,G1018,1)),"",IF((AND(RIGHT(G1018,2)=RIGHT('112'!$M$9,2),B1018&lt;'112'!$N$8,$M1018='112'!$I$6)),"x",""))</f>
        <v/>
      </c>
      <c r="U1018" s="22" t="str">
        <f>IF(AND(B1018&gt;='IN-NX'!$P$3,B1018&lt;='IN-NX'!$Q$3,'IN-NX'!$D$7=D1018,OR(LEFT(L1018,2)="15",AND(LEFT(M1018,2)&lt;&gt;"15",LEFT(M1018,2)&lt;&gt;"33"))),"x","")</f>
        <v/>
      </c>
      <c r="V1018" s="22" t="str">
        <f>IF(AND(OR(LEFT(TH!L1018,2)="15",LEFT(TH!M1018,2)="15"),'152-CT'!$J$8=TH!F1018),"x","")</f>
        <v/>
      </c>
      <c r="W1018" s="22" t="str">
        <f>IF(AND(OR(LEFT(TH!L1018,2)="15",LEFT(TH!M1018,2)="15"),TK!$E$7=TH!F1018),"x","")</f>
        <v/>
      </c>
      <c r="X1018" s="22" t="str">
        <f>IF(OR(TH!L1018=TH!$X$7,M1018=TH!$X$7),"x","")</f>
        <v/>
      </c>
      <c r="Y1018" s="22" t="str">
        <f>IF(AND(B1018&lt;=NKC!$N$8,B1018&gt;=NKC!$M$8),"x","")</f>
        <v/>
      </c>
      <c r="Z1018" s="580"/>
      <c r="AA1018" s="406"/>
      <c r="AB1018" s="406"/>
    </row>
    <row r="1019" spans="1:31" s="130" customFormat="1" ht="15.75" customHeight="1">
      <c r="A1019" s="123" t="str">
        <f>IF(B1019&lt;&gt;"",IF(AND(B1019&gt;=_TM1,B1019&lt;=_TM2,OR(TH!L1019="1111",TH!M1019="1111")),TH!D1019,""),"")</f>
        <v/>
      </c>
      <c r="B1019" s="12">
        <f t="shared" si="53"/>
        <v>10</v>
      </c>
      <c r="C1019" s="108">
        <f t="shared" si="51"/>
        <v>42672</v>
      </c>
      <c r="D1019" s="113" t="s">
        <v>1073</v>
      </c>
      <c r="E1019" s="484">
        <v>42672</v>
      </c>
      <c r="F1019" s="167" t="s">
        <v>673</v>
      </c>
      <c r="G1019" s="485" t="s">
        <v>764</v>
      </c>
      <c r="H1019" s="115" t="s">
        <v>1074</v>
      </c>
      <c r="I1019" s="139">
        <v>55</v>
      </c>
      <c r="J1019" s="139">
        <v>8217.3453429713136</v>
      </c>
      <c r="K1019" s="13">
        <f t="shared" si="52"/>
        <v>451954</v>
      </c>
      <c r="L1019" s="116" t="s">
        <v>162</v>
      </c>
      <c r="M1019" s="116" t="s">
        <v>160</v>
      </c>
      <c r="N1019" s="22" t="str">
        <f>IF(AND('331-CT'!$E$7=TH!H1019,OR(L1019="331",M1019="331")),"331",IF(AND(OR(L1019="131",M1019="131"),H1019='131-CT'!$E$7),"131",""))</f>
        <v/>
      </c>
      <c r="O1019" s="22" t="str">
        <f>IF(AND($B1019&gt;='111'!$N$11,$B1019&lt;='111'!$O$11,OR($L1019=$O$7,$M1019=$O$7)),"x","")</f>
        <v/>
      </c>
      <c r="P1019" s="22" t="str">
        <f>IF(AND($L1019=$O$7,$B1019&lt;'111'!$N$11),"x","")</f>
        <v/>
      </c>
      <c r="Q1019" s="22" t="str">
        <f>IF(AND($M1019=$O$7,$B1019&lt;'111'!$N$11),"x","")</f>
        <v/>
      </c>
      <c r="R1019" s="22" t="str">
        <f>IF(ISERROR(FIND('112'!$M$9,G1019,1)),"",IF((AND(FIND('112'!$M$9,G1019,1)&gt;=1,$B1019&gt;='112'!$N$8,$B1019&lt;='112'!$O$8,OR($L1019='112'!$I$6,$M1019='112'!$I$6))),"x",""))</f>
        <v/>
      </c>
      <c r="S1019" s="22" t="str">
        <f>IF(ISERROR(FIND('112'!$M$9,G1019,1)),"",IF((AND(LEFT(G1019,2)=LEFT('112'!$M$9,2),B1019&lt;'112'!$N$8,$L1019='112'!$I$6)),"x",""))</f>
        <v/>
      </c>
      <c r="T1019" s="22" t="str">
        <f>IF(ISERROR(FIND('112'!$M$9,G1019,1)),"",IF((AND(RIGHT(G1019,2)=RIGHT('112'!$M$9,2),B1019&lt;'112'!$N$8,$M1019='112'!$I$6)),"x",""))</f>
        <v/>
      </c>
      <c r="U1019" s="22" t="str">
        <f>IF(AND(B1019&gt;='IN-NX'!$P$3,B1019&lt;='IN-NX'!$Q$3,'IN-NX'!$D$7=D1019,OR(LEFT(L1019,2)="15",AND(LEFT(M1019,2)&lt;&gt;"15",LEFT(M1019,2)&lt;&gt;"33"))),"x","")</f>
        <v/>
      </c>
      <c r="V1019" s="22" t="str">
        <f>IF(AND(OR(LEFT(TH!L1019,2)="15",LEFT(TH!M1019,2)="15"),'152-CT'!$J$8=TH!F1019),"x","")</f>
        <v/>
      </c>
      <c r="W1019" s="22" t="str">
        <f>IF(AND(OR(LEFT(TH!L1019,2)="15",LEFT(TH!M1019,2)="15"),TK!$E$7=TH!F1019),"x","")</f>
        <v/>
      </c>
      <c r="X1019" s="22" t="str">
        <f>IF(OR(TH!L1019=TH!$X$7,M1019=TH!$X$7),"x","")</f>
        <v/>
      </c>
      <c r="Y1019" s="22" t="str">
        <f>IF(AND(B1019&lt;=NKC!$N$8,B1019&gt;=NKC!$M$8),"x","")</f>
        <v/>
      </c>
      <c r="Z1019" s="580"/>
      <c r="AA1019" s="406"/>
      <c r="AB1019" s="406"/>
      <c r="AD1019" s="406"/>
      <c r="AE1019" s="406"/>
    </row>
    <row r="1020" spans="1:31" s="130" customFormat="1" ht="15.75" customHeight="1">
      <c r="A1020" s="123" t="str">
        <f>IF(B1020&lt;&gt;"",IF(AND(B1020&gt;=_TM1,B1020&lt;=_TM2,OR(TH!L1020="1111",TH!M1020="1111")),TH!D1020,""),"")</f>
        <v/>
      </c>
      <c r="B1020" s="12">
        <f t="shared" si="53"/>
        <v>10</v>
      </c>
      <c r="C1020" s="108">
        <f t="shared" si="51"/>
        <v>42672</v>
      </c>
      <c r="D1020" s="113" t="s">
        <v>1073</v>
      </c>
      <c r="E1020" s="484">
        <v>42672</v>
      </c>
      <c r="F1020" s="167" t="s">
        <v>674</v>
      </c>
      <c r="G1020" s="485" t="s">
        <v>765</v>
      </c>
      <c r="H1020" s="115" t="s">
        <v>1074</v>
      </c>
      <c r="I1020" s="139">
        <v>210</v>
      </c>
      <c r="J1020" s="139">
        <v>9206.4702453660066</v>
      </c>
      <c r="K1020" s="13">
        <f t="shared" si="52"/>
        <v>1933359</v>
      </c>
      <c r="L1020" s="116" t="s">
        <v>162</v>
      </c>
      <c r="M1020" s="116" t="s">
        <v>160</v>
      </c>
      <c r="N1020" s="22" t="str">
        <f>IF(AND('331-CT'!$E$7=TH!H1020,OR(L1020="331",M1020="331")),"331",IF(AND(OR(L1020="131",M1020="131"),H1020='131-CT'!$E$7),"131",""))</f>
        <v/>
      </c>
      <c r="O1020" s="22" t="str">
        <f>IF(AND($B1020&gt;='111'!$N$11,$B1020&lt;='111'!$O$11,OR($L1020=$O$7,$M1020=$O$7)),"x","")</f>
        <v/>
      </c>
      <c r="P1020" s="22" t="str">
        <f>IF(AND($L1020=$O$7,$B1020&lt;'111'!$N$11),"x","")</f>
        <v/>
      </c>
      <c r="Q1020" s="22" t="str">
        <f>IF(AND($M1020=$O$7,$B1020&lt;'111'!$N$11),"x","")</f>
        <v/>
      </c>
      <c r="R1020" s="22" t="str">
        <f>IF(ISERROR(FIND('112'!$M$9,G1020,1)),"",IF((AND(FIND('112'!$M$9,G1020,1)&gt;=1,$B1020&gt;='112'!$N$8,$B1020&lt;='112'!$O$8,OR($L1020='112'!$I$6,$M1020='112'!$I$6))),"x",""))</f>
        <v/>
      </c>
      <c r="S1020" s="22" t="str">
        <f>IF(ISERROR(FIND('112'!$M$9,G1020,1)),"",IF((AND(LEFT(G1020,2)=LEFT('112'!$M$9,2),B1020&lt;'112'!$N$8,$L1020='112'!$I$6)),"x",""))</f>
        <v/>
      </c>
      <c r="T1020" s="22" t="str">
        <f>IF(ISERROR(FIND('112'!$M$9,G1020,1)),"",IF((AND(RIGHT(G1020,2)=RIGHT('112'!$M$9,2),B1020&lt;'112'!$N$8,$M1020='112'!$I$6)),"x",""))</f>
        <v/>
      </c>
      <c r="U1020" s="22" t="str">
        <f>IF(AND(B1020&gt;='IN-NX'!$P$3,B1020&lt;='IN-NX'!$Q$3,'IN-NX'!$D$7=D1020,OR(LEFT(L1020,2)="15",AND(LEFT(M1020,2)&lt;&gt;"15",LEFT(M1020,2)&lt;&gt;"33"))),"x","")</f>
        <v/>
      </c>
      <c r="V1020" s="22" t="str">
        <f>IF(AND(OR(LEFT(TH!L1020,2)="15",LEFT(TH!M1020,2)="15"),'152-CT'!$J$8=TH!F1020),"x","")</f>
        <v/>
      </c>
      <c r="W1020" s="22" t="str">
        <f>IF(AND(OR(LEFT(TH!L1020,2)="15",LEFT(TH!M1020,2)="15"),TK!$E$7=TH!F1020),"x","")</f>
        <v/>
      </c>
      <c r="X1020" s="22" t="str">
        <f>IF(OR(TH!L1020=TH!$X$7,M1020=TH!$X$7),"x","")</f>
        <v/>
      </c>
      <c r="Y1020" s="22" t="str">
        <f>IF(AND(B1020&lt;=NKC!$N$8,B1020&gt;=NKC!$M$8),"x","")</f>
        <v/>
      </c>
      <c r="Z1020" s="580"/>
      <c r="AA1020" s="406"/>
      <c r="AD1020" s="406"/>
      <c r="AE1020" s="406"/>
    </row>
    <row r="1021" spans="1:31" s="130" customFormat="1" ht="15.75" customHeight="1">
      <c r="A1021" s="123" t="str">
        <f>IF(B1021&lt;&gt;"",IF(AND(B1021&gt;=_TM1,B1021&lt;=_TM2,OR(TH!L1021="1111",TH!M1021="1111")),TH!D1021,""),"")</f>
        <v/>
      </c>
      <c r="B1021" s="12">
        <f t="shared" si="53"/>
        <v>10</v>
      </c>
      <c r="C1021" s="108">
        <f t="shared" si="51"/>
        <v>42672</v>
      </c>
      <c r="D1021" s="113" t="s">
        <v>1073</v>
      </c>
      <c r="E1021" s="484">
        <v>42672</v>
      </c>
      <c r="F1021" s="167" t="s">
        <v>675</v>
      </c>
      <c r="G1021" s="485" t="s">
        <v>765</v>
      </c>
      <c r="H1021" s="115" t="s">
        <v>1074</v>
      </c>
      <c r="I1021" s="139">
        <v>160</v>
      </c>
      <c r="J1021" s="139">
        <v>13315.142916851664</v>
      </c>
      <c r="K1021" s="13">
        <f t="shared" si="52"/>
        <v>2130423</v>
      </c>
      <c r="L1021" s="116" t="s">
        <v>162</v>
      </c>
      <c r="M1021" s="116" t="s">
        <v>160</v>
      </c>
      <c r="N1021" s="22" t="str">
        <f>IF(AND('331-CT'!$E$7=TH!H1021,OR(L1021="331",M1021="331")),"331",IF(AND(OR(L1021="131",M1021="131"),H1021='131-CT'!$E$7),"131",""))</f>
        <v/>
      </c>
      <c r="O1021" s="22" t="str">
        <f>IF(AND($B1021&gt;='111'!$N$11,$B1021&lt;='111'!$O$11,OR($L1021=$O$7,$M1021=$O$7)),"x","")</f>
        <v/>
      </c>
      <c r="P1021" s="22" t="str">
        <f>IF(AND($L1021=$O$7,$B1021&lt;'111'!$N$11),"x","")</f>
        <v/>
      </c>
      <c r="Q1021" s="22" t="str">
        <f>IF(AND($M1021=$O$7,$B1021&lt;'111'!$N$11),"x","")</f>
        <v/>
      </c>
      <c r="R1021" s="22" t="str">
        <f>IF(ISERROR(FIND('112'!$M$9,G1021,1)),"",IF((AND(FIND('112'!$M$9,G1021,1)&gt;=1,$B1021&gt;='112'!$N$8,$B1021&lt;='112'!$O$8,OR($L1021='112'!$I$6,$M1021='112'!$I$6))),"x",""))</f>
        <v/>
      </c>
      <c r="S1021" s="22" t="str">
        <f>IF(ISERROR(FIND('112'!$M$9,G1021,1)),"",IF((AND(LEFT(G1021,2)=LEFT('112'!$M$9,2),B1021&lt;'112'!$N$8,$L1021='112'!$I$6)),"x",""))</f>
        <v/>
      </c>
      <c r="T1021" s="22" t="str">
        <f>IF(ISERROR(FIND('112'!$M$9,G1021,1)),"",IF((AND(RIGHT(G1021,2)=RIGHT('112'!$M$9,2),B1021&lt;'112'!$N$8,$M1021='112'!$I$6)),"x",""))</f>
        <v/>
      </c>
      <c r="U1021" s="22" t="str">
        <f>IF(AND(B1021&gt;='IN-NX'!$P$3,B1021&lt;='IN-NX'!$Q$3,'IN-NX'!$D$7=D1021,OR(LEFT(L1021,2)="15",AND(LEFT(M1021,2)&lt;&gt;"15",LEFT(M1021,2)&lt;&gt;"33"))),"x","")</f>
        <v/>
      </c>
      <c r="V1021" s="22" t="str">
        <f>IF(AND(OR(LEFT(TH!L1021,2)="15",LEFT(TH!M1021,2)="15"),'152-CT'!$J$8=TH!F1021),"x","")</f>
        <v/>
      </c>
      <c r="W1021" s="22" t="str">
        <f>IF(AND(OR(LEFT(TH!L1021,2)="15",LEFT(TH!M1021,2)="15"),TK!$E$7=TH!F1021),"x","")</f>
        <v/>
      </c>
      <c r="X1021" s="22" t="str">
        <f>IF(OR(TH!L1021=TH!$X$7,M1021=TH!$X$7),"x","")</f>
        <v/>
      </c>
      <c r="Y1021" s="22" t="str">
        <f>IF(AND(B1021&lt;=NKC!$N$8,B1021&gt;=NKC!$M$8),"x","")</f>
        <v/>
      </c>
      <c r="Z1021" s="580"/>
      <c r="AA1021" s="406"/>
      <c r="AB1021" s="406"/>
    </row>
    <row r="1022" spans="1:31" s="130" customFormat="1" ht="15.75" customHeight="1">
      <c r="A1022" s="123" t="str">
        <f>IF(B1022&lt;&gt;"",IF(AND(B1022&gt;=_TM1,B1022&lt;=_TM2,OR(TH!L1022="1111",TH!M1022="1111")),TH!D1022,""),"")</f>
        <v/>
      </c>
      <c r="B1022" s="12">
        <f t="shared" si="53"/>
        <v>10</v>
      </c>
      <c r="C1022" s="108">
        <f t="shared" si="51"/>
        <v>42672</v>
      </c>
      <c r="D1022" s="113" t="s">
        <v>1073</v>
      </c>
      <c r="E1022" s="484">
        <v>42672</v>
      </c>
      <c r="F1022" s="167" t="s">
        <v>500</v>
      </c>
      <c r="G1022" s="485" t="s">
        <v>765</v>
      </c>
      <c r="H1022" s="115" t="s">
        <v>1074</v>
      </c>
      <c r="I1022" s="139">
        <v>160</v>
      </c>
      <c r="J1022" s="139">
        <v>9739.075962040075</v>
      </c>
      <c r="K1022" s="13">
        <f t="shared" si="52"/>
        <v>1558252</v>
      </c>
      <c r="L1022" s="116" t="s">
        <v>162</v>
      </c>
      <c r="M1022" s="116" t="s">
        <v>160</v>
      </c>
      <c r="N1022" s="22" t="str">
        <f>IF(AND('331-CT'!$E$7=TH!H1022,OR(L1022="331",M1022="331")),"331",IF(AND(OR(L1022="131",M1022="131"),H1022='131-CT'!$E$7),"131",""))</f>
        <v/>
      </c>
      <c r="O1022" s="22" t="str">
        <f>IF(AND($B1022&gt;='111'!$N$11,$B1022&lt;='111'!$O$11,OR($L1022=$O$7,$M1022=$O$7)),"x","")</f>
        <v/>
      </c>
      <c r="P1022" s="22" t="str">
        <f>IF(AND($L1022=$O$7,$B1022&lt;'111'!$N$11),"x","")</f>
        <v/>
      </c>
      <c r="Q1022" s="22" t="str">
        <f>IF(AND($M1022=$O$7,$B1022&lt;'111'!$N$11),"x","")</f>
        <v/>
      </c>
      <c r="R1022" s="22" t="str">
        <f>IF(ISERROR(FIND('112'!$M$9,G1022,1)),"",IF((AND(FIND('112'!$M$9,G1022,1)&gt;=1,$B1022&gt;='112'!$N$8,$B1022&lt;='112'!$O$8,OR($L1022='112'!$I$6,$M1022='112'!$I$6))),"x",""))</f>
        <v/>
      </c>
      <c r="S1022" s="22" t="str">
        <f>IF(ISERROR(FIND('112'!$M$9,G1022,1)),"",IF((AND(LEFT(G1022,2)=LEFT('112'!$M$9,2),B1022&lt;'112'!$N$8,$L1022='112'!$I$6)),"x",""))</f>
        <v/>
      </c>
      <c r="T1022" s="22" t="str">
        <f>IF(ISERROR(FIND('112'!$M$9,G1022,1)),"",IF((AND(RIGHT(G1022,2)=RIGHT('112'!$M$9,2),B1022&lt;'112'!$N$8,$M1022='112'!$I$6)),"x",""))</f>
        <v/>
      </c>
      <c r="U1022" s="22" t="str">
        <f>IF(AND(B1022&gt;='IN-NX'!$P$3,B1022&lt;='IN-NX'!$Q$3,'IN-NX'!$D$7=D1022,OR(LEFT(L1022,2)="15",AND(LEFT(M1022,2)&lt;&gt;"15",LEFT(M1022,2)&lt;&gt;"33"))),"x","")</f>
        <v/>
      </c>
      <c r="V1022" s="22" t="str">
        <f>IF(AND(OR(LEFT(TH!L1022,2)="15",LEFT(TH!M1022,2)="15"),'152-CT'!$J$8=TH!F1022),"x","")</f>
        <v/>
      </c>
      <c r="W1022" s="22" t="str">
        <f>IF(AND(OR(LEFT(TH!L1022,2)="15",LEFT(TH!M1022,2)="15"),TK!$E$7=TH!F1022),"x","")</f>
        <v/>
      </c>
      <c r="X1022" s="22" t="str">
        <f>IF(OR(TH!L1022=TH!$X$7,M1022=TH!$X$7),"x","")</f>
        <v/>
      </c>
      <c r="Y1022" s="22" t="str">
        <f>IF(AND(B1022&lt;=NKC!$N$8,B1022&gt;=NKC!$M$8),"x","")</f>
        <v/>
      </c>
      <c r="Z1022" s="580"/>
      <c r="AA1022" s="406"/>
    </row>
    <row r="1023" spans="1:31" s="130" customFormat="1" ht="15.75" customHeight="1">
      <c r="A1023" s="123" t="str">
        <f>IF(B1023&lt;&gt;"",IF(AND(B1023&gt;=_TM1,B1023&lt;=_TM2,OR(TH!L1023="1111",TH!M1023="1111")),TH!D1023,""),"")</f>
        <v/>
      </c>
      <c r="B1023" s="12">
        <f t="shared" si="53"/>
        <v>10</v>
      </c>
      <c r="C1023" s="108">
        <f t="shared" si="51"/>
        <v>42672</v>
      </c>
      <c r="D1023" s="113" t="s">
        <v>1073</v>
      </c>
      <c r="E1023" s="484">
        <v>42672</v>
      </c>
      <c r="F1023" s="167" t="s">
        <v>676</v>
      </c>
      <c r="G1023" s="485" t="s">
        <v>765</v>
      </c>
      <c r="H1023" s="115" t="s">
        <v>1074</v>
      </c>
      <c r="I1023" s="139">
        <v>160</v>
      </c>
      <c r="J1023" s="139">
        <v>8217.3453429713136</v>
      </c>
      <c r="K1023" s="13">
        <f t="shared" si="52"/>
        <v>1314775</v>
      </c>
      <c r="L1023" s="116" t="s">
        <v>162</v>
      </c>
      <c r="M1023" s="116" t="s">
        <v>160</v>
      </c>
      <c r="N1023" s="22" t="str">
        <f>IF(AND('331-CT'!$E$7=TH!H1023,OR(L1023="331",M1023="331")),"331",IF(AND(OR(L1023="131",M1023="131"),H1023='131-CT'!$E$7),"131",""))</f>
        <v/>
      </c>
      <c r="O1023" s="22" t="str">
        <f>IF(AND($B1023&gt;='111'!$N$11,$B1023&lt;='111'!$O$11,OR($L1023=$O$7,$M1023=$O$7)),"x","")</f>
        <v/>
      </c>
      <c r="P1023" s="22" t="str">
        <f>IF(AND($L1023=$O$7,$B1023&lt;'111'!$N$11),"x","")</f>
        <v/>
      </c>
      <c r="Q1023" s="22" t="str">
        <f>IF(AND($M1023=$O$7,$B1023&lt;'111'!$N$11),"x","")</f>
        <v/>
      </c>
      <c r="R1023" s="22" t="str">
        <f>IF(ISERROR(FIND('112'!$M$9,G1023,1)),"",IF((AND(FIND('112'!$M$9,G1023,1)&gt;=1,$B1023&gt;='112'!$N$8,$B1023&lt;='112'!$O$8,OR($L1023='112'!$I$6,$M1023='112'!$I$6))),"x",""))</f>
        <v/>
      </c>
      <c r="S1023" s="22" t="str">
        <f>IF(ISERROR(FIND('112'!$M$9,G1023,1)),"",IF((AND(LEFT(G1023,2)=LEFT('112'!$M$9,2),B1023&lt;'112'!$N$8,$L1023='112'!$I$6)),"x",""))</f>
        <v/>
      </c>
      <c r="T1023" s="22" t="str">
        <f>IF(ISERROR(FIND('112'!$M$9,G1023,1)),"",IF((AND(RIGHT(G1023,2)=RIGHT('112'!$M$9,2),B1023&lt;'112'!$N$8,$M1023='112'!$I$6)),"x",""))</f>
        <v/>
      </c>
      <c r="U1023" s="22" t="str">
        <f>IF(AND(B1023&gt;='IN-NX'!$P$3,B1023&lt;='IN-NX'!$Q$3,'IN-NX'!$D$7=D1023,OR(LEFT(L1023,2)="15",AND(LEFT(M1023,2)&lt;&gt;"15",LEFT(M1023,2)&lt;&gt;"33"))),"x","")</f>
        <v/>
      </c>
      <c r="V1023" s="22" t="str">
        <f>IF(AND(OR(LEFT(TH!L1023,2)="15",LEFT(TH!M1023,2)="15"),'152-CT'!$J$8=TH!F1023),"x","")</f>
        <v/>
      </c>
      <c r="W1023" s="22" t="str">
        <f>IF(AND(OR(LEFT(TH!L1023,2)="15",LEFT(TH!M1023,2)="15"),TK!$E$7=TH!F1023),"x","")</f>
        <v/>
      </c>
      <c r="X1023" s="22" t="str">
        <f>IF(OR(TH!L1023=TH!$X$7,M1023=TH!$X$7),"x","")</f>
        <v/>
      </c>
      <c r="Y1023" s="22" t="str">
        <f>IF(AND(B1023&lt;=NKC!$N$8,B1023&gt;=NKC!$M$8),"x","")</f>
        <v/>
      </c>
      <c r="Z1023" s="580"/>
      <c r="AA1023" s="406"/>
      <c r="AB1023" s="406"/>
    </row>
    <row r="1024" spans="1:31" s="130" customFormat="1" ht="15.75" customHeight="1">
      <c r="A1024" s="123" t="str">
        <f>IF(B1024&lt;&gt;"",IF(AND(B1024&gt;=_TM1,B1024&lt;=_TM2,OR(TH!L1024="1111",TH!M1024="1111")),TH!D1024,""),"")</f>
        <v/>
      </c>
      <c r="B1024" s="12">
        <f t="shared" si="53"/>
        <v>10</v>
      </c>
      <c r="C1024" s="108">
        <f t="shared" ref="C1024:C1087" si="54">E1024</f>
        <v>42672</v>
      </c>
      <c r="D1024" s="113" t="s">
        <v>1073</v>
      </c>
      <c r="E1024" s="484">
        <v>42672</v>
      </c>
      <c r="F1024" s="167" t="s">
        <v>677</v>
      </c>
      <c r="G1024" s="485" t="s">
        <v>765</v>
      </c>
      <c r="H1024" s="115" t="s">
        <v>1074</v>
      </c>
      <c r="I1024" s="139">
        <v>103</v>
      </c>
      <c r="J1024" s="139">
        <v>9510.8163691797599</v>
      </c>
      <c r="K1024" s="13">
        <f t="shared" si="52"/>
        <v>979614</v>
      </c>
      <c r="L1024" s="116" t="s">
        <v>162</v>
      </c>
      <c r="M1024" s="116" t="s">
        <v>160</v>
      </c>
      <c r="N1024" s="22" t="str">
        <f>IF(AND('331-CT'!$E$7=TH!H1024,OR(L1024="331",M1024="331")),"331",IF(AND(OR(L1024="131",M1024="131"),H1024='131-CT'!$E$7),"131",""))</f>
        <v/>
      </c>
      <c r="O1024" s="22" t="str">
        <f>IF(AND($B1024&gt;='111'!$N$11,$B1024&lt;='111'!$O$11,OR($L1024=$O$7,$M1024=$O$7)),"x","")</f>
        <v/>
      </c>
      <c r="P1024" s="22" t="str">
        <f>IF(AND($L1024=$O$7,$B1024&lt;'111'!$N$11),"x","")</f>
        <v/>
      </c>
      <c r="Q1024" s="22" t="str">
        <f>IF(AND($M1024=$O$7,$B1024&lt;'111'!$N$11),"x","")</f>
        <v/>
      </c>
      <c r="R1024" s="22" t="str">
        <f>IF(ISERROR(FIND('112'!$M$9,G1024,1)),"",IF((AND(FIND('112'!$M$9,G1024,1)&gt;=1,$B1024&gt;='112'!$N$8,$B1024&lt;='112'!$O$8,OR($L1024='112'!$I$6,$M1024='112'!$I$6))),"x",""))</f>
        <v/>
      </c>
      <c r="S1024" s="22" t="str">
        <f>IF(ISERROR(FIND('112'!$M$9,G1024,1)),"",IF((AND(LEFT(G1024,2)=LEFT('112'!$M$9,2),B1024&lt;'112'!$N$8,$L1024='112'!$I$6)),"x",""))</f>
        <v/>
      </c>
      <c r="T1024" s="22" t="str">
        <f>IF(ISERROR(FIND('112'!$M$9,G1024,1)),"",IF((AND(RIGHT(G1024,2)=RIGHT('112'!$M$9,2),B1024&lt;'112'!$N$8,$M1024='112'!$I$6)),"x",""))</f>
        <v/>
      </c>
      <c r="U1024" s="22" t="str">
        <f>IF(AND(B1024&gt;='IN-NX'!$P$3,B1024&lt;='IN-NX'!$Q$3,'IN-NX'!$D$7=D1024,OR(LEFT(L1024,2)="15",AND(LEFT(M1024,2)&lt;&gt;"15",LEFT(M1024,2)&lt;&gt;"33"))),"x","")</f>
        <v/>
      </c>
      <c r="V1024" s="22" t="str">
        <f>IF(AND(OR(LEFT(TH!L1024,2)="15",LEFT(TH!M1024,2)="15"),'152-CT'!$J$8=TH!F1024),"x","")</f>
        <v/>
      </c>
      <c r="W1024" s="22" t="str">
        <f>IF(AND(OR(LEFT(TH!L1024,2)="15",LEFT(TH!M1024,2)="15"),TK!$E$7=TH!F1024),"x","")</f>
        <v/>
      </c>
      <c r="X1024" s="22" t="str">
        <f>IF(OR(TH!L1024=TH!$X$7,M1024=TH!$X$7),"x","")</f>
        <v/>
      </c>
      <c r="Y1024" s="22" t="str">
        <f>IF(AND(B1024&lt;=NKC!$N$8,B1024&gt;=NKC!$M$8),"x","")</f>
        <v/>
      </c>
      <c r="Z1024" s="580"/>
      <c r="AA1024" s="406"/>
      <c r="AB1024" s="406"/>
    </row>
    <row r="1025" spans="1:31" s="130" customFormat="1" ht="15.75" customHeight="1">
      <c r="A1025" s="123" t="str">
        <f>IF(B1025&lt;&gt;"",IF(AND(B1025&gt;=_TM1,B1025&lt;=_TM2,OR(TH!L1025="1111",TH!M1025="1111")),TH!D1025,""),"")</f>
        <v/>
      </c>
      <c r="B1025" s="12">
        <f t="shared" si="53"/>
        <v>10</v>
      </c>
      <c r="C1025" s="108">
        <f t="shared" si="54"/>
        <v>42672</v>
      </c>
      <c r="D1025" s="113" t="s">
        <v>1073</v>
      </c>
      <c r="E1025" s="484">
        <v>42672</v>
      </c>
      <c r="F1025" s="167" t="s">
        <v>678</v>
      </c>
      <c r="G1025" s="485" t="s">
        <v>765</v>
      </c>
      <c r="H1025" s="115" t="s">
        <v>1074</v>
      </c>
      <c r="I1025" s="139">
        <v>7</v>
      </c>
      <c r="J1025" s="139">
        <v>10423.854740621018</v>
      </c>
      <c r="K1025" s="13">
        <f t="shared" si="52"/>
        <v>72967</v>
      </c>
      <c r="L1025" s="116" t="s">
        <v>162</v>
      </c>
      <c r="M1025" s="116" t="s">
        <v>160</v>
      </c>
      <c r="N1025" s="22" t="str">
        <f>IF(AND('331-CT'!$E$7=TH!H1025,OR(L1025="331",M1025="331")),"331",IF(AND(OR(L1025="131",M1025="131"),H1025='131-CT'!$E$7),"131",""))</f>
        <v/>
      </c>
      <c r="O1025" s="22" t="str">
        <f>IF(AND($B1025&gt;='111'!$N$11,$B1025&lt;='111'!$O$11,OR($L1025=$O$7,$M1025=$O$7)),"x","")</f>
        <v/>
      </c>
      <c r="P1025" s="22" t="str">
        <f>IF(AND($L1025=$O$7,$B1025&lt;'111'!$N$11),"x","")</f>
        <v/>
      </c>
      <c r="Q1025" s="22" t="str">
        <f>IF(AND($M1025=$O$7,$B1025&lt;'111'!$N$11),"x","")</f>
        <v/>
      </c>
      <c r="R1025" s="22" t="str">
        <f>IF(ISERROR(FIND('112'!$M$9,G1025,1)),"",IF((AND(FIND('112'!$M$9,G1025,1)&gt;=1,$B1025&gt;='112'!$N$8,$B1025&lt;='112'!$O$8,OR($L1025='112'!$I$6,$M1025='112'!$I$6))),"x",""))</f>
        <v/>
      </c>
      <c r="S1025" s="22" t="str">
        <f>IF(ISERROR(FIND('112'!$M$9,G1025,1)),"",IF((AND(LEFT(G1025,2)=LEFT('112'!$M$9,2),B1025&lt;'112'!$N$8,$L1025='112'!$I$6)),"x",""))</f>
        <v/>
      </c>
      <c r="T1025" s="22" t="str">
        <f>IF(ISERROR(FIND('112'!$M$9,G1025,1)),"",IF((AND(RIGHT(G1025,2)=RIGHT('112'!$M$9,2),B1025&lt;'112'!$N$8,$M1025='112'!$I$6)),"x",""))</f>
        <v/>
      </c>
      <c r="U1025" s="22" t="str">
        <f>IF(AND(B1025&gt;='IN-NX'!$P$3,B1025&lt;='IN-NX'!$Q$3,'IN-NX'!$D$7=D1025,OR(LEFT(L1025,2)="15",AND(LEFT(M1025,2)&lt;&gt;"15",LEFT(M1025,2)&lt;&gt;"33"))),"x","")</f>
        <v/>
      </c>
      <c r="V1025" s="22" t="str">
        <f>IF(AND(OR(LEFT(TH!L1025,2)="15",LEFT(TH!M1025,2)="15"),'152-CT'!$J$8=TH!F1025),"x","")</f>
        <v/>
      </c>
      <c r="W1025" s="22" t="str">
        <f>IF(AND(OR(LEFT(TH!L1025,2)="15",LEFT(TH!M1025,2)="15"),TK!$E$7=TH!F1025),"x","")</f>
        <v/>
      </c>
      <c r="X1025" s="22" t="str">
        <f>IF(OR(TH!L1025=TH!$X$7,M1025=TH!$X$7),"x","")</f>
        <v/>
      </c>
      <c r="Y1025" s="22" t="str">
        <f>IF(AND(B1025&lt;=NKC!$N$8,B1025&gt;=NKC!$M$8),"x","")</f>
        <v/>
      </c>
      <c r="Z1025" s="580"/>
      <c r="AA1025" s="406"/>
      <c r="AB1025" s="406"/>
    </row>
    <row r="1026" spans="1:31" s="130" customFormat="1" ht="15.75" customHeight="1">
      <c r="A1026" s="123" t="str">
        <f>IF(B1026&lt;&gt;"",IF(AND(B1026&gt;=_TM1,B1026&lt;=_TM2,OR(TH!L1026="1111",TH!M1026="1111")),TH!D1026,""),"")</f>
        <v/>
      </c>
      <c r="B1026" s="12">
        <f t="shared" si="53"/>
        <v>10</v>
      </c>
      <c r="C1026" s="108">
        <f t="shared" si="54"/>
        <v>42672</v>
      </c>
      <c r="D1026" s="113" t="s">
        <v>1073</v>
      </c>
      <c r="E1026" s="484">
        <v>42672</v>
      </c>
      <c r="F1026" s="167" t="s">
        <v>679</v>
      </c>
      <c r="G1026" s="485" t="s">
        <v>765</v>
      </c>
      <c r="H1026" s="115" t="s">
        <v>1074</v>
      </c>
      <c r="I1026" s="139">
        <v>105</v>
      </c>
      <c r="J1026" s="139">
        <v>7989.0857501109986</v>
      </c>
      <c r="K1026" s="13">
        <f t="shared" si="52"/>
        <v>838854</v>
      </c>
      <c r="L1026" s="116" t="s">
        <v>162</v>
      </c>
      <c r="M1026" s="116" t="s">
        <v>160</v>
      </c>
      <c r="N1026" s="22" t="str">
        <f>IF(AND('331-CT'!$E$7=TH!H1026,OR(L1026="331",M1026="331")),"331",IF(AND(OR(L1026="131",M1026="131"),H1026='131-CT'!$E$7),"131",""))</f>
        <v/>
      </c>
      <c r="O1026" s="22" t="str">
        <f>IF(AND($B1026&gt;='111'!$N$11,$B1026&lt;='111'!$O$11,OR($L1026=$O$7,$M1026=$O$7)),"x","")</f>
        <v/>
      </c>
      <c r="P1026" s="22" t="str">
        <f>IF(AND($L1026=$O$7,$B1026&lt;'111'!$N$11),"x","")</f>
        <v/>
      </c>
      <c r="Q1026" s="22" t="str">
        <f>IF(AND($M1026=$O$7,$B1026&lt;'111'!$N$11),"x","")</f>
        <v/>
      </c>
      <c r="R1026" s="22" t="str">
        <f>IF(ISERROR(FIND('112'!$M$9,G1026,1)),"",IF((AND(FIND('112'!$M$9,G1026,1)&gt;=1,$B1026&gt;='112'!$N$8,$B1026&lt;='112'!$O$8,OR($L1026='112'!$I$6,$M1026='112'!$I$6))),"x",""))</f>
        <v/>
      </c>
      <c r="S1026" s="22" t="str">
        <f>IF(ISERROR(FIND('112'!$M$9,G1026,1)),"",IF((AND(LEFT(G1026,2)=LEFT('112'!$M$9,2),B1026&lt;'112'!$N$8,$L1026='112'!$I$6)),"x",""))</f>
        <v/>
      </c>
      <c r="T1026" s="22" t="str">
        <f>IF(ISERROR(FIND('112'!$M$9,G1026,1)),"",IF((AND(RIGHT(G1026,2)=RIGHT('112'!$M$9,2),B1026&lt;'112'!$N$8,$M1026='112'!$I$6)),"x",""))</f>
        <v/>
      </c>
      <c r="U1026" s="22" t="str">
        <f>IF(AND(B1026&gt;='IN-NX'!$P$3,B1026&lt;='IN-NX'!$Q$3,'IN-NX'!$D$7=D1026,OR(LEFT(L1026,2)="15",AND(LEFT(M1026,2)&lt;&gt;"15",LEFT(M1026,2)&lt;&gt;"33"))),"x","")</f>
        <v/>
      </c>
      <c r="V1026" s="22" t="str">
        <f>IF(AND(OR(LEFT(TH!L1026,2)="15",LEFT(TH!M1026,2)="15"),'152-CT'!$J$8=TH!F1026),"x","")</f>
        <v/>
      </c>
      <c r="W1026" s="22" t="str">
        <f>IF(AND(OR(LEFT(TH!L1026,2)="15",LEFT(TH!M1026,2)="15"),TK!$E$7=TH!F1026),"x","")</f>
        <v/>
      </c>
      <c r="X1026" s="22" t="str">
        <f>IF(OR(TH!L1026=TH!$X$7,M1026=TH!$X$7),"x","")</f>
        <v/>
      </c>
      <c r="Y1026" s="22" t="str">
        <f>IF(AND(B1026&lt;=NKC!$N$8,B1026&gt;=NKC!$M$8),"x","")</f>
        <v/>
      </c>
      <c r="Z1026" s="580"/>
      <c r="AA1026" s="406"/>
      <c r="AB1026" s="406"/>
      <c r="AD1026" s="406"/>
      <c r="AE1026" s="406"/>
    </row>
    <row r="1027" spans="1:31" s="130" customFormat="1" ht="15.75" customHeight="1">
      <c r="A1027" s="123" t="str">
        <f>IF(B1027&lt;&gt;"",IF(AND(B1027&gt;=_TM1,B1027&lt;=_TM2,OR(TH!L1027="1111",TH!M1027="1111")),TH!D1027,""),"")</f>
        <v/>
      </c>
      <c r="B1027" s="12">
        <f t="shared" si="53"/>
        <v>10</v>
      </c>
      <c r="C1027" s="108">
        <f t="shared" si="54"/>
        <v>42672</v>
      </c>
      <c r="D1027" s="113" t="s">
        <v>1073</v>
      </c>
      <c r="E1027" s="484">
        <v>42672</v>
      </c>
      <c r="F1027" s="167" t="s">
        <v>680</v>
      </c>
      <c r="G1027" s="485" t="s">
        <v>765</v>
      </c>
      <c r="H1027" s="115" t="s">
        <v>1074</v>
      </c>
      <c r="I1027" s="139">
        <v>110</v>
      </c>
      <c r="J1027" s="139">
        <v>8597.7779977385017</v>
      </c>
      <c r="K1027" s="13">
        <f t="shared" si="52"/>
        <v>945756</v>
      </c>
      <c r="L1027" s="116" t="s">
        <v>162</v>
      </c>
      <c r="M1027" s="116" t="s">
        <v>160</v>
      </c>
      <c r="N1027" s="22" t="str">
        <f>IF(AND('331-CT'!$E$7=TH!H1027,OR(L1027="331",M1027="331")),"331",IF(AND(OR(L1027="131",M1027="131"),H1027='131-CT'!$E$7),"131",""))</f>
        <v/>
      </c>
      <c r="O1027" s="22" t="str">
        <f>IF(AND($B1027&gt;='111'!$N$11,$B1027&lt;='111'!$O$11,OR($L1027=$O$7,$M1027=$O$7)),"x","")</f>
        <v/>
      </c>
      <c r="P1027" s="22" t="str">
        <f>IF(AND($L1027=$O$7,$B1027&lt;'111'!$N$11),"x","")</f>
        <v/>
      </c>
      <c r="Q1027" s="22" t="str">
        <f>IF(AND($M1027=$O$7,$B1027&lt;'111'!$N$11),"x","")</f>
        <v/>
      </c>
      <c r="R1027" s="22" t="str">
        <f>IF(ISERROR(FIND('112'!$M$9,G1027,1)),"",IF((AND(FIND('112'!$M$9,G1027,1)&gt;=1,$B1027&gt;='112'!$N$8,$B1027&lt;='112'!$O$8,OR($L1027='112'!$I$6,$M1027='112'!$I$6))),"x",""))</f>
        <v/>
      </c>
      <c r="S1027" s="22" t="str">
        <f>IF(ISERROR(FIND('112'!$M$9,G1027,1)),"",IF((AND(LEFT(G1027,2)=LEFT('112'!$M$9,2),B1027&lt;'112'!$N$8,$L1027='112'!$I$6)),"x",""))</f>
        <v/>
      </c>
      <c r="T1027" s="22" t="str">
        <f>IF(ISERROR(FIND('112'!$M$9,G1027,1)),"",IF((AND(RIGHT(G1027,2)=RIGHT('112'!$M$9,2),B1027&lt;'112'!$N$8,$M1027='112'!$I$6)),"x",""))</f>
        <v/>
      </c>
      <c r="U1027" s="22" t="str">
        <f>IF(AND(B1027&gt;='IN-NX'!$P$3,B1027&lt;='IN-NX'!$Q$3,'IN-NX'!$D$7=D1027,OR(LEFT(L1027,2)="15",AND(LEFT(M1027,2)&lt;&gt;"15",LEFT(M1027,2)&lt;&gt;"33"))),"x","")</f>
        <v/>
      </c>
      <c r="V1027" s="22" t="str">
        <f>IF(AND(OR(LEFT(TH!L1027,2)="15",LEFT(TH!M1027,2)="15"),'152-CT'!$J$8=TH!F1027),"x","")</f>
        <v/>
      </c>
      <c r="W1027" s="22" t="str">
        <f>IF(AND(OR(LEFT(TH!L1027,2)="15",LEFT(TH!M1027,2)="15"),TK!$E$7=TH!F1027),"x","")</f>
        <v/>
      </c>
      <c r="X1027" s="22" t="str">
        <f>IF(OR(TH!L1027=TH!$X$7,M1027=TH!$X$7),"x","")</f>
        <v/>
      </c>
      <c r="Y1027" s="22" t="str">
        <f>IF(AND(B1027&lt;=NKC!$N$8,B1027&gt;=NKC!$M$8),"x","")</f>
        <v/>
      </c>
      <c r="Z1027" s="580"/>
      <c r="AA1027" s="406"/>
      <c r="AD1027" s="406"/>
      <c r="AE1027" s="406"/>
    </row>
    <row r="1028" spans="1:31" s="130" customFormat="1" ht="15.75" customHeight="1">
      <c r="A1028" s="123" t="str">
        <f>IF(B1028&lt;&gt;"",IF(AND(B1028&gt;=_TM1,B1028&lt;=_TM2,OR(TH!L1028="1111",TH!M1028="1111")),TH!D1028,""),"")</f>
        <v/>
      </c>
      <c r="B1028" s="12">
        <f t="shared" si="53"/>
        <v>11</v>
      </c>
      <c r="C1028" s="108">
        <f t="shared" si="54"/>
        <v>42682</v>
      </c>
      <c r="D1028" s="113" t="s">
        <v>1073</v>
      </c>
      <c r="E1028" s="484">
        <v>42682</v>
      </c>
      <c r="F1028" s="167" t="s">
        <v>502</v>
      </c>
      <c r="G1028" s="485" t="s">
        <v>766</v>
      </c>
      <c r="H1028" s="115" t="s">
        <v>1074</v>
      </c>
      <c r="I1028" s="140">
        <v>300</v>
      </c>
      <c r="J1028" s="140">
        <v>8673.86452869194</v>
      </c>
      <c r="K1028" s="13">
        <f t="shared" si="52"/>
        <v>2602159</v>
      </c>
      <c r="L1028" s="116" t="s">
        <v>162</v>
      </c>
      <c r="M1028" s="116" t="s">
        <v>160</v>
      </c>
      <c r="N1028" s="22" t="str">
        <f>IF(AND('331-CT'!$E$7=TH!H1028,OR(L1028="331",M1028="331")),"331",IF(AND(OR(L1028="131",M1028="131"),H1028='131-CT'!$E$7),"131",""))</f>
        <v/>
      </c>
      <c r="O1028" s="22" t="str">
        <f>IF(AND($B1028&gt;='111'!$N$11,$B1028&lt;='111'!$O$11,OR($L1028=$O$7,$M1028=$O$7)),"x","")</f>
        <v/>
      </c>
      <c r="P1028" s="22" t="str">
        <f>IF(AND($L1028=$O$7,$B1028&lt;'111'!$N$11),"x","")</f>
        <v/>
      </c>
      <c r="Q1028" s="22" t="str">
        <f>IF(AND($M1028=$O$7,$B1028&lt;'111'!$N$11),"x","")</f>
        <v/>
      </c>
      <c r="R1028" s="22" t="str">
        <f>IF(ISERROR(FIND('112'!$M$9,G1028,1)),"",IF((AND(FIND('112'!$M$9,G1028,1)&gt;=1,$B1028&gt;='112'!$N$8,$B1028&lt;='112'!$O$8,OR($L1028='112'!$I$6,$M1028='112'!$I$6))),"x",""))</f>
        <v/>
      </c>
      <c r="S1028" s="22" t="str">
        <f>IF(ISERROR(FIND('112'!$M$9,G1028,1)),"",IF((AND(LEFT(G1028,2)=LEFT('112'!$M$9,2),B1028&lt;'112'!$N$8,$L1028='112'!$I$6)),"x",""))</f>
        <v/>
      </c>
      <c r="T1028" s="22" t="str">
        <f>IF(ISERROR(FIND('112'!$M$9,G1028,1)),"",IF((AND(RIGHT(G1028,2)=RIGHT('112'!$M$9,2),B1028&lt;'112'!$N$8,$M1028='112'!$I$6)),"x",""))</f>
        <v/>
      </c>
      <c r="U1028" s="22" t="str">
        <f>IF(AND(B1028&gt;='IN-NX'!$P$3,B1028&lt;='IN-NX'!$Q$3,'IN-NX'!$D$7=D1028,OR(LEFT(L1028,2)="15",AND(LEFT(M1028,2)&lt;&gt;"15",LEFT(M1028,2)&lt;&gt;"33"))),"x","")</f>
        <v/>
      </c>
      <c r="V1028" s="22" t="str">
        <f>IF(AND(OR(LEFT(TH!L1028,2)="15",LEFT(TH!M1028,2)="15"),'152-CT'!$J$8=TH!F1028),"x","")</f>
        <v/>
      </c>
      <c r="W1028" s="22" t="str">
        <f>IF(AND(OR(LEFT(TH!L1028,2)="15",LEFT(TH!M1028,2)="15"),TK!$E$7=TH!F1028),"x","")</f>
        <v/>
      </c>
      <c r="X1028" s="22" t="str">
        <f>IF(OR(TH!L1028=TH!$X$7,M1028=TH!$X$7),"x","")</f>
        <v/>
      </c>
      <c r="Y1028" s="22" t="str">
        <f>IF(AND(B1028&lt;=NKC!$N$8,B1028&gt;=NKC!$M$8),"x","")</f>
        <v/>
      </c>
      <c r="Z1028" s="580"/>
      <c r="AA1028" s="406"/>
    </row>
    <row r="1029" spans="1:31" s="130" customFormat="1" ht="15.75" customHeight="1">
      <c r="A1029" s="123" t="str">
        <f>IF(B1029&lt;&gt;"",IF(AND(B1029&gt;=_TM1,B1029&lt;=_TM2,OR(TH!L1029="1111",TH!M1029="1111")),TH!D1029,""),"")</f>
        <v/>
      </c>
      <c r="B1029" s="12">
        <f t="shared" si="53"/>
        <v>11</v>
      </c>
      <c r="C1029" s="108">
        <f t="shared" si="54"/>
        <v>42682</v>
      </c>
      <c r="D1029" s="113" t="s">
        <v>1073</v>
      </c>
      <c r="E1029" s="484">
        <v>42682</v>
      </c>
      <c r="F1029" s="167" t="s">
        <v>502</v>
      </c>
      <c r="G1029" s="485" t="s">
        <v>766</v>
      </c>
      <c r="H1029" s="115" t="s">
        <v>1074</v>
      </c>
      <c r="I1029" s="139">
        <v>2000</v>
      </c>
      <c r="J1029" s="139">
        <v>8673.86452869194</v>
      </c>
      <c r="K1029" s="13">
        <f t="shared" si="52"/>
        <v>17347729</v>
      </c>
      <c r="L1029" s="116" t="s">
        <v>162</v>
      </c>
      <c r="M1029" s="116" t="s">
        <v>160</v>
      </c>
      <c r="N1029" s="22" t="str">
        <f>IF(AND('331-CT'!$E$7=TH!H1029,OR(L1029="331",M1029="331")),"331",IF(AND(OR(L1029="131",M1029="131"),H1029='131-CT'!$E$7),"131",""))</f>
        <v/>
      </c>
      <c r="O1029" s="22" t="str">
        <f>IF(AND($B1029&gt;='111'!$N$11,$B1029&lt;='111'!$O$11,OR($L1029=$O$7,$M1029=$O$7)),"x","")</f>
        <v/>
      </c>
      <c r="P1029" s="22" t="str">
        <f>IF(AND($L1029=$O$7,$B1029&lt;'111'!$N$11),"x","")</f>
        <v/>
      </c>
      <c r="Q1029" s="22" t="str">
        <f>IF(AND($M1029=$O$7,$B1029&lt;'111'!$N$11),"x","")</f>
        <v/>
      </c>
      <c r="R1029" s="22" t="str">
        <f>IF(ISERROR(FIND('112'!$M$9,G1029,1)),"",IF((AND(FIND('112'!$M$9,G1029,1)&gt;=1,$B1029&gt;='112'!$N$8,$B1029&lt;='112'!$O$8,OR($L1029='112'!$I$6,$M1029='112'!$I$6))),"x",""))</f>
        <v/>
      </c>
      <c r="S1029" s="22" t="str">
        <f>IF(ISERROR(FIND('112'!$M$9,G1029,1)),"",IF((AND(LEFT(G1029,2)=LEFT('112'!$M$9,2),B1029&lt;'112'!$N$8,$L1029='112'!$I$6)),"x",""))</f>
        <v/>
      </c>
      <c r="T1029" s="22" t="str">
        <f>IF(ISERROR(FIND('112'!$M$9,G1029,1)),"",IF((AND(RIGHT(G1029,2)=RIGHT('112'!$M$9,2),B1029&lt;'112'!$N$8,$M1029='112'!$I$6)),"x",""))</f>
        <v/>
      </c>
      <c r="U1029" s="22" t="str">
        <f>IF(AND(B1029&gt;='IN-NX'!$P$3,B1029&lt;='IN-NX'!$Q$3,'IN-NX'!$D$7=D1029,OR(LEFT(L1029,2)="15",AND(LEFT(M1029,2)&lt;&gt;"15",LEFT(M1029,2)&lt;&gt;"33"))),"x","")</f>
        <v/>
      </c>
      <c r="V1029" s="22" t="str">
        <f>IF(AND(OR(LEFT(TH!L1029,2)="15",LEFT(TH!M1029,2)="15"),'152-CT'!$J$8=TH!F1029),"x","")</f>
        <v/>
      </c>
      <c r="W1029" s="22" t="str">
        <f>IF(AND(OR(LEFT(TH!L1029,2)="15",LEFT(TH!M1029,2)="15"),TK!$E$7=TH!F1029),"x","")</f>
        <v/>
      </c>
      <c r="X1029" s="22" t="str">
        <f>IF(OR(TH!L1029=TH!$X$7,M1029=TH!$X$7),"x","")</f>
        <v/>
      </c>
      <c r="Y1029" s="22" t="str">
        <f>IF(AND(B1029&lt;=NKC!$N$8,B1029&gt;=NKC!$M$8),"x","")</f>
        <v/>
      </c>
      <c r="Z1029" s="580"/>
      <c r="AA1029" s="406"/>
      <c r="AB1029" s="406"/>
    </row>
    <row r="1030" spans="1:31" s="130" customFormat="1" ht="15.75" customHeight="1">
      <c r="A1030" s="123" t="str">
        <f>IF(B1030&lt;&gt;"",IF(AND(B1030&gt;=_TM1,B1030&lt;=_TM2,OR(TH!L1030="1111",TH!M1030="1111")),TH!D1030,""),"")</f>
        <v/>
      </c>
      <c r="B1030" s="12">
        <f t="shared" si="53"/>
        <v>11</v>
      </c>
      <c r="C1030" s="108">
        <f t="shared" si="54"/>
        <v>42682</v>
      </c>
      <c r="D1030" s="113" t="s">
        <v>1073</v>
      </c>
      <c r="E1030" s="484">
        <v>42682</v>
      </c>
      <c r="F1030" s="167" t="s">
        <v>681</v>
      </c>
      <c r="G1030" s="485" t="s">
        <v>766</v>
      </c>
      <c r="H1030" s="115" t="s">
        <v>1074</v>
      </c>
      <c r="I1030" s="139">
        <v>4600</v>
      </c>
      <c r="J1030" s="139">
        <v>684.77877858094269</v>
      </c>
      <c r="K1030" s="13">
        <f t="shared" si="52"/>
        <v>3149982</v>
      </c>
      <c r="L1030" s="116" t="s">
        <v>162</v>
      </c>
      <c r="M1030" s="116" t="s">
        <v>160</v>
      </c>
      <c r="N1030" s="22" t="str">
        <f>IF(AND('331-CT'!$E$7=TH!H1030,OR(L1030="331",M1030="331")),"331",IF(AND(OR(L1030="131",M1030="131"),H1030='131-CT'!$E$7),"131",""))</f>
        <v/>
      </c>
      <c r="O1030" s="22" t="str">
        <f>IF(AND($B1030&gt;='111'!$N$11,$B1030&lt;='111'!$O$11,OR($L1030=$O$7,$M1030=$O$7)),"x","")</f>
        <v/>
      </c>
      <c r="P1030" s="22" t="str">
        <f>IF(AND($L1030=$O$7,$B1030&lt;'111'!$N$11),"x","")</f>
        <v/>
      </c>
      <c r="Q1030" s="22" t="str">
        <f>IF(AND($M1030=$O$7,$B1030&lt;'111'!$N$11),"x","")</f>
        <v/>
      </c>
      <c r="R1030" s="22" t="str">
        <f>IF(ISERROR(FIND('112'!$M$9,G1030,1)),"",IF((AND(FIND('112'!$M$9,G1030,1)&gt;=1,$B1030&gt;='112'!$N$8,$B1030&lt;='112'!$O$8,OR($L1030='112'!$I$6,$M1030='112'!$I$6))),"x",""))</f>
        <v/>
      </c>
      <c r="S1030" s="22" t="str">
        <f>IF(ISERROR(FIND('112'!$M$9,G1030,1)),"",IF((AND(LEFT(G1030,2)=LEFT('112'!$M$9,2),B1030&lt;'112'!$N$8,$L1030='112'!$I$6)),"x",""))</f>
        <v/>
      </c>
      <c r="T1030" s="22" t="str">
        <f>IF(ISERROR(FIND('112'!$M$9,G1030,1)),"",IF((AND(RIGHT(G1030,2)=RIGHT('112'!$M$9,2),B1030&lt;'112'!$N$8,$M1030='112'!$I$6)),"x",""))</f>
        <v/>
      </c>
      <c r="U1030" s="22" t="str">
        <f>IF(AND(B1030&gt;='IN-NX'!$P$3,B1030&lt;='IN-NX'!$Q$3,'IN-NX'!$D$7=D1030,OR(LEFT(L1030,2)="15",AND(LEFT(M1030,2)&lt;&gt;"15",LEFT(M1030,2)&lt;&gt;"33"))),"x","")</f>
        <v/>
      </c>
      <c r="V1030" s="22" t="str">
        <f>IF(AND(OR(LEFT(TH!L1030,2)="15",LEFT(TH!M1030,2)="15"),'152-CT'!$J$8=TH!F1030),"x","")</f>
        <v/>
      </c>
      <c r="W1030" s="22" t="str">
        <f>IF(AND(OR(LEFT(TH!L1030,2)="15",LEFT(TH!M1030,2)="15"),TK!$E$7=TH!F1030),"x","")</f>
        <v/>
      </c>
      <c r="X1030" s="22" t="str">
        <f>IF(OR(TH!L1030=TH!$X$7,M1030=TH!$X$7),"x","")</f>
        <v/>
      </c>
      <c r="Y1030" s="22" t="str">
        <f>IF(AND(B1030&lt;=NKC!$N$8,B1030&gt;=NKC!$M$8),"x","")</f>
        <v/>
      </c>
      <c r="Z1030" s="580"/>
      <c r="AA1030" s="406"/>
    </row>
    <row r="1031" spans="1:31" s="130" customFormat="1" ht="15.75" customHeight="1">
      <c r="A1031" s="123" t="str">
        <f>IF(B1031&lt;&gt;"",IF(AND(B1031&gt;=_TM1,B1031&lt;=_TM2,OR(TH!L1031="1111",TH!M1031="1111")),TH!D1031,""),"")</f>
        <v/>
      </c>
      <c r="B1031" s="12">
        <f t="shared" si="53"/>
        <v>11</v>
      </c>
      <c r="C1031" s="108">
        <f t="shared" si="54"/>
        <v>42682</v>
      </c>
      <c r="D1031" s="113" t="s">
        <v>1073</v>
      </c>
      <c r="E1031" s="484">
        <v>42682</v>
      </c>
      <c r="F1031" s="167" t="s">
        <v>682</v>
      </c>
      <c r="G1031" s="485" t="s">
        <v>767</v>
      </c>
      <c r="H1031" s="115" t="s">
        <v>1074</v>
      </c>
      <c r="I1031" s="139">
        <v>6030</v>
      </c>
      <c r="J1031" s="139">
        <v>10119.508616807265</v>
      </c>
      <c r="K1031" s="13">
        <f t="shared" si="52"/>
        <v>61020637</v>
      </c>
      <c r="L1031" s="116" t="s">
        <v>162</v>
      </c>
      <c r="M1031" s="116" t="s">
        <v>160</v>
      </c>
      <c r="N1031" s="22" t="str">
        <f>IF(AND('331-CT'!$E$7=TH!H1031,OR(L1031="331",M1031="331")),"331",IF(AND(OR(L1031="131",M1031="131"),H1031='131-CT'!$E$7),"131",""))</f>
        <v/>
      </c>
      <c r="O1031" s="22" t="str">
        <f>IF(AND($B1031&gt;='111'!$N$11,$B1031&lt;='111'!$O$11,OR($L1031=$O$7,$M1031=$O$7)),"x","")</f>
        <v/>
      </c>
      <c r="P1031" s="22" t="str">
        <f>IF(AND($L1031=$O$7,$B1031&lt;'111'!$N$11),"x","")</f>
        <v/>
      </c>
      <c r="Q1031" s="22" t="str">
        <f>IF(AND($M1031=$O$7,$B1031&lt;'111'!$N$11),"x","")</f>
        <v/>
      </c>
      <c r="R1031" s="22" t="str">
        <f>IF(ISERROR(FIND('112'!$M$9,G1031,1)),"",IF((AND(FIND('112'!$M$9,G1031,1)&gt;=1,$B1031&gt;='112'!$N$8,$B1031&lt;='112'!$O$8,OR($L1031='112'!$I$6,$M1031='112'!$I$6))),"x",""))</f>
        <v/>
      </c>
      <c r="S1031" s="22" t="str">
        <f>IF(ISERROR(FIND('112'!$M$9,G1031,1)),"",IF((AND(LEFT(G1031,2)=LEFT('112'!$M$9,2),B1031&lt;'112'!$N$8,$L1031='112'!$I$6)),"x",""))</f>
        <v/>
      </c>
      <c r="T1031" s="22" t="str">
        <f>IF(ISERROR(FIND('112'!$M$9,G1031,1)),"",IF((AND(RIGHT(G1031,2)=RIGHT('112'!$M$9,2),B1031&lt;'112'!$N$8,$M1031='112'!$I$6)),"x",""))</f>
        <v/>
      </c>
      <c r="U1031" s="22" t="str">
        <f>IF(AND(B1031&gt;='IN-NX'!$P$3,B1031&lt;='IN-NX'!$Q$3,'IN-NX'!$D$7=D1031,OR(LEFT(L1031,2)="15",AND(LEFT(M1031,2)&lt;&gt;"15",LEFT(M1031,2)&lt;&gt;"33"))),"x","")</f>
        <v/>
      </c>
      <c r="V1031" s="22" t="str">
        <f>IF(AND(OR(LEFT(TH!L1031,2)="15",LEFT(TH!M1031,2)="15"),'152-CT'!$J$8=TH!F1031),"x","")</f>
        <v/>
      </c>
      <c r="W1031" s="22" t="str">
        <f>IF(AND(OR(LEFT(TH!L1031,2)="15",LEFT(TH!M1031,2)="15"),TK!$E$7=TH!F1031),"x","")</f>
        <v/>
      </c>
      <c r="X1031" s="22" t="str">
        <f>IF(OR(TH!L1031=TH!$X$7,M1031=TH!$X$7),"x","")</f>
        <v/>
      </c>
      <c r="Y1031" s="22" t="str">
        <f>IF(AND(B1031&lt;=NKC!$N$8,B1031&gt;=NKC!$M$8),"x","")</f>
        <v/>
      </c>
      <c r="Z1031" s="580"/>
      <c r="AA1031" s="406"/>
      <c r="AB1031" s="406"/>
    </row>
    <row r="1032" spans="1:31" s="130" customFormat="1" ht="15.75" customHeight="1">
      <c r="A1032" s="123" t="str">
        <f>IF(B1032&lt;&gt;"",IF(AND(B1032&gt;=_TM1,B1032&lt;=_TM2,OR(TH!L1032="1111",TH!M1032="1111")),TH!D1032,""),"")</f>
        <v/>
      </c>
      <c r="B1032" s="12">
        <f t="shared" si="53"/>
        <v>11</v>
      </c>
      <c r="C1032" s="108">
        <f t="shared" si="54"/>
        <v>42683</v>
      </c>
      <c r="D1032" s="113" t="s">
        <v>1073</v>
      </c>
      <c r="E1032" s="484">
        <v>42683</v>
      </c>
      <c r="F1032" s="167" t="s">
        <v>692</v>
      </c>
      <c r="G1032" s="485" t="s">
        <v>768</v>
      </c>
      <c r="H1032" s="115" t="s">
        <v>1074</v>
      </c>
      <c r="I1032" s="139">
        <v>318</v>
      </c>
      <c r="J1032" s="139">
        <v>6391.2686000887979</v>
      </c>
      <c r="K1032" s="13">
        <f t="shared" si="52"/>
        <v>2032423</v>
      </c>
      <c r="L1032" s="116" t="s">
        <v>162</v>
      </c>
      <c r="M1032" s="116" t="s">
        <v>160</v>
      </c>
      <c r="N1032" s="22" t="str">
        <f>IF(AND('331-CT'!$E$7=TH!H1032,OR(L1032="331",M1032="331")),"331",IF(AND(OR(L1032="131",M1032="131"),H1032='131-CT'!$E$7),"131",""))</f>
        <v/>
      </c>
      <c r="O1032" s="22" t="str">
        <f>IF(AND($B1032&gt;='111'!$N$11,$B1032&lt;='111'!$O$11,OR($L1032=$O$7,$M1032=$O$7)),"x","")</f>
        <v/>
      </c>
      <c r="P1032" s="22" t="str">
        <f>IF(AND($L1032=$O$7,$B1032&lt;'111'!$N$11),"x","")</f>
        <v/>
      </c>
      <c r="Q1032" s="22" t="str">
        <f>IF(AND($M1032=$O$7,$B1032&lt;'111'!$N$11),"x","")</f>
        <v/>
      </c>
      <c r="R1032" s="22" t="str">
        <f>IF(ISERROR(FIND('112'!$M$9,G1032,1)),"",IF((AND(FIND('112'!$M$9,G1032,1)&gt;=1,$B1032&gt;='112'!$N$8,$B1032&lt;='112'!$O$8,OR($L1032='112'!$I$6,$M1032='112'!$I$6))),"x",""))</f>
        <v/>
      </c>
      <c r="S1032" s="22" t="str">
        <f>IF(ISERROR(FIND('112'!$M$9,G1032,1)),"",IF((AND(LEFT(G1032,2)=LEFT('112'!$M$9,2),B1032&lt;'112'!$N$8,$L1032='112'!$I$6)),"x",""))</f>
        <v/>
      </c>
      <c r="T1032" s="22" t="str">
        <f>IF(ISERROR(FIND('112'!$M$9,G1032,1)),"",IF((AND(RIGHT(G1032,2)=RIGHT('112'!$M$9,2),B1032&lt;'112'!$N$8,$M1032='112'!$I$6)),"x",""))</f>
        <v/>
      </c>
      <c r="U1032" s="22" t="str">
        <f>IF(AND(B1032&gt;='IN-NX'!$P$3,B1032&lt;='IN-NX'!$Q$3,'IN-NX'!$D$7=D1032,OR(LEFT(L1032,2)="15",AND(LEFT(M1032,2)&lt;&gt;"15",LEFT(M1032,2)&lt;&gt;"33"))),"x","")</f>
        <v/>
      </c>
      <c r="V1032" s="22" t="str">
        <f>IF(AND(OR(LEFT(TH!L1032,2)="15",LEFT(TH!M1032,2)="15"),'152-CT'!$J$8=TH!F1032),"x","")</f>
        <v/>
      </c>
      <c r="W1032" s="22" t="str">
        <f>IF(AND(OR(LEFT(TH!L1032,2)="15",LEFT(TH!M1032,2)="15"),TK!$E$7=TH!F1032),"x","")</f>
        <v/>
      </c>
      <c r="X1032" s="22" t="str">
        <f>IF(OR(TH!L1032=TH!$X$7,M1032=TH!$X$7),"x","")</f>
        <v/>
      </c>
      <c r="Y1032" s="22" t="str">
        <f>IF(AND(B1032&lt;=NKC!$N$8,B1032&gt;=NKC!$M$8),"x","")</f>
        <v/>
      </c>
      <c r="Z1032" s="580"/>
      <c r="AA1032" s="406"/>
      <c r="AB1032" s="406"/>
      <c r="AD1032" s="406"/>
      <c r="AE1032" s="406"/>
    </row>
    <row r="1033" spans="1:31" s="130" customFormat="1" ht="15.75" customHeight="1">
      <c r="A1033" s="123" t="str">
        <f>IF(B1033&lt;&gt;"",IF(AND(B1033&gt;=_TM1,B1033&lt;=_TM2,OR(TH!L1033="1111",TH!M1033="1111")),TH!D1033,""),"")</f>
        <v/>
      </c>
      <c r="B1033" s="12">
        <f t="shared" si="53"/>
        <v>11</v>
      </c>
      <c r="C1033" s="108">
        <f t="shared" si="54"/>
        <v>42683</v>
      </c>
      <c r="D1033" s="113" t="s">
        <v>1073</v>
      </c>
      <c r="E1033" s="484">
        <v>42683</v>
      </c>
      <c r="F1033" s="167" t="s">
        <v>540</v>
      </c>
      <c r="G1033" s="485" t="s">
        <v>768</v>
      </c>
      <c r="H1033" s="115" t="s">
        <v>1074</v>
      </c>
      <c r="I1033" s="140">
        <v>520</v>
      </c>
      <c r="J1033" s="139">
        <v>7380.3935024834936</v>
      </c>
      <c r="K1033" s="13">
        <f t="shared" si="52"/>
        <v>3837805</v>
      </c>
      <c r="L1033" s="116" t="s">
        <v>162</v>
      </c>
      <c r="M1033" s="116" t="s">
        <v>160</v>
      </c>
      <c r="N1033" s="22" t="str">
        <f>IF(AND('331-CT'!$E$7=TH!H1033,OR(L1033="331",M1033="331")),"331",IF(AND(OR(L1033="131",M1033="131"),H1033='131-CT'!$E$7),"131",""))</f>
        <v/>
      </c>
      <c r="O1033" s="22" t="str">
        <f>IF(AND($B1033&gt;='111'!$N$11,$B1033&lt;='111'!$O$11,OR($L1033=$O$7,$M1033=$O$7)),"x","")</f>
        <v/>
      </c>
      <c r="P1033" s="22" t="str">
        <f>IF(AND($L1033=$O$7,$B1033&lt;'111'!$N$11),"x","")</f>
        <v/>
      </c>
      <c r="Q1033" s="22" t="str">
        <f>IF(AND($M1033=$O$7,$B1033&lt;'111'!$N$11),"x","")</f>
        <v/>
      </c>
      <c r="R1033" s="22" t="str">
        <f>IF(ISERROR(FIND('112'!$M$9,G1033,1)),"",IF((AND(FIND('112'!$M$9,G1033,1)&gt;=1,$B1033&gt;='112'!$N$8,$B1033&lt;='112'!$O$8,OR($L1033='112'!$I$6,$M1033='112'!$I$6))),"x",""))</f>
        <v/>
      </c>
      <c r="S1033" s="22" t="str">
        <f>IF(ISERROR(FIND('112'!$M$9,G1033,1)),"",IF((AND(LEFT(G1033,2)=LEFT('112'!$M$9,2),B1033&lt;'112'!$N$8,$L1033='112'!$I$6)),"x",""))</f>
        <v/>
      </c>
      <c r="T1033" s="22" t="str">
        <f>IF(ISERROR(FIND('112'!$M$9,G1033,1)),"",IF((AND(RIGHT(G1033,2)=RIGHT('112'!$M$9,2),B1033&lt;'112'!$N$8,$M1033='112'!$I$6)),"x",""))</f>
        <v/>
      </c>
      <c r="U1033" s="22" t="str">
        <f>IF(AND(B1033&gt;='IN-NX'!$P$3,B1033&lt;='IN-NX'!$Q$3,'IN-NX'!$D$7=D1033,OR(LEFT(L1033,2)="15",AND(LEFT(M1033,2)&lt;&gt;"15",LEFT(M1033,2)&lt;&gt;"33"))),"x","")</f>
        <v/>
      </c>
      <c r="V1033" s="22" t="str">
        <f>IF(AND(OR(LEFT(TH!L1033,2)="15",LEFT(TH!M1033,2)="15"),'152-CT'!$J$8=TH!F1033),"x","")</f>
        <v/>
      </c>
      <c r="W1033" s="22" t="str">
        <f>IF(AND(OR(LEFT(TH!L1033,2)="15",LEFT(TH!M1033,2)="15"),TK!$E$7=TH!F1033),"x","")</f>
        <v/>
      </c>
      <c r="X1033" s="22" t="str">
        <f>IF(OR(TH!L1033=TH!$X$7,M1033=TH!$X$7),"x","")</f>
        <v/>
      </c>
      <c r="Y1033" s="22" t="str">
        <f>IF(AND(B1033&lt;=NKC!$N$8,B1033&gt;=NKC!$M$8),"x","")</f>
        <v/>
      </c>
      <c r="Z1033" s="580"/>
      <c r="AA1033" s="406"/>
      <c r="AB1033" s="406"/>
      <c r="AD1033" s="406"/>
      <c r="AE1033" s="406"/>
    </row>
    <row r="1034" spans="1:31" s="130" customFormat="1" ht="15.75" customHeight="1">
      <c r="A1034" s="123" t="str">
        <f>IF(B1034&lt;&gt;"",IF(AND(B1034&gt;=_TM1,B1034&lt;=_TM2,OR(TH!L1034="1111",TH!M1034="1111")),TH!D1034,""),"")</f>
        <v/>
      </c>
      <c r="B1034" s="12">
        <f t="shared" si="53"/>
        <v>11</v>
      </c>
      <c r="C1034" s="108">
        <f t="shared" si="54"/>
        <v>42683</v>
      </c>
      <c r="D1034" s="113" t="s">
        <v>1073</v>
      </c>
      <c r="E1034" s="484">
        <v>42683</v>
      </c>
      <c r="F1034" s="167" t="s">
        <v>813</v>
      </c>
      <c r="G1034" s="485" t="s">
        <v>811</v>
      </c>
      <c r="H1034" s="115" t="s">
        <v>1074</v>
      </c>
      <c r="I1034" s="139">
        <v>4000</v>
      </c>
      <c r="J1034" s="139">
        <v>6391.2686000887979</v>
      </c>
      <c r="K1034" s="13">
        <f t="shared" si="52"/>
        <v>25565074</v>
      </c>
      <c r="L1034" s="116" t="s">
        <v>162</v>
      </c>
      <c r="M1034" s="116" t="s">
        <v>160</v>
      </c>
      <c r="N1034" s="22" t="str">
        <f>IF(AND('331-CT'!$E$7=TH!H1034,OR(L1034="331",M1034="331")),"331",IF(AND(OR(L1034="131",M1034="131"),H1034='131-CT'!$E$7),"131",""))</f>
        <v/>
      </c>
      <c r="O1034" s="22" t="str">
        <f>IF(AND($B1034&gt;='111'!$N$11,$B1034&lt;='111'!$O$11,OR($L1034=$O$7,$M1034=$O$7)),"x","")</f>
        <v/>
      </c>
      <c r="P1034" s="22" t="str">
        <f>IF(AND($L1034=$O$7,$B1034&lt;'111'!$N$11),"x","")</f>
        <v/>
      </c>
      <c r="Q1034" s="22" t="str">
        <f>IF(AND($M1034=$O$7,$B1034&lt;'111'!$N$11),"x","")</f>
        <v/>
      </c>
      <c r="R1034" s="22" t="str">
        <f>IF(ISERROR(FIND('112'!$M$9,G1034,1)),"",IF((AND(FIND('112'!$M$9,G1034,1)&gt;=1,$B1034&gt;='112'!$N$8,$B1034&lt;='112'!$O$8,OR($L1034='112'!$I$6,$M1034='112'!$I$6))),"x",""))</f>
        <v/>
      </c>
      <c r="S1034" s="22" t="str">
        <f>IF(ISERROR(FIND('112'!$M$9,G1034,1)),"",IF((AND(LEFT(G1034,2)=LEFT('112'!$M$9,2),B1034&lt;'112'!$N$8,$L1034='112'!$I$6)),"x",""))</f>
        <v/>
      </c>
      <c r="T1034" s="22" t="str">
        <f>IF(ISERROR(FIND('112'!$M$9,G1034,1)),"",IF((AND(RIGHT(G1034,2)=RIGHT('112'!$M$9,2),B1034&lt;'112'!$N$8,$M1034='112'!$I$6)),"x",""))</f>
        <v/>
      </c>
      <c r="U1034" s="22" t="str">
        <f>IF(AND(B1034&gt;='IN-NX'!$P$3,B1034&lt;='IN-NX'!$Q$3,'IN-NX'!$D$7=D1034,OR(LEFT(L1034,2)="15",AND(LEFT(M1034,2)&lt;&gt;"15",LEFT(M1034,2)&lt;&gt;"33"))),"x","")</f>
        <v/>
      </c>
      <c r="V1034" s="22" t="str">
        <f>IF(AND(OR(LEFT(TH!L1034,2)="15",LEFT(TH!M1034,2)="15"),'152-CT'!$J$8=TH!F1034),"x","")</f>
        <v/>
      </c>
      <c r="W1034" s="22" t="str">
        <f>IF(AND(OR(LEFT(TH!L1034,2)="15",LEFT(TH!M1034,2)="15"),TK!$E$7=TH!F1034),"x","")</f>
        <v/>
      </c>
      <c r="X1034" s="22" t="str">
        <f>IF(OR(TH!L1034=TH!$X$7,M1034=TH!$X$7),"x","")</f>
        <v/>
      </c>
      <c r="Y1034" s="22" t="str">
        <f>IF(AND(B1034&lt;=NKC!$N$8,B1034&gt;=NKC!$M$8),"x","")</f>
        <v/>
      </c>
      <c r="Z1034" s="580"/>
      <c r="AA1034" s="406"/>
    </row>
    <row r="1035" spans="1:31" s="130" customFormat="1" ht="15.75" customHeight="1">
      <c r="A1035" s="123" t="str">
        <f>IF(B1035&lt;&gt;"",IF(AND(B1035&gt;=_TM1,B1035&lt;=_TM2,OR(TH!L1035="1111",TH!M1035="1111")),TH!D1035,""),"")</f>
        <v/>
      </c>
      <c r="B1035" s="12">
        <f t="shared" si="53"/>
        <v>11</v>
      </c>
      <c r="C1035" s="108">
        <f t="shared" si="54"/>
        <v>42684</v>
      </c>
      <c r="D1035" s="113" t="s">
        <v>1073</v>
      </c>
      <c r="E1035" s="484">
        <v>42684</v>
      </c>
      <c r="F1035" s="167" t="s">
        <v>813</v>
      </c>
      <c r="G1035" s="485" t="s">
        <v>812</v>
      </c>
      <c r="H1035" s="115" t="s">
        <v>1074</v>
      </c>
      <c r="I1035" s="139">
        <v>4000</v>
      </c>
      <c r="J1035" s="139">
        <v>6391.2686000887979</v>
      </c>
      <c r="K1035" s="13">
        <f t="shared" si="52"/>
        <v>25565074</v>
      </c>
      <c r="L1035" s="116" t="s">
        <v>162</v>
      </c>
      <c r="M1035" s="116" t="s">
        <v>160</v>
      </c>
      <c r="N1035" s="22" t="str">
        <f>IF(AND('331-CT'!$E$7=TH!H1035,OR(L1035="331",M1035="331")),"331",IF(AND(OR(L1035="131",M1035="131"),H1035='131-CT'!$E$7),"131",""))</f>
        <v/>
      </c>
      <c r="O1035" s="22" t="str">
        <f>IF(AND($B1035&gt;='111'!$N$11,$B1035&lt;='111'!$O$11,OR($L1035=$O$7,$M1035=$O$7)),"x","")</f>
        <v/>
      </c>
      <c r="P1035" s="22" t="str">
        <f>IF(AND($L1035=$O$7,$B1035&lt;'111'!$N$11),"x","")</f>
        <v/>
      </c>
      <c r="Q1035" s="22" t="str">
        <f>IF(AND($M1035=$O$7,$B1035&lt;'111'!$N$11),"x","")</f>
        <v/>
      </c>
      <c r="R1035" s="22" t="str">
        <f>IF(ISERROR(FIND('112'!$M$9,G1035,1)),"",IF((AND(FIND('112'!$M$9,G1035,1)&gt;=1,$B1035&gt;='112'!$N$8,$B1035&lt;='112'!$O$8,OR($L1035='112'!$I$6,$M1035='112'!$I$6))),"x",""))</f>
        <v/>
      </c>
      <c r="S1035" s="22" t="str">
        <f>IF(ISERROR(FIND('112'!$M$9,G1035,1)),"",IF((AND(LEFT(G1035,2)=LEFT('112'!$M$9,2),B1035&lt;'112'!$N$8,$L1035='112'!$I$6)),"x",""))</f>
        <v/>
      </c>
      <c r="T1035" s="22" t="str">
        <f>IF(ISERROR(FIND('112'!$M$9,G1035,1)),"",IF((AND(RIGHT(G1035,2)=RIGHT('112'!$M$9,2),B1035&lt;'112'!$N$8,$M1035='112'!$I$6)),"x",""))</f>
        <v/>
      </c>
      <c r="U1035" s="22" t="str">
        <f>IF(AND(B1035&gt;='IN-NX'!$P$3,B1035&lt;='IN-NX'!$Q$3,'IN-NX'!$D$7=D1035,OR(LEFT(L1035,2)="15",AND(LEFT(M1035,2)&lt;&gt;"15",LEFT(M1035,2)&lt;&gt;"33"))),"x","")</f>
        <v/>
      </c>
      <c r="V1035" s="22" t="str">
        <f>IF(AND(OR(LEFT(TH!L1035,2)="15",LEFT(TH!M1035,2)="15"),'152-CT'!$J$8=TH!F1035),"x","")</f>
        <v/>
      </c>
      <c r="W1035" s="22" t="str">
        <f>IF(AND(OR(LEFT(TH!L1035,2)="15",LEFT(TH!M1035,2)="15"),TK!$E$7=TH!F1035),"x","")</f>
        <v/>
      </c>
      <c r="X1035" s="22" t="str">
        <f>IF(OR(TH!L1035=TH!$X$7,M1035=TH!$X$7),"x","")</f>
        <v/>
      </c>
      <c r="Y1035" s="22" t="str">
        <f>IF(AND(B1035&lt;=NKC!$N$8,B1035&gt;=NKC!$M$8),"x","")</f>
        <v/>
      </c>
      <c r="Z1035" s="580"/>
      <c r="AA1035" s="406"/>
      <c r="AB1035" s="406"/>
    </row>
    <row r="1036" spans="1:31" s="130" customFormat="1" ht="15.75" customHeight="1">
      <c r="A1036" s="123" t="str">
        <f>IF(B1036&lt;&gt;"",IF(AND(B1036&gt;=_TM1,B1036&lt;=_TM2,OR(TH!L1036="1111",TH!M1036="1111")),TH!D1036,""),"")</f>
        <v/>
      </c>
      <c r="B1036" s="12">
        <f t="shared" si="53"/>
        <v>11</v>
      </c>
      <c r="C1036" s="108">
        <f t="shared" si="54"/>
        <v>42693</v>
      </c>
      <c r="D1036" s="113" t="s">
        <v>1073</v>
      </c>
      <c r="E1036" s="484">
        <v>42693</v>
      </c>
      <c r="F1036" s="167" t="s">
        <v>685</v>
      </c>
      <c r="G1036" s="485" t="s">
        <v>769</v>
      </c>
      <c r="H1036" s="115" t="s">
        <v>1074</v>
      </c>
      <c r="I1036" s="139">
        <v>23</v>
      </c>
      <c r="J1036" s="139">
        <v>14989.046597827301</v>
      </c>
      <c r="K1036" s="13">
        <f t="shared" si="52"/>
        <v>344748</v>
      </c>
      <c r="L1036" s="116" t="s">
        <v>162</v>
      </c>
      <c r="M1036" s="116" t="s">
        <v>160</v>
      </c>
      <c r="N1036" s="22" t="str">
        <f>IF(AND('331-CT'!$E$7=TH!H1036,OR(L1036="331",M1036="331")),"331",IF(AND(OR(L1036="131",M1036="131"),H1036='131-CT'!$E$7),"131",""))</f>
        <v/>
      </c>
      <c r="O1036" s="22" t="str">
        <f>IF(AND($B1036&gt;='111'!$N$11,$B1036&lt;='111'!$O$11,OR($L1036=$O$7,$M1036=$O$7)),"x","")</f>
        <v/>
      </c>
      <c r="P1036" s="22" t="str">
        <f>IF(AND($L1036=$O$7,$B1036&lt;'111'!$N$11),"x","")</f>
        <v/>
      </c>
      <c r="Q1036" s="22" t="str">
        <f>IF(AND($M1036=$O$7,$B1036&lt;'111'!$N$11),"x","")</f>
        <v/>
      </c>
      <c r="R1036" s="22" t="str">
        <f>IF(ISERROR(FIND('112'!$M$9,G1036,1)),"",IF((AND(FIND('112'!$M$9,G1036,1)&gt;=1,$B1036&gt;='112'!$N$8,$B1036&lt;='112'!$O$8,OR($L1036='112'!$I$6,$M1036='112'!$I$6))),"x",""))</f>
        <v/>
      </c>
      <c r="S1036" s="22" t="str">
        <f>IF(ISERROR(FIND('112'!$M$9,G1036,1)),"",IF((AND(LEFT(G1036,2)=LEFT('112'!$M$9,2),B1036&lt;'112'!$N$8,$L1036='112'!$I$6)),"x",""))</f>
        <v/>
      </c>
      <c r="T1036" s="22" t="str">
        <f>IF(ISERROR(FIND('112'!$M$9,G1036,1)),"",IF((AND(RIGHT(G1036,2)=RIGHT('112'!$M$9,2),B1036&lt;'112'!$N$8,$M1036='112'!$I$6)),"x",""))</f>
        <v/>
      </c>
      <c r="U1036" s="22" t="str">
        <f>IF(AND(B1036&gt;='IN-NX'!$P$3,B1036&lt;='IN-NX'!$Q$3,'IN-NX'!$D$7=D1036,OR(LEFT(L1036,2)="15",AND(LEFT(M1036,2)&lt;&gt;"15",LEFT(M1036,2)&lt;&gt;"33"))),"x","")</f>
        <v/>
      </c>
      <c r="V1036" s="22" t="str">
        <f>IF(AND(OR(LEFT(TH!L1036,2)="15",LEFT(TH!M1036,2)="15"),'152-CT'!$J$8=TH!F1036),"x","")</f>
        <v/>
      </c>
      <c r="W1036" s="22" t="str">
        <f>IF(AND(OR(LEFT(TH!L1036,2)="15",LEFT(TH!M1036,2)="15"),TK!$E$7=TH!F1036),"x","")</f>
        <v/>
      </c>
      <c r="X1036" s="22" t="str">
        <f>IF(OR(TH!L1036=TH!$X$7,M1036=TH!$X$7),"x","")</f>
        <v/>
      </c>
      <c r="Y1036" s="22" t="str">
        <f>IF(AND(B1036&lt;=NKC!$N$8,B1036&gt;=NKC!$M$8),"x","")</f>
        <v/>
      </c>
      <c r="Z1036" s="580"/>
      <c r="AA1036" s="406"/>
    </row>
    <row r="1037" spans="1:31" s="130" customFormat="1" ht="15.75" customHeight="1">
      <c r="A1037" s="123" t="str">
        <f>IF(B1037&lt;&gt;"",IF(AND(B1037&gt;=_TM1,B1037&lt;=_TM2,OR(TH!L1037="1111",TH!M1037="1111")),TH!D1037,""),"")</f>
        <v/>
      </c>
      <c r="B1037" s="12">
        <f t="shared" si="53"/>
        <v>11</v>
      </c>
      <c r="C1037" s="108">
        <f t="shared" si="54"/>
        <v>42693</v>
      </c>
      <c r="D1037" s="113" t="s">
        <v>1073</v>
      </c>
      <c r="E1037" s="484">
        <v>42693</v>
      </c>
      <c r="F1037" s="167" t="s">
        <v>498</v>
      </c>
      <c r="G1037" s="485" t="s">
        <v>769</v>
      </c>
      <c r="H1037" s="115" t="s">
        <v>1074</v>
      </c>
      <c r="I1037" s="139">
        <v>63</v>
      </c>
      <c r="J1037" s="139">
        <v>57521.417400799182</v>
      </c>
      <c r="K1037" s="13">
        <f t="shared" si="52"/>
        <v>3623849</v>
      </c>
      <c r="L1037" s="116" t="s">
        <v>162</v>
      </c>
      <c r="M1037" s="116" t="s">
        <v>160</v>
      </c>
      <c r="N1037" s="22" t="str">
        <f>IF(AND('331-CT'!$E$7=TH!H1037,OR(L1037="331",M1037="331")),"331",IF(AND(OR(L1037="131",M1037="131"),H1037='131-CT'!$E$7),"131",""))</f>
        <v/>
      </c>
      <c r="O1037" s="22" t="str">
        <f>IF(AND($B1037&gt;='111'!$N$11,$B1037&lt;='111'!$O$11,OR($L1037=$O$7,$M1037=$O$7)),"x","")</f>
        <v/>
      </c>
      <c r="P1037" s="22" t="str">
        <f>IF(AND($L1037=$O$7,$B1037&lt;'111'!$N$11),"x","")</f>
        <v/>
      </c>
      <c r="Q1037" s="22" t="str">
        <f>IF(AND($M1037=$O$7,$B1037&lt;'111'!$N$11),"x","")</f>
        <v/>
      </c>
      <c r="R1037" s="22" t="str">
        <f>IF(ISERROR(FIND('112'!$M$9,G1037,1)),"",IF((AND(FIND('112'!$M$9,G1037,1)&gt;=1,$B1037&gt;='112'!$N$8,$B1037&lt;='112'!$O$8,OR($L1037='112'!$I$6,$M1037='112'!$I$6))),"x",""))</f>
        <v/>
      </c>
      <c r="S1037" s="22" t="str">
        <f>IF(ISERROR(FIND('112'!$M$9,G1037,1)),"",IF((AND(LEFT(G1037,2)=LEFT('112'!$M$9,2),B1037&lt;'112'!$N$8,$L1037='112'!$I$6)),"x",""))</f>
        <v/>
      </c>
      <c r="T1037" s="22" t="str">
        <f>IF(ISERROR(FIND('112'!$M$9,G1037,1)),"",IF((AND(RIGHT(G1037,2)=RIGHT('112'!$M$9,2),B1037&lt;'112'!$N$8,$M1037='112'!$I$6)),"x",""))</f>
        <v/>
      </c>
      <c r="U1037" s="22" t="str">
        <f>IF(AND(B1037&gt;='IN-NX'!$P$3,B1037&lt;='IN-NX'!$Q$3,'IN-NX'!$D$7=D1037,OR(LEFT(L1037,2)="15",AND(LEFT(M1037,2)&lt;&gt;"15",LEFT(M1037,2)&lt;&gt;"33"))),"x","")</f>
        <v/>
      </c>
      <c r="V1037" s="22" t="str">
        <f>IF(AND(OR(LEFT(TH!L1037,2)="15",LEFT(TH!M1037,2)="15"),'152-CT'!$J$8=TH!F1037),"x","")</f>
        <v/>
      </c>
      <c r="W1037" s="22" t="str">
        <f>IF(AND(OR(LEFT(TH!L1037,2)="15",LEFT(TH!M1037,2)="15"),TK!$E$7=TH!F1037),"x","")</f>
        <v/>
      </c>
      <c r="X1037" s="22" t="str">
        <f>IF(OR(TH!L1037=TH!$X$7,M1037=TH!$X$7),"x","")</f>
        <v/>
      </c>
      <c r="Y1037" s="22" t="str">
        <f>IF(AND(B1037&lt;=NKC!$N$8,B1037&gt;=NKC!$M$8),"x","")</f>
        <v/>
      </c>
      <c r="Z1037" s="580"/>
      <c r="AA1037" s="406"/>
      <c r="AB1037" s="406"/>
    </row>
    <row r="1038" spans="1:31" s="130" customFormat="1" ht="15.75" customHeight="1">
      <c r="A1038" s="123" t="str">
        <f>IF(B1038&lt;&gt;"",IF(AND(B1038&gt;=_TM1,B1038&lt;=_TM2,OR(TH!L1038="1111",TH!M1038="1111")),TH!D1038,""),"")</f>
        <v/>
      </c>
      <c r="B1038" s="556">
        <f t="shared" si="53"/>
        <v>11</v>
      </c>
      <c r="C1038" s="108">
        <f t="shared" si="54"/>
        <v>42693</v>
      </c>
      <c r="D1038" s="113" t="s">
        <v>1073</v>
      </c>
      <c r="E1038" s="484">
        <v>42693</v>
      </c>
      <c r="F1038" s="167" t="s">
        <v>686</v>
      </c>
      <c r="G1038" s="485" t="s">
        <v>769</v>
      </c>
      <c r="H1038" s="115" t="s">
        <v>1074</v>
      </c>
      <c r="I1038" s="139">
        <v>27</v>
      </c>
      <c r="J1038" s="139">
        <v>27695.497267051462</v>
      </c>
      <c r="K1038" s="13">
        <f t="shared" si="52"/>
        <v>747778</v>
      </c>
      <c r="L1038" s="116" t="s">
        <v>162</v>
      </c>
      <c r="M1038" s="116" t="s">
        <v>160</v>
      </c>
      <c r="N1038" s="22" t="str">
        <f>IF(AND('331-CT'!$E$7=TH!H1038,OR(L1038="331",M1038="331")),"331",IF(AND(OR(L1038="131",M1038="131"),H1038='131-CT'!$E$7),"131",""))</f>
        <v/>
      </c>
      <c r="O1038" s="22" t="str">
        <f>IF(AND($B1038&gt;='111'!$N$11,$B1038&lt;='111'!$O$11,OR($L1038=$O$7,$M1038=$O$7)),"x","")</f>
        <v/>
      </c>
      <c r="P1038" s="22" t="str">
        <f>IF(AND($L1038=$O$7,$B1038&lt;'111'!$N$11),"x","")</f>
        <v/>
      </c>
      <c r="Q1038" s="22" t="str">
        <f>IF(AND($M1038=$O$7,$B1038&lt;'111'!$N$11),"x","")</f>
        <v/>
      </c>
      <c r="R1038" s="22" t="str">
        <f>IF(ISERROR(FIND('112'!$M$9,G1038,1)),"",IF((AND(FIND('112'!$M$9,G1038,1)&gt;=1,$B1038&gt;='112'!$N$8,$B1038&lt;='112'!$O$8,OR($L1038='112'!$I$6,$M1038='112'!$I$6))),"x",""))</f>
        <v/>
      </c>
      <c r="S1038" s="22" t="str">
        <f>IF(ISERROR(FIND('112'!$M$9,G1038,1)),"",IF((AND(LEFT(G1038,2)=LEFT('112'!$M$9,2),B1038&lt;'112'!$N$8,$L1038='112'!$I$6)),"x",""))</f>
        <v/>
      </c>
      <c r="T1038" s="22" t="str">
        <f>IF(ISERROR(FIND('112'!$M$9,G1038,1)),"",IF((AND(RIGHT(G1038,2)=RIGHT('112'!$M$9,2),B1038&lt;'112'!$N$8,$M1038='112'!$I$6)),"x",""))</f>
        <v/>
      </c>
      <c r="U1038" s="22" t="str">
        <f>IF(AND(B1038&gt;='IN-NX'!$P$3,B1038&lt;='IN-NX'!$Q$3,'IN-NX'!$D$7=D1038,OR(LEFT(L1038,2)="15",AND(LEFT(M1038,2)&lt;&gt;"15",LEFT(M1038,2)&lt;&gt;"33"))),"x","")</f>
        <v/>
      </c>
      <c r="V1038" s="22" t="str">
        <f>IF(AND(OR(LEFT(TH!L1038,2)="15",LEFT(TH!M1038,2)="15"),'152-CT'!$J$8=TH!F1038),"x","")</f>
        <v/>
      </c>
      <c r="W1038" s="22" t="str">
        <f>IF(AND(OR(LEFT(TH!L1038,2)="15",LEFT(TH!M1038,2)="15"),TK!$E$7=TH!F1038),"x","")</f>
        <v/>
      </c>
      <c r="X1038" s="22" t="str">
        <f>IF(OR(TH!L1038=TH!$X$7,M1038=TH!$X$7),"x","")</f>
        <v/>
      </c>
      <c r="Y1038" s="22" t="str">
        <f>IF(AND(B1038&lt;=NKC!$N$8,B1038&gt;=NKC!$M$8),"x","")</f>
        <v/>
      </c>
      <c r="Z1038" s="580"/>
      <c r="AA1038" s="563"/>
      <c r="AB1038" s="564"/>
      <c r="AC1038" s="564"/>
      <c r="AD1038" s="564"/>
      <c r="AE1038" s="564"/>
    </row>
    <row r="1039" spans="1:31" s="130" customFormat="1" ht="15.75" customHeight="1">
      <c r="A1039" s="123" t="str">
        <f>IF(B1039&lt;&gt;"",IF(AND(B1039&gt;=_TM1,B1039&lt;=_TM2,OR(TH!L1039="1111",TH!M1039="1111")),TH!D1039,""),"")</f>
        <v/>
      </c>
      <c r="B1039" s="12">
        <f t="shared" si="53"/>
        <v>11</v>
      </c>
      <c r="C1039" s="108">
        <f t="shared" si="54"/>
        <v>42693</v>
      </c>
      <c r="D1039" s="113" t="s">
        <v>1073</v>
      </c>
      <c r="E1039" s="484">
        <v>42693</v>
      </c>
      <c r="F1039" s="167" t="s">
        <v>687</v>
      </c>
      <c r="G1039" s="485" t="s">
        <v>769</v>
      </c>
      <c r="H1039" s="115" t="s">
        <v>1074</v>
      </c>
      <c r="I1039" s="139">
        <v>27</v>
      </c>
      <c r="J1039" s="139">
        <v>25184.641745588004</v>
      </c>
      <c r="K1039" s="13">
        <f t="shared" si="52"/>
        <v>679985</v>
      </c>
      <c r="L1039" s="116" t="s">
        <v>162</v>
      </c>
      <c r="M1039" s="116" t="s">
        <v>160</v>
      </c>
      <c r="N1039" s="22" t="str">
        <f>IF(AND('331-CT'!$E$7=TH!H1039,OR(L1039="331",M1039="331")),"331",IF(AND(OR(L1039="131",M1039="131"),H1039='131-CT'!$E$7),"131",""))</f>
        <v/>
      </c>
      <c r="O1039" s="22" t="str">
        <f>IF(AND($B1039&gt;='111'!$N$11,$B1039&lt;='111'!$O$11,OR($L1039=$O$7,$M1039=$O$7)),"x","")</f>
        <v/>
      </c>
      <c r="P1039" s="22" t="str">
        <f>IF(AND($L1039=$O$7,$B1039&lt;'111'!$N$11),"x","")</f>
        <v/>
      </c>
      <c r="Q1039" s="22" t="str">
        <f>IF(AND($M1039=$O$7,$B1039&lt;'111'!$N$11),"x","")</f>
        <v/>
      </c>
      <c r="R1039" s="22" t="str">
        <f>IF(ISERROR(FIND('112'!$M$9,G1039,1)),"",IF((AND(FIND('112'!$M$9,G1039,1)&gt;=1,$B1039&gt;='112'!$N$8,$B1039&lt;='112'!$O$8,OR($L1039='112'!$I$6,$M1039='112'!$I$6))),"x",""))</f>
        <v/>
      </c>
      <c r="S1039" s="22" t="str">
        <f>IF(ISERROR(FIND('112'!$M$9,G1039,1)),"",IF((AND(LEFT(G1039,2)=LEFT('112'!$M$9,2),B1039&lt;'112'!$N$8,$L1039='112'!$I$6)),"x",""))</f>
        <v/>
      </c>
      <c r="T1039" s="22" t="str">
        <f>IF(ISERROR(FIND('112'!$M$9,G1039,1)),"",IF((AND(RIGHT(G1039,2)=RIGHT('112'!$M$9,2),B1039&lt;'112'!$N$8,$M1039='112'!$I$6)),"x",""))</f>
        <v/>
      </c>
      <c r="U1039" s="22" t="str">
        <f>IF(AND(B1039&gt;='IN-NX'!$P$3,B1039&lt;='IN-NX'!$Q$3,'IN-NX'!$D$7=D1039,OR(LEFT(L1039,2)="15",AND(LEFT(M1039,2)&lt;&gt;"15",LEFT(M1039,2)&lt;&gt;"33"))),"x","")</f>
        <v/>
      </c>
      <c r="V1039" s="22" t="str">
        <f>IF(AND(OR(LEFT(TH!L1039,2)="15",LEFT(TH!M1039,2)="15"),'152-CT'!$J$8=TH!F1039),"x","")</f>
        <v/>
      </c>
      <c r="W1039" s="22" t="str">
        <f>IF(AND(OR(LEFT(TH!L1039,2)="15",LEFT(TH!M1039,2)="15"),TK!$E$7=TH!F1039),"x","")</f>
        <v/>
      </c>
      <c r="X1039" s="22" t="str">
        <f>IF(OR(TH!L1039=TH!$X$7,M1039=TH!$X$7),"x","")</f>
        <v/>
      </c>
      <c r="Y1039" s="22" t="str">
        <f>IF(AND(B1039&lt;=NKC!$N$8,B1039&gt;=NKC!$M$8),"x","")</f>
        <v/>
      </c>
      <c r="Z1039" s="580"/>
      <c r="AA1039" s="406"/>
      <c r="AB1039" s="406"/>
    </row>
    <row r="1040" spans="1:31" s="130" customFormat="1" ht="15.75" customHeight="1">
      <c r="A1040" s="123" t="str">
        <f>IF(B1040&lt;&gt;"",IF(AND(B1040&gt;=_TM1,B1040&lt;=_TM2,OR(TH!L1040="1111",TH!M1040="1111")),TH!D1040,""),"")</f>
        <v/>
      </c>
      <c r="B1040" s="12">
        <f t="shared" si="53"/>
        <v>11</v>
      </c>
      <c r="C1040" s="108">
        <f t="shared" si="54"/>
        <v>42693</v>
      </c>
      <c r="D1040" s="113" t="s">
        <v>1073</v>
      </c>
      <c r="E1040" s="484">
        <v>42693</v>
      </c>
      <c r="F1040" s="167" t="s">
        <v>688</v>
      </c>
      <c r="G1040" s="485" t="s">
        <v>769</v>
      </c>
      <c r="H1040" s="115" t="s">
        <v>1074</v>
      </c>
      <c r="I1040" s="139">
        <v>26</v>
      </c>
      <c r="J1040" s="139">
        <v>35836.756079069331</v>
      </c>
      <c r="K1040" s="13">
        <f t="shared" si="52"/>
        <v>931756</v>
      </c>
      <c r="L1040" s="116" t="s">
        <v>162</v>
      </c>
      <c r="M1040" s="116" t="s">
        <v>160</v>
      </c>
      <c r="N1040" s="22" t="str">
        <f>IF(AND('331-CT'!$E$7=TH!H1040,OR(L1040="331",M1040="331")),"331",IF(AND(OR(L1040="131",M1040="131"),H1040='131-CT'!$E$7),"131",""))</f>
        <v/>
      </c>
      <c r="O1040" s="22" t="str">
        <f>IF(AND($B1040&gt;='111'!$N$11,$B1040&lt;='111'!$O$11,OR($L1040=$O$7,$M1040=$O$7)),"x","")</f>
        <v/>
      </c>
      <c r="P1040" s="22" t="str">
        <f>IF(AND($L1040=$O$7,$B1040&lt;'111'!$N$11),"x","")</f>
        <v/>
      </c>
      <c r="Q1040" s="22" t="str">
        <f>IF(AND($M1040=$O$7,$B1040&lt;'111'!$N$11),"x","")</f>
        <v/>
      </c>
      <c r="R1040" s="22" t="str">
        <f>IF(ISERROR(FIND('112'!$M$9,G1040,1)),"",IF((AND(FIND('112'!$M$9,G1040,1)&gt;=1,$B1040&gt;='112'!$N$8,$B1040&lt;='112'!$O$8,OR($L1040='112'!$I$6,$M1040='112'!$I$6))),"x",""))</f>
        <v/>
      </c>
      <c r="S1040" s="22" t="str">
        <f>IF(ISERROR(FIND('112'!$M$9,G1040,1)),"",IF((AND(LEFT(G1040,2)=LEFT('112'!$M$9,2),B1040&lt;'112'!$N$8,$L1040='112'!$I$6)),"x",""))</f>
        <v/>
      </c>
      <c r="T1040" s="22" t="str">
        <f>IF(ISERROR(FIND('112'!$M$9,G1040,1)),"",IF((AND(RIGHT(G1040,2)=RIGHT('112'!$M$9,2),B1040&lt;'112'!$N$8,$M1040='112'!$I$6)),"x",""))</f>
        <v/>
      </c>
      <c r="U1040" s="22" t="str">
        <f>IF(AND(B1040&gt;='IN-NX'!$P$3,B1040&lt;='IN-NX'!$Q$3,'IN-NX'!$D$7=D1040,OR(LEFT(L1040,2)="15",AND(LEFT(M1040,2)&lt;&gt;"15",LEFT(M1040,2)&lt;&gt;"33"))),"x","")</f>
        <v/>
      </c>
      <c r="V1040" s="22" t="str">
        <f>IF(AND(OR(LEFT(TH!L1040,2)="15",LEFT(TH!M1040,2)="15"),'152-CT'!$J$8=TH!F1040),"x","")</f>
        <v/>
      </c>
      <c r="W1040" s="22" t="str">
        <f>IF(AND(OR(LEFT(TH!L1040,2)="15",LEFT(TH!M1040,2)="15"),TK!$E$7=TH!F1040),"x","")</f>
        <v/>
      </c>
      <c r="X1040" s="22" t="str">
        <f>IF(OR(TH!L1040=TH!$X$7,M1040=TH!$X$7),"x","")</f>
        <v/>
      </c>
      <c r="Y1040" s="22" t="str">
        <f>IF(AND(B1040&lt;=NKC!$N$8,B1040&gt;=NKC!$M$8),"x","")</f>
        <v/>
      </c>
      <c r="Z1040" s="580"/>
      <c r="AA1040" s="406"/>
    </row>
    <row r="1041" spans="1:31" s="130" customFormat="1" ht="15.75" customHeight="1">
      <c r="A1041" s="123" t="str">
        <f>IF(B1041&lt;&gt;"",IF(AND(B1041&gt;=_TM1,B1041&lt;=_TM2,OR(TH!L1041="1111",TH!M1041="1111")),TH!D1041,""),"")</f>
        <v/>
      </c>
      <c r="B1041" s="12">
        <f t="shared" si="53"/>
        <v>11</v>
      </c>
      <c r="C1041" s="108">
        <f t="shared" si="54"/>
        <v>42693</v>
      </c>
      <c r="D1041" s="113" t="s">
        <v>1073</v>
      </c>
      <c r="E1041" s="484">
        <v>42693</v>
      </c>
      <c r="F1041" s="167" t="s">
        <v>689</v>
      </c>
      <c r="G1041" s="485" t="s">
        <v>769</v>
      </c>
      <c r="H1041" s="115" t="s">
        <v>1074</v>
      </c>
      <c r="I1041" s="139">
        <v>21</v>
      </c>
      <c r="J1041" s="139">
        <v>21836.834383636728</v>
      </c>
      <c r="K1041" s="13">
        <f t="shared" si="52"/>
        <v>458574</v>
      </c>
      <c r="L1041" s="116" t="s">
        <v>162</v>
      </c>
      <c r="M1041" s="116" t="s">
        <v>160</v>
      </c>
      <c r="N1041" s="22" t="str">
        <f>IF(AND('331-CT'!$E$7=TH!H1041,OR(L1041="331",M1041="331")),"331",IF(AND(OR(L1041="131",M1041="131"),H1041='131-CT'!$E$7),"131",""))</f>
        <v/>
      </c>
      <c r="O1041" s="22" t="str">
        <f>IF(AND($B1041&gt;='111'!$N$11,$B1041&lt;='111'!$O$11,OR($L1041=$O$7,$M1041=$O$7)),"x","")</f>
        <v/>
      </c>
      <c r="P1041" s="22" t="str">
        <f>IF(AND($L1041=$O$7,$B1041&lt;'111'!$N$11),"x","")</f>
        <v/>
      </c>
      <c r="Q1041" s="22" t="str">
        <f>IF(AND($M1041=$O$7,$B1041&lt;'111'!$N$11),"x","")</f>
        <v/>
      </c>
      <c r="R1041" s="22" t="str">
        <f>IF(ISERROR(FIND('112'!$M$9,G1041,1)),"",IF((AND(FIND('112'!$M$9,G1041,1)&gt;=1,$B1041&gt;='112'!$N$8,$B1041&lt;='112'!$O$8,OR($L1041='112'!$I$6,$M1041='112'!$I$6))),"x",""))</f>
        <v/>
      </c>
      <c r="S1041" s="22" t="str">
        <f>IF(ISERROR(FIND('112'!$M$9,G1041,1)),"",IF((AND(LEFT(G1041,2)=LEFT('112'!$M$9,2),B1041&lt;'112'!$N$8,$L1041='112'!$I$6)),"x",""))</f>
        <v/>
      </c>
      <c r="T1041" s="22" t="str">
        <f>IF(ISERROR(FIND('112'!$M$9,G1041,1)),"",IF((AND(RIGHT(G1041,2)=RIGHT('112'!$M$9,2),B1041&lt;'112'!$N$8,$M1041='112'!$I$6)),"x",""))</f>
        <v/>
      </c>
      <c r="U1041" s="22" t="str">
        <f>IF(AND(B1041&gt;='IN-NX'!$P$3,B1041&lt;='IN-NX'!$Q$3,'IN-NX'!$D$7=D1041,OR(LEFT(L1041,2)="15",AND(LEFT(M1041,2)&lt;&gt;"15",LEFT(M1041,2)&lt;&gt;"33"))),"x","")</f>
        <v/>
      </c>
      <c r="V1041" s="22" t="str">
        <f>IF(AND(OR(LEFT(TH!L1041,2)="15",LEFT(TH!M1041,2)="15"),'152-CT'!$J$8=TH!F1041),"x","")</f>
        <v/>
      </c>
      <c r="W1041" s="22" t="str">
        <f>IF(AND(OR(LEFT(TH!L1041,2)="15",LEFT(TH!M1041,2)="15"),TK!$E$7=TH!F1041),"x","")</f>
        <v/>
      </c>
      <c r="X1041" s="22" t="str">
        <f>IF(OR(TH!L1041=TH!$X$7,M1041=TH!$X$7),"x","")</f>
        <v/>
      </c>
      <c r="Y1041" s="22" t="str">
        <f>IF(AND(B1041&lt;=NKC!$N$8,B1041&gt;=NKC!$M$8),"x","")</f>
        <v/>
      </c>
      <c r="Z1041" s="580"/>
      <c r="AA1041" s="406"/>
      <c r="AB1041" s="406"/>
    </row>
    <row r="1042" spans="1:31" s="130" customFormat="1" ht="15.75" customHeight="1">
      <c r="A1042" s="123" t="str">
        <f>IF(B1042&lt;&gt;"",IF(AND(B1042&gt;=_TM1,B1042&lt;=_TM2,OR(TH!L1042="1111",TH!M1042="1111")),TH!D1042,""),"")</f>
        <v/>
      </c>
      <c r="B1042" s="12">
        <f t="shared" si="53"/>
        <v>11</v>
      </c>
      <c r="C1042" s="108">
        <f t="shared" si="54"/>
        <v>42694</v>
      </c>
      <c r="D1042" s="113" t="s">
        <v>1073</v>
      </c>
      <c r="E1042" s="484">
        <v>42694</v>
      </c>
      <c r="F1042" s="167" t="s">
        <v>959</v>
      </c>
      <c r="G1042" s="485" t="s">
        <v>438</v>
      </c>
      <c r="H1042" s="115" t="s">
        <v>1074</v>
      </c>
      <c r="I1042" s="139">
        <v>1560</v>
      </c>
      <c r="J1042" s="139">
        <v>9586.9029001331983</v>
      </c>
      <c r="K1042" s="13">
        <f t="shared" si="52"/>
        <v>14955569</v>
      </c>
      <c r="L1042" s="116" t="s">
        <v>162</v>
      </c>
      <c r="M1042" s="116" t="s">
        <v>160</v>
      </c>
      <c r="N1042" s="22" t="str">
        <f>IF(AND('331-CT'!$E$7=TH!H1042,OR(L1042="331",M1042="331")),"331",IF(AND(OR(L1042="131",M1042="131"),H1042='131-CT'!$E$7),"131",""))</f>
        <v/>
      </c>
      <c r="O1042" s="22" t="str">
        <f>IF(AND($B1042&gt;='111'!$N$11,$B1042&lt;='111'!$O$11,OR($L1042=$O$7,$M1042=$O$7)),"x","")</f>
        <v/>
      </c>
      <c r="P1042" s="22" t="str">
        <f>IF(AND($L1042=$O$7,$B1042&lt;'111'!$N$11),"x","")</f>
        <v/>
      </c>
      <c r="Q1042" s="22" t="str">
        <f>IF(AND($M1042=$O$7,$B1042&lt;'111'!$N$11),"x","")</f>
        <v/>
      </c>
      <c r="R1042" s="22" t="str">
        <f>IF(ISERROR(FIND('112'!$M$9,G1042,1)),"",IF((AND(FIND('112'!$M$9,G1042,1)&gt;=1,$B1042&gt;='112'!$N$8,$B1042&lt;='112'!$O$8,OR($L1042='112'!$I$6,$M1042='112'!$I$6))),"x",""))</f>
        <v/>
      </c>
      <c r="S1042" s="22" t="str">
        <f>IF(ISERROR(FIND('112'!$M$9,G1042,1)),"",IF((AND(LEFT(G1042,2)=LEFT('112'!$M$9,2),B1042&lt;'112'!$N$8,$L1042='112'!$I$6)),"x",""))</f>
        <v/>
      </c>
      <c r="T1042" s="22" t="str">
        <f>IF(ISERROR(FIND('112'!$M$9,G1042,1)),"",IF((AND(RIGHT(G1042,2)=RIGHT('112'!$M$9,2),B1042&lt;'112'!$N$8,$M1042='112'!$I$6)),"x",""))</f>
        <v/>
      </c>
      <c r="U1042" s="22" t="str">
        <f>IF(AND(B1042&gt;='IN-NX'!$P$3,B1042&lt;='IN-NX'!$Q$3,'IN-NX'!$D$7=D1042,OR(LEFT(L1042,2)="15",AND(LEFT(M1042,2)&lt;&gt;"15",LEFT(M1042,2)&lt;&gt;"33"))),"x","")</f>
        <v/>
      </c>
      <c r="V1042" s="22" t="str">
        <f>IF(AND(OR(LEFT(TH!L1042,2)="15",LEFT(TH!M1042,2)="15"),'152-CT'!$J$8=TH!F1042),"x","")</f>
        <v/>
      </c>
      <c r="W1042" s="22" t="str">
        <f>IF(AND(OR(LEFT(TH!L1042,2)="15",LEFT(TH!M1042,2)="15"),TK!$E$7=TH!F1042),"x","")</f>
        <v/>
      </c>
      <c r="X1042" s="22" t="str">
        <f>IF(OR(TH!L1042=TH!$X$7,M1042=TH!$X$7),"x","")</f>
        <v/>
      </c>
      <c r="Y1042" s="22" t="str">
        <f>IF(AND(B1042&lt;=NKC!$N$8,B1042&gt;=NKC!$M$8),"x","")</f>
        <v/>
      </c>
      <c r="Z1042" s="580"/>
      <c r="AA1042" s="406"/>
    </row>
    <row r="1043" spans="1:31" s="130" customFormat="1" ht="15.75" customHeight="1">
      <c r="A1043" s="123" t="str">
        <f>IF(B1043&lt;&gt;"",IF(AND(B1043&gt;=_TM1,B1043&lt;=_TM2,OR(TH!L1043="1111",TH!M1043="1111")),TH!D1043,""),"")</f>
        <v/>
      </c>
      <c r="B1043" s="12">
        <f t="shared" si="53"/>
        <v>11</v>
      </c>
      <c r="C1043" s="108">
        <f t="shared" si="54"/>
        <v>42693</v>
      </c>
      <c r="D1043" s="113" t="s">
        <v>1073</v>
      </c>
      <c r="E1043" s="484">
        <v>42693</v>
      </c>
      <c r="F1043" s="167" t="s">
        <v>813</v>
      </c>
      <c r="G1043" s="485" t="s">
        <v>815</v>
      </c>
      <c r="H1043" s="115" t="s">
        <v>1074</v>
      </c>
      <c r="I1043" s="139">
        <v>4000</v>
      </c>
      <c r="J1043" s="139">
        <v>6391.2686000887979</v>
      </c>
      <c r="K1043" s="13">
        <f t="shared" si="52"/>
        <v>25565074</v>
      </c>
      <c r="L1043" s="116" t="s">
        <v>162</v>
      </c>
      <c r="M1043" s="116" t="s">
        <v>160</v>
      </c>
      <c r="N1043" s="22" t="str">
        <f>IF(AND('331-CT'!$E$7=TH!H1043,OR(L1043="331",M1043="331")),"331",IF(AND(OR(L1043="131",M1043="131"),H1043='131-CT'!$E$7),"131",""))</f>
        <v/>
      </c>
      <c r="O1043" s="22" t="str">
        <f>IF(AND($B1043&gt;='111'!$N$11,$B1043&lt;='111'!$O$11,OR($L1043=$O$7,$M1043=$O$7)),"x","")</f>
        <v/>
      </c>
      <c r="P1043" s="22" t="str">
        <f>IF(AND($L1043=$O$7,$B1043&lt;'111'!$N$11),"x","")</f>
        <v/>
      </c>
      <c r="Q1043" s="22" t="str">
        <f>IF(AND($M1043=$O$7,$B1043&lt;'111'!$N$11),"x","")</f>
        <v/>
      </c>
      <c r="R1043" s="22" t="str">
        <f>IF(ISERROR(FIND('112'!$M$9,G1043,1)),"",IF((AND(FIND('112'!$M$9,G1043,1)&gt;=1,$B1043&gt;='112'!$N$8,$B1043&lt;='112'!$O$8,OR($L1043='112'!$I$6,$M1043='112'!$I$6))),"x",""))</f>
        <v/>
      </c>
      <c r="S1043" s="22" t="str">
        <f>IF(ISERROR(FIND('112'!$M$9,G1043,1)),"",IF((AND(LEFT(G1043,2)=LEFT('112'!$M$9,2),B1043&lt;'112'!$N$8,$L1043='112'!$I$6)),"x",""))</f>
        <v/>
      </c>
      <c r="T1043" s="22" t="str">
        <f>IF(ISERROR(FIND('112'!$M$9,G1043,1)),"",IF((AND(RIGHT(G1043,2)=RIGHT('112'!$M$9,2),B1043&lt;'112'!$N$8,$M1043='112'!$I$6)),"x",""))</f>
        <v/>
      </c>
      <c r="U1043" s="22" t="str">
        <f>IF(AND(B1043&gt;='IN-NX'!$P$3,B1043&lt;='IN-NX'!$Q$3,'IN-NX'!$D$7=D1043,OR(LEFT(L1043,2)="15",AND(LEFT(M1043,2)&lt;&gt;"15",LEFT(M1043,2)&lt;&gt;"33"))),"x","")</f>
        <v/>
      </c>
      <c r="V1043" s="22" t="str">
        <f>IF(AND(OR(LEFT(TH!L1043,2)="15",LEFT(TH!M1043,2)="15"),'152-CT'!$J$8=TH!F1043),"x","")</f>
        <v/>
      </c>
      <c r="W1043" s="22" t="str">
        <f>IF(AND(OR(LEFT(TH!L1043,2)="15",LEFT(TH!M1043,2)="15"),TK!$E$7=TH!F1043),"x","")</f>
        <v/>
      </c>
      <c r="X1043" s="22" t="str">
        <f>IF(OR(TH!L1043=TH!$X$7,M1043=TH!$X$7),"x","")</f>
        <v/>
      </c>
      <c r="Y1043" s="22" t="str">
        <f>IF(AND(B1043&lt;=NKC!$N$8,B1043&gt;=NKC!$M$8),"x","")</f>
        <v/>
      </c>
      <c r="Z1043" s="580"/>
      <c r="AA1043" s="406"/>
      <c r="AB1043" s="406"/>
    </row>
    <row r="1044" spans="1:31" s="130" customFormat="1" ht="15.75" customHeight="1">
      <c r="A1044" s="123" t="str">
        <f>IF(B1044&lt;&gt;"",IF(AND(B1044&gt;=_TM1,B1044&lt;=_TM2,OR(TH!L1044="1111",TH!M1044="1111")),TH!D1044,""),"")</f>
        <v/>
      </c>
      <c r="B1044" s="12">
        <f t="shared" si="53"/>
        <v>11</v>
      </c>
      <c r="C1044" s="108">
        <f t="shared" si="54"/>
        <v>42696</v>
      </c>
      <c r="D1044" s="113" t="s">
        <v>1073</v>
      </c>
      <c r="E1044" s="484">
        <v>42696</v>
      </c>
      <c r="F1044" s="167" t="s">
        <v>684</v>
      </c>
      <c r="G1044" s="485" t="s">
        <v>770</v>
      </c>
      <c r="H1044" s="115" t="s">
        <v>1074</v>
      </c>
      <c r="I1044" s="139">
        <v>608</v>
      </c>
      <c r="J1044" s="139">
        <v>11489.06617396915</v>
      </c>
      <c r="K1044" s="13">
        <f t="shared" si="52"/>
        <v>6985352</v>
      </c>
      <c r="L1044" s="116" t="s">
        <v>162</v>
      </c>
      <c r="M1044" s="116" t="s">
        <v>160</v>
      </c>
      <c r="N1044" s="22" t="str">
        <f>IF(AND('331-CT'!$E$7=TH!H1044,OR(L1044="331",M1044="331")),"331",IF(AND(OR(L1044="131",M1044="131"),H1044='131-CT'!$E$7),"131",""))</f>
        <v/>
      </c>
      <c r="O1044" s="22" t="str">
        <f>IF(AND($B1044&gt;='111'!$N$11,$B1044&lt;='111'!$O$11,OR($L1044=$O$7,$M1044=$O$7)),"x","")</f>
        <v/>
      </c>
      <c r="P1044" s="22" t="str">
        <f>IF(AND($L1044=$O$7,$B1044&lt;'111'!$N$11),"x","")</f>
        <v/>
      </c>
      <c r="Q1044" s="22" t="str">
        <f>IF(AND($M1044=$O$7,$B1044&lt;'111'!$N$11),"x","")</f>
        <v/>
      </c>
      <c r="R1044" s="22" t="str">
        <f>IF(ISERROR(FIND('112'!$M$9,G1044,1)),"",IF((AND(FIND('112'!$M$9,G1044,1)&gt;=1,$B1044&gt;='112'!$N$8,$B1044&lt;='112'!$O$8,OR($L1044='112'!$I$6,$M1044='112'!$I$6))),"x",""))</f>
        <v/>
      </c>
      <c r="S1044" s="22" t="str">
        <f>IF(ISERROR(FIND('112'!$M$9,G1044,1)),"",IF((AND(LEFT(G1044,2)=LEFT('112'!$M$9,2),B1044&lt;'112'!$N$8,$L1044='112'!$I$6)),"x",""))</f>
        <v/>
      </c>
      <c r="T1044" s="22" t="str">
        <f>IF(ISERROR(FIND('112'!$M$9,G1044,1)),"",IF((AND(RIGHT(G1044,2)=RIGHT('112'!$M$9,2),B1044&lt;'112'!$N$8,$M1044='112'!$I$6)),"x",""))</f>
        <v/>
      </c>
      <c r="U1044" s="22" t="str">
        <f>IF(AND(B1044&gt;='IN-NX'!$P$3,B1044&lt;='IN-NX'!$Q$3,'IN-NX'!$D$7=D1044,OR(LEFT(L1044,2)="15",AND(LEFT(M1044,2)&lt;&gt;"15",LEFT(M1044,2)&lt;&gt;"33"))),"x","")</f>
        <v/>
      </c>
      <c r="V1044" s="22" t="str">
        <f>IF(AND(OR(LEFT(TH!L1044,2)="15",LEFT(TH!M1044,2)="15"),'152-CT'!$J$8=TH!F1044),"x","")</f>
        <v/>
      </c>
      <c r="W1044" s="22" t="str">
        <f>IF(AND(OR(LEFT(TH!L1044,2)="15",LEFT(TH!M1044,2)="15"),TK!$E$7=TH!F1044),"x","")</f>
        <v/>
      </c>
      <c r="X1044" s="22" t="str">
        <f>IF(OR(TH!L1044=TH!$X$7,M1044=TH!$X$7),"x","")</f>
        <v/>
      </c>
      <c r="Y1044" s="22" t="str">
        <f>IF(AND(B1044&lt;=NKC!$N$8,B1044&gt;=NKC!$M$8),"x","")</f>
        <v/>
      </c>
      <c r="Z1044" s="580"/>
      <c r="AA1044" s="406"/>
    </row>
    <row r="1045" spans="1:31" s="130" customFormat="1" ht="15.75" customHeight="1">
      <c r="A1045" s="123" t="str">
        <f>IF(B1045&lt;&gt;"",IF(AND(B1045&gt;=_TM1,B1045&lt;=_TM2,OR(TH!L1045="1111",TH!M1045="1111")),TH!D1045,""),"")</f>
        <v/>
      </c>
      <c r="B1045" s="12">
        <f t="shared" si="53"/>
        <v>11</v>
      </c>
      <c r="C1045" s="108">
        <f t="shared" si="54"/>
        <v>42697</v>
      </c>
      <c r="D1045" s="113" t="s">
        <v>1073</v>
      </c>
      <c r="E1045" s="484">
        <v>42697</v>
      </c>
      <c r="F1045" s="167" t="s">
        <v>813</v>
      </c>
      <c r="G1045" s="485" t="s">
        <v>816</v>
      </c>
      <c r="H1045" s="115" t="s">
        <v>1074</v>
      </c>
      <c r="I1045" s="139">
        <v>3353</v>
      </c>
      <c r="J1045" s="139">
        <v>6391.2686000887979</v>
      </c>
      <c r="K1045" s="13">
        <f t="shared" si="52"/>
        <v>21429924</v>
      </c>
      <c r="L1045" s="116" t="s">
        <v>162</v>
      </c>
      <c r="M1045" s="116" t="s">
        <v>160</v>
      </c>
      <c r="N1045" s="22" t="str">
        <f>IF(AND('331-CT'!$E$7=TH!H1045,OR(L1045="331",M1045="331")),"331",IF(AND(OR(L1045="131",M1045="131"),H1045='131-CT'!$E$7),"131",""))</f>
        <v/>
      </c>
      <c r="O1045" s="22" t="str">
        <f>IF(AND($B1045&gt;='111'!$N$11,$B1045&lt;='111'!$O$11,OR($L1045=$O$7,$M1045=$O$7)),"x","")</f>
        <v/>
      </c>
      <c r="P1045" s="22" t="str">
        <f>IF(AND($L1045=$O$7,$B1045&lt;'111'!$N$11),"x","")</f>
        <v/>
      </c>
      <c r="Q1045" s="22" t="str">
        <f>IF(AND($M1045=$O$7,$B1045&lt;'111'!$N$11),"x","")</f>
        <v/>
      </c>
      <c r="R1045" s="22" t="str">
        <f>IF(ISERROR(FIND('112'!$M$9,G1045,1)),"",IF((AND(FIND('112'!$M$9,G1045,1)&gt;=1,$B1045&gt;='112'!$N$8,$B1045&lt;='112'!$O$8,OR($L1045='112'!$I$6,$M1045='112'!$I$6))),"x",""))</f>
        <v/>
      </c>
      <c r="S1045" s="22" t="str">
        <f>IF(ISERROR(FIND('112'!$M$9,G1045,1)),"",IF((AND(LEFT(G1045,2)=LEFT('112'!$M$9,2),B1045&lt;'112'!$N$8,$L1045='112'!$I$6)),"x",""))</f>
        <v/>
      </c>
      <c r="T1045" s="22" t="str">
        <f>IF(ISERROR(FIND('112'!$M$9,G1045,1)),"",IF((AND(RIGHT(G1045,2)=RIGHT('112'!$M$9,2),B1045&lt;'112'!$N$8,$M1045='112'!$I$6)),"x",""))</f>
        <v/>
      </c>
      <c r="U1045" s="22" t="str">
        <f>IF(AND(B1045&gt;='IN-NX'!$P$3,B1045&lt;='IN-NX'!$Q$3,'IN-NX'!$D$7=D1045,OR(LEFT(L1045,2)="15",AND(LEFT(M1045,2)&lt;&gt;"15",LEFT(M1045,2)&lt;&gt;"33"))),"x","")</f>
        <v/>
      </c>
      <c r="V1045" s="22" t="str">
        <f>IF(AND(OR(LEFT(TH!L1045,2)="15",LEFT(TH!M1045,2)="15"),'152-CT'!$J$8=TH!F1045),"x","")</f>
        <v/>
      </c>
      <c r="W1045" s="22" t="str">
        <f>IF(AND(OR(LEFT(TH!L1045,2)="15",LEFT(TH!M1045,2)="15"),TK!$E$7=TH!F1045),"x","")</f>
        <v/>
      </c>
      <c r="X1045" s="22" t="str">
        <f>IF(OR(TH!L1045=TH!$X$7,M1045=TH!$X$7),"x","")</f>
        <v/>
      </c>
      <c r="Y1045" s="22" t="str">
        <f>IF(AND(B1045&lt;=NKC!$N$8,B1045&gt;=NKC!$M$8),"x","")</f>
        <v/>
      </c>
      <c r="Z1045" s="580"/>
      <c r="AA1045" s="406"/>
      <c r="AB1045" s="406"/>
      <c r="AD1045" s="406"/>
      <c r="AE1045" s="406"/>
    </row>
    <row r="1046" spans="1:31" s="130" customFormat="1" ht="15.75" customHeight="1">
      <c r="A1046" s="123" t="str">
        <f>IF(B1046&lt;&gt;"",IF(AND(B1046&gt;=_TM1,B1046&lt;=_TM2,OR(TH!L1046="1111",TH!M1046="1111")),TH!D1046,""),"")</f>
        <v/>
      </c>
      <c r="B1046" s="12">
        <f t="shared" si="53"/>
        <v>11</v>
      </c>
      <c r="C1046" s="108">
        <f t="shared" si="54"/>
        <v>42703</v>
      </c>
      <c r="D1046" s="113" t="s">
        <v>1073</v>
      </c>
      <c r="E1046" s="484">
        <v>42703</v>
      </c>
      <c r="F1046" s="167" t="s">
        <v>691</v>
      </c>
      <c r="G1046" s="485" t="s">
        <v>771</v>
      </c>
      <c r="H1046" s="115" t="s">
        <v>1074</v>
      </c>
      <c r="I1046" s="140">
        <v>1020</v>
      </c>
      <c r="J1046" s="139">
        <v>5173.8841048337899</v>
      </c>
      <c r="K1046" s="13">
        <f t="shared" si="52"/>
        <v>5277362</v>
      </c>
      <c r="L1046" s="116" t="s">
        <v>162</v>
      </c>
      <c r="M1046" s="116" t="s">
        <v>160</v>
      </c>
      <c r="N1046" s="22" t="str">
        <f>IF(AND('331-CT'!$E$7=TH!H1046,OR(L1046="331",M1046="331")),"331",IF(AND(OR(L1046="131",M1046="131"),H1046='131-CT'!$E$7),"131",""))</f>
        <v/>
      </c>
      <c r="O1046" s="22" t="str">
        <f>IF(AND($B1046&gt;='111'!$N$11,$B1046&lt;='111'!$O$11,OR($L1046=$O$7,$M1046=$O$7)),"x","")</f>
        <v/>
      </c>
      <c r="P1046" s="22" t="str">
        <f>IF(AND($L1046=$O$7,$B1046&lt;'111'!$N$11),"x","")</f>
        <v/>
      </c>
      <c r="Q1046" s="22" t="str">
        <f>IF(AND($M1046=$O$7,$B1046&lt;'111'!$N$11),"x","")</f>
        <v/>
      </c>
      <c r="R1046" s="22" t="str">
        <f>IF(ISERROR(FIND('112'!$M$9,G1046,1)),"",IF((AND(FIND('112'!$M$9,G1046,1)&gt;=1,$B1046&gt;='112'!$N$8,$B1046&lt;='112'!$O$8,OR($L1046='112'!$I$6,$M1046='112'!$I$6))),"x",""))</f>
        <v/>
      </c>
      <c r="S1046" s="22" t="str">
        <f>IF(ISERROR(FIND('112'!$M$9,G1046,1)),"",IF((AND(LEFT(G1046,2)=LEFT('112'!$M$9,2),B1046&lt;'112'!$N$8,$L1046='112'!$I$6)),"x",""))</f>
        <v/>
      </c>
      <c r="T1046" s="22" t="str">
        <f>IF(ISERROR(FIND('112'!$M$9,G1046,1)),"",IF((AND(RIGHT(G1046,2)=RIGHT('112'!$M$9,2),B1046&lt;'112'!$N$8,$M1046='112'!$I$6)),"x",""))</f>
        <v/>
      </c>
      <c r="U1046" s="22" t="str">
        <f>IF(AND(B1046&gt;='IN-NX'!$P$3,B1046&lt;='IN-NX'!$Q$3,'IN-NX'!$D$7=D1046,OR(LEFT(L1046,2)="15",AND(LEFT(M1046,2)&lt;&gt;"15",LEFT(M1046,2)&lt;&gt;"33"))),"x","")</f>
        <v/>
      </c>
      <c r="V1046" s="22" t="str">
        <f>IF(AND(OR(LEFT(TH!L1046,2)="15",LEFT(TH!M1046,2)="15"),'152-CT'!$J$8=TH!F1046),"x","")</f>
        <v/>
      </c>
      <c r="W1046" s="22" t="str">
        <f>IF(AND(OR(LEFT(TH!L1046,2)="15",LEFT(TH!M1046,2)="15"),TK!$E$7=TH!F1046),"x","")</f>
        <v/>
      </c>
      <c r="X1046" s="22" t="str">
        <f>IF(OR(TH!L1046=TH!$X$7,M1046=TH!$X$7),"x","")</f>
        <v/>
      </c>
      <c r="Y1046" s="22" t="str">
        <f>IF(AND(B1046&lt;=NKC!$N$8,B1046&gt;=NKC!$M$8),"x","")</f>
        <v/>
      </c>
      <c r="Z1046" s="580"/>
      <c r="AA1046" s="406"/>
      <c r="AB1046" s="406"/>
    </row>
    <row r="1047" spans="1:31" s="130" customFormat="1" ht="15.75" customHeight="1">
      <c r="A1047" s="123" t="str">
        <f>IF(B1047&lt;&gt;"",IF(AND(B1047&gt;=_TM1,B1047&lt;=_TM2,OR(TH!L1047="1111",TH!M1047="1111")),TH!D1047,""),"")</f>
        <v/>
      </c>
      <c r="B1047" s="12">
        <f t="shared" si="53"/>
        <v>11</v>
      </c>
      <c r="C1047" s="108">
        <f t="shared" si="54"/>
        <v>42703</v>
      </c>
      <c r="D1047" s="113" t="s">
        <v>1073</v>
      </c>
      <c r="E1047" s="484">
        <v>42703</v>
      </c>
      <c r="F1047" s="167" t="s">
        <v>693</v>
      </c>
      <c r="G1047" s="485" t="s">
        <v>772</v>
      </c>
      <c r="H1047" s="115" t="s">
        <v>1074</v>
      </c>
      <c r="I1047" s="140">
        <v>25</v>
      </c>
      <c r="J1047" s="139">
        <v>72282.20440576617</v>
      </c>
      <c r="K1047" s="13">
        <f t="shared" si="52"/>
        <v>1807055</v>
      </c>
      <c r="L1047" s="116" t="s">
        <v>162</v>
      </c>
      <c r="M1047" s="116" t="s">
        <v>160</v>
      </c>
      <c r="N1047" s="22" t="str">
        <f>IF(AND('331-CT'!$E$7=TH!H1047,OR(L1047="331",M1047="331")),"331",IF(AND(OR(L1047="131",M1047="131"),H1047='131-CT'!$E$7),"131",""))</f>
        <v/>
      </c>
      <c r="O1047" s="22" t="str">
        <f>IF(AND($B1047&gt;='111'!$N$11,$B1047&lt;='111'!$O$11,OR($L1047=$O$7,$M1047=$O$7)),"x","")</f>
        <v/>
      </c>
      <c r="P1047" s="22" t="str">
        <f>IF(AND($L1047=$O$7,$B1047&lt;'111'!$N$11),"x","")</f>
        <v/>
      </c>
      <c r="Q1047" s="22" t="str">
        <f>IF(AND($M1047=$O$7,$B1047&lt;'111'!$N$11),"x","")</f>
        <v/>
      </c>
      <c r="R1047" s="22" t="str">
        <f>IF(ISERROR(FIND('112'!$M$9,G1047,1)),"",IF((AND(FIND('112'!$M$9,G1047,1)&gt;=1,$B1047&gt;='112'!$N$8,$B1047&lt;='112'!$O$8,OR($L1047='112'!$I$6,$M1047='112'!$I$6))),"x",""))</f>
        <v/>
      </c>
      <c r="S1047" s="22" t="str">
        <f>IF(ISERROR(FIND('112'!$M$9,G1047,1)),"",IF((AND(LEFT(G1047,2)=LEFT('112'!$M$9,2),B1047&lt;'112'!$N$8,$L1047='112'!$I$6)),"x",""))</f>
        <v/>
      </c>
      <c r="T1047" s="22" t="str">
        <f>IF(ISERROR(FIND('112'!$M$9,G1047,1)),"",IF((AND(RIGHT(G1047,2)=RIGHT('112'!$M$9,2),B1047&lt;'112'!$N$8,$M1047='112'!$I$6)),"x",""))</f>
        <v/>
      </c>
      <c r="U1047" s="22" t="str">
        <f>IF(AND(B1047&gt;='IN-NX'!$P$3,B1047&lt;='IN-NX'!$Q$3,'IN-NX'!$D$7=D1047,OR(LEFT(L1047,2)="15",AND(LEFT(M1047,2)&lt;&gt;"15",LEFT(M1047,2)&lt;&gt;"33"))),"x","")</f>
        <v/>
      </c>
      <c r="V1047" s="22" t="str">
        <f>IF(AND(OR(LEFT(TH!L1047,2)="15",LEFT(TH!M1047,2)="15"),'152-CT'!$J$8=TH!F1047),"x","")</f>
        <v/>
      </c>
      <c r="W1047" s="22" t="str">
        <f>IF(AND(OR(LEFT(TH!L1047,2)="15",LEFT(TH!M1047,2)="15"),TK!$E$7=TH!F1047),"x","")</f>
        <v/>
      </c>
      <c r="X1047" s="22" t="str">
        <f>IF(OR(TH!L1047=TH!$X$7,M1047=TH!$X$7),"x","")</f>
        <v/>
      </c>
      <c r="Y1047" s="22" t="str">
        <f>IF(AND(B1047&lt;=NKC!$N$8,B1047&gt;=NKC!$M$8),"x","")</f>
        <v/>
      </c>
      <c r="Z1047" s="580"/>
      <c r="AA1047" s="406"/>
      <c r="AB1047" s="406"/>
    </row>
    <row r="1048" spans="1:31" s="130" customFormat="1" ht="15.75" customHeight="1">
      <c r="A1048" s="123" t="str">
        <f>IF(B1048&lt;&gt;"",IF(AND(B1048&gt;=_TM1,B1048&lt;=_TM2,OR(TH!L1048="1111",TH!M1048="1111")),TH!D1048,""),"")</f>
        <v/>
      </c>
      <c r="B1048" s="12">
        <f t="shared" si="53"/>
        <v>11</v>
      </c>
      <c r="C1048" s="108">
        <f t="shared" si="54"/>
        <v>42703</v>
      </c>
      <c r="D1048" s="113" t="s">
        <v>1073</v>
      </c>
      <c r="E1048" s="484">
        <v>42703</v>
      </c>
      <c r="F1048" s="167" t="s">
        <v>694</v>
      </c>
      <c r="G1048" s="485" t="s">
        <v>772</v>
      </c>
      <c r="H1048" s="115" t="s">
        <v>1074</v>
      </c>
      <c r="I1048" s="140">
        <v>5</v>
      </c>
      <c r="J1048" s="139">
        <v>58510.542303193884</v>
      </c>
      <c r="K1048" s="13">
        <f t="shared" si="52"/>
        <v>292553</v>
      </c>
      <c r="L1048" s="116" t="s">
        <v>162</v>
      </c>
      <c r="M1048" s="116" t="s">
        <v>160</v>
      </c>
      <c r="N1048" s="22" t="str">
        <f>IF(AND('331-CT'!$E$7=TH!H1048,OR(L1048="331",M1048="331")),"331",IF(AND(OR(L1048="131",M1048="131"),H1048='131-CT'!$E$7),"131",""))</f>
        <v/>
      </c>
      <c r="O1048" s="22" t="str">
        <f>IF(AND($B1048&gt;='111'!$N$11,$B1048&lt;='111'!$O$11,OR($L1048=$O$7,$M1048=$O$7)),"x","")</f>
        <v/>
      </c>
      <c r="P1048" s="22" t="str">
        <f>IF(AND($L1048=$O$7,$B1048&lt;'111'!$N$11),"x","")</f>
        <v/>
      </c>
      <c r="Q1048" s="22" t="str">
        <f>IF(AND($M1048=$O$7,$B1048&lt;'111'!$N$11),"x","")</f>
        <v/>
      </c>
      <c r="R1048" s="22" t="str">
        <f>IF(ISERROR(FIND('112'!$M$9,G1048,1)),"",IF((AND(FIND('112'!$M$9,G1048,1)&gt;=1,$B1048&gt;='112'!$N$8,$B1048&lt;='112'!$O$8,OR($L1048='112'!$I$6,$M1048='112'!$I$6))),"x",""))</f>
        <v/>
      </c>
      <c r="S1048" s="22" t="str">
        <f>IF(ISERROR(FIND('112'!$M$9,G1048,1)),"",IF((AND(LEFT(G1048,2)=LEFT('112'!$M$9,2),B1048&lt;'112'!$N$8,$L1048='112'!$I$6)),"x",""))</f>
        <v/>
      </c>
      <c r="T1048" s="22" t="str">
        <f>IF(ISERROR(FIND('112'!$M$9,G1048,1)),"",IF((AND(RIGHT(G1048,2)=RIGHT('112'!$M$9,2),B1048&lt;'112'!$N$8,$M1048='112'!$I$6)),"x",""))</f>
        <v/>
      </c>
      <c r="U1048" s="22" t="str">
        <f>IF(AND(B1048&gt;='IN-NX'!$P$3,B1048&lt;='IN-NX'!$Q$3,'IN-NX'!$D$7=D1048,OR(LEFT(L1048,2)="15",AND(LEFT(M1048,2)&lt;&gt;"15",LEFT(M1048,2)&lt;&gt;"33"))),"x","")</f>
        <v/>
      </c>
      <c r="V1048" s="22" t="str">
        <f>IF(AND(OR(LEFT(TH!L1048,2)="15",LEFT(TH!M1048,2)="15"),'152-CT'!$J$8=TH!F1048),"x","")</f>
        <v/>
      </c>
      <c r="W1048" s="22" t="str">
        <f>IF(AND(OR(LEFT(TH!L1048,2)="15",LEFT(TH!M1048,2)="15"),TK!$E$7=TH!F1048),"x","")</f>
        <v/>
      </c>
      <c r="X1048" s="22" t="str">
        <f>IF(OR(TH!L1048=TH!$X$7,M1048=TH!$X$7),"x","")</f>
        <v/>
      </c>
      <c r="Y1048" s="22" t="str">
        <f>IF(AND(B1048&lt;=NKC!$N$8,B1048&gt;=NKC!$M$8),"x","")</f>
        <v/>
      </c>
      <c r="Z1048" s="580"/>
      <c r="AA1048" s="406"/>
    </row>
    <row r="1049" spans="1:31" s="130" customFormat="1" ht="15.75" customHeight="1">
      <c r="A1049" s="123" t="str">
        <f>IF(B1049&lt;&gt;"",IF(AND(B1049&gt;=_TM1,B1049&lt;=_TM2,OR(TH!L1049="1111",TH!M1049="1111")),TH!D1049,""),"")</f>
        <v/>
      </c>
      <c r="B1049" s="12">
        <f t="shared" si="53"/>
        <v>11</v>
      </c>
      <c r="C1049" s="108">
        <f t="shared" si="54"/>
        <v>42703</v>
      </c>
      <c r="D1049" s="113" t="s">
        <v>1073</v>
      </c>
      <c r="E1049" s="484">
        <v>42703</v>
      </c>
      <c r="F1049" s="167" t="s">
        <v>695</v>
      </c>
      <c r="G1049" s="485" t="s">
        <v>772</v>
      </c>
      <c r="H1049" s="115" t="s">
        <v>1074</v>
      </c>
      <c r="I1049" s="140">
        <v>100</v>
      </c>
      <c r="J1049" s="139">
        <v>43825.841829180332</v>
      </c>
      <c r="K1049" s="13">
        <f t="shared" si="52"/>
        <v>4382584</v>
      </c>
      <c r="L1049" s="116" t="s">
        <v>162</v>
      </c>
      <c r="M1049" s="116" t="s">
        <v>160</v>
      </c>
      <c r="N1049" s="22" t="str">
        <f>IF(AND('331-CT'!$E$7=TH!H1049,OR(L1049="331",M1049="331")),"331",IF(AND(OR(L1049="131",M1049="131"),H1049='131-CT'!$E$7),"131",""))</f>
        <v/>
      </c>
      <c r="O1049" s="22" t="str">
        <f>IF(AND($B1049&gt;='111'!$N$11,$B1049&lt;='111'!$O$11,OR($L1049=$O$7,$M1049=$O$7)),"x","")</f>
        <v/>
      </c>
      <c r="P1049" s="22" t="str">
        <f>IF(AND($L1049=$O$7,$B1049&lt;'111'!$N$11),"x","")</f>
        <v/>
      </c>
      <c r="Q1049" s="22" t="str">
        <f>IF(AND($M1049=$O$7,$B1049&lt;'111'!$N$11),"x","")</f>
        <v/>
      </c>
      <c r="R1049" s="22" t="str">
        <f>IF(ISERROR(FIND('112'!$M$9,G1049,1)),"",IF((AND(FIND('112'!$M$9,G1049,1)&gt;=1,$B1049&gt;='112'!$N$8,$B1049&lt;='112'!$O$8,OR($L1049='112'!$I$6,$M1049='112'!$I$6))),"x",""))</f>
        <v/>
      </c>
      <c r="S1049" s="22" t="str">
        <f>IF(ISERROR(FIND('112'!$M$9,G1049,1)),"",IF((AND(LEFT(G1049,2)=LEFT('112'!$M$9,2),B1049&lt;'112'!$N$8,$L1049='112'!$I$6)),"x",""))</f>
        <v/>
      </c>
      <c r="T1049" s="22" t="str">
        <f>IF(ISERROR(FIND('112'!$M$9,G1049,1)),"",IF((AND(RIGHT(G1049,2)=RIGHT('112'!$M$9,2),B1049&lt;'112'!$N$8,$M1049='112'!$I$6)),"x",""))</f>
        <v/>
      </c>
      <c r="U1049" s="22" t="str">
        <f>IF(AND(B1049&gt;='IN-NX'!$P$3,B1049&lt;='IN-NX'!$Q$3,'IN-NX'!$D$7=D1049,OR(LEFT(L1049,2)="15",AND(LEFT(M1049,2)&lt;&gt;"15",LEFT(M1049,2)&lt;&gt;"33"))),"x","")</f>
        <v/>
      </c>
      <c r="V1049" s="22" t="str">
        <f>IF(AND(OR(LEFT(TH!L1049,2)="15",LEFT(TH!M1049,2)="15"),'152-CT'!$J$8=TH!F1049),"x","")</f>
        <v/>
      </c>
      <c r="W1049" s="22" t="str">
        <f>IF(AND(OR(LEFT(TH!L1049,2)="15",LEFT(TH!M1049,2)="15"),TK!$E$7=TH!F1049),"x","")</f>
        <v/>
      </c>
      <c r="X1049" s="22" t="str">
        <f>IF(OR(TH!L1049=TH!$X$7,M1049=TH!$X$7),"x","")</f>
        <v/>
      </c>
      <c r="Y1049" s="22" t="str">
        <f>IF(AND(B1049&lt;=NKC!$N$8,B1049&gt;=NKC!$M$8),"x","")</f>
        <v/>
      </c>
      <c r="Z1049" s="580"/>
      <c r="AA1049" s="406"/>
      <c r="AB1049" s="406"/>
    </row>
    <row r="1050" spans="1:31" s="130" customFormat="1" ht="15.75" customHeight="1">
      <c r="A1050" s="123" t="str">
        <f>IF(B1050&lt;&gt;"",IF(AND(B1050&gt;=_TM1,B1050&lt;=_TM2,OR(TH!L1050="1111",TH!M1050="1111")),TH!D1050,""),"")</f>
        <v/>
      </c>
      <c r="B1050" s="12">
        <f t="shared" si="53"/>
        <v>11</v>
      </c>
      <c r="C1050" s="108">
        <f t="shared" si="54"/>
        <v>42703</v>
      </c>
      <c r="D1050" s="113" t="s">
        <v>1073</v>
      </c>
      <c r="E1050" s="484">
        <v>42703</v>
      </c>
      <c r="F1050" s="167" t="s">
        <v>696</v>
      </c>
      <c r="G1050" s="485" t="s">
        <v>772</v>
      </c>
      <c r="H1050" s="115" t="s">
        <v>1074</v>
      </c>
      <c r="I1050" s="139">
        <v>12</v>
      </c>
      <c r="J1050" s="139">
        <v>85216.914667850637</v>
      </c>
      <c r="K1050" s="13">
        <f t="shared" si="52"/>
        <v>1022603</v>
      </c>
      <c r="L1050" s="116" t="s">
        <v>162</v>
      </c>
      <c r="M1050" s="116" t="s">
        <v>160</v>
      </c>
      <c r="N1050" s="22" t="str">
        <f>IF(AND('331-CT'!$E$7=TH!H1050,OR(L1050="331",M1050="331")),"331",IF(AND(OR(L1050="131",M1050="131"),H1050='131-CT'!$E$7),"131",""))</f>
        <v/>
      </c>
      <c r="O1050" s="22" t="str">
        <f>IF(AND($B1050&gt;='111'!$N$11,$B1050&lt;='111'!$O$11,OR($L1050=$O$7,$M1050=$O$7)),"x","")</f>
        <v/>
      </c>
      <c r="P1050" s="22" t="str">
        <f>IF(AND($L1050=$O$7,$B1050&lt;'111'!$N$11),"x","")</f>
        <v/>
      </c>
      <c r="Q1050" s="22" t="str">
        <f>IF(AND($M1050=$O$7,$B1050&lt;'111'!$N$11),"x","")</f>
        <v/>
      </c>
      <c r="R1050" s="22" t="str">
        <f>IF(ISERROR(FIND('112'!$M$9,G1050,1)),"",IF((AND(FIND('112'!$M$9,G1050,1)&gt;=1,$B1050&gt;='112'!$N$8,$B1050&lt;='112'!$O$8,OR($L1050='112'!$I$6,$M1050='112'!$I$6))),"x",""))</f>
        <v/>
      </c>
      <c r="S1050" s="22" t="str">
        <f>IF(ISERROR(FIND('112'!$M$9,G1050,1)),"",IF((AND(LEFT(G1050,2)=LEFT('112'!$M$9,2),B1050&lt;'112'!$N$8,$L1050='112'!$I$6)),"x",""))</f>
        <v/>
      </c>
      <c r="T1050" s="22" t="str">
        <f>IF(ISERROR(FIND('112'!$M$9,G1050,1)),"",IF((AND(RIGHT(G1050,2)=RIGHT('112'!$M$9,2),B1050&lt;'112'!$N$8,$M1050='112'!$I$6)),"x",""))</f>
        <v/>
      </c>
      <c r="U1050" s="22" t="str">
        <f>IF(AND(B1050&gt;='IN-NX'!$P$3,B1050&lt;='IN-NX'!$Q$3,'IN-NX'!$D$7=D1050,OR(LEFT(L1050,2)="15",AND(LEFT(M1050,2)&lt;&gt;"15",LEFT(M1050,2)&lt;&gt;"33"))),"x","")</f>
        <v/>
      </c>
      <c r="V1050" s="22" t="str">
        <f>IF(AND(OR(LEFT(TH!L1050,2)="15",LEFT(TH!M1050,2)="15"),'152-CT'!$J$8=TH!F1050),"x","")</f>
        <v/>
      </c>
      <c r="W1050" s="22" t="str">
        <f>IF(AND(OR(LEFT(TH!L1050,2)="15",LEFT(TH!M1050,2)="15"),TK!$E$7=TH!F1050),"x","")</f>
        <v/>
      </c>
      <c r="X1050" s="22" t="str">
        <f>IF(OR(TH!L1050=TH!$X$7,M1050=TH!$X$7),"x","")</f>
        <v/>
      </c>
      <c r="Y1050" s="22" t="str">
        <f>IF(AND(B1050&lt;=NKC!$N$8,B1050&gt;=NKC!$M$8),"x","")</f>
        <v/>
      </c>
      <c r="Z1050" s="580"/>
      <c r="AA1050" s="406"/>
      <c r="AB1050" s="406"/>
      <c r="AD1050" s="406"/>
      <c r="AE1050" s="406"/>
    </row>
    <row r="1051" spans="1:31" s="130" customFormat="1" ht="15.75" customHeight="1">
      <c r="A1051" s="123" t="str">
        <f>IF(B1051&lt;&gt;"",IF(AND(B1051&gt;=_TM1,B1051&lt;=_TM2,OR(TH!L1051="1111",TH!M1051="1111")),TH!D1051,""),"")</f>
        <v/>
      </c>
      <c r="B1051" s="12">
        <f t="shared" si="53"/>
        <v>12</v>
      </c>
      <c r="C1051" s="108">
        <f t="shared" si="54"/>
        <v>42705</v>
      </c>
      <c r="D1051" s="113" t="s">
        <v>1073</v>
      </c>
      <c r="E1051" s="484">
        <v>42705</v>
      </c>
      <c r="F1051" s="167" t="s">
        <v>813</v>
      </c>
      <c r="G1051" s="485" t="s">
        <v>776</v>
      </c>
      <c r="H1051" s="115" t="s">
        <v>1074</v>
      </c>
      <c r="I1051" s="139">
        <v>2400</v>
      </c>
      <c r="J1051" s="139">
        <v>6391.2686000887979</v>
      </c>
      <c r="K1051" s="13">
        <f t="shared" si="52"/>
        <v>15339045</v>
      </c>
      <c r="L1051" s="116" t="s">
        <v>162</v>
      </c>
      <c r="M1051" s="116" t="s">
        <v>160</v>
      </c>
      <c r="N1051" s="22" t="str">
        <f>IF(AND('331-CT'!$E$7=TH!H1051,OR(L1051="331",M1051="331")),"331",IF(AND(OR(L1051="131",M1051="131"),H1051='131-CT'!$E$7),"131",""))</f>
        <v/>
      </c>
      <c r="O1051" s="22" t="str">
        <f>IF(AND($B1051&gt;='111'!$N$11,$B1051&lt;='111'!$O$11,OR($L1051=$O$7,$M1051=$O$7)),"x","")</f>
        <v/>
      </c>
      <c r="P1051" s="22" t="str">
        <f>IF(AND($L1051=$O$7,$B1051&lt;'111'!$N$11),"x","")</f>
        <v/>
      </c>
      <c r="Q1051" s="22" t="str">
        <f>IF(AND($M1051=$O$7,$B1051&lt;'111'!$N$11),"x","")</f>
        <v/>
      </c>
      <c r="R1051" s="22" t="str">
        <f>IF(ISERROR(FIND('112'!$M$9,G1051,1)),"",IF((AND(FIND('112'!$M$9,G1051,1)&gt;=1,$B1051&gt;='112'!$N$8,$B1051&lt;='112'!$O$8,OR($L1051='112'!$I$6,$M1051='112'!$I$6))),"x",""))</f>
        <v/>
      </c>
      <c r="S1051" s="22" t="str">
        <f>IF(ISERROR(FIND('112'!$M$9,G1051,1)),"",IF((AND(LEFT(G1051,2)=LEFT('112'!$M$9,2),B1051&lt;'112'!$N$8,$L1051='112'!$I$6)),"x",""))</f>
        <v/>
      </c>
      <c r="T1051" s="22" t="str">
        <f>IF(ISERROR(FIND('112'!$M$9,G1051,1)),"",IF((AND(RIGHT(G1051,2)=RIGHT('112'!$M$9,2),B1051&lt;'112'!$N$8,$M1051='112'!$I$6)),"x",""))</f>
        <v/>
      </c>
      <c r="U1051" s="22" t="str">
        <f>IF(AND(B1051&gt;='IN-NX'!$P$3,B1051&lt;='IN-NX'!$Q$3,'IN-NX'!$D$7=D1051,OR(LEFT(L1051,2)="15",AND(LEFT(M1051,2)&lt;&gt;"15",LEFT(M1051,2)&lt;&gt;"33"))),"x","")</f>
        <v/>
      </c>
      <c r="V1051" s="22" t="str">
        <f>IF(AND(OR(LEFT(TH!L1051,2)="15",LEFT(TH!M1051,2)="15"),'152-CT'!$J$8=TH!F1051),"x","")</f>
        <v/>
      </c>
      <c r="W1051" s="22" t="str">
        <f>IF(AND(OR(LEFT(TH!L1051,2)="15",LEFT(TH!M1051,2)="15"),TK!$E$7=TH!F1051),"x","")</f>
        <v/>
      </c>
      <c r="X1051" s="22" t="str">
        <f>IF(OR(TH!L1051=TH!$X$7,M1051=TH!$X$7),"x","")</f>
        <v/>
      </c>
      <c r="Y1051" s="22" t="str">
        <f>IF(AND(B1051&lt;=NKC!$N$8,B1051&gt;=NKC!$M$8),"x","")</f>
        <v/>
      </c>
      <c r="Z1051" s="580"/>
      <c r="AA1051" s="406"/>
      <c r="AB1051" s="406"/>
    </row>
    <row r="1052" spans="1:31" s="130" customFormat="1" ht="15.75" customHeight="1">
      <c r="A1052" s="123" t="str">
        <f>IF(B1052&lt;&gt;"",IF(AND(B1052&gt;=_TM1,B1052&lt;=_TM2,OR(TH!L1052="1111",TH!M1052="1111")),TH!D1052,""),"")</f>
        <v/>
      </c>
      <c r="B1052" s="12">
        <f t="shared" si="53"/>
        <v>12</v>
      </c>
      <c r="C1052" s="108">
        <f t="shared" si="54"/>
        <v>42706</v>
      </c>
      <c r="D1052" s="113" t="s">
        <v>1073</v>
      </c>
      <c r="E1052" s="484">
        <v>42706</v>
      </c>
      <c r="F1052" s="167" t="s">
        <v>813</v>
      </c>
      <c r="G1052" s="485" t="s">
        <v>824</v>
      </c>
      <c r="H1052" s="115" t="s">
        <v>1074</v>
      </c>
      <c r="I1052" s="140">
        <v>1600</v>
      </c>
      <c r="J1052" s="140">
        <v>6391.2686000887979</v>
      </c>
      <c r="K1052" s="13">
        <f t="shared" si="52"/>
        <v>10226030</v>
      </c>
      <c r="L1052" s="116" t="s">
        <v>162</v>
      </c>
      <c r="M1052" s="116" t="s">
        <v>160</v>
      </c>
      <c r="N1052" s="22" t="str">
        <f>IF(AND('331-CT'!$E$7=TH!H1052,OR(L1052="331",M1052="331")),"331",IF(AND(OR(L1052="131",M1052="131"),H1052='131-CT'!$E$7),"131",""))</f>
        <v/>
      </c>
      <c r="O1052" s="22" t="str">
        <f>IF(AND($B1052&gt;='111'!$N$11,$B1052&lt;='111'!$O$11,OR($L1052=$O$7,$M1052=$O$7)),"x","")</f>
        <v/>
      </c>
      <c r="P1052" s="22" t="str">
        <f>IF(AND($L1052=$O$7,$B1052&lt;'111'!$N$11),"x","")</f>
        <v/>
      </c>
      <c r="Q1052" s="22" t="str">
        <f>IF(AND($M1052=$O$7,$B1052&lt;'111'!$N$11),"x","")</f>
        <v/>
      </c>
      <c r="R1052" s="22" t="str">
        <f>IF(ISERROR(FIND('112'!$M$9,G1052,1)),"",IF((AND(FIND('112'!$M$9,G1052,1)&gt;=1,$B1052&gt;='112'!$N$8,$B1052&lt;='112'!$O$8,OR($L1052='112'!$I$6,$M1052='112'!$I$6))),"x",""))</f>
        <v/>
      </c>
      <c r="S1052" s="22" t="str">
        <f>IF(ISERROR(FIND('112'!$M$9,G1052,1)),"",IF((AND(LEFT(G1052,2)=LEFT('112'!$M$9,2),B1052&lt;'112'!$N$8,$L1052='112'!$I$6)),"x",""))</f>
        <v/>
      </c>
      <c r="T1052" s="22" t="str">
        <f>IF(ISERROR(FIND('112'!$M$9,G1052,1)),"",IF((AND(RIGHT(G1052,2)=RIGHT('112'!$M$9,2),B1052&lt;'112'!$N$8,$M1052='112'!$I$6)),"x",""))</f>
        <v/>
      </c>
      <c r="U1052" s="22" t="str">
        <f>IF(AND(B1052&gt;='IN-NX'!$P$3,B1052&lt;='IN-NX'!$Q$3,'IN-NX'!$D$7=D1052,OR(LEFT(L1052,2)="15",AND(LEFT(M1052,2)&lt;&gt;"15",LEFT(M1052,2)&lt;&gt;"33"))),"x","")</f>
        <v/>
      </c>
      <c r="V1052" s="22" t="str">
        <f>IF(AND(OR(LEFT(TH!L1052,2)="15",LEFT(TH!M1052,2)="15"),'152-CT'!$J$8=TH!F1052),"x","")</f>
        <v/>
      </c>
      <c r="W1052" s="22" t="str">
        <f>IF(AND(OR(LEFT(TH!L1052,2)="15",LEFT(TH!M1052,2)="15"),TK!$E$7=TH!F1052),"x","")</f>
        <v/>
      </c>
      <c r="X1052" s="22" t="str">
        <f>IF(OR(TH!L1052=TH!$X$7,M1052=TH!$X$7),"x","")</f>
        <v/>
      </c>
      <c r="Y1052" s="22" t="str">
        <f>IF(AND(B1052&lt;=NKC!$N$8,B1052&gt;=NKC!$M$8),"x","")</f>
        <v/>
      </c>
      <c r="Z1052" s="580"/>
      <c r="AA1052" s="406"/>
    </row>
    <row r="1053" spans="1:31" s="130" customFormat="1" ht="15.75" customHeight="1">
      <c r="A1053" s="123" t="str">
        <f>IF(B1053&lt;&gt;"",IF(AND(B1053&gt;=_TM1,B1053&lt;=_TM2,OR(TH!L1053="1111",TH!M1053="1111")),TH!D1053,""),"")</f>
        <v/>
      </c>
      <c r="B1053" s="12">
        <f t="shared" si="53"/>
        <v>12</v>
      </c>
      <c r="C1053" s="108">
        <f t="shared" si="54"/>
        <v>42707</v>
      </c>
      <c r="D1053" s="113" t="s">
        <v>1073</v>
      </c>
      <c r="E1053" s="484">
        <v>42707</v>
      </c>
      <c r="F1053" s="167" t="s">
        <v>813</v>
      </c>
      <c r="G1053" s="485" t="s">
        <v>825</v>
      </c>
      <c r="H1053" s="115" t="s">
        <v>1074</v>
      </c>
      <c r="I1053" s="139">
        <v>4000</v>
      </c>
      <c r="J1053" s="139">
        <v>6391.2686000887979</v>
      </c>
      <c r="K1053" s="13">
        <f t="shared" si="52"/>
        <v>25565074</v>
      </c>
      <c r="L1053" s="116" t="s">
        <v>162</v>
      </c>
      <c r="M1053" s="116" t="s">
        <v>160</v>
      </c>
      <c r="N1053" s="22" t="str">
        <f>IF(AND('331-CT'!$E$7=TH!H1053,OR(L1053="331",M1053="331")),"331",IF(AND(OR(L1053="131",M1053="131"),H1053='131-CT'!$E$7),"131",""))</f>
        <v/>
      </c>
      <c r="O1053" s="22" t="str">
        <f>IF(AND($B1053&gt;='111'!$N$11,$B1053&lt;='111'!$O$11,OR($L1053=$O$7,$M1053=$O$7)),"x","")</f>
        <v/>
      </c>
      <c r="P1053" s="22" t="str">
        <f>IF(AND($L1053=$O$7,$B1053&lt;'111'!$N$11),"x","")</f>
        <v/>
      </c>
      <c r="Q1053" s="22" t="str">
        <f>IF(AND($M1053=$O$7,$B1053&lt;'111'!$N$11),"x","")</f>
        <v/>
      </c>
      <c r="R1053" s="22" t="str">
        <f>IF(ISERROR(FIND('112'!$M$9,G1053,1)),"",IF((AND(FIND('112'!$M$9,G1053,1)&gt;=1,$B1053&gt;='112'!$N$8,$B1053&lt;='112'!$O$8,OR($L1053='112'!$I$6,$M1053='112'!$I$6))),"x",""))</f>
        <v/>
      </c>
      <c r="S1053" s="22" t="str">
        <f>IF(ISERROR(FIND('112'!$M$9,G1053,1)),"",IF((AND(LEFT(G1053,2)=LEFT('112'!$M$9,2),B1053&lt;'112'!$N$8,$L1053='112'!$I$6)),"x",""))</f>
        <v/>
      </c>
      <c r="T1053" s="22" t="str">
        <f>IF(ISERROR(FIND('112'!$M$9,G1053,1)),"",IF((AND(RIGHT(G1053,2)=RIGHT('112'!$M$9,2),B1053&lt;'112'!$N$8,$M1053='112'!$I$6)),"x",""))</f>
        <v/>
      </c>
      <c r="U1053" s="22" t="str">
        <f>IF(AND(B1053&gt;='IN-NX'!$P$3,B1053&lt;='IN-NX'!$Q$3,'IN-NX'!$D$7=D1053,OR(LEFT(L1053,2)="15",AND(LEFT(M1053,2)&lt;&gt;"15",LEFT(M1053,2)&lt;&gt;"33"))),"x","")</f>
        <v/>
      </c>
      <c r="V1053" s="22" t="str">
        <f>IF(AND(OR(LEFT(TH!L1053,2)="15",LEFT(TH!M1053,2)="15"),'152-CT'!$J$8=TH!F1053),"x","")</f>
        <v/>
      </c>
      <c r="W1053" s="22" t="str">
        <f>IF(AND(OR(LEFT(TH!L1053,2)="15",LEFT(TH!M1053,2)="15"),TK!$E$7=TH!F1053),"x","")</f>
        <v/>
      </c>
      <c r="X1053" s="22" t="str">
        <f>IF(OR(TH!L1053=TH!$X$7,M1053=TH!$X$7),"x","")</f>
        <v/>
      </c>
      <c r="Y1053" s="22" t="str">
        <f>IF(AND(B1053&lt;=NKC!$N$8,B1053&gt;=NKC!$M$8),"x","")</f>
        <v/>
      </c>
      <c r="Z1053" s="580"/>
      <c r="AA1053" s="406"/>
      <c r="AB1053" s="406"/>
    </row>
    <row r="1054" spans="1:31" s="130" customFormat="1" ht="15.75" customHeight="1">
      <c r="A1054" s="123" t="str">
        <f>IF(B1054&lt;&gt;"",IF(AND(B1054&gt;=_TM1,B1054&lt;=_TM2,OR(TH!L1054="1111",TH!M1054="1111")),TH!D1054,""),"")</f>
        <v/>
      </c>
      <c r="B1054" s="12">
        <f t="shared" si="53"/>
        <v>12</v>
      </c>
      <c r="C1054" s="108">
        <f t="shared" si="54"/>
        <v>42708</v>
      </c>
      <c r="D1054" s="113" t="s">
        <v>1073</v>
      </c>
      <c r="E1054" s="484">
        <v>42708</v>
      </c>
      <c r="F1054" s="167" t="s">
        <v>827</v>
      </c>
      <c r="G1054" s="485" t="s">
        <v>826</v>
      </c>
      <c r="H1054" s="115" t="s">
        <v>1074</v>
      </c>
      <c r="I1054" s="139">
        <v>6154</v>
      </c>
      <c r="J1054" s="139">
        <v>7456.4800334369311</v>
      </c>
      <c r="K1054" s="13">
        <f t="shared" si="52"/>
        <v>45887178</v>
      </c>
      <c r="L1054" s="116" t="s">
        <v>162</v>
      </c>
      <c r="M1054" s="116" t="s">
        <v>160</v>
      </c>
      <c r="N1054" s="22" t="str">
        <f>IF(AND('331-CT'!$E$7=TH!H1054,OR(L1054="331",M1054="331")),"331",IF(AND(OR(L1054="131",M1054="131"),H1054='131-CT'!$E$7),"131",""))</f>
        <v/>
      </c>
      <c r="O1054" s="22" t="str">
        <f>IF(AND($B1054&gt;='111'!$N$11,$B1054&lt;='111'!$O$11,OR($L1054=$O$7,$M1054=$O$7)),"x","")</f>
        <v/>
      </c>
      <c r="P1054" s="22" t="str">
        <f>IF(AND($L1054=$O$7,$B1054&lt;'111'!$N$11),"x","")</f>
        <v/>
      </c>
      <c r="Q1054" s="22" t="str">
        <f>IF(AND($M1054=$O$7,$B1054&lt;'111'!$N$11),"x","")</f>
        <v/>
      </c>
      <c r="R1054" s="22" t="str">
        <f>IF(ISERROR(FIND('112'!$M$9,G1054,1)),"",IF((AND(FIND('112'!$M$9,G1054,1)&gt;=1,$B1054&gt;='112'!$N$8,$B1054&lt;='112'!$O$8,OR($L1054='112'!$I$6,$M1054='112'!$I$6))),"x",""))</f>
        <v/>
      </c>
      <c r="S1054" s="22" t="str">
        <f>IF(ISERROR(FIND('112'!$M$9,G1054,1)),"",IF((AND(LEFT(G1054,2)=LEFT('112'!$M$9,2),B1054&lt;'112'!$N$8,$L1054='112'!$I$6)),"x",""))</f>
        <v/>
      </c>
      <c r="T1054" s="22" t="str">
        <f>IF(ISERROR(FIND('112'!$M$9,G1054,1)),"",IF((AND(RIGHT(G1054,2)=RIGHT('112'!$M$9,2),B1054&lt;'112'!$N$8,$M1054='112'!$I$6)),"x",""))</f>
        <v/>
      </c>
      <c r="U1054" s="22" t="str">
        <f>IF(AND(B1054&gt;='IN-NX'!$P$3,B1054&lt;='IN-NX'!$Q$3,'IN-NX'!$D$7=D1054,OR(LEFT(L1054,2)="15",AND(LEFT(M1054,2)&lt;&gt;"15",LEFT(M1054,2)&lt;&gt;"33"))),"x","")</f>
        <v/>
      </c>
      <c r="V1054" s="22" t="str">
        <f>IF(AND(OR(LEFT(TH!L1054,2)="15",LEFT(TH!M1054,2)="15"),'152-CT'!$J$8=TH!F1054),"x","")</f>
        <v/>
      </c>
      <c r="W1054" s="22" t="str">
        <f>IF(AND(OR(LEFT(TH!L1054,2)="15",LEFT(TH!M1054,2)="15"),TK!$E$7=TH!F1054),"x","")</f>
        <v/>
      </c>
      <c r="X1054" s="22" t="str">
        <f>IF(OR(TH!L1054=TH!$X$7,M1054=TH!$X$7),"x","")</f>
        <v/>
      </c>
      <c r="Y1054" s="22" t="str">
        <f>IF(AND(B1054&lt;=NKC!$N$8,B1054&gt;=NKC!$M$8),"x","")</f>
        <v/>
      </c>
      <c r="Z1054" s="580"/>
      <c r="AA1054" s="406"/>
    </row>
    <row r="1055" spans="1:31" s="130" customFormat="1" ht="15.75" customHeight="1">
      <c r="A1055" s="123" t="str">
        <f>IF(B1055&lt;&gt;"",IF(AND(B1055&gt;=_TM1,B1055&lt;=_TM2,OR(TH!L1055="1111",TH!M1055="1111")),TH!D1055,""),"")</f>
        <v/>
      </c>
      <c r="B1055" s="12">
        <f t="shared" si="53"/>
        <v>12</v>
      </c>
      <c r="C1055" s="108">
        <f t="shared" si="54"/>
        <v>42708</v>
      </c>
      <c r="D1055" s="113" t="s">
        <v>1073</v>
      </c>
      <c r="E1055" s="484">
        <v>42708</v>
      </c>
      <c r="F1055" s="167" t="s">
        <v>828</v>
      </c>
      <c r="G1055" s="485" t="s">
        <v>826</v>
      </c>
      <c r="H1055" s="115" t="s">
        <v>1074</v>
      </c>
      <c r="I1055" s="139">
        <v>878</v>
      </c>
      <c r="J1055" s="139">
        <v>8978.2106525056934</v>
      </c>
      <c r="K1055" s="13">
        <f t="shared" si="52"/>
        <v>7882869</v>
      </c>
      <c r="L1055" s="116" t="s">
        <v>162</v>
      </c>
      <c r="M1055" s="116" t="s">
        <v>160</v>
      </c>
      <c r="N1055" s="22" t="str">
        <f>IF(AND('331-CT'!$E$7=TH!H1055,OR(L1055="331",M1055="331")),"331",IF(AND(OR(L1055="131",M1055="131"),H1055='131-CT'!$E$7),"131",""))</f>
        <v/>
      </c>
      <c r="O1055" s="22" t="str">
        <f>IF(AND($B1055&gt;='111'!$N$11,$B1055&lt;='111'!$O$11,OR($L1055=$O$7,$M1055=$O$7)),"x","")</f>
        <v/>
      </c>
      <c r="P1055" s="22" t="str">
        <f>IF(AND($L1055=$O$7,$B1055&lt;'111'!$N$11),"x","")</f>
        <v/>
      </c>
      <c r="Q1055" s="22" t="str">
        <f>IF(AND($M1055=$O$7,$B1055&lt;'111'!$N$11),"x","")</f>
        <v/>
      </c>
      <c r="R1055" s="22" t="str">
        <f>IF(ISERROR(FIND('112'!$M$9,G1055,1)),"",IF((AND(FIND('112'!$M$9,G1055,1)&gt;=1,$B1055&gt;='112'!$N$8,$B1055&lt;='112'!$O$8,OR($L1055='112'!$I$6,$M1055='112'!$I$6))),"x",""))</f>
        <v/>
      </c>
      <c r="S1055" s="22" t="str">
        <f>IF(ISERROR(FIND('112'!$M$9,G1055,1)),"",IF((AND(LEFT(G1055,2)=LEFT('112'!$M$9,2),B1055&lt;'112'!$N$8,$L1055='112'!$I$6)),"x",""))</f>
        <v/>
      </c>
      <c r="T1055" s="22" t="str">
        <f>IF(ISERROR(FIND('112'!$M$9,G1055,1)),"",IF((AND(RIGHT(G1055,2)=RIGHT('112'!$M$9,2),B1055&lt;'112'!$N$8,$M1055='112'!$I$6)),"x",""))</f>
        <v/>
      </c>
      <c r="U1055" s="22" t="str">
        <f>IF(AND(B1055&gt;='IN-NX'!$P$3,B1055&lt;='IN-NX'!$Q$3,'IN-NX'!$D$7=D1055,OR(LEFT(L1055,2)="15",AND(LEFT(M1055,2)&lt;&gt;"15",LEFT(M1055,2)&lt;&gt;"33"))),"x","")</f>
        <v/>
      </c>
      <c r="V1055" s="22" t="str">
        <f>IF(AND(OR(LEFT(TH!L1055,2)="15",LEFT(TH!M1055,2)="15"),'152-CT'!$J$8=TH!F1055),"x","")</f>
        <v/>
      </c>
      <c r="W1055" s="22" t="str">
        <f>IF(AND(OR(LEFT(TH!L1055,2)="15",LEFT(TH!M1055,2)="15"),TK!$E$7=TH!F1055),"x","")</f>
        <v/>
      </c>
      <c r="X1055" s="22" t="str">
        <f>IF(OR(TH!L1055=TH!$X$7,M1055=TH!$X$7),"x","")</f>
        <v/>
      </c>
      <c r="Y1055" s="22" t="str">
        <f>IF(AND(B1055&lt;=NKC!$N$8,B1055&gt;=NKC!$M$8),"x","")</f>
        <v/>
      </c>
      <c r="Z1055" s="580"/>
      <c r="AA1055" s="406"/>
      <c r="AB1055" s="406"/>
    </row>
    <row r="1056" spans="1:31" s="130" customFormat="1" ht="15.75" customHeight="1">
      <c r="A1056" s="123" t="str">
        <f>IF(B1056&lt;&gt;"",IF(AND(B1056&gt;=_TM1,B1056&lt;=_TM2,OR(TH!L1056="1111",TH!M1056="1111")),TH!D1056,""),"")</f>
        <v/>
      </c>
      <c r="B1056" s="12">
        <f t="shared" si="53"/>
        <v>12</v>
      </c>
      <c r="C1056" s="108">
        <f t="shared" si="54"/>
        <v>42709</v>
      </c>
      <c r="D1056" s="113" t="s">
        <v>1073</v>
      </c>
      <c r="E1056" s="484">
        <v>42709</v>
      </c>
      <c r="F1056" s="167" t="s">
        <v>813</v>
      </c>
      <c r="G1056" s="485" t="s">
        <v>829</v>
      </c>
      <c r="H1056" s="115" t="s">
        <v>1074</v>
      </c>
      <c r="I1056" s="139">
        <v>2400</v>
      </c>
      <c r="J1056" s="139">
        <v>6391.2686000887979</v>
      </c>
      <c r="K1056" s="13">
        <f t="shared" si="52"/>
        <v>15339045</v>
      </c>
      <c r="L1056" s="116" t="s">
        <v>162</v>
      </c>
      <c r="M1056" s="116" t="s">
        <v>160</v>
      </c>
      <c r="N1056" s="22" t="str">
        <f>IF(AND('331-CT'!$E$7=TH!H1056,OR(L1056="331",M1056="331")),"331",IF(AND(OR(L1056="131",M1056="131"),H1056='131-CT'!$E$7),"131",""))</f>
        <v/>
      </c>
      <c r="O1056" s="22" t="str">
        <f>IF(AND($B1056&gt;='111'!$N$11,$B1056&lt;='111'!$O$11,OR($L1056=$O$7,$M1056=$O$7)),"x","")</f>
        <v/>
      </c>
      <c r="P1056" s="22" t="str">
        <f>IF(AND($L1056=$O$7,$B1056&lt;'111'!$N$11),"x","")</f>
        <v/>
      </c>
      <c r="Q1056" s="22" t="str">
        <f>IF(AND($M1056=$O$7,$B1056&lt;'111'!$N$11),"x","")</f>
        <v/>
      </c>
      <c r="R1056" s="22" t="str">
        <f>IF(ISERROR(FIND('112'!$M$9,G1056,1)),"",IF((AND(FIND('112'!$M$9,G1056,1)&gt;=1,$B1056&gt;='112'!$N$8,$B1056&lt;='112'!$O$8,OR($L1056='112'!$I$6,$M1056='112'!$I$6))),"x",""))</f>
        <v/>
      </c>
      <c r="S1056" s="22" t="str">
        <f>IF(ISERROR(FIND('112'!$M$9,G1056,1)),"",IF((AND(LEFT(G1056,2)=LEFT('112'!$M$9,2),B1056&lt;'112'!$N$8,$L1056='112'!$I$6)),"x",""))</f>
        <v/>
      </c>
      <c r="T1056" s="22" t="str">
        <f>IF(ISERROR(FIND('112'!$M$9,G1056,1)),"",IF((AND(RIGHT(G1056,2)=RIGHT('112'!$M$9,2),B1056&lt;'112'!$N$8,$M1056='112'!$I$6)),"x",""))</f>
        <v/>
      </c>
      <c r="U1056" s="22" t="str">
        <f>IF(AND(B1056&gt;='IN-NX'!$P$3,B1056&lt;='IN-NX'!$Q$3,'IN-NX'!$D$7=D1056,OR(LEFT(L1056,2)="15",AND(LEFT(M1056,2)&lt;&gt;"15",LEFT(M1056,2)&lt;&gt;"33"))),"x","")</f>
        <v/>
      </c>
      <c r="V1056" s="22" t="str">
        <f>IF(AND(OR(LEFT(TH!L1056,2)="15",LEFT(TH!M1056,2)="15"),'152-CT'!$J$8=TH!F1056),"x","")</f>
        <v/>
      </c>
      <c r="W1056" s="22" t="str">
        <f>IF(AND(OR(LEFT(TH!L1056,2)="15",LEFT(TH!M1056,2)="15"),TK!$E$7=TH!F1056),"x","")</f>
        <v/>
      </c>
      <c r="X1056" s="22" t="str">
        <f>IF(OR(TH!L1056=TH!$X$7,M1056=TH!$X$7),"x","")</f>
        <v/>
      </c>
      <c r="Y1056" s="22" t="str">
        <f>IF(AND(B1056&lt;=NKC!$N$8,B1056&gt;=NKC!$M$8),"x","")</f>
        <v/>
      </c>
      <c r="Z1056" s="580"/>
      <c r="AA1056" s="406"/>
    </row>
    <row r="1057" spans="1:31" s="130" customFormat="1" ht="15.75" customHeight="1">
      <c r="A1057" s="123" t="str">
        <f>IF(B1057&lt;&gt;"",IF(AND(B1057&gt;=_TM1,B1057&lt;=_TM2,OR(TH!L1057="1111",TH!M1057="1111")),TH!D1057,""),"")</f>
        <v/>
      </c>
      <c r="B1057" s="12">
        <f t="shared" si="53"/>
        <v>12</v>
      </c>
      <c r="C1057" s="108">
        <f t="shared" si="54"/>
        <v>42710</v>
      </c>
      <c r="D1057" s="113" t="s">
        <v>1073</v>
      </c>
      <c r="E1057" s="484">
        <v>42710</v>
      </c>
      <c r="F1057" s="167" t="s">
        <v>813</v>
      </c>
      <c r="G1057" s="485" t="s">
        <v>830</v>
      </c>
      <c r="H1057" s="115" t="s">
        <v>1074</v>
      </c>
      <c r="I1057" s="139">
        <v>2400</v>
      </c>
      <c r="J1057" s="139">
        <v>6391.2686000887979</v>
      </c>
      <c r="K1057" s="13">
        <f t="shared" si="52"/>
        <v>15339045</v>
      </c>
      <c r="L1057" s="116" t="s">
        <v>162</v>
      </c>
      <c r="M1057" s="116" t="s">
        <v>160</v>
      </c>
      <c r="N1057" s="22" t="str">
        <f>IF(AND('331-CT'!$E$7=TH!H1057,OR(L1057="331",M1057="331")),"331",IF(AND(OR(L1057="131",M1057="131"),H1057='131-CT'!$E$7),"131",""))</f>
        <v/>
      </c>
      <c r="O1057" s="22" t="str">
        <f>IF(AND($B1057&gt;='111'!$N$11,$B1057&lt;='111'!$O$11,OR($L1057=$O$7,$M1057=$O$7)),"x","")</f>
        <v/>
      </c>
      <c r="P1057" s="22" t="str">
        <f>IF(AND($L1057=$O$7,$B1057&lt;'111'!$N$11),"x","")</f>
        <v/>
      </c>
      <c r="Q1057" s="22" t="str">
        <f>IF(AND($M1057=$O$7,$B1057&lt;'111'!$N$11),"x","")</f>
        <v/>
      </c>
      <c r="R1057" s="22" t="str">
        <f>IF(ISERROR(FIND('112'!$M$9,G1057,1)),"",IF((AND(FIND('112'!$M$9,G1057,1)&gt;=1,$B1057&gt;='112'!$N$8,$B1057&lt;='112'!$O$8,OR($L1057='112'!$I$6,$M1057='112'!$I$6))),"x",""))</f>
        <v/>
      </c>
      <c r="S1057" s="22" t="str">
        <f>IF(ISERROR(FIND('112'!$M$9,G1057,1)),"",IF((AND(LEFT(G1057,2)=LEFT('112'!$M$9,2),B1057&lt;'112'!$N$8,$L1057='112'!$I$6)),"x",""))</f>
        <v/>
      </c>
      <c r="T1057" s="22" t="str">
        <f>IF(ISERROR(FIND('112'!$M$9,G1057,1)),"",IF((AND(RIGHT(G1057,2)=RIGHT('112'!$M$9,2),B1057&lt;'112'!$N$8,$M1057='112'!$I$6)),"x",""))</f>
        <v/>
      </c>
      <c r="U1057" s="22" t="str">
        <f>IF(AND(B1057&gt;='IN-NX'!$P$3,B1057&lt;='IN-NX'!$Q$3,'IN-NX'!$D$7=D1057,OR(LEFT(L1057,2)="15",AND(LEFT(M1057,2)&lt;&gt;"15",LEFT(M1057,2)&lt;&gt;"33"))),"x","")</f>
        <v/>
      </c>
      <c r="V1057" s="22" t="str">
        <f>IF(AND(OR(LEFT(TH!L1057,2)="15",LEFT(TH!M1057,2)="15"),'152-CT'!$J$8=TH!F1057),"x","")</f>
        <v/>
      </c>
      <c r="W1057" s="22" t="str">
        <f>IF(AND(OR(LEFT(TH!L1057,2)="15",LEFT(TH!M1057,2)="15"),TK!$E$7=TH!F1057),"x","")</f>
        <v/>
      </c>
      <c r="X1057" s="22" t="str">
        <f>IF(OR(TH!L1057=TH!$X$7,M1057=TH!$X$7),"x","")</f>
        <v/>
      </c>
      <c r="Y1057" s="22" t="str">
        <f>IF(AND(B1057&lt;=NKC!$N$8,B1057&gt;=NKC!$M$8),"x","")</f>
        <v/>
      </c>
      <c r="Z1057" s="580"/>
      <c r="AA1057" s="406"/>
      <c r="AB1057" s="406"/>
    </row>
    <row r="1058" spans="1:31" s="130" customFormat="1" ht="15.75" customHeight="1">
      <c r="A1058" s="123" t="str">
        <f>IF(B1058&lt;&gt;"",IF(AND(B1058&gt;=_TM1,B1058&lt;=_TM2,OR(TH!L1058="1111",TH!M1058="1111")),TH!D1058,""),"")</f>
        <v/>
      </c>
      <c r="B1058" s="12">
        <f t="shared" si="53"/>
        <v>12</v>
      </c>
      <c r="C1058" s="108">
        <f t="shared" si="54"/>
        <v>42713</v>
      </c>
      <c r="D1058" s="113" t="s">
        <v>1073</v>
      </c>
      <c r="E1058" s="484">
        <v>42713</v>
      </c>
      <c r="F1058" s="167" t="s">
        <v>833</v>
      </c>
      <c r="G1058" s="485" t="s">
        <v>832</v>
      </c>
      <c r="H1058" s="115" t="s">
        <v>1074</v>
      </c>
      <c r="I1058" s="139">
        <v>400</v>
      </c>
      <c r="J1058" s="139">
        <v>9282.5567763194449</v>
      </c>
      <c r="K1058" s="13">
        <f t="shared" si="52"/>
        <v>3713023</v>
      </c>
      <c r="L1058" s="116" t="s">
        <v>162</v>
      </c>
      <c r="M1058" s="116" t="s">
        <v>160</v>
      </c>
      <c r="N1058" s="22" t="str">
        <f>IF(AND('331-CT'!$E$7=TH!H1058,OR(L1058="331",M1058="331")),"331",IF(AND(OR(L1058="131",M1058="131"),H1058='131-CT'!$E$7),"131",""))</f>
        <v/>
      </c>
      <c r="O1058" s="22" t="str">
        <f>IF(AND($B1058&gt;='111'!$N$11,$B1058&lt;='111'!$O$11,OR($L1058=$O$7,$M1058=$O$7)),"x","")</f>
        <v/>
      </c>
      <c r="P1058" s="22" t="str">
        <f>IF(AND($L1058=$O$7,$B1058&lt;'111'!$N$11),"x","")</f>
        <v/>
      </c>
      <c r="Q1058" s="22" t="str">
        <f>IF(AND($M1058=$O$7,$B1058&lt;'111'!$N$11),"x","")</f>
        <v/>
      </c>
      <c r="R1058" s="22" t="str">
        <f>IF(ISERROR(FIND('112'!$M$9,G1058,1)),"",IF((AND(FIND('112'!$M$9,G1058,1)&gt;=1,$B1058&gt;='112'!$N$8,$B1058&lt;='112'!$O$8,OR($L1058='112'!$I$6,$M1058='112'!$I$6))),"x",""))</f>
        <v/>
      </c>
      <c r="S1058" s="22" t="str">
        <f>IF(ISERROR(FIND('112'!$M$9,G1058,1)),"",IF((AND(LEFT(G1058,2)=LEFT('112'!$M$9,2),B1058&lt;'112'!$N$8,$L1058='112'!$I$6)),"x",""))</f>
        <v/>
      </c>
      <c r="T1058" s="22" t="str">
        <f>IF(ISERROR(FIND('112'!$M$9,G1058,1)),"",IF((AND(RIGHT(G1058,2)=RIGHT('112'!$M$9,2),B1058&lt;'112'!$N$8,$M1058='112'!$I$6)),"x",""))</f>
        <v/>
      </c>
      <c r="U1058" s="22" t="str">
        <f>IF(AND(B1058&gt;='IN-NX'!$P$3,B1058&lt;='IN-NX'!$Q$3,'IN-NX'!$D$7=D1058,OR(LEFT(L1058,2)="15",AND(LEFT(M1058,2)&lt;&gt;"15",LEFT(M1058,2)&lt;&gt;"33"))),"x","")</f>
        <v/>
      </c>
      <c r="V1058" s="22" t="str">
        <f>IF(AND(OR(LEFT(TH!L1058,2)="15",LEFT(TH!M1058,2)="15"),'152-CT'!$J$8=TH!F1058),"x","")</f>
        <v/>
      </c>
      <c r="W1058" s="22" t="str">
        <f>IF(AND(OR(LEFT(TH!L1058,2)="15",LEFT(TH!M1058,2)="15"),TK!$E$7=TH!F1058),"x","")</f>
        <v/>
      </c>
      <c r="X1058" s="22" t="str">
        <f>IF(OR(TH!L1058=TH!$X$7,M1058=TH!$X$7),"x","")</f>
        <v/>
      </c>
      <c r="Y1058" s="22" t="str">
        <f>IF(AND(B1058&lt;=NKC!$N$8,B1058&gt;=NKC!$M$8),"x","")</f>
        <v/>
      </c>
      <c r="Z1058" s="580"/>
      <c r="AA1058" s="406"/>
    </row>
    <row r="1059" spans="1:31" s="130" customFormat="1" ht="15.75" customHeight="1">
      <c r="A1059" s="123" t="str">
        <f>IF(B1059&lt;&gt;"",IF(AND(B1059&gt;=_TM1,B1059&lt;=_TM2,OR(TH!L1059="1111",TH!M1059="1111")),TH!D1059,""),"")</f>
        <v/>
      </c>
      <c r="B1059" s="12">
        <f t="shared" si="53"/>
        <v>12</v>
      </c>
      <c r="C1059" s="108">
        <f t="shared" si="54"/>
        <v>42713</v>
      </c>
      <c r="D1059" s="113" t="s">
        <v>1073</v>
      </c>
      <c r="E1059" s="484">
        <v>42713</v>
      </c>
      <c r="F1059" s="167" t="s">
        <v>834</v>
      </c>
      <c r="G1059" s="485" t="s">
        <v>832</v>
      </c>
      <c r="H1059" s="115" t="s">
        <v>1074</v>
      </c>
      <c r="I1059" s="139">
        <v>4000</v>
      </c>
      <c r="J1059" s="141">
        <v>1749.9902119290759</v>
      </c>
      <c r="K1059" s="13">
        <f t="shared" si="52"/>
        <v>6999961</v>
      </c>
      <c r="L1059" s="116" t="s">
        <v>162</v>
      </c>
      <c r="M1059" s="116" t="s">
        <v>160</v>
      </c>
      <c r="N1059" s="22" t="str">
        <f>IF(AND('331-CT'!$E$7=TH!H1059,OR(L1059="331",M1059="331")),"331",IF(AND(OR(L1059="131",M1059="131"),H1059='131-CT'!$E$7),"131",""))</f>
        <v/>
      </c>
      <c r="O1059" s="22" t="str">
        <f>IF(AND($B1059&gt;='111'!$N$11,$B1059&lt;='111'!$O$11,OR($L1059=$O$7,$M1059=$O$7)),"x","")</f>
        <v/>
      </c>
      <c r="P1059" s="22" t="str">
        <f>IF(AND($L1059=$O$7,$B1059&lt;'111'!$N$11),"x","")</f>
        <v/>
      </c>
      <c r="Q1059" s="22" t="str">
        <f>IF(AND($M1059=$O$7,$B1059&lt;'111'!$N$11),"x","")</f>
        <v/>
      </c>
      <c r="R1059" s="22" t="str">
        <f>IF(ISERROR(FIND('112'!$M$9,G1059,1)),"",IF((AND(FIND('112'!$M$9,G1059,1)&gt;=1,$B1059&gt;='112'!$N$8,$B1059&lt;='112'!$O$8,OR($L1059='112'!$I$6,$M1059='112'!$I$6))),"x",""))</f>
        <v/>
      </c>
      <c r="S1059" s="22" t="str">
        <f>IF(ISERROR(FIND('112'!$M$9,G1059,1)),"",IF((AND(LEFT(G1059,2)=LEFT('112'!$M$9,2),B1059&lt;'112'!$N$8,$L1059='112'!$I$6)),"x",""))</f>
        <v/>
      </c>
      <c r="T1059" s="22" t="str">
        <f>IF(ISERROR(FIND('112'!$M$9,G1059,1)),"",IF((AND(RIGHT(G1059,2)=RIGHT('112'!$M$9,2),B1059&lt;'112'!$N$8,$M1059='112'!$I$6)),"x",""))</f>
        <v/>
      </c>
      <c r="U1059" s="22" t="str">
        <f>IF(AND(B1059&gt;='IN-NX'!$P$3,B1059&lt;='IN-NX'!$Q$3,'IN-NX'!$D$7=D1059,OR(LEFT(L1059,2)="15",AND(LEFT(M1059,2)&lt;&gt;"15",LEFT(M1059,2)&lt;&gt;"33"))),"x","")</f>
        <v/>
      </c>
      <c r="V1059" s="22" t="str">
        <f>IF(AND(OR(LEFT(TH!L1059,2)="15",LEFT(TH!M1059,2)="15"),'152-CT'!$J$8=TH!F1059),"x","")</f>
        <v/>
      </c>
      <c r="W1059" s="22" t="str">
        <f>IF(AND(OR(LEFT(TH!L1059,2)="15",LEFT(TH!M1059,2)="15"),TK!$E$7=TH!F1059),"x","")</f>
        <v/>
      </c>
      <c r="X1059" s="22" t="str">
        <f>IF(OR(TH!L1059=TH!$X$7,M1059=TH!$X$7),"x","")</f>
        <v/>
      </c>
      <c r="Y1059" s="22" t="str">
        <f>IF(AND(B1059&lt;=NKC!$N$8,B1059&gt;=NKC!$M$8),"x","")</f>
        <v/>
      </c>
      <c r="Z1059" s="580"/>
      <c r="AA1059" s="406"/>
      <c r="AD1059" s="406"/>
      <c r="AE1059" s="406"/>
    </row>
    <row r="1060" spans="1:31" s="130" customFormat="1" ht="15.75" customHeight="1">
      <c r="A1060" s="123" t="str">
        <f>IF(B1060&lt;&gt;"",IF(AND(B1060&gt;=_TM1,B1060&lt;=_TM2,OR(TH!L1060="1111",TH!M1060="1111")),TH!D1060,""),"")</f>
        <v/>
      </c>
      <c r="B1060" s="12">
        <f t="shared" si="53"/>
        <v>12</v>
      </c>
      <c r="C1060" s="108">
        <f t="shared" si="54"/>
        <v>42713</v>
      </c>
      <c r="D1060" s="113" t="s">
        <v>1073</v>
      </c>
      <c r="E1060" s="484">
        <v>42713</v>
      </c>
      <c r="F1060" s="167" t="s">
        <v>828</v>
      </c>
      <c r="G1060" s="485" t="s">
        <v>441</v>
      </c>
      <c r="H1060" s="115" t="s">
        <v>1074</v>
      </c>
      <c r="I1060" s="140">
        <v>5240</v>
      </c>
      <c r="J1060" s="140">
        <v>8978.2106525056934</v>
      </c>
      <c r="K1060" s="13">
        <f t="shared" si="52"/>
        <v>47045824</v>
      </c>
      <c r="L1060" s="116" t="s">
        <v>162</v>
      </c>
      <c r="M1060" s="116" t="s">
        <v>160</v>
      </c>
      <c r="N1060" s="22" t="str">
        <f>IF(AND('331-CT'!$E$7=TH!H1060,OR(L1060="331",M1060="331")),"331",IF(AND(OR(L1060="131",M1060="131"),H1060='131-CT'!$E$7),"131",""))</f>
        <v/>
      </c>
      <c r="O1060" s="22" t="str">
        <f>IF(AND($B1060&gt;='111'!$N$11,$B1060&lt;='111'!$O$11,OR($L1060=$O$7,$M1060=$O$7)),"x","")</f>
        <v/>
      </c>
      <c r="P1060" s="22" t="str">
        <f>IF(AND($L1060=$O$7,$B1060&lt;'111'!$N$11),"x","")</f>
        <v/>
      </c>
      <c r="Q1060" s="22" t="str">
        <f>IF(AND($M1060=$O$7,$B1060&lt;'111'!$N$11),"x","")</f>
        <v/>
      </c>
      <c r="R1060" s="22" t="str">
        <f>IF(ISERROR(FIND('112'!$M$9,G1060,1)),"",IF((AND(FIND('112'!$M$9,G1060,1)&gt;=1,$B1060&gt;='112'!$N$8,$B1060&lt;='112'!$O$8,OR($L1060='112'!$I$6,$M1060='112'!$I$6))),"x",""))</f>
        <v/>
      </c>
      <c r="S1060" s="22" t="str">
        <f>IF(ISERROR(FIND('112'!$M$9,G1060,1)),"",IF((AND(LEFT(G1060,2)=LEFT('112'!$M$9,2),B1060&lt;'112'!$N$8,$L1060='112'!$I$6)),"x",""))</f>
        <v/>
      </c>
      <c r="T1060" s="22" t="str">
        <f>IF(ISERROR(FIND('112'!$M$9,G1060,1)),"",IF((AND(RIGHT(G1060,2)=RIGHT('112'!$M$9,2),B1060&lt;'112'!$N$8,$M1060='112'!$I$6)),"x",""))</f>
        <v/>
      </c>
      <c r="U1060" s="22" t="str">
        <f>IF(AND(B1060&gt;='IN-NX'!$P$3,B1060&lt;='IN-NX'!$Q$3,'IN-NX'!$D$7=D1060,OR(LEFT(L1060,2)="15",AND(LEFT(M1060,2)&lt;&gt;"15",LEFT(M1060,2)&lt;&gt;"33"))),"x","")</f>
        <v/>
      </c>
      <c r="V1060" s="22" t="str">
        <f>IF(AND(OR(LEFT(TH!L1060,2)="15",LEFT(TH!M1060,2)="15"),'152-CT'!$J$8=TH!F1060),"x","")</f>
        <v/>
      </c>
      <c r="W1060" s="22" t="str">
        <f>IF(AND(OR(LEFT(TH!L1060,2)="15",LEFT(TH!M1060,2)="15"),TK!$E$7=TH!F1060),"x","")</f>
        <v/>
      </c>
      <c r="X1060" s="22" t="str">
        <f>IF(OR(TH!L1060=TH!$X$7,M1060=TH!$X$7),"x","")</f>
        <v/>
      </c>
      <c r="Y1060" s="22" t="str">
        <f>IF(AND(B1060&lt;=NKC!$N$8,B1060&gt;=NKC!$M$8),"x","")</f>
        <v/>
      </c>
      <c r="Z1060" s="580"/>
      <c r="AA1060" s="406"/>
      <c r="AB1060" s="406"/>
    </row>
    <row r="1061" spans="1:31" s="130" customFormat="1" ht="15.75" customHeight="1">
      <c r="A1061" s="123" t="str">
        <f>IF(B1061&lt;&gt;"",IF(AND(B1061&gt;=_TM1,B1061&lt;=_TM2,OR(TH!L1061="1111",TH!M1061="1111")),TH!D1061,""),"")</f>
        <v/>
      </c>
      <c r="B1061" s="12">
        <f t="shared" si="53"/>
        <v>12</v>
      </c>
      <c r="C1061" s="108">
        <f t="shared" si="54"/>
        <v>42713</v>
      </c>
      <c r="D1061" s="113" t="s">
        <v>1073</v>
      </c>
      <c r="E1061" s="484">
        <v>42713</v>
      </c>
      <c r="F1061" s="167" t="s">
        <v>837</v>
      </c>
      <c r="G1061" s="485" t="s">
        <v>836</v>
      </c>
      <c r="H1061" s="115" t="s">
        <v>1074</v>
      </c>
      <c r="I1061" s="139">
        <v>91</v>
      </c>
      <c r="J1061" s="139">
        <v>17119.469464523569</v>
      </c>
      <c r="K1061" s="13">
        <f t="shared" si="52"/>
        <v>1557872</v>
      </c>
      <c r="L1061" s="116" t="s">
        <v>162</v>
      </c>
      <c r="M1061" s="116" t="s">
        <v>160</v>
      </c>
      <c r="N1061" s="22" t="str">
        <f>IF(AND('331-CT'!$E$7=TH!H1061,OR(L1061="331",M1061="331")),"331",IF(AND(OR(L1061="131",M1061="131"),H1061='131-CT'!$E$7),"131",""))</f>
        <v/>
      </c>
      <c r="O1061" s="22" t="str">
        <f>IF(AND($B1061&gt;='111'!$N$11,$B1061&lt;='111'!$O$11,OR($L1061=$O$7,$M1061=$O$7)),"x","")</f>
        <v/>
      </c>
      <c r="P1061" s="22" t="str">
        <f>IF(AND($L1061=$O$7,$B1061&lt;'111'!$N$11),"x","")</f>
        <v/>
      </c>
      <c r="Q1061" s="22" t="str">
        <f>IF(AND($M1061=$O$7,$B1061&lt;'111'!$N$11),"x","")</f>
        <v/>
      </c>
      <c r="R1061" s="22" t="str">
        <f>IF(ISERROR(FIND('112'!$M$9,G1061,1)),"",IF((AND(FIND('112'!$M$9,G1061,1)&gt;=1,$B1061&gt;='112'!$N$8,$B1061&lt;='112'!$O$8,OR($L1061='112'!$I$6,$M1061='112'!$I$6))),"x",""))</f>
        <v/>
      </c>
      <c r="S1061" s="22" t="str">
        <f>IF(ISERROR(FIND('112'!$M$9,G1061,1)),"",IF((AND(LEFT(G1061,2)=LEFT('112'!$M$9,2),B1061&lt;'112'!$N$8,$L1061='112'!$I$6)),"x",""))</f>
        <v/>
      </c>
      <c r="T1061" s="22" t="str">
        <f>IF(ISERROR(FIND('112'!$M$9,G1061,1)),"",IF((AND(RIGHT(G1061,2)=RIGHT('112'!$M$9,2),B1061&lt;'112'!$N$8,$M1061='112'!$I$6)),"x",""))</f>
        <v/>
      </c>
      <c r="U1061" s="22" t="str">
        <f>IF(AND(B1061&gt;='IN-NX'!$P$3,B1061&lt;='IN-NX'!$Q$3,'IN-NX'!$D$7=D1061,OR(LEFT(L1061,2)="15",AND(LEFT(M1061,2)&lt;&gt;"15",LEFT(M1061,2)&lt;&gt;"33"))),"x","")</f>
        <v/>
      </c>
      <c r="V1061" s="22" t="str">
        <f>IF(AND(OR(LEFT(TH!L1061,2)="15",LEFT(TH!M1061,2)="15"),'152-CT'!$J$8=TH!F1061),"x","")</f>
        <v/>
      </c>
      <c r="W1061" s="22" t="str">
        <f>IF(AND(OR(LEFT(TH!L1061,2)="15",LEFT(TH!M1061,2)="15"),TK!$E$7=TH!F1061),"x","")</f>
        <v/>
      </c>
      <c r="X1061" s="22" t="str">
        <f>IF(OR(TH!L1061=TH!$X$7,M1061=TH!$X$7),"x","")</f>
        <v/>
      </c>
      <c r="Y1061" s="22" t="str">
        <f>IF(AND(B1061&lt;=NKC!$N$8,B1061&gt;=NKC!$M$8),"x","")</f>
        <v/>
      </c>
      <c r="Z1061" s="580"/>
      <c r="AA1061" s="406"/>
    </row>
    <row r="1062" spans="1:31" s="130" customFormat="1" ht="15.75" customHeight="1">
      <c r="A1062" s="123" t="str">
        <f>IF(B1062&lt;&gt;"",IF(AND(B1062&gt;=_TM1,B1062&lt;=_TM2,OR(TH!L1062="1111",TH!M1062="1111")),TH!D1062,""),"")</f>
        <v/>
      </c>
      <c r="B1062" s="12">
        <f t="shared" si="53"/>
        <v>12</v>
      </c>
      <c r="C1062" s="108">
        <f t="shared" si="54"/>
        <v>42713</v>
      </c>
      <c r="D1062" s="113" t="s">
        <v>1073</v>
      </c>
      <c r="E1062" s="484">
        <v>42713</v>
      </c>
      <c r="F1062" s="167" t="s">
        <v>838</v>
      </c>
      <c r="G1062" s="485" t="s">
        <v>836</v>
      </c>
      <c r="H1062" s="115" t="s">
        <v>1074</v>
      </c>
      <c r="I1062" s="139">
        <v>300</v>
      </c>
      <c r="J1062" s="139">
        <v>6391.2686000887979</v>
      </c>
      <c r="K1062" s="13">
        <f t="shared" ref="K1062:K1125" si="55">ROUND(I1062*J1062,0)</f>
        <v>1917381</v>
      </c>
      <c r="L1062" s="116" t="s">
        <v>162</v>
      </c>
      <c r="M1062" s="116" t="s">
        <v>160</v>
      </c>
      <c r="N1062" s="22" t="str">
        <f>IF(AND('331-CT'!$E$7=TH!H1062,OR(L1062="331",M1062="331")),"331",IF(AND(OR(L1062="131",M1062="131"),H1062='131-CT'!$E$7),"131",""))</f>
        <v/>
      </c>
      <c r="O1062" s="22" t="str">
        <f>IF(AND($B1062&gt;='111'!$N$11,$B1062&lt;='111'!$O$11,OR($L1062=$O$7,$M1062=$O$7)),"x","")</f>
        <v/>
      </c>
      <c r="P1062" s="22" t="str">
        <f>IF(AND($L1062=$O$7,$B1062&lt;'111'!$N$11),"x","")</f>
        <v/>
      </c>
      <c r="Q1062" s="22" t="str">
        <f>IF(AND($M1062=$O$7,$B1062&lt;'111'!$N$11),"x","")</f>
        <v/>
      </c>
      <c r="R1062" s="22" t="str">
        <f>IF(ISERROR(FIND('112'!$M$9,G1062,1)),"",IF((AND(FIND('112'!$M$9,G1062,1)&gt;=1,$B1062&gt;='112'!$N$8,$B1062&lt;='112'!$O$8,OR($L1062='112'!$I$6,$M1062='112'!$I$6))),"x",""))</f>
        <v/>
      </c>
      <c r="S1062" s="22" t="str">
        <f>IF(ISERROR(FIND('112'!$M$9,G1062,1)),"",IF((AND(LEFT(G1062,2)=LEFT('112'!$M$9,2),B1062&lt;'112'!$N$8,$L1062='112'!$I$6)),"x",""))</f>
        <v/>
      </c>
      <c r="T1062" s="22" t="str">
        <f>IF(ISERROR(FIND('112'!$M$9,G1062,1)),"",IF((AND(RIGHT(G1062,2)=RIGHT('112'!$M$9,2),B1062&lt;'112'!$N$8,$M1062='112'!$I$6)),"x",""))</f>
        <v/>
      </c>
      <c r="U1062" s="22" t="str">
        <f>IF(AND(B1062&gt;='IN-NX'!$P$3,B1062&lt;='IN-NX'!$Q$3,'IN-NX'!$D$7=D1062,OR(LEFT(L1062,2)="15",AND(LEFT(M1062,2)&lt;&gt;"15",LEFT(M1062,2)&lt;&gt;"33"))),"x","")</f>
        <v/>
      </c>
      <c r="V1062" s="22" t="str">
        <f>IF(AND(OR(LEFT(TH!L1062,2)="15",LEFT(TH!M1062,2)="15"),'152-CT'!$J$8=TH!F1062),"x","")</f>
        <v/>
      </c>
      <c r="W1062" s="22" t="str">
        <f>IF(AND(OR(LEFT(TH!L1062,2)="15",LEFT(TH!M1062,2)="15"),TK!$E$7=TH!F1062),"x","")</f>
        <v/>
      </c>
      <c r="X1062" s="22" t="str">
        <f>IF(OR(TH!L1062=TH!$X$7,M1062=TH!$X$7),"x","")</f>
        <v/>
      </c>
      <c r="Y1062" s="22" t="str">
        <f>IF(AND(B1062&lt;=NKC!$N$8,B1062&gt;=NKC!$M$8),"x","")</f>
        <v/>
      </c>
      <c r="Z1062" s="580"/>
      <c r="AA1062" s="406"/>
      <c r="AB1062" s="406"/>
    </row>
    <row r="1063" spans="1:31" s="130" customFormat="1" ht="15.75" customHeight="1">
      <c r="A1063" s="123" t="str">
        <f>IF(B1063&lt;&gt;"",IF(AND(B1063&gt;=_TM1,B1063&lt;=_TM2,OR(TH!L1063="1111",TH!M1063="1111")),TH!D1063,""),"")</f>
        <v/>
      </c>
      <c r="B1063" s="12">
        <f t="shared" si="53"/>
        <v>12</v>
      </c>
      <c r="C1063" s="108">
        <f t="shared" si="54"/>
        <v>42713</v>
      </c>
      <c r="D1063" s="113" t="s">
        <v>1073</v>
      </c>
      <c r="E1063" s="484">
        <v>42713</v>
      </c>
      <c r="F1063" s="167" t="s">
        <v>813</v>
      </c>
      <c r="G1063" s="485" t="s">
        <v>839</v>
      </c>
      <c r="H1063" s="115" t="s">
        <v>1074</v>
      </c>
      <c r="I1063" s="139">
        <v>2400</v>
      </c>
      <c r="J1063" s="139">
        <v>6391.2686000887979</v>
      </c>
      <c r="K1063" s="13">
        <f t="shared" si="55"/>
        <v>15339045</v>
      </c>
      <c r="L1063" s="116" t="s">
        <v>162</v>
      </c>
      <c r="M1063" s="116" t="s">
        <v>160</v>
      </c>
      <c r="N1063" s="22" t="str">
        <f>IF(AND('331-CT'!$E$7=TH!H1063,OR(L1063="331",M1063="331")),"331",IF(AND(OR(L1063="131",M1063="131"),H1063='131-CT'!$E$7),"131",""))</f>
        <v/>
      </c>
      <c r="O1063" s="22" t="str">
        <f>IF(AND($B1063&gt;='111'!$N$11,$B1063&lt;='111'!$O$11,OR($L1063=$O$7,$M1063=$O$7)),"x","")</f>
        <v/>
      </c>
      <c r="P1063" s="22" t="str">
        <f>IF(AND($L1063=$O$7,$B1063&lt;'111'!$N$11),"x","")</f>
        <v/>
      </c>
      <c r="Q1063" s="22" t="str">
        <f>IF(AND($M1063=$O$7,$B1063&lt;'111'!$N$11),"x","")</f>
        <v/>
      </c>
      <c r="R1063" s="22" t="str">
        <f>IF(ISERROR(FIND('112'!$M$9,G1063,1)),"",IF((AND(FIND('112'!$M$9,G1063,1)&gt;=1,$B1063&gt;='112'!$N$8,$B1063&lt;='112'!$O$8,OR($L1063='112'!$I$6,$M1063='112'!$I$6))),"x",""))</f>
        <v/>
      </c>
      <c r="S1063" s="22" t="str">
        <f>IF(ISERROR(FIND('112'!$M$9,G1063,1)),"",IF((AND(LEFT(G1063,2)=LEFT('112'!$M$9,2),B1063&lt;'112'!$N$8,$L1063='112'!$I$6)),"x",""))</f>
        <v/>
      </c>
      <c r="T1063" s="22" t="str">
        <f>IF(ISERROR(FIND('112'!$M$9,G1063,1)),"",IF((AND(RIGHT(G1063,2)=RIGHT('112'!$M$9,2),B1063&lt;'112'!$N$8,$M1063='112'!$I$6)),"x",""))</f>
        <v/>
      </c>
      <c r="U1063" s="22" t="str">
        <f>IF(AND(B1063&gt;='IN-NX'!$P$3,B1063&lt;='IN-NX'!$Q$3,'IN-NX'!$D$7=D1063,OR(LEFT(L1063,2)="15",AND(LEFT(M1063,2)&lt;&gt;"15",LEFT(M1063,2)&lt;&gt;"33"))),"x","")</f>
        <v/>
      </c>
      <c r="V1063" s="22" t="str">
        <f>IF(AND(OR(LEFT(TH!L1063,2)="15",LEFT(TH!M1063,2)="15"),'152-CT'!$J$8=TH!F1063),"x","")</f>
        <v/>
      </c>
      <c r="W1063" s="22" t="str">
        <f>IF(AND(OR(LEFT(TH!L1063,2)="15",LEFT(TH!M1063,2)="15"),TK!$E$7=TH!F1063),"x","")</f>
        <v/>
      </c>
      <c r="X1063" s="22" t="str">
        <f>IF(OR(TH!L1063=TH!$X$7,M1063=TH!$X$7),"x","")</f>
        <v/>
      </c>
      <c r="Y1063" s="22" t="str">
        <f>IF(AND(B1063&lt;=NKC!$N$8,B1063&gt;=NKC!$M$8),"x","")</f>
        <v/>
      </c>
      <c r="Z1063" s="580"/>
      <c r="AA1063" s="406"/>
      <c r="AB1063" s="406"/>
    </row>
    <row r="1064" spans="1:31" s="130" customFormat="1" ht="15.75" customHeight="1">
      <c r="A1064" s="123" t="str">
        <f>IF(B1064&lt;&gt;"",IF(AND(B1064&gt;=_TM1,B1064&lt;=_TM2,OR(TH!L1064="1111",TH!M1064="1111")),TH!D1064,""),"")</f>
        <v/>
      </c>
      <c r="B1064" s="12">
        <f t="shared" ref="B1064:B1134" si="56">IF(C1064&lt;&gt;"",MONTH(C1064),"")</f>
        <v>12</v>
      </c>
      <c r="C1064" s="108">
        <f t="shared" si="54"/>
        <v>42714</v>
      </c>
      <c r="D1064" s="113" t="s">
        <v>1073</v>
      </c>
      <c r="E1064" s="484">
        <v>42714</v>
      </c>
      <c r="F1064" s="167" t="s">
        <v>813</v>
      </c>
      <c r="G1064" s="485" t="s">
        <v>840</v>
      </c>
      <c r="H1064" s="115" t="s">
        <v>1074</v>
      </c>
      <c r="I1064" s="140">
        <v>2400</v>
      </c>
      <c r="J1064" s="140">
        <v>6391.2686000887979</v>
      </c>
      <c r="K1064" s="13">
        <f t="shared" si="55"/>
        <v>15339045</v>
      </c>
      <c r="L1064" s="116" t="s">
        <v>162</v>
      </c>
      <c r="M1064" s="116" t="s">
        <v>160</v>
      </c>
      <c r="N1064" s="22" t="str">
        <f>IF(AND('331-CT'!$E$7=TH!H1064,OR(L1064="331",M1064="331")),"331",IF(AND(OR(L1064="131",M1064="131"),H1064='131-CT'!$E$7),"131",""))</f>
        <v/>
      </c>
      <c r="O1064" s="22" t="str">
        <f>IF(AND($B1064&gt;='111'!$N$11,$B1064&lt;='111'!$O$11,OR($L1064=$O$7,$M1064=$O$7)),"x","")</f>
        <v/>
      </c>
      <c r="P1064" s="22" t="str">
        <f>IF(AND($L1064=$O$7,$B1064&lt;'111'!$N$11),"x","")</f>
        <v/>
      </c>
      <c r="Q1064" s="22" t="str">
        <f>IF(AND($M1064=$O$7,$B1064&lt;'111'!$N$11),"x","")</f>
        <v/>
      </c>
      <c r="R1064" s="22" t="str">
        <f>IF(ISERROR(FIND('112'!$M$9,G1064,1)),"",IF((AND(FIND('112'!$M$9,G1064,1)&gt;=1,$B1064&gt;='112'!$N$8,$B1064&lt;='112'!$O$8,OR($L1064='112'!$I$6,$M1064='112'!$I$6))),"x",""))</f>
        <v/>
      </c>
      <c r="S1064" s="22" t="str">
        <f>IF(ISERROR(FIND('112'!$M$9,G1064,1)),"",IF((AND(LEFT(G1064,2)=LEFT('112'!$M$9,2),B1064&lt;'112'!$N$8,$L1064='112'!$I$6)),"x",""))</f>
        <v/>
      </c>
      <c r="T1064" s="22" t="str">
        <f>IF(ISERROR(FIND('112'!$M$9,G1064,1)),"",IF((AND(RIGHT(G1064,2)=RIGHT('112'!$M$9,2),B1064&lt;'112'!$N$8,$M1064='112'!$I$6)),"x",""))</f>
        <v/>
      </c>
      <c r="U1064" s="22" t="str">
        <f>IF(AND(B1064&gt;='IN-NX'!$P$3,B1064&lt;='IN-NX'!$Q$3,'IN-NX'!$D$7=D1064,OR(LEFT(L1064,2)="15",AND(LEFT(M1064,2)&lt;&gt;"15",LEFT(M1064,2)&lt;&gt;"33"))),"x","")</f>
        <v/>
      </c>
      <c r="V1064" s="22" t="str">
        <f>IF(AND(OR(LEFT(TH!L1064,2)="15",LEFT(TH!M1064,2)="15"),'152-CT'!$J$8=TH!F1064),"x","")</f>
        <v/>
      </c>
      <c r="W1064" s="22" t="str">
        <f>IF(AND(OR(LEFT(TH!L1064,2)="15",LEFT(TH!M1064,2)="15"),TK!$E$7=TH!F1064),"x","")</f>
        <v/>
      </c>
      <c r="X1064" s="22" t="str">
        <f>IF(OR(TH!L1064=TH!$X$7,M1064=TH!$X$7),"x","")</f>
        <v/>
      </c>
      <c r="Y1064" s="22" t="str">
        <f>IF(AND(B1064&lt;=NKC!$N$8,B1064&gt;=NKC!$M$8),"x","")</f>
        <v/>
      </c>
      <c r="Z1064" s="580"/>
      <c r="AA1064" s="406"/>
      <c r="AB1064" s="406"/>
    </row>
    <row r="1065" spans="1:31" s="130" customFormat="1" ht="15.75" customHeight="1">
      <c r="A1065" s="123" t="str">
        <f>IF(B1065&lt;&gt;"",IF(AND(B1065&gt;=_TM1,B1065&lt;=_TM2,OR(TH!L1065="1111",TH!M1065="1111")),TH!D1065,""),"")</f>
        <v/>
      </c>
      <c r="B1065" s="12">
        <f t="shared" si="56"/>
        <v>12</v>
      </c>
      <c r="C1065" s="108">
        <f t="shared" si="54"/>
        <v>42715</v>
      </c>
      <c r="D1065" s="113" t="s">
        <v>1073</v>
      </c>
      <c r="E1065" s="484">
        <v>42715</v>
      </c>
      <c r="F1065" s="167" t="s">
        <v>813</v>
      </c>
      <c r="G1065" s="485" t="s">
        <v>841</v>
      </c>
      <c r="H1065" s="115" t="s">
        <v>1074</v>
      </c>
      <c r="I1065" s="140">
        <v>2400</v>
      </c>
      <c r="J1065" s="140">
        <v>6391.2686000887979</v>
      </c>
      <c r="K1065" s="13">
        <f t="shared" si="55"/>
        <v>15339045</v>
      </c>
      <c r="L1065" s="116" t="s">
        <v>162</v>
      </c>
      <c r="M1065" s="116" t="s">
        <v>160</v>
      </c>
      <c r="N1065" s="22" t="str">
        <f>IF(AND('331-CT'!$E$7=TH!H1065,OR(L1065="331",M1065="331")),"331",IF(AND(OR(L1065="131",M1065="131"),H1065='131-CT'!$E$7),"131",""))</f>
        <v/>
      </c>
      <c r="O1065" s="22" t="str">
        <f>IF(AND($B1065&gt;='111'!$N$11,$B1065&lt;='111'!$O$11,OR($L1065=$O$7,$M1065=$O$7)),"x","")</f>
        <v/>
      </c>
      <c r="P1065" s="22" t="str">
        <f>IF(AND($L1065=$O$7,$B1065&lt;'111'!$N$11),"x","")</f>
        <v/>
      </c>
      <c r="Q1065" s="22" t="str">
        <f>IF(AND($M1065=$O$7,$B1065&lt;'111'!$N$11),"x","")</f>
        <v/>
      </c>
      <c r="R1065" s="22" t="str">
        <f>IF(ISERROR(FIND('112'!$M$9,G1065,1)),"",IF((AND(FIND('112'!$M$9,G1065,1)&gt;=1,$B1065&gt;='112'!$N$8,$B1065&lt;='112'!$O$8,OR($L1065='112'!$I$6,$M1065='112'!$I$6))),"x",""))</f>
        <v/>
      </c>
      <c r="S1065" s="22" t="str">
        <f>IF(ISERROR(FIND('112'!$M$9,G1065,1)),"",IF((AND(LEFT(G1065,2)=LEFT('112'!$M$9,2),B1065&lt;'112'!$N$8,$L1065='112'!$I$6)),"x",""))</f>
        <v/>
      </c>
      <c r="T1065" s="22" t="str">
        <f>IF(ISERROR(FIND('112'!$M$9,G1065,1)),"",IF((AND(RIGHT(G1065,2)=RIGHT('112'!$M$9,2),B1065&lt;'112'!$N$8,$M1065='112'!$I$6)),"x",""))</f>
        <v/>
      </c>
      <c r="U1065" s="22" t="str">
        <f>IF(AND(B1065&gt;='IN-NX'!$P$3,B1065&lt;='IN-NX'!$Q$3,'IN-NX'!$D$7=D1065,OR(LEFT(L1065,2)="15",AND(LEFT(M1065,2)&lt;&gt;"15",LEFT(M1065,2)&lt;&gt;"33"))),"x","")</f>
        <v/>
      </c>
      <c r="V1065" s="22" t="str">
        <f>IF(AND(OR(LEFT(TH!L1065,2)="15",LEFT(TH!M1065,2)="15"),'152-CT'!$J$8=TH!F1065),"x","")</f>
        <v/>
      </c>
      <c r="W1065" s="22" t="str">
        <f>IF(AND(OR(LEFT(TH!L1065,2)="15",LEFT(TH!M1065,2)="15"),TK!$E$7=TH!F1065),"x","")</f>
        <v/>
      </c>
      <c r="X1065" s="22" t="str">
        <f>IF(OR(TH!L1065=TH!$X$7,M1065=TH!$X$7),"x","")</f>
        <v/>
      </c>
      <c r="Y1065" s="22" t="str">
        <f>IF(AND(B1065&lt;=NKC!$N$8,B1065&gt;=NKC!$M$8),"x","")</f>
        <v/>
      </c>
      <c r="Z1065" s="580"/>
      <c r="AA1065" s="406"/>
      <c r="AB1065" s="406"/>
    </row>
    <row r="1066" spans="1:31" s="130" customFormat="1" ht="15.75" customHeight="1">
      <c r="A1066" s="123" t="str">
        <f>IF(B1066&lt;&gt;"",IF(AND(B1066&gt;=_TM1,B1066&lt;=_TM2,OR(TH!L1066="1111",TH!M1066="1111")),TH!D1066,""),"")</f>
        <v/>
      </c>
      <c r="B1066" s="12">
        <f t="shared" si="56"/>
        <v>12</v>
      </c>
      <c r="C1066" s="108">
        <f t="shared" si="54"/>
        <v>42716</v>
      </c>
      <c r="D1066" s="113" t="s">
        <v>1073</v>
      </c>
      <c r="E1066" s="484">
        <v>42716</v>
      </c>
      <c r="F1066" s="167" t="s">
        <v>813</v>
      </c>
      <c r="G1066" s="485" t="s">
        <v>842</v>
      </c>
      <c r="H1066" s="115" t="s">
        <v>1074</v>
      </c>
      <c r="I1066" s="139">
        <v>2400</v>
      </c>
      <c r="J1066" s="141">
        <v>6391.2686000887979</v>
      </c>
      <c r="K1066" s="13">
        <f t="shared" si="55"/>
        <v>15339045</v>
      </c>
      <c r="L1066" s="116" t="s">
        <v>162</v>
      </c>
      <c r="M1066" s="116" t="s">
        <v>160</v>
      </c>
      <c r="N1066" s="22" t="str">
        <f>IF(AND('331-CT'!$E$7=TH!H1066,OR(L1066="331",M1066="331")),"331",IF(AND(OR(L1066="131",M1066="131"),H1066='131-CT'!$E$7),"131",""))</f>
        <v/>
      </c>
      <c r="O1066" s="22" t="str">
        <f>IF(AND($B1066&gt;='111'!$N$11,$B1066&lt;='111'!$O$11,OR($L1066=$O$7,$M1066=$O$7)),"x","")</f>
        <v/>
      </c>
      <c r="P1066" s="22" t="str">
        <f>IF(AND($L1066=$O$7,$B1066&lt;'111'!$N$11),"x","")</f>
        <v/>
      </c>
      <c r="Q1066" s="22" t="str">
        <f>IF(AND($M1066=$O$7,$B1066&lt;'111'!$N$11),"x","")</f>
        <v/>
      </c>
      <c r="R1066" s="22" t="str">
        <f>IF(ISERROR(FIND('112'!$M$9,G1066,1)),"",IF((AND(FIND('112'!$M$9,G1066,1)&gt;=1,$B1066&gt;='112'!$N$8,$B1066&lt;='112'!$O$8,OR($L1066='112'!$I$6,$M1066='112'!$I$6))),"x",""))</f>
        <v/>
      </c>
      <c r="S1066" s="22" t="str">
        <f>IF(ISERROR(FIND('112'!$M$9,G1066,1)),"",IF((AND(LEFT(G1066,2)=LEFT('112'!$M$9,2),B1066&lt;'112'!$N$8,$L1066='112'!$I$6)),"x",""))</f>
        <v/>
      </c>
      <c r="T1066" s="22" t="str">
        <f>IF(ISERROR(FIND('112'!$M$9,G1066,1)),"",IF((AND(RIGHT(G1066,2)=RIGHT('112'!$M$9,2),B1066&lt;'112'!$N$8,$M1066='112'!$I$6)),"x",""))</f>
        <v/>
      </c>
      <c r="U1066" s="22" t="str">
        <f>IF(AND(B1066&gt;='IN-NX'!$P$3,B1066&lt;='IN-NX'!$Q$3,'IN-NX'!$D$7=D1066,OR(LEFT(L1066,2)="15",AND(LEFT(M1066,2)&lt;&gt;"15",LEFT(M1066,2)&lt;&gt;"33"))),"x","")</f>
        <v/>
      </c>
      <c r="V1066" s="22" t="str">
        <f>IF(AND(OR(LEFT(TH!L1066,2)="15",LEFT(TH!M1066,2)="15"),'152-CT'!$J$8=TH!F1066),"x","")</f>
        <v/>
      </c>
      <c r="W1066" s="22" t="str">
        <f>IF(AND(OR(LEFT(TH!L1066,2)="15",LEFT(TH!M1066,2)="15"),TK!$E$7=TH!F1066),"x","")</f>
        <v/>
      </c>
      <c r="X1066" s="22" t="str">
        <f>IF(OR(TH!L1066=TH!$X$7,M1066=TH!$X$7),"x","")</f>
        <v/>
      </c>
      <c r="Y1066" s="22" t="str">
        <f>IF(AND(B1066&lt;=NKC!$N$8,B1066&gt;=NKC!$M$8),"x","")</f>
        <v/>
      </c>
      <c r="Z1066" s="580"/>
      <c r="AA1066" s="406"/>
      <c r="AB1066" s="406"/>
      <c r="AD1066" s="406"/>
      <c r="AE1066" s="406"/>
    </row>
    <row r="1067" spans="1:31" s="130" customFormat="1" ht="15.75" customHeight="1">
      <c r="A1067" s="123" t="str">
        <f>IF(B1067&lt;&gt;"",IF(AND(B1067&gt;=_TM1,B1067&lt;=_TM2,OR(TH!L1067="1111",TH!M1067="1111")),TH!D1067,""),"")</f>
        <v/>
      </c>
      <c r="B1067" s="12">
        <f t="shared" si="56"/>
        <v>12</v>
      </c>
      <c r="C1067" s="108">
        <f t="shared" si="54"/>
        <v>42716</v>
      </c>
      <c r="D1067" s="113" t="s">
        <v>1073</v>
      </c>
      <c r="E1067" s="484">
        <v>42716</v>
      </c>
      <c r="F1067" s="167" t="s">
        <v>664</v>
      </c>
      <c r="G1067" s="485" t="s">
        <v>882</v>
      </c>
      <c r="H1067" s="115" t="s">
        <v>1074</v>
      </c>
      <c r="I1067" s="139">
        <v>332</v>
      </c>
      <c r="J1067" s="141">
        <v>7152.1339096231786</v>
      </c>
      <c r="K1067" s="13">
        <f t="shared" si="55"/>
        <v>2374508</v>
      </c>
      <c r="L1067" s="116" t="s">
        <v>162</v>
      </c>
      <c r="M1067" s="116" t="s">
        <v>160</v>
      </c>
      <c r="N1067" s="22" t="str">
        <f>IF(AND('331-CT'!$E$7=TH!H1067,OR(L1067="331",M1067="331")),"331",IF(AND(OR(L1067="131",M1067="131"),H1067='131-CT'!$E$7),"131",""))</f>
        <v/>
      </c>
      <c r="O1067" s="22" t="str">
        <f>IF(AND($B1067&gt;='111'!$N$11,$B1067&lt;='111'!$O$11,OR($L1067=$O$7,$M1067=$O$7)),"x","")</f>
        <v/>
      </c>
      <c r="P1067" s="22" t="str">
        <f>IF(AND($L1067=$O$7,$B1067&lt;'111'!$N$11),"x","")</f>
        <v/>
      </c>
      <c r="Q1067" s="22" t="str">
        <f>IF(AND($M1067=$O$7,$B1067&lt;'111'!$N$11),"x","")</f>
        <v/>
      </c>
      <c r="R1067" s="22" t="str">
        <f>IF(ISERROR(FIND('112'!$M$9,G1067,1)),"",IF((AND(FIND('112'!$M$9,G1067,1)&gt;=1,$B1067&gt;='112'!$N$8,$B1067&lt;='112'!$O$8,OR($L1067='112'!$I$6,$M1067='112'!$I$6))),"x",""))</f>
        <v/>
      </c>
      <c r="S1067" s="22" t="str">
        <f>IF(ISERROR(FIND('112'!$M$9,G1067,1)),"",IF((AND(LEFT(G1067,2)=LEFT('112'!$M$9,2),B1067&lt;'112'!$N$8,$L1067='112'!$I$6)),"x",""))</f>
        <v/>
      </c>
      <c r="T1067" s="22" t="str">
        <f>IF(ISERROR(FIND('112'!$M$9,G1067,1)),"",IF((AND(RIGHT(G1067,2)=RIGHT('112'!$M$9,2),B1067&lt;'112'!$N$8,$M1067='112'!$I$6)),"x",""))</f>
        <v/>
      </c>
      <c r="U1067" s="22" t="str">
        <f>IF(AND(B1067&gt;='IN-NX'!$P$3,B1067&lt;='IN-NX'!$Q$3,'IN-NX'!$D$7=D1067,OR(LEFT(L1067,2)="15",AND(LEFT(M1067,2)&lt;&gt;"15",LEFT(M1067,2)&lt;&gt;"33"))),"x","")</f>
        <v/>
      </c>
      <c r="V1067" s="22" t="str">
        <f>IF(AND(OR(LEFT(TH!L1067,2)="15",LEFT(TH!M1067,2)="15"),'152-CT'!$J$8=TH!F1067),"x","")</f>
        <v/>
      </c>
      <c r="W1067" s="22" t="str">
        <f>IF(AND(OR(LEFT(TH!L1067,2)="15",LEFT(TH!M1067,2)="15"),TK!$E$7=TH!F1067),"x","")</f>
        <v/>
      </c>
      <c r="X1067" s="22" t="str">
        <f>IF(OR(TH!L1067=TH!$X$7,M1067=TH!$X$7),"x","")</f>
        <v/>
      </c>
      <c r="Y1067" s="22" t="str">
        <f>IF(AND(B1067&lt;=NKC!$N$8,B1067&gt;=NKC!$M$8),"x","")</f>
        <v/>
      </c>
      <c r="Z1067" s="580"/>
      <c r="AA1067" s="406"/>
      <c r="AB1067" s="406"/>
      <c r="AD1067" s="406"/>
      <c r="AE1067" s="406"/>
    </row>
    <row r="1068" spans="1:31" s="130" customFormat="1" ht="15.75" customHeight="1">
      <c r="A1068" s="123" t="str">
        <f>IF(B1068&lt;&gt;"",IF(AND(B1068&gt;=_TM1,B1068&lt;=_TM2,OR(TH!L1068="1111",TH!M1068="1111")),TH!D1068,""),"")</f>
        <v/>
      </c>
      <c r="B1068" s="12">
        <f t="shared" si="56"/>
        <v>12</v>
      </c>
      <c r="C1068" s="108">
        <f t="shared" si="54"/>
        <v>42716</v>
      </c>
      <c r="D1068" s="113" t="s">
        <v>1073</v>
      </c>
      <c r="E1068" s="484">
        <v>42716</v>
      </c>
      <c r="F1068" s="167" t="s">
        <v>511</v>
      </c>
      <c r="G1068" s="485" t="s">
        <v>882</v>
      </c>
      <c r="H1068" s="115" t="s">
        <v>1074</v>
      </c>
      <c r="I1068" s="139">
        <v>104</v>
      </c>
      <c r="J1068" s="141">
        <v>10195.595147760703</v>
      </c>
      <c r="K1068" s="13">
        <f t="shared" si="55"/>
        <v>1060342</v>
      </c>
      <c r="L1068" s="116" t="s">
        <v>162</v>
      </c>
      <c r="M1068" s="116" t="s">
        <v>160</v>
      </c>
      <c r="N1068" s="22" t="str">
        <f>IF(AND('331-CT'!$E$7=TH!H1068,OR(L1068="331",M1068="331")),"331",IF(AND(OR(L1068="131",M1068="131"),H1068='131-CT'!$E$7),"131",""))</f>
        <v/>
      </c>
      <c r="O1068" s="22" t="str">
        <f>IF(AND($B1068&gt;='111'!$N$11,$B1068&lt;='111'!$O$11,OR($L1068=$O$7,$M1068=$O$7)),"x","")</f>
        <v/>
      </c>
      <c r="P1068" s="22" t="str">
        <f>IF(AND($L1068=$O$7,$B1068&lt;'111'!$N$11),"x","")</f>
        <v/>
      </c>
      <c r="Q1068" s="22" t="str">
        <f>IF(AND($M1068=$O$7,$B1068&lt;'111'!$N$11),"x","")</f>
        <v/>
      </c>
      <c r="R1068" s="22" t="str">
        <f>IF(ISERROR(FIND('112'!$M$9,G1068,1)),"",IF((AND(FIND('112'!$M$9,G1068,1)&gt;=1,$B1068&gt;='112'!$N$8,$B1068&lt;='112'!$O$8,OR($L1068='112'!$I$6,$M1068='112'!$I$6))),"x",""))</f>
        <v/>
      </c>
      <c r="S1068" s="22" t="str">
        <f>IF(ISERROR(FIND('112'!$M$9,G1068,1)),"",IF((AND(LEFT(G1068,2)=LEFT('112'!$M$9,2),B1068&lt;'112'!$N$8,$L1068='112'!$I$6)),"x",""))</f>
        <v/>
      </c>
      <c r="T1068" s="22" t="str">
        <f>IF(ISERROR(FIND('112'!$M$9,G1068,1)),"",IF((AND(RIGHT(G1068,2)=RIGHT('112'!$M$9,2),B1068&lt;'112'!$N$8,$M1068='112'!$I$6)),"x",""))</f>
        <v/>
      </c>
      <c r="U1068" s="22" t="str">
        <f>IF(AND(B1068&gt;='IN-NX'!$P$3,B1068&lt;='IN-NX'!$Q$3,'IN-NX'!$D$7=D1068,OR(LEFT(L1068,2)="15",AND(LEFT(M1068,2)&lt;&gt;"15",LEFT(M1068,2)&lt;&gt;"33"))),"x","")</f>
        <v/>
      </c>
      <c r="V1068" s="22" t="str">
        <f>IF(AND(OR(LEFT(TH!L1068,2)="15",LEFT(TH!M1068,2)="15"),'152-CT'!$J$8=TH!F1068),"x","")</f>
        <v/>
      </c>
      <c r="W1068" s="22" t="str">
        <f>IF(AND(OR(LEFT(TH!L1068,2)="15",LEFT(TH!M1068,2)="15"),TK!$E$7=TH!F1068),"x","")</f>
        <v/>
      </c>
      <c r="X1068" s="22" t="str">
        <f>IF(OR(TH!L1068=TH!$X$7,M1068=TH!$X$7),"x","")</f>
        <v/>
      </c>
      <c r="Y1068" s="22" t="str">
        <f>IF(AND(B1068&lt;=NKC!$N$8,B1068&gt;=NKC!$M$8),"x","")</f>
        <v/>
      </c>
      <c r="Z1068" s="580"/>
      <c r="AA1068" s="406"/>
      <c r="AB1068" s="406"/>
      <c r="AD1068" s="406"/>
      <c r="AE1068" s="406"/>
    </row>
    <row r="1069" spans="1:31" s="130" customFormat="1" ht="15.75" customHeight="1">
      <c r="A1069" s="123" t="str">
        <f>IF(B1069&lt;&gt;"",IF(AND(B1069&gt;=_TM1,B1069&lt;=_TM2,OR(TH!L1069="1111",TH!M1069="1111")),TH!D1069,""),"")</f>
        <v/>
      </c>
      <c r="B1069" s="12">
        <f t="shared" si="56"/>
        <v>12</v>
      </c>
      <c r="C1069" s="108">
        <f t="shared" si="54"/>
        <v>42717</v>
      </c>
      <c r="D1069" s="113" t="s">
        <v>1073</v>
      </c>
      <c r="E1069" s="484">
        <v>42717</v>
      </c>
      <c r="F1069" s="167" t="s">
        <v>529</v>
      </c>
      <c r="G1069" s="485" t="s">
        <v>883</v>
      </c>
      <c r="H1069" s="115" t="s">
        <v>1074</v>
      </c>
      <c r="I1069" s="139">
        <v>60</v>
      </c>
      <c r="J1069" s="141">
        <v>55162.734941242605</v>
      </c>
      <c r="K1069" s="13">
        <f t="shared" si="55"/>
        <v>3309764</v>
      </c>
      <c r="L1069" s="116" t="s">
        <v>162</v>
      </c>
      <c r="M1069" s="116" t="s">
        <v>160</v>
      </c>
      <c r="N1069" s="22" t="str">
        <f>IF(AND('331-CT'!$E$7=TH!H1069,OR(L1069="331",M1069="331")),"331",IF(AND(OR(L1069="131",M1069="131"),H1069='131-CT'!$E$7),"131",""))</f>
        <v/>
      </c>
      <c r="O1069" s="22" t="str">
        <f>IF(AND($B1069&gt;='111'!$N$11,$B1069&lt;='111'!$O$11,OR($L1069=$O$7,$M1069=$O$7)),"x","")</f>
        <v/>
      </c>
      <c r="P1069" s="22" t="str">
        <f>IF(AND($L1069=$O$7,$B1069&lt;'111'!$N$11),"x","")</f>
        <v/>
      </c>
      <c r="Q1069" s="22" t="str">
        <f>IF(AND($M1069=$O$7,$B1069&lt;'111'!$N$11),"x","")</f>
        <v/>
      </c>
      <c r="R1069" s="22" t="str">
        <f>IF(ISERROR(FIND('112'!$M$9,G1069,1)),"",IF((AND(FIND('112'!$M$9,G1069,1)&gt;=1,$B1069&gt;='112'!$N$8,$B1069&lt;='112'!$O$8,OR($L1069='112'!$I$6,$M1069='112'!$I$6))),"x",""))</f>
        <v/>
      </c>
      <c r="S1069" s="22" t="str">
        <f>IF(ISERROR(FIND('112'!$M$9,G1069,1)),"",IF((AND(LEFT(G1069,2)=LEFT('112'!$M$9,2),B1069&lt;'112'!$N$8,$L1069='112'!$I$6)),"x",""))</f>
        <v/>
      </c>
      <c r="T1069" s="22" t="str">
        <f>IF(ISERROR(FIND('112'!$M$9,G1069,1)),"",IF((AND(RIGHT(G1069,2)=RIGHT('112'!$M$9,2),B1069&lt;'112'!$N$8,$M1069='112'!$I$6)),"x",""))</f>
        <v/>
      </c>
      <c r="U1069" s="22" t="str">
        <f>IF(AND(B1069&gt;='IN-NX'!$P$3,B1069&lt;='IN-NX'!$Q$3,'IN-NX'!$D$7=D1069,OR(LEFT(L1069,2)="15",AND(LEFT(M1069,2)&lt;&gt;"15",LEFT(M1069,2)&lt;&gt;"33"))),"x","")</f>
        <v/>
      </c>
      <c r="V1069" s="22" t="str">
        <f>IF(AND(OR(LEFT(TH!L1069,2)="15",LEFT(TH!M1069,2)="15"),'152-CT'!$J$8=TH!F1069),"x","")</f>
        <v/>
      </c>
      <c r="W1069" s="22" t="str">
        <f>IF(AND(OR(LEFT(TH!L1069,2)="15",LEFT(TH!M1069,2)="15"),TK!$E$7=TH!F1069),"x","")</f>
        <v/>
      </c>
      <c r="X1069" s="22" t="str">
        <f>IF(OR(TH!L1069=TH!$X$7,M1069=TH!$X$7),"x","")</f>
        <v/>
      </c>
      <c r="Y1069" s="22" t="str">
        <f>IF(AND(B1069&lt;=NKC!$N$8,B1069&gt;=NKC!$M$8),"x","")</f>
        <v/>
      </c>
      <c r="Z1069" s="580"/>
      <c r="AA1069" s="406"/>
      <c r="AB1069" s="406"/>
      <c r="AD1069" s="406"/>
      <c r="AE1069" s="406"/>
    </row>
    <row r="1070" spans="1:31" s="130" customFormat="1" ht="15.75" customHeight="1">
      <c r="A1070" s="123" t="str">
        <f>IF(B1070&lt;&gt;"",IF(AND(B1070&gt;=_TM1,B1070&lt;=_TM2,OR(TH!L1070="1111",TH!M1070="1111")),TH!D1070,""),"")</f>
        <v/>
      </c>
      <c r="B1070" s="12">
        <f t="shared" si="56"/>
        <v>12</v>
      </c>
      <c r="C1070" s="108">
        <f t="shared" si="54"/>
        <v>42717</v>
      </c>
      <c r="D1070" s="113" t="s">
        <v>1073</v>
      </c>
      <c r="E1070" s="484">
        <v>42717</v>
      </c>
      <c r="F1070" s="167" t="s">
        <v>666</v>
      </c>
      <c r="G1070" s="485" t="s">
        <v>883</v>
      </c>
      <c r="H1070" s="115" t="s">
        <v>1074</v>
      </c>
      <c r="I1070" s="140">
        <v>22</v>
      </c>
      <c r="J1070" s="141">
        <v>64369.205186608619</v>
      </c>
      <c r="K1070" s="13">
        <f t="shared" si="55"/>
        <v>1416123</v>
      </c>
      <c r="L1070" s="116" t="s">
        <v>162</v>
      </c>
      <c r="M1070" s="116" t="s">
        <v>160</v>
      </c>
      <c r="N1070" s="22" t="str">
        <f>IF(AND('331-CT'!$E$7=TH!H1070,OR(L1070="331",M1070="331")),"331",IF(AND(OR(L1070="131",M1070="131"),H1070='131-CT'!$E$7),"131",""))</f>
        <v/>
      </c>
      <c r="O1070" s="22" t="str">
        <f>IF(AND($B1070&gt;='111'!$N$11,$B1070&lt;='111'!$O$11,OR($L1070=$O$7,$M1070=$O$7)),"x","")</f>
        <v/>
      </c>
      <c r="P1070" s="22" t="str">
        <f>IF(AND($L1070=$O$7,$B1070&lt;'111'!$N$11),"x","")</f>
        <v/>
      </c>
      <c r="Q1070" s="22" t="str">
        <f>IF(AND($M1070=$O$7,$B1070&lt;'111'!$N$11),"x","")</f>
        <v/>
      </c>
      <c r="R1070" s="22" t="str">
        <f>IF(ISERROR(FIND('112'!$M$9,G1070,1)),"",IF((AND(FIND('112'!$M$9,G1070,1)&gt;=1,$B1070&gt;='112'!$N$8,$B1070&lt;='112'!$O$8,OR($L1070='112'!$I$6,$M1070='112'!$I$6))),"x",""))</f>
        <v/>
      </c>
      <c r="S1070" s="22" t="str">
        <f>IF(ISERROR(FIND('112'!$M$9,G1070,1)),"",IF((AND(LEFT(G1070,2)=LEFT('112'!$M$9,2),B1070&lt;'112'!$N$8,$L1070='112'!$I$6)),"x",""))</f>
        <v/>
      </c>
      <c r="T1070" s="22" t="str">
        <f>IF(ISERROR(FIND('112'!$M$9,G1070,1)),"",IF((AND(RIGHT(G1070,2)=RIGHT('112'!$M$9,2),B1070&lt;'112'!$N$8,$M1070='112'!$I$6)),"x",""))</f>
        <v/>
      </c>
      <c r="U1070" s="22" t="str">
        <f>IF(AND(B1070&gt;='IN-NX'!$P$3,B1070&lt;='IN-NX'!$Q$3,'IN-NX'!$D$7=D1070,OR(LEFT(L1070,2)="15",AND(LEFT(M1070,2)&lt;&gt;"15",LEFT(M1070,2)&lt;&gt;"33"))),"x","")</f>
        <v/>
      </c>
      <c r="V1070" s="22" t="str">
        <f>IF(AND(OR(LEFT(TH!L1070,2)="15",LEFT(TH!M1070,2)="15"),'152-CT'!$J$8=TH!F1070),"x","")</f>
        <v/>
      </c>
      <c r="W1070" s="22" t="str">
        <f>IF(AND(OR(LEFT(TH!L1070,2)="15",LEFT(TH!M1070,2)="15"),TK!$E$7=TH!F1070),"x","")</f>
        <v/>
      </c>
      <c r="X1070" s="22" t="str">
        <f>IF(OR(TH!L1070=TH!$X$7,M1070=TH!$X$7),"x","")</f>
        <v/>
      </c>
      <c r="Y1070" s="22" t="str">
        <f>IF(AND(B1070&lt;=NKC!$N$8,B1070&gt;=NKC!$M$8),"x","")</f>
        <v/>
      </c>
      <c r="Z1070" s="580"/>
      <c r="AA1070" s="406"/>
      <c r="AB1070" s="406"/>
      <c r="AD1070" s="406"/>
      <c r="AE1070" s="406"/>
    </row>
    <row r="1071" spans="1:31" s="130" customFormat="1" ht="15.75" customHeight="1">
      <c r="A1071" s="123" t="str">
        <f>IF(B1071&lt;&gt;"",IF(AND(B1071&gt;=_TM1,B1071&lt;=_TM2,OR(TH!L1071="1111",TH!M1071="1111")),TH!D1071,""),"")</f>
        <v/>
      </c>
      <c r="B1071" s="12">
        <f t="shared" si="56"/>
        <v>12</v>
      </c>
      <c r="C1071" s="108">
        <f t="shared" si="54"/>
        <v>42719</v>
      </c>
      <c r="D1071" s="113" t="s">
        <v>1073</v>
      </c>
      <c r="E1071" s="484">
        <v>42719</v>
      </c>
      <c r="F1071" s="167" t="s">
        <v>844</v>
      </c>
      <c r="G1071" s="485" t="s">
        <v>843</v>
      </c>
      <c r="H1071" s="115" t="s">
        <v>1074</v>
      </c>
      <c r="I1071" s="140">
        <v>103</v>
      </c>
      <c r="J1071" s="141">
        <v>12021.671890643216</v>
      </c>
      <c r="K1071" s="13">
        <f t="shared" si="55"/>
        <v>1238232</v>
      </c>
      <c r="L1071" s="116" t="s">
        <v>162</v>
      </c>
      <c r="M1071" s="116" t="s">
        <v>160</v>
      </c>
      <c r="N1071" s="22" t="str">
        <f>IF(AND('331-CT'!$E$7=TH!H1071,OR(L1071="331",M1071="331")),"331",IF(AND(OR(L1071="131",M1071="131"),H1071='131-CT'!$E$7),"131",""))</f>
        <v/>
      </c>
      <c r="O1071" s="22" t="str">
        <f>IF(AND($B1071&gt;='111'!$N$11,$B1071&lt;='111'!$O$11,OR($L1071=$O$7,$M1071=$O$7)),"x","")</f>
        <v/>
      </c>
      <c r="P1071" s="22" t="str">
        <f>IF(AND($L1071=$O$7,$B1071&lt;'111'!$N$11),"x","")</f>
        <v/>
      </c>
      <c r="Q1071" s="22" t="str">
        <f>IF(AND($M1071=$O$7,$B1071&lt;'111'!$N$11),"x","")</f>
        <v/>
      </c>
      <c r="R1071" s="22" t="str">
        <f>IF(ISERROR(FIND('112'!$M$9,G1071,1)),"",IF((AND(FIND('112'!$M$9,G1071,1)&gt;=1,$B1071&gt;='112'!$N$8,$B1071&lt;='112'!$O$8,OR($L1071='112'!$I$6,$M1071='112'!$I$6))),"x",""))</f>
        <v/>
      </c>
      <c r="S1071" s="22" t="str">
        <f>IF(ISERROR(FIND('112'!$M$9,G1071,1)),"",IF((AND(LEFT(G1071,2)=LEFT('112'!$M$9,2),B1071&lt;'112'!$N$8,$L1071='112'!$I$6)),"x",""))</f>
        <v/>
      </c>
      <c r="T1071" s="22" t="str">
        <f>IF(ISERROR(FIND('112'!$M$9,G1071,1)),"",IF((AND(RIGHT(G1071,2)=RIGHT('112'!$M$9,2),B1071&lt;'112'!$N$8,$M1071='112'!$I$6)),"x",""))</f>
        <v/>
      </c>
      <c r="U1071" s="22" t="str">
        <f>IF(AND(B1071&gt;='IN-NX'!$P$3,B1071&lt;='IN-NX'!$Q$3,'IN-NX'!$D$7=D1071,OR(LEFT(L1071,2)="15",AND(LEFT(M1071,2)&lt;&gt;"15",LEFT(M1071,2)&lt;&gt;"33"))),"x","")</f>
        <v/>
      </c>
      <c r="V1071" s="22" t="str">
        <f>IF(AND(OR(LEFT(TH!L1071,2)="15",LEFT(TH!M1071,2)="15"),'152-CT'!$J$8=TH!F1071),"x","")</f>
        <v/>
      </c>
      <c r="W1071" s="22" t="str">
        <f>IF(AND(OR(LEFT(TH!L1071,2)="15",LEFT(TH!M1071,2)="15"),TK!$E$7=TH!F1071),"x","")</f>
        <v/>
      </c>
      <c r="X1071" s="22" t="str">
        <f>IF(OR(TH!L1071=TH!$X$7,M1071=TH!$X$7),"x","")</f>
        <v/>
      </c>
      <c r="Y1071" s="22" t="str">
        <f>IF(AND(B1071&lt;=NKC!$N$8,B1071&gt;=NKC!$M$8),"x","")</f>
        <v/>
      </c>
      <c r="Z1071" s="580"/>
      <c r="AA1071" s="406"/>
      <c r="AD1071" s="406"/>
      <c r="AE1071" s="406"/>
    </row>
    <row r="1072" spans="1:31" s="130" customFormat="1" ht="15.75" customHeight="1">
      <c r="A1072" s="123" t="str">
        <f>IF(B1072&lt;&gt;"",IF(AND(B1072&gt;=_TM1,B1072&lt;=_TM2,OR(TH!L1072="1111",TH!M1072="1111")),TH!D1072,""),"")</f>
        <v/>
      </c>
      <c r="B1072" s="12">
        <f t="shared" si="56"/>
        <v>12</v>
      </c>
      <c r="C1072" s="108">
        <f t="shared" si="54"/>
        <v>42719</v>
      </c>
      <c r="D1072" s="113" t="s">
        <v>1073</v>
      </c>
      <c r="E1072" s="484">
        <v>42719</v>
      </c>
      <c r="F1072" s="167" t="s">
        <v>845</v>
      </c>
      <c r="G1072" s="485" t="s">
        <v>843</v>
      </c>
      <c r="H1072" s="115" t="s">
        <v>1074</v>
      </c>
      <c r="I1072" s="139">
        <v>273</v>
      </c>
      <c r="J1072" s="141">
        <v>18260.767428825136</v>
      </c>
      <c r="K1072" s="13">
        <f t="shared" si="55"/>
        <v>4985190</v>
      </c>
      <c r="L1072" s="116" t="s">
        <v>162</v>
      </c>
      <c r="M1072" s="116" t="s">
        <v>160</v>
      </c>
      <c r="N1072" s="22" t="str">
        <f>IF(AND('331-CT'!$E$7=TH!H1072,OR(L1072="331",M1072="331")),"331",IF(AND(OR(L1072="131",M1072="131"),H1072='131-CT'!$E$7),"131",""))</f>
        <v/>
      </c>
      <c r="O1072" s="22" t="str">
        <f>IF(AND($B1072&gt;='111'!$N$11,$B1072&lt;='111'!$O$11,OR($L1072=$O$7,$M1072=$O$7)),"x","")</f>
        <v/>
      </c>
      <c r="P1072" s="22" t="str">
        <f>IF(AND($L1072=$O$7,$B1072&lt;'111'!$N$11),"x","")</f>
        <v/>
      </c>
      <c r="Q1072" s="22" t="str">
        <f>IF(AND($M1072=$O$7,$B1072&lt;'111'!$N$11),"x","")</f>
        <v/>
      </c>
      <c r="R1072" s="22" t="str">
        <f>IF(ISERROR(FIND('112'!$M$9,G1072,1)),"",IF((AND(FIND('112'!$M$9,G1072,1)&gt;=1,$B1072&gt;='112'!$N$8,$B1072&lt;='112'!$O$8,OR($L1072='112'!$I$6,$M1072='112'!$I$6))),"x",""))</f>
        <v/>
      </c>
      <c r="S1072" s="22" t="str">
        <f>IF(ISERROR(FIND('112'!$M$9,G1072,1)),"",IF((AND(LEFT(G1072,2)=LEFT('112'!$M$9,2),B1072&lt;'112'!$N$8,$L1072='112'!$I$6)),"x",""))</f>
        <v/>
      </c>
      <c r="T1072" s="22" t="str">
        <f>IF(ISERROR(FIND('112'!$M$9,G1072,1)),"",IF((AND(RIGHT(G1072,2)=RIGHT('112'!$M$9,2),B1072&lt;'112'!$N$8,$M1072='112'!$I$6)),"x",""))</f>
        <v/>
      </c>
      <c r="U1072" s="22" t="str">
        <f>IF(AND(B1072&gt;='IN-NX'!$P$3,B1072&lt;='IN-NX'!$Q$3,'IN-NX'!$D$7=D1072,OR(LEFT(L1072,2)="15",AND(LEFT(M1072,2)&lt;&gt;"15",LEFT(M1072,2)&lt;&gt;"33"))),"x","")</f>
        <v/>
      </c>
      <c r="V1072" s="22" t="str">
        <f>IF(AND(OR(LEFT(TH!L1072,2)="15",LEFT(TH!M1072,2)="15"),'152-CT'!$J$8=TH!F1072),"x","")</f>
        <v/>
      </c>
      <c r="W1072" s="22" t="str">
        <f>IF(AND(OR(LEFT(TH!L1072,2)="15",LEFT(TH!M1072,2)="15"),TK!$E$7=TH!F1072),"x","")</f>
        <v/>
      </c>
      <c r="X1072" s="22" t="str">
        <f>IF(OR(TH!L1072=TH!$X$7,M1072=TH!$X$7),"x","")</f>
        <v/>
      </c>
      <c r="Y1072" s="22" t="str">
        <f>IF(AND(B1072&lt;=NKC!$N$8,B1072&gt;=NKC!$M$8),"x","")</f>
        <v/>
      </c>
      <c r="Z1072" s="580"/>
      <c r="AA1072" s="406"/>
      <c r="AB1072" s="406"/>
      <c r="AD1072" s="406"/>
      <c r="AE1072" s="406"/>
    </row>
    <row r="1073" spans="1:31" s="130" customFormat="1" ht="15.75" customHeight="1">
      <c r="A1073" s="123" t="str">
        <f>IF(B1073&lt;&gt;"",IF(AND(B1073&gt;=_TM1,B1073&lt;=_TM2,OR(TH!L1073="1111",TH!M1073="1111")),TH!D1073,""),"")</f>
        <v/>
      </c>
      <c r="B1073" s="12">
        <f t="shared" si="56"/>
        <v>12</v>
      </c>
      <c r="C1073" s="108">
        <f t="shared" si="54"/>
        <v>42719</v>
      </c>
      <c r="D1073" s="113" t="s">
        <v>1073</v>
      </c>
      <c r="E1073" s="484">
        <v>42719</v>
      </c>
      <c r="F1073" s="167" t="s">
        <v>813</v>
      </c>
      <c r="G1073" s="485" t="s">
        <v>884</v>
      </c>
      <c r="H1073" s="115" t="s">
        <v>1074</v>
      </c>
      <c r="I1073" s="141">
        <v>2400</v>
      </c>
      <c r="J1073" s="141">
        <v>6391.2686000887979</v>
      </c>
      <c r="K1073" s="13">
        <f t="shared" si="55"/>
        <v>15339045</v>
      </c>
      <c r="L1073" s="116" t="s">
        <v>162</v>
      </c>
      <c r="M1073" s="116" t="s">
        <v>160</v>
      </c>
      <c r="N1073" s="22" t="str">
        <f>IF(AND('331-CT'!$E$7=TH!H1073,OR(L1073="331",M1073="331")),"331",IF(AND(OR(L1073="131",M1073="131"),H1073='131-CT'!$E$7),"131",""))</f>
        <v/>
      </c>
      <c r="O1073" s="22" t="str">
        <f>IF(AND($B1073&gt;='111'!$N$11,$B1073&lt;='111'!$O$11,OR($L1073=$O$7,$M1073=$O$7)),"x","")</f>
        <v/>
      </c>
      <c r="P1073" s="22" t="str">
        <f>IF(AND($L1073=$O$7,$B1073&lt;'111'!$N$11),"x","")</f>
        <v/>
      </c>
      <c r="Q1073" s="22" t="str">
        <f>IF(AND($M1073=$O$7,$B1073&lt;'111'!$N$11),"x","")</f>
        <v/>
      </c>
      <c r="R1073" s="22" t="str">
        <f>IF(ISERROR(FIND('112'!$M$9,G1073,1)),"",IF((AND(FIND('112'!$M$9,G1073,1)&gt;=1,$B1073&gt;='112'!$N$8,$B1073&lt;='112'!$O$8,OR($L1073='112'!$I$6,$M1073='112'!$I$6))),"x",""))</f>
        <v/>
      </c>
      <c r="S1073" s="22" t="str">
        <f>IF(ISERROR(FIND('112'!$M$9,G1073,1)),"",IF((AND(LEFT(G1073,2)=LEFT('112'!$M$9,2),B1073&lt;'112'!$N$8,$L1073='112'!$I$6)),"x",""))</f>
        <v/>
      </c>
      <c r="T1073" s="22" t="str">
        <f>IF(ISERROR(FIND('112'!$M$9,G1073,1)),"",IF((AND(RIGHT(G1073,2)=RIGHT('112'!$M$9,2),B1073&lt;'112'!$N$8,$M1073='112'!$I$6)),"x",""))</f>
        <v/>
      </c>
      <c r="U1073" s="22" t="str">
        <f>IF(AND(B1073&gt;='IN-NX'!$P$3,B1073&lt;='IN-NX'!$Q$3,'IN-NX'!$D$7=D1073,OR(LEFT(L1073,2)="15",AND(LEFT(M1073,2)&lt;&gt;"15",LEFT(M1073,2)&lt;&gt;"33"))),"x","")</f>
        <v/>
      </c>
      <c r="V1073" s="22" t="str">
        <f>IF(AND(OR(LEFT(TH!L1073,2)="15",LEFT(TH!M1073,2)="15"),'152-CT'!$J$8=TH!F1073),"x","")</f>
        <v/>
      </c>
      <c r="W1073" s="22" t="str">
        <f>IF(AND(OR(LEFT(TH!L1073,2)="15",LEFT(TH!M1073,2)="15"),TK!$E$7=TH!F1073),"x","")</f>
        <v/>
      </c>
      <c r="X1073" s="22" t="str">
        <f>IF(OR(TH!L1073=TH!$X$7,M1073=TH!$X$7),"x","")</f>
        <v/>
      </c>
      <c r="Y1073" s="22" t="str">
        <f>IF(AND(B1073&lt;=NKC!$N$8,B1073&gt;=NKC!$M$8),"x","")</f>
        <v/>
      </c>
      <c r="Z1073" s="580"/>
      <c r="AA1073" s="406"/>
      <c r="AB1073" s="406"/>
      <c r="AD1073" s="406"/>
      <c r="AE1073" s="406"/>
    </row>
    <row r="1074" spans="1:31" s="130" customFormat="1" ht="15.75" customHeight="1">
      <c r="A1074" s="123" t="str">
        <f>IF(B1074&lt;&gt;"",IF(AND(B1074&gt;=_TM1,B1074&lt;=_TM2,OR(TH!L1074="1111",TH!M1074="1111")),TH!D1074,""),"")</f>
        <v/>
      </c>
      <c r="B1074" s="12">
        <f t="shared" si="56"/>
        <v>12</v>
      </c>
      <c r="C1074" s="108">
        <f t="shared" si="54"/>
        <v>42720</v>
      </c>
      <c r="D1074" s="113" t="s">
        <v>1073</v>
      </c>
      <c r="E1074" s="484">
        <v>42720</v>
      </c>
      <c r="F1074" s="167" t="s">
        <v>813</v>
      </c>
      <c r="G1074" s="485" t="s">
        <v>885</v>
      </c>
      <c r="H1074" s="115" t="s">
        <v>1074</v>
      </c>
      <c r="I1074" s="139">
        <v>2400</v>
      </c>
      <c r="J1074" s="141">
        <v>6391.2686000887979</v>
      </c>
      <c r="K1074" s="13">
        <f t="shared" si="55"/>
        <v>15339045</v>
      </c>
      <c r="L1074" s="116" t="s">
        <v>162</v>
      </c>
      <c r="M1074" s="116" t="s">
        <v>160</v>
      </c>
      <c r="N1074" s="22" t="str">
        <f>IF(AND('331-CT'!$E$7=TH!H1074,OR(L1074="331",M1074="331")),"331",IF(AND(OR(L1074="131",M1074="131"),H1074='131-CT'!$E$7),"131",""))</f>
        <v/>
      </c>
      <c r="O1074" s="22" t="str">
        <f>IF(AND($B1074&gt;='111'!$N$11,$B1074&lt;='111'!$O$11,OR($L1074=$O$7,$M1074=$O$7)),"x","")</f>
        <v/>
      </c>
      <c r="P1074" s="22" t="str">
        <f>IF(AND($L1074=$O$7,$B1074&lt;'111'!$N$11),"x","")</f>
        <v/>
      </c>
      <c r="Q1074" s="22" t="str">
        <f>IF(AND($M1074=$O$7,$B1074&lt;'111'!$N$11),"x","")</f>
        <v/>
      </c>
      <c r="R1074" s="22" t="str">
        <f>IF(ISERROR(FIND('112'!$M$9,G1074,1)),"",IF((AND(FIND('112'!$M$9,G1074,1)&gt;=1,$B1074&gt;='112'!$N$8,$B1074&lt;='112'!$O$8,OR($L1074='112'!$I$6,$M1074='112'!$I$6))),"x",""))</f>
        <v/>
      </c>
      <c r="S1074" s="22" t="str">
        <f>IF(ISERROR(FIND('112'!$M$9,G1074,1)),"",IF((AND(LEFT(G1074,2)=LEFT('112'!$M$9,2),B1074&lt;'112'!$N$8,$L1074='112'!$I$6)),"x",""))</f>
        <v/>
      </c>
      <c r="T1074" s="22" t="str">
        <f>IF(ISERROR(FIND('112'!$M$9,G1074,1)),"",IF((AND(RIGHT(G1074,2)=RIGHT('112'!$M$9,2),B1074&lt;'112'!$N$8,$M1074='112'!$I$6)),"x",""))</f>
        <v/>
      </c>
      <c r="U1074" s="22" t="str">
        <f>IF(AND(B1074&gt;='IN-NX'!$P$3,B1074&lt;='IN-NX'!$Q$3,'IN-NX'!$D$7=D1074,OR(LEFT(L1074,2)="15",AND(LEFT(M1074,2)&lt;&gt;"15",LEFT(M1074,2)&lt;&gt;"33"))),"x","")</f>
        <v/>
      </c>
      <c r="V1074" s="22" t="str">
        <f>IF(AND(OR(LEFT(TH!L1074,2)="15",LEFT(TH!M1074,2)="15"),'152-CT'!$J$8=TH!F1074),"x","")</f>
        <v/>
      </c>
      <c r="W1074" s="22" t="str">
        <f>IF(AND(OR(LEFT(TH!L1074,2)="15",LEFT(TH!M1074,2)="15"),TK!$E$7=TH!F1074),"x","")</f>
        <v/>
      </c>
      <c r="X1074" s="22" t="str">
        <f>IF(OR(TH!L1074=TH!$X$7,M1074=TH!$X$7),"x","")</f>
        <v/>
      </c>
      <c r="Y1074" s="22" t="str">
        <f>IF(AND(B1074&lt;=NKC!$N$8,B1074&gt;=NKC!$M$8),"x","")</f>
        <v/>
      </c>
      <c r="Z1074" s="580"/>
      <c r="AA1074" s="406"/>
      <c r="AB1074" s="406"/>
      <c r="AD1074" s="406"/>
      <c r="AE1074" s="406"/>
    </row>
    <row r="1075" spans="1:31" s="130" customFormat="1" ht="15.75" customHeight="1">
      <c r="A1075" s="123" t="str">
        <f>IF(B1075&lt;&gt;"",IF(AND(B1075&gt;=_TM1,B1075&lt;=_TM2,OR(TH!L1075="1111",TH!M1075="1111")),TH!D1075,""),"")</f>
        <v/>
      </c>
      <c r="B1075" s="12">
        <f t="shared" si="56"/>
        <v>12</v>
      </c>
      <c r="C1075" s="108">
        <f t="shared" si="54"/>
        <v>42721</v>
      </c>
      <c r="D1075" s="113" t="s">
        <v>1073</v>
      </c>
      <c r="E1075" s="484">
        <v>42721</v>
      </c>
      <c r="F1075" s="167" t="s">
        <v>848</v>
      </c>
      <c r="G1075" s="485" t="s">
        <v>847</v>
      </c>
      <c r="H1075" s="115" t="s">
        <v>1074</v>
      </c>
      <c r="I1075" s="139">
        <v>205</v>
      </c>
      <c r="J1075" s="141">
        <v>5173.8841048337899</v>
      </c>
      <c r="K1075" s="13">
        <f t="shared" si="55"/>
        <v>1060646</v>
      </c>
      <c r="L1075" s="116" t="s">
        <v>162</v>
      </c>
      <c r="M1075" s="116" t="s">
        <v>160</v>
      </c>
      <c r="N1075" s="22" t="str">
        <f>IF(AND('331-CT'!$E$7=TH!H1075,OR(L1075="331",M1075="331")),"331",IF(AND(OR(L1075="131",M1075="131"),H1075='131-CT'!$E$7),"131",""))</f>
        <v/>
      </c>
      <c r="O1075" s="22" t="str">
        <f>IF(AND($B1075&gt;='111'!$N$11,$B1075&lt;='111'!$O$11,OR($L1075=$O$7,$M1075=$O$7)),"x","")</f>
        <v/>
      </c>
      <c r="P1075" s="22" t="str">
        <f>IF(AND($L1075=$O$7,$B1075&lt;'111'!$N$11),"x","")</f>
        <v/>
      </c>
      <c r="Q1075" s="22" t="str">
        <f>IF(AND($M1075=$O$7,$B1075&lt;'111'!$N$11),"x","")</f>
        <v/>
      </c>
      <c r="R1075" s="22" t="str">
        <f>IF(ISERROR(FIND('112'!$M$9,G1075,1)),"",IF((AND(FIND('112'!$M$9,G1075,1)&gt;=1,$B1075&gt;='112'!$N$8,$B1075&lt;='112'!$O$8,OR($L1075='112'!$I$6,$M1075='112'!$I$6))),"x",""))</f>
        <v/>
      </c>
      <c r="S1075" s="22" t="str">
        <f>IF(ISERROR(FIND('112'!$M$9,G1075,1)),"",IF((AND(LEFT(G1075,2)=LEFT('112'!$M$9,2),B1075&lt;'112'!$N$8,$L1075='112'!$I$6)),"x",""))</f>
        <v/>
      </c>
      <c r="T1075" s="22" t="str">
        <f>IF(ISERROR(FIND('112'!$M$9,G1075,1)),"",IF((AND(RIGHT(G1075,2)=RIGHT('112'!$M$9,2),B1075&lt;'112'!$N$8,$M1075='112'!$I$6)),"x",""))</f>
        <v/>
      </c>
      <c r="U1075" s="22" t="str">
        <f>IF(AND(B1075&gt;='IN-NX'!$P$3,B1075&lt;='IN-NX'!$Q$3,'IN-NX'!$D$7=D1075,OR(LEFT(L1075,2)="15",AND(LEFT(M1075,2)&lt;&gt;"15",LEFT(M1075,2)&lt;&gt;"33"))),"x","")</f>
        <v/>
      </c>
      <c r="V1075" s="22" t="str">
        <f>IF(AND(OR(LEFT(TH!L1075,2)="15",LEFT(TH!M1075,2)="15"),'152-CT'!$J$8=TH!F1075),"x","")</f>
        <v/>
      </c>
      <c r="W1075" s="22" t="str">
        <f>IF(AND(OR(LEFT(TH!L1075,2)="15",LEFT(TH!M1075,2)="15"),TK!$E$7=TH!F1075),"x","")</f>
        <v/>
      </c>
      <c r="X1075" s="22" t="str">
        <f>IF(OR(TH!L1075=TH!$X$7,M1075=TH!$X$7),"x","")</f>
        <v/>
      </c>
      <c r="Y1075" s="22" t="str">
        <f>IF(AND(B1075&lt;=NKC!$N$8,B1075&gt;=NKC!$M$8),"x","")</f>
        <v/>
      </c>
      <c r="Z1075" s="580"/>
      <c r="AA1075" s="406"/>
      <c r="AB1075" s="406"/>
      <c r="AD1075" s="406"/>
      <c r="AE1075" s="406"/>
    </row>
    <row r="1076" spans="1:31" s="130" customFormat="1" ht="15.75" customHeight="1">
      <c r="A1076" s="123" t="str">
        <f>IF(B1076&lt;&gt;"",IF(AND(B1076&gt;=_TM1,B1076&lt;=_TM2,OR(TH!L1076="1111",TH!M1076="1111")),TH!D1076,""),"")</f>
        <v/>
      </c>
      <c r="B1076" s="12">
        <f t="shared" si="56"/>
        <v>12</v>
      </c>
      <c r="C1076" s="108">
        <f t="shared" si="54"/>
        <v>42721</v>
      </c>
      <c r="D1076" s="113" t="s">
        <v>1073</v>
      </c>
      <c r="E1076" s="484">
        <v>42721</v>
      </c>
      <c r="F1076" s="167" t="s">
        <v>849</v>
      </c>
      <c r="G1076" s="485" t="s">
        <v>847</v>
      </c>
      <c r="H1076" s="115" t="s">
        <v>1074</v>
      </c>
      <c r="I1076" s="139">
        <v>1160</v>
      </c>
      <c r="J1076" s="141">
        <v>6695.6147239025513</v>
      </c>
      <c r="K1076" s="13">
        <f t="shared" si="55"/>
        <v>7766913</v>
      </c>
      <c r="L1076" s="116" t="s">
        <v>162</v>
      </c>
      <c r="M1076" s="116" t="s">
        <v>160</v>
      </c>
      <c r="N1076" s="22" t="str">
        <f>IF(AND('331-CT'!$E$7=TH!H1076,OR(L1076="331",M1076="331")),"331",IF(AND(OR(L1076="131",M1076="131"),H1076='131-CT'!$E$7),"131",""))</f>
        <v/>
      </c>
      <c r="O1076" s="22" t="str">
        <f>IF(AND($B1076&gt;='111'!$N$11,$B1076&lt;='111'!$O$11,OR($L1076=$O$7,$M1076=$O$7)),"x","")</f>
        <v/>
      </c>
      <c r="P1076" s="22" t="str">
        <f>IF(AND($L1076=$O$7,$B1076&lt;'111'!$N$11),"x","")</f>
        <v/>
      </c>
      <c r="Q1076" s="22" t="str">
        <f>IF(AND($M1076=$O$7,$B1076&lt;'111'!$N$11),"x","")</f>
        <v/>
      </c>
      <c r="R1076" s="22" t="str">
        <f>IF(ISERROR(FIND('112'!$M$9,G1076,1)),"",IF((AND(FIND('112'!$M$9,G1076,1)&gt;=1,$B1076&gt;='112'!$N$8,$B1076&lt;='112'!$O$8,OR($L1076='112'!$I$6,$M1076='112'!$I$6))),"x",""))</f>
        <v/>
      </c>
      <c r="S1076" s="22" t="str">
        <f>IF(ISERROR(FIND('112'!$M$9,G1076,1)),"",IF((AND(LEFT(G1076,2)=LEFT('112'!$M$9,2),B1076&lt;'112'!$N$8,$L1076='112'!$I$6)),"x",""))</f>
        <v/>
      </c>
      <c r="T1076" s="22" t="str">
        <f>IF(ISERROR(FIND('112'!$M$9,G1076,1)),"",IF((AND(RIGHT(G1076,2)=RIGHT('112'!$M$9,2),B1076&lt;'112'!$N$8,$M1076='112'!$I$6)),"x",""))</f>
        <v/>
      </c>
      <c r="U1076" s="22" t="str">
        <f>IF(AND(B1076&gt;='IN-NX'!$P$3,B1076&lt;='IN-NX'!$Q$3,'IN-NX'!$D$7=D1076,OR(LEFT(L1076,2)="15",AND(LEFT(M1076,2)&lt;&gt;"15",LEFT(M1076,2)&lt;&gt;"33"))),"x","")</f>
        <v/>
      </c>
      <c r="V1076" s="22" t="str">
        <f>IF(AND(OR(LEFT(TH!L1076,2)="15",LEFT(TH!M1076,2)="15"),'152-CT'!$J$8=TH!F1076),"x","")</f>
        <v/>
      </c>
      <c r="W1076" s="22" t="str">
        <f>IF(AND(OR(LEFT(TH!L1076,2)="15",LEFT(TH!M1076,2)="15"),TK!$E$7=TH!F1076),"x","")</f>
        <v/>
      </c>
      <c r="X1076" s="22" t="str">
        <f>IF(OR(TH!L1076=TH!$X$7,M1076=TH!$X$7),"x","")</f>
        <v/>
      </c>
      <c r="Y1076" s="22" t="str">
        <f>IF(AND(B1076&lt;=NKC!$N$8,B1076&gt;=NKC!$M$8),"x","")</f>
        <v/>
      </c>
      <c r="Z1076" s="580"/>
      <c r="AA1076" s="406"/>
      <c r="AB1076" s="406"/>
      <c r="AD1076" s="406"/>
      <c r="AE1076" s="406"/>
    </row>
    <row r="1077" spans="1:31" s="130" customFormat="1" ht="15.75" customHeight="1">
      <c r="A1077" s="123" t="str">
        <f>IF(B1077&lt;&gt;"",IF(AND(B1077&gt;=_TM1,B1077&lt;=_TM2,OR(TH!L1077="1111",TH!M1077="1111")),TH!D1077,""),"")</f>
        <v/>
      </c>
      <c r="B1077" s="12">
        <f t="shared" si="56"/>
        <v>12</v>
      </c>
      <c r="C1077" s="108">
        <f t="shared" si="54"/>
        <v>42721</v>
      </c>
      <c r="D1077" s="113" t="s">
        <v>1073</v>
      </c>
      <c r="E1077" s="484">
        <v>42721</v>
      </c>
      <c r="F1077" s="167" t="s">
        <v>851</v>
      </c>
      <c r="G1077" s="485" t="s">
        <v>850</v>
      </c>
      <c r="H1077" s="115" t="s">
        <v>1074</v>
      </c>
      <c r="I1077" s="140">
        <v>292</v>
      </c>
      <c r="J1077" s="140">
        <v>6695.6147239025513</v>
      </c>
      <c r="K1077" s="13">
        <f t="shared" si="55"/>
        <v>1955119</v>
      </c>
      <c r="L1077" s="116" t="s">
        <v>162</v>
      </c>
      <c r="M1077" s="116" t="s">
        <v>160</v>
      </c>
      <c r="N1077" s="22" t="str">
        <f>IF(AND('331-CT'!$E$7=TH!H1077,OR(L1077="331",M1077="331")),"331",IF(AND(OR(L1077="131",M1077="131"),H1077='131-CT'!$E$7),"131",""))</f>
        <v/>
      </c>
      <c r="O1077" s="22" t="str">
        <f>IF(AND($B1077&gt;='111'!$N$11,$B1077&lt;='111'!$O$11,OR($L1077=$O$7,$M1077=$O$7)),"x","")</f>
        <v/>
      </c>
      <c r="P1077" s="22" t="str">
        <f>IF(AND($L1077=$O$7,$B1077&lt;'111'!$N$11),"x","")</f>
        <v/>
      </c>
      <c r="Q1077" s="22" t="str">
        <f>IF(AND($M1077=$O$7,$B1077&lt;'111'!$N$11),"x","")</f>
        <v/>
      </c>
      <c r="R1077" s="22" t="str">
        <f>IF(ISERROR(FIND('112'!$M$9,G1077,1)),"",IF((AND(FIND('112'!$M$9,G1077,1)&gt;=1,$B1077&gt;='112'!$N$8,$B1077&lt;='112'!$O$8,OR($L1077='112'!$I$6,$M1077='112'!$I$6))),"x",""))</f>
        <v/>
      </c>
      <c r="S1077" s="22" t="str">
        <f>IF(ISERROR(FIND('112'!$M$9,G1077,1)),"",IF((AND(LEFT(G1077,2)=LEFT('112'!$M$9,2),B1077&lt;'112'!$N$8,$L1077='112'!$I$6)),"x",""))</f>
        <v/>
      </c>
      <c r="T1077" s="22" t="str">
        <f>IF(ISERROR(FIND('112'!$M$9,G1077,1)),"",IF((AND(RIGHT(G1077,2)=RIGHT('112'!$M$9,2),B1077&lt;'112'!$N$8,$M1077='112'!$I$6)),"x",""))</f>
        <v/>
      </c>
      <c r="U1077" s="22" t="str">
        <f>IF(AND(B1077&gt;='IN-NX'!$P$3,B1077&lt;='IN-NX'!$Q$3,'IN-NX'!$D$7=D1077,OR(LEFT(L1077,2)="15",AND(LEFT(M1077,2)&lt;&gt;"15",LEFT(M1077,2)&lt;&gt;"33"))),"x","")</f>
        <v/>
      </c>
      <c r="V1077" s="22" t="str">
        <f>IF(AND(OR(LEFT(TH!L1077,2)="15",LEFT(TH!M1077,2)="15"),'152-CT'!$J$8=TH!F1077),"x","")</f>
        <v/>
      </c>
      <c r="W1077" s="22" t="str">
        <f>IF(AND(OR(LEFT(TH!L1077,2)="15",LEFT(TH!M1077,2)="15"),TK!$E$7=TH!F1077),"x","")</f>
        <v/>
      </c>
      <c r="X1077" s="22" t="str">
        <f>IF(OR(TH!L1077=TH!$X$7,M1077=TH!$X$7),"x","")</f>
        <v/>
      </c>
      <c r="Y1077" s="22" t="str">
        <f>IF(AND(B1077&lt;=NKC!$N$8,B1077&gt;=NKC!$M$8),"x","")</f>
        <v/>
      </c>
      <c r="Z1077" s="580"/>
      <c r="AA1077" s="406"/>
      <c r="AB1077" s="406"/>
    </row>
    <row r="1078" spans="1:31" s="130" customFormat="1" ht="15.75" customHeight="1">
      <c r="A1078" s="123" t="str">
        <f>IF(B1078&lt;&gt;"",IF(AND(B1078&gt;=_TM1,B1078&lt;=_TM2,OR(TH!L1078="1111",TH!M1078="1111")),TH!D1078,""),"")</f>
        <v/>
      </c>
      <c r="B1078" s="12">
        <f t="shared" si="56"/>
        <v>12</v>
      </c>
      <c r="C1078" s="108">
        <f t="shared" si="54"/>
        <v>42721</v>
      </c>
      <c r="D1078" s="113" t="s">
        <v>1073</v>
      </c>
      <c r="E1078" s="484">
        <v>42721</v>
      </c>
      <c r="F1078" s="167" t="s">
        <v>852</v>
      </c>
      <c r="G1078" s="485" t="s">
        <v>850</v>
      </c>
      <c r="H1078" s="115" t="s">
        <v>1074</v>
      </c>
      <c r="I1078" s="140">
        <v>180</v>
      </c>
      <c r="J1078" s="140">
        <v>5630.4032905544173</v>
      </c>
      <c r="K1078" s="13">
        <f t="shared" si="55"/>
        <v>1013473</v>
      </c>
      <c r="L1078" s="116" t="s">
        <v>162</v>
      </c>
      <c r="M1078" s="116" t="s">
        <v>160</v>
      </c>
      <c r="N1078" s="22" t="str">
        <f>IF(AND('331-CT'!$E$7=TH!H1078,OR(L1078="331",M1078="331")),"331",IF(AND(OR(L1078="131",M1078="131"),H1078='131-CT'!$E$7),"131",""))</f>
        <v/>
      </c>
      <c r="O1078" s="22" t="str">
        <f>IF(AND($B1078&gt;='111'!$N$11,$B1078&lt;='111'!$O$11,OR($L1078=$O$7,$M1078=$O$7)),"x","")</f>
        <v/>
      </c>
      <c r="P1078" s="22" t="str">
        <f>IF(AND($L1078=$O$7,$B1078&lt;'111'!$N$11),"x","")</f>
        <v/>
      </c>
      <c r="Q1078" s="22" t="str">
        <f>IF(AND($M1078=$O$7,$B1078&lt;'111'!$N$11),"x","")</f>
        <v/>
      </c>
      <c r="R1078" s="22" t="str">
        <f>IF(ISERROR(FIND('112'!$M$9,G1078,1)),"",IF((AND(FIND('112'!$M$9,G1078,1)&gt;=1,$B1078&gt;='112'!$N$8,$B1078&lt;='112'!$O$8,OR($L1078='112'!$I$6,$M1078='112'!$I$6))),"x",""))</f>
        <v/>
      </c>
      <c r="S1078" s="22" t="str">
        <f>IF(ISERROR(FIND('112'!$M$9,G1078,1)),"",IF((AND(LEFT(G1078,2)=LEFT('112'!$M$9,2),B1078&lt;'112'!$N$8,$L1078='112'!$I$6)),"x",""))</f>
        <v/>
      </c>
      <c r="T1078" s="22" t="str">
        <f>IF(ISERROR(FIND('112'!$M$9,G1078,1)),"",IF((AND(RIGHT(G1078,2)=RIGHT('112'!$M$9,2),B1078&lt;'112'!$N$8,$M1078='112'!$I$6)),"x",""))</f>
        <v/>
      </c>
      <c r="U1078" s="22" t="str">
        <f>IF(AND(B1078&gt;='IN-NX'!$P$3,B1078&lt;='IN-NX'!$Q$3,'IN-NX'!$D$7=D1078,OR(LEFT(L1078,2)="15",AND(LEFT(M1078,2)&lt;&gt;"15",LEFT(M1078,2)&lt;&gt;"33"))),"x","")</f>
        <v/>
      </c>
      <c r="V1078" s="22" t="str">
        <f>IF(AND(OR(LEFT(TH!L1078,2)="15",LEFT(TH!M1078,2)="15"),'152-CT'!$J$8=TH!F1078),"x","")</f>
        <v/>
      </c>
      <c r="W1078" s="22" t="str">
        <f>IF(AND(OR(LEFT(TH!L1078,2)="15",LEFT(TH!M1078,2)="15"),TK!$E$7=TH!F1078),"x","")</f>
        <v/>
      </c>
      <c r="X1078" s="22" t="str">
        <f>IF(OR(TH!L1078=TH!$X$7,M1078=TH!$X$7),"x","")</f>
        <v/>
      </c>
      <c r="Y1078" s="22" t="str">
        <f>IF(AND(B1078&lt;=NKC!$N$8,B1078&gt;=NKC!$M$8),"x","")</f>
        <v/>
      </c>
      <c r="Z1078" s="580"/>
      <c r="AA1078" s="406"/>
      <c r="AB1078" s="406"/>
    </row>
    <row r="1079" spans="1:31" s="130" customFormat="1" ht="15.75" customHeight="1">
      <c r="A1079" s="123" t="str">
        <f>IF(B1079&lt;&gt;"",IF(AND(B1079&gt;=_TM1,B1079&lt;=_TM2,OR(TH!L1079="1111",TH!M1079="1111")),TH!D1079,""),"")</f>
        <v/>
      </c>
      <c r="B1079" s="12">
        <f t="shared" si="56"/>
        <v>12</v>
      </c>
      <c r="C1079" s="108">
        <f t="shared" si="54"/>
        <v>42721</v>
      </c>
      <c r="D1079" s="113" t="s">
        <v>1073</v>
      </c>
      <c r="E1079" s="484">
        <v>42721</v>
      </c>
      <c r="F1079" s="167" t="s">
        <v>853</v>
      </c>
      <c r="G1079" s="485" t="s">
        <v>850</v>
      </c>
      <c r="H1079" s="115" t="s">
        <v>1074</v>
      </c>
      <c r="I1079" s="140">
        <v>50</v>
      </c>
      <c r="J1079" s="140">
        <v>4565.1918572062841</v>
      </c>
      <c r="K1079" s="13">
        <f t="shared" si="55"/>
        <v>228260</v>
      </c>
      <c r="L1079" s="116" t="s">
        <v>162</v>
      </c>
      <c r="M1079" s="116" t="s">
        <v>160</v>
      </c>
      <c r="N1079" s="22" t="str">
        <f>IF(AND('331-CT'!$E$7=TH!H1079,OR(L1079="331",M1079="331")),"331",IF(AND(OR(L1079="131",M1079="131"),H1079='131-CT'!$E$7),"131",""))</f>
        <v/>
      </c>
      <c r="O1079" s="22" t="str">
        <f>IF(AND($B1079&gt;='111'!$N$11,$B1079&lt;='111'!$O$11,OR($L1079=$O$7,$M1079=$O$7)),"x","")</f>
        <v/>
      </c>
      <c r="P1079" s="22" t="str">
        <f>IF(AND($L1079=$O$7,$B1079&lt;'111'!$N$11),"x","")</f>
        <v/>
      </c>
      <c r="Q1079" s="22" t="str">
        <f>IF(AND($M1079=$O$7,$B1079&lt;'111'!$N$11),"x","")</f>
        <v/>
      </c>
      <c r="R1079" s="22" t="str">
        <f>IF(ISERROR(FIND('112'!$M$9,G1079,1)),"",IF((AND(FIND('112'!$M$9,G1079,1)&gt;=1,$B1079&gt;='112'!$N$8,$B1079&lt;='112'!$O$8,OR($L1079='112'!$I$6,$M1079='112'!$I$6))),"x",""))</f>
        <v/>
      </c>
      <c r="S1079" s="22" t="str">
        <f>IF(ISERROR(FIND('112'!$M$9,G1079,1)),"",IF((AND(LEFT(G1079,2)=LEFT('112'!$M$9,2),B1079&lt;'112'!$N$8,$L1079='112'!$I$6)),"x",""))</f>
        <v/>
      </c>
      <c r="T1079" s="22" t="str">
        <f>IF(ISERROR(FIND('112'!$M$9,G1079,1)),"",IF((AND(RIGHT(G1079,2)=RIGHT('112'!$M$9,2),B1079&lt;'112'!$N$8,$M1079='112'!$I$6)),"x",""))</f>
        <v/>
      </c>
      <c r="U1079" s="22" t="str">
        <f>IF(AND(B1079&gt;='IN-NX'!$P$3,B1079&lt;='IN-NX'!$Q$3,'IN-NX'!$D$7=D1079,OR(LEFT(L1079,2)="15",AND(LEFT(M1079,2)&lt;&gt;"15",LEFT(M1079,2)&lt;&gt;"33"))),"x","")</f>
        <v/>
      </c>
      <c r="V1079" s="22" t="str">
        <f>IF(AND(OR(LEFT(TH!L1079,2)="15",LEFT(TH!M1079,2)="15"),'152-CT'!$J$8=TH!F1079),"x","")</f>
        <v/>
      </c>
      <c r="W1079" s="22" t="str">
        <f>IF(AND(OR(LEFT(TH!L1079,2)="15",LEFT(TH!M1079,2)="15"),TK!$E$7=TH!F1079),"x","")</f>
        <v/>
      </c>
      <c r="X1079" s="22" t="str">
        <f>IF(OR(TH!L1079=TH!$X$7,M1079=TH!$X$7),"x","")</f>
        <v/>
      </c>
      <c r="Y1079" s="22" t="str">
        <f>IF(AND(B1079&lt;=NKC!$N$8,B1079&gt;=NKC!$M$8),"x","")</f>
        <v/>
      </c>
      <c r="Z1079" s="580"/>
      <c r="AA1079" s="406"/>
      <c r="AB1079" s="406"/>
    </row>
    <row r="1080" spans="1:31" s="130" customFormat="1" ht="15.75" customHeight="1">
      <c r="A1080" s="123" t="str">
        <f>IF(B1080&lt;&gt;"",IF(AND(B1080&gt;=_TM1,B1080&lt;=_TM2,OR(TH!L1080="1111",TH!M1080="1111")),TH!D1080,""),"")</f>
        <v/>
      </c>
      <c r="B1080" s="12">
        <f t="shared" si="56"/>
        <v>12</v>
      </c>
      <c r="C1080" s="108">
        <f t="shared" si="54"/>
        <v>42721</v>
      </c>
      <c r="D1080" s="113" t="s">
        <v>1073</v>
      </c>
      <c r="E1080" s="484">
        <v>42721</v>
      </c>
      <c r="F1080" s="167" t="s">
        <v>854</v>
      </c>
      <c r="G1080" s="485" t="s">
        <v>850</v>
      </c>
      <c r="H1080" s="115" t="s">
        <v>1074</v>
      </c>
      <c r="I1080" s="140">
        <v>554</v>
      </c>
      <c r="J1080" s="140">
        <v>8978.2106525056934</v>
      </c>
      <c r="K1080" s="13">
        <f t="shared" si="55"/>
        <v>4973929</v>
      </c>
      <c r="L1080" s="116" t="s">
        <v>162</v>
      </c>
      <c r="M1080" s="116" t="s">
        <v>160</v>
      </c>
      <c r="N1080" s="22" t="str">
        <f>IF(AND('331-CT'!$E$7=TH!H1080,OR(L1080="331",M1080="331")),"331",IF(AND(OR(L1080="131",M1080="131"),H1080='131-CT'!$E$7),"131",""))</f>
        <v/>
      </c>
      <c r="O1080" s="22" t="str">
        <f>IF(AND($B1080&gt;='111'!$N$11,$B1080&lt;='111'!$O$11,OR($L1080=$O$7,$M1080=$O$7)),"x","")</f>
        <v/>
      </c>
      <c r="P1080" s="22" t="str">
        <f>IF(AND($L1080=$O$7,$B1080&lt;'111'!$N$11),"x","")</f>
        <v/>
      </c>
      <c r="Q1080" s="22" t="str">
        <f>IF(AND($M1080=$O$7,$B1080&lt;'111'!$N$11),"x","")</f>
        <v/>
      </c>
      <c r="R1080" s="22" t="str">
        <f>IF(ISERROR(FIND('112'!$M$9,G1080,1)),"",IF((AND(FIND('112'!$M$9,G1080,1)&gt;=1,$B1080&gt;='112'!$N$8,$B1080&lt;='112'!$O$8,OR($L1080='112'!$I$6,$M1080='112'!$I$6))),"x",""))</f>
        <v/>
      </c>
      <c r="S1080" s="22" t="str">
        <f>IF(ISERROR(FIND('112'!$M$9,G1080,1)),"",IF((AND(LEFT(G1080,2)=LEFT('112'!$M$9,2),B1080&lt;'112'!$N$8,$L1080='112'!$I$6)),"x",""))</f>
        <v/>
      </c>
      <c r="T1080" s="22" t="str">
        <f>IF(ISERROR(FIND('112'!$M$9,G1080,1)),"",IF((AND(RIGHT(G1080,2)=RIGHT('112'!$M$9,2),B1080&lt;'112'!$N$8,$M1080='112'!$I$6)),"x",""))</f>
        <v/>
      </c>
      <c r="U1080" s="22" t="str">
        <f>IF(AND(B1080&gt;='IN-NX'!$P$3,B1080&lt;='IN-NX'!$Q$3,'IN-NX'!$D$7=D1080,OR(LEFT(L1080,2)="15",AND(LEFT(M1080,2)&lt;&gt;"15",LEFT(M1080,2)&lt;&gt;"33"))),"x","")</f>
        <v/>
      </c>
      <c r="V1080" s="22" t="str">
        <f>IF(AND(OR(LEFT(TH!L1080,2)="15",LEFT(TH!M1080,2)="15"),'152-CT'!$J$8=TH!F1080),"x","")</f>
        <v/>
      </c>
      <c r="W1080" s="22" t="str">
        <f>IF(AND(OR(LEFT(TH!L1080,2)="15",LEFT(TH!M1080,2)="15"),TK!$E$7=TH!F1080),"x","")</f>
        <v/>
      </c>
      <c r="X1080" s="22" t="str">
        <f>IF(OR(TH!L1080=TH!$X$7,M1080=TH!$X$7),"x","")</f>
        <v/>
      </c>
      <c r="Y1080" s="22" t="str">
        <f>IF(AND(B1080&lt;=NKC!$N$8,B1080&gt;=NKC!$M$8),"x","")</f>
        <v/>
      </c>
      <c r="Z1080" s="580"/>
      <c r="AA1080" s="406"/>
      <c r="AB1080" s="406"/>
    </row>
    <row r="1081" spans="1:31" s="130" customFormat="1" ht="15.75" customHeight="1">
      <c r="A1081" s="123" t="str">
        <f>IF(B1081&lt;&gt;"",IF(AND(B1081&gt;=_TM1,B1081&lt;=_TM2,OR(TH!L1081="1111",TH!M1081="1111")),TH!D1081,""),"")</f>
        <v/>
      </c>
      <c r="B1081" s="12">
        <f t="shared" si="56"/>
        <v>12</v>
      </c>
      <c r="C1081" s="108">
        <f t="shared" si="54"/>
        <v>42721</v>
      </c>
      <c r="D1081" s="113" t="s">
        <v>1073</v>
      </c>
      <c r="E1081" s="484">
        <v>42721</v>
      </c>
      <c r="F1081" s="167" t="s">
        <v>857</v>
      </c>
      <c r="G1081" s="485" t="s">
        <v>855</v>
      </c>
      <c r="H1081" s="115" t="s">
        <v>1074</v>
      </c>
      <c r="I1081" s="139">
        <v>584</v>
      </c>
      <c r="J1081" s="139">
        <v>684.77877858094269</v>
      </c>
      <c r="K1081" s="13">
        <f t="shared" si="55"/>
        <v>399911</v>
      </c>
      <c r="L1081" s="116" t="s">
        <v>162</v>
      </c>
      <c r="M1081" s="116" t="s">
        <v>160</v>
      </c>
      <c r="N1081" s="22" t="str">
        <f>IF(AND('331-CT'!$E$7=TH!H1081,OR(L1081="331",M1081="331")),"331",IF(AND(OR(L1081="131",M1081="131"),H1081='131-CT'!$E$7),"131",""))</f>
        <v/>
      </c>
      <c r="O1081" s="22" t="str">
        <f>IF(AND($B1081&gt;='111'!$N$11,$B1081&lt;='111'!$O$11,OR($L1081=$O$7,$M1081=$O$7)),"x","")</f>
        <v/>
      </c>
      <c r="P1081" s="22" t="str">
        <f>IF(AND($L1081=$O$7,$B1081&lt;'111'!$N$11),"x","")</f>
        <v/>
      </c>
      <c r="Q1081" s="22" t="str">
        <f>IF(AND($M1081=$O$7,$B1081&lt;'111'!$N$11),"x","")</f>
        <v/>
      </c>
      <c r="R1081" s="22" t="str">
        <f>IF(ISERROR(FIND('112'!$M$9,G1081,1)),"",IF((AND(FIND('112'!$M$9,G1081,1)&gt;=1,$B1081&gt;='112'!$N$8,$B1081&lt;='112'!$O$8,OR($L1081='112'!$I$6,$M1081='112'!$I$6))),"x",""))</f>
        <v/>
      </c>
      <c r="S1081" s="22" t="str">
        <f>IF(ISERROR(FIND('112'!$M$9,G1081,1)),"",IF((AND(LEFT(G1081,2)=LEFT('112'!$M$9,2),B1081&lt;'112'!$N$8,$L1081='112'!$I$6)),"x",""))</f>
        <v/>
      </c>
      <c r="T1081" s="22" t="str">
        <f>IF(ISERROR(FIND('112'!$M$9,G1081,1)),"",IF((AND(RIGHT(G1081,2)=RIGHT('112'!$M$9,2),B1081&lt;'112'!$N$8,$M1081='112'!$I$6)),"x",""))</f>
        <v/>
      </c>
      <c r="U1081" s="22" t="str">
        <f>IF(AND(B1081&gt;='IN-NX'!$P$3,B1081&lt;='IN-NX'!$Q$3,'IN-NX'!$D$7=D1081,OR(LEFT(L1081,2)="15",AND(LEFT(M1081,2)&lt;&gt;"15",LEFT(M1081,2)&lt;&gt;"33"))),"x","")</f>
        <v/>
      </c>
      <c r="V1081" s="22" t="str">
        <f>IF(AND(OR(LEFT(TH!L1081,2)="15",LEFT(TH!M1081,2)="15"),'152-CT'!$J$8=TH!F1081),"x","")</f>
        <v/>
      </c>
      <c r="W1081" s="22" t="str">
        <f>IF(AND(OR(LEFT(TH!L1081,2)="15",LEFT(TH!M1081,2)="15"),TK!$E$7=TH!F1081),"x","")</f>
        <v/>
      </c>
      <c r="X1081" s="22" t="str">
        <f>IF(OR(TH!L1081=TH!$X$7,M1081=TH!$X$7),"x","")</f>
        <v/>
      </c>
      <c r="Y1081" s="22" t="str">
        <f>IF(AND(B1081&lt;=NKC!$N$8,B1081&gt;=NKC!$M$8),"x","")</f>
        <v/>
      </c>
      <c r="Z1081" s="580"/>
      <c r="AA1081" s="406"/>
      <c r="AB1081" s="406"/>
    </row>
    <row r="1082" spans="1:31" s="130" customFormat="1" ht="15.75" customHeight="1">
      <c r="A1082" s="123" t="str">
        <f>IF(B1082&lt;&gt;"",IF(AND(B1082&gt;=_TM1,B1082&lt;=_TM2,OR(TH!L1082="1111",TH!M1082="1111")),TH!D1082,""),"")</f>
        <v/>
      </c>
      <c r="B1082" s="12">
        <f t="shared" si="56"/>
        <v>12</v>
      </c>
      <c r="C1082" s="108">
        <f t="shared" si="54"/>
        <v>42721</v>
      </c>
      <c r="D1082" s="113" t="s">
        <v>1073</v>
      </c>
      <c r="E1082" s="484">
        <v>42721</v>
      </c>
      <c r="F1082" s="167" t="s">
        <v>858</v>
      </c>
      <c r="G1082" s="485" t="s">
        <v>855</v>
      </c>
      <c r="H1082" s="115" t="s">
        <v>1074</v>
      </c>
      <c r="I1082" s="139">
        <v>360</v>
      </c>
      <c r="J1082" s="139">
        <v>608.69224762750468</v>
      </c>
      <c r="K1082" s="13">
        <f t="shared" si="55"/>
        <v>219129</v>
      </c>
      <c r="L1082" s="116" t="s">
        <v>162</v>
      </c>
      <c r="M1082" s="116" t="s">
        <v>160</v>
      </c>
      <c r="N1082" s="22" t="str">
        <f>IF(AND('331-CT'!$E$7=TH!H1082,OR(L1082="331",M1082="331")),"331",IF(AND(OR(L1082="131",M1082="131"),H1082='131-CT'!$E$7),"131",""))</f>
        <v/>
      </c>
      <c r="O1082" s="22" t="str">
        <f>IF(AND($B1082&gt;='111'!$N$11,$B1082&lt;='111'!$O$11,OR($L1082=$O$7,$M1082=$O$7)),"x","")</f>
        <v/>
      </c>
      <c r="P1082" s="22" t="str">
        <f>IF(AND($L1082=$O$7,$B1082&lt;'111'!$N$11),"x","")</f>
        <v/>
      </c>
      <c r="Q1082" s="22" t="str">
        <f>IF(AND($M1082=$O$7,$B1082&lt;'111'!$N$11),"x","")</f>
        <v/>
      </c>
      <c r="R1082" s="22" t="str">
        <f>IF(ISERROR(FIND('112'!$M$9,G1082,1)),"",IF((AND(FIND('112'!$M$9,G1082,1)&gt;=1,$B1082&gt;='112'!$N$8,$B1082&lt;='112'!$O$8,OR($L1082='112'!$I$6,$M1082='112'!$I$6))),"x",""))</f>
        <v/>
      </c>
      <c r="S1082" s="22" t="str">
        <f>IF(ISERROR(FIND('112'!$M$9,G1082,1)),"",IF((AND(LEFT(G1082,2)=LEFT('112'!$M$9,2),B1082&lt;'112'!$N$8,$L1082='112'!$I$6)),"x",""))</f>
        <v/>
      </c>
      <c r="T1082" s="22" t="str">
        <f>IF(ISERROR(FIND('112'!$M$9,G1082,1)),"",IF((AND(RIGHT(G1082,2)=RIGHT('112'!$M$9,2),B1082&lt;'112'!$N$8,$M1082='112'!$I$6)),"x",""))</f>
        <v/>
      </c>
      <c r="U1082" s="22" t="str">
        <f>IF(AND(B1082&gt;='IN-NX'!$P$3,B1082&lt;='IN-NX'!$Q$3,'IN-NX'!$D$7=D1082,OR(LEFT(L1082,2)="15",AND(LEFT(M1082,2)&lt;&gt;"15",LEFT(M1082,2)&lt;&gt;"33"))),"x","")</f>
        <v/>
      </c>
      <c r="V1082" s="22" t="str">
        <f>IF(AND(OR(LEFT(TH!L1082,2)="15",LEFT(TH!M1082,2)="15"),'152-CT'!$J$8=TH!F1082),"x","")</f>
        <v/>
      </c>
      <c r="W1082" s="22" t="str">
        <f>IF(AND(OR(LEFT(TH!L1082,2)="15",LEFT(TH!M1082,2)="15"),TK!$E$7=TH!F1082),"x","")</f>
        <v/>
      </c>
      <c r="X1082" s="22" t="str">
        <f>IF(OR(TH!L1082=TH!$X$7,M1082=TH!$X$7),"x","")</f>
        <v/>
      </c>
      <c r="Y1082" s="22" t="str">
        <f>IF(AND(B1082&lt;=NKC!$N$8,B1082&gt;=NKC!$M$8),"x","")</f>
        <v/>
      </c>
      <c r="Z1082" s="580"/>
      <c r="AA1082" s="406"/>
      <c r="AB1082" s="406"/>
    </row>
    <row r="1083" spans="1:31" s="130" customFormat="1" ht="15.75" customHeight="1">
      <c r="A1083" s="123" t="str">
        <f>IF(B1083&lt;&gt;"",IF(AND(B1083&gt;=_TM1,B1083&lt;=_TM2,OR(TH!L1083="1111",TH!M1083="1111")),TH!D1083,""),"")</f>
        <v/>
      </c>
      <c r="B1083" s="12">
        <f t="shared" si="56"/>
        <v>12</v>
      </c>
      <c r="C1083" s="108">
        <f t="shared" si="54"/>
        <v>42721</v>
      </c>
      <c r="D1083" s="113" t="s">
        <v>1073</v>
      </c>
      <c r="E1083" s="484">
        <v>42721</v>
      </c>
      <c r="F1083" s="167" t="s">
        <v>859</v>
      </c>
      <c r="G1083" s="485" t="s">
        <v>855</v>
      </c>
      <c r="H1083" s="115" t="s">
        <v>1074</v>
      </c>
      <c r="I1083" s="139">
        <v>100</v>
      </c>
      <c r="J1083" s="139">
        <v>456.51918572062846</v>
      </c>
      <c r="K1083" s="13">
        <f t="shared" si="55"/>
        <v>45652</v>
      </c>
      <c r="L1083" s="116" t="s">
        <v>162</v>
      </c>
      <c r="M1083" s="116" t="s">
        <v>160</v>
      </c>
      <c r="N1083" s="22" t="str">
        <f>IF(AND('331-CT'!$E$7=TH!H1083,OR(L1083="331",M1083="331")),"331",IF(AND(OR(L1083="131",M1083="131"),H1083='131-CT'!$E$7),"131",""))</f>
        <v/>
      </c>
      <c r="O1083" s="22" t="str">
        <f>IF(AND($B1083&gt;='111'!$N$11,$B1083&lt;='111'!$O$11,OR($L1083=$O$7,$M1083=$O$7)),"x","")</f>
        <v/>
      </c>
      <c r="P1083" s="22" t="str">
        <f>IF(AND($L1083=$O$7,$B1083&lt;'111'!$N$11),"x","")</f>
        <v/>
      </c>
      <c r="Q1083" s="22" t="str">
        <f>IF(AND($M1083=$O$7,$B1083&lt;'111'!$N$11),"x","")</f>
        <v/>
      </c>
      <c r="R1083" s="22" t="str">
        <f>IF(ISERROR(FIND('112'!$M$9,G1083,1)),"",IF((AND(FIND('112'!$M$9,G1083,1)&gt;=1,$B1083&gt;='112'!$N$8,$B1083&lt;='112'!$O$8,OR($L1083='112'!$I$6,$M1083='112'!$I$6))),"x",""))</f>
        <v/>
      </c>
      <c r="S1083" s="22" t="str">
        <f>IF(ISERROR(FIND('112'!$M$9,G1083,1)),"",IF((AND(LEFT(G1083,2)=LEFT('112'!$M$9,2),B1083&lt;'112'!$N$8,$L1083='112'!$I$6)),"x",""))</f>
        <v/>
      </c>
      <c r="T1083" s="22" t="str">
        <f>IF(ISERROR(FIND('112'!$M$9,G1083,1)),"",IF((AND(RIGHT(G1083,2)=RIGHT('112'!$M$9,2),B1083&lt;'112'!$N$8,$M1083='112'!$I$6)),"x",""))</f>
        <v/>
      </c>
      <c r="U1083" s="22" t="str">
        <f>IF(AND(B1083&gt;='IN-NX'!$P$3,B1083&lt;='IN-NX'!$Q$3,'IN-NX'!$D$7=D1083,OR(LEFT(L1083,2)="15",AND(LEFT(M1083,2)&lt;&gt;"15",LEFT(M1083,2)&lt;&gt;"33"))),"x","")</f>
        <v/>
      </c>
      <c r="V1083" s="22" t="str">
        <f>IF(AND(OR(LEFT(TH!L1083,2)="15",LEFT(TH!M1083,2)="15"),'152-CT'!$J$8=TH!F1083),"x","")</f>
        <v/>
      </c>
      <c r="W1083" s="22" t="str">
        <f>IF(AND(OR(LEFT(TH!L1083,2)="15",LEFT(TH!M1083,2)="15"),TK!$E$7=TH!F1083),"x","")</f>
        <v/>
      </c>
      <c r="X1083" s="22" t="str">
        <f>IF(OR(TH!L1083=TH!$X$7,M1083=TH!$X$7),"x","")</f>
        <v/>
      </c>
      <c r="Y1083" s="22" t="str">
        <f>IF(AND(B1083&lt;=NKC!$N$8,B1083&gt;=NKC!$M$8),"x","")</f>
        <v/>
      </c>
      <c r="Z1083" s="580"/>
      <c r="AA1083" s="406"/>
    </row>
    <row r="1084" spans="1:31" s="130" customFormat="1" ht="15.75" customHeight="1">
      <c r="A1084" s="123" t="str">
        <f>IF(B1084&lt;&gt;"",IF(AND(B1084&gt;=_TM1,B1084&lt;=_TM2,OR(TH!L1084="1111",TH!M1084="1111")),TH!D1084,""),"")</f>
        <v/>
      </c>
      <c r="B1084" s="12">
        <f t="shared" si="56"/>
        <v>12</v>
      </c>
      <c r="C1084" s="108">
        <f t="shared" si="54"/>
        <v>42721</v>
      </c>
      <c r="D1084" s="113" t="s">
        <v>1073</v>
      </c>
      <c r="E1084" s="484">
        <v>42721</v>
      </c>
      <c r="F1084" s="167" t="s">
        <v>860</v>
      </c>
      <c r="G1084" s="485" t="s">
        <v>855</v>
      </c>
      <c r="H1084" s="115" t="s">
        <v>1074</v>
      </c>
      <c r="I1084" s="139">
        <v>1108</v>
      </c>
      <c r="J1084" s="139">
        <v>989.12490239469503</v>
      </c>
      <c r="K1084" s="13">
        <f t="shared" si="55"/>
        <v>1095950</v>
      </c>
      <c r="L1084" s="116" t="s">
        <v>162</v>
      </c>
      <c r="M1084" s="116" t="s">
        <v>160</v>
      </c>
      <c r="N1084" s="22" t="str">
        <f>IF(AND('331-CT'!$E$7=TH!H1084,OR(L1084="331",M1084="331")),"331",IF(AND(OR(L1084="131",M1084="131"),H1084='131-CT'!$E$7),"131",""))</f>
        <v/>
      </c>
      <c r="O1084" s="22" t="str">
        <f>IF(AND($B1084&gt;='111'!$N$11,$B1084&lt;='111'!$O$11,OR($L1084=$O$7,$M1084=$O$7)),"x","")</f>
        <v/>
      </c>
      <c r="P1084" s="22" t="str">
        <f>IF(AND($L1084=$O$7,$B1084&lt;'111'!$N$11),"x","")</f>
        <v/>
      </c>
      <c r="Q1084" s="22" t="str">
        <f>IF(AND($M1084=$O$7,$B1084&lt;'111'!$N$11),"x","")</f>
        <v/>
      </c>
      <c r="R1084" s="22" t="str">
        <f>IF(ISERROR(FIND('112'!$M$9,G1084,1)),"",IF((AND(FIND('112'!$M$9,G1084,1)&gt;=1,$B1084&gt;='112'!$N$8,$B1084&lt;='112'!$O$8,OR($L1084='112'!$I$6,$M1084='112'!$I$6))),"x",""))</f>
        <v/>
      </c>
      <c r="S1084" s="22" t="str">
        <f>IF(ISERROR(FIND('112'!$M$9,G1084,1)),"",IF((AND(LEFT(G1084,2)=LEFT('112'!$M$9,2),B1084&lt;'112'!$N$8,$L1084='112'!$I$6)),"x",""))</f>
        <v/>
      </c>
      <c r="T1084" s="22" t="str">
        <f>IF(ISERROR(FIND('112'!$M$9,G1084,1)),"",IF((AND(RIGHT(G1084,2)=RIGHT('112'!$M$9,2),B1084&lt;'112'!$N$8,$M1084='112'!$I$6)),"x",""))</f>
        <v/>
      </c>
      <c r="U1084" s="22" t="str">
        <f>IF(AND(B1084&gt;='IN-NX'!$P$3,B1084&lt;='IN-NX'!$Q$3,'IN-NX'!$D$7=D1084,OR(LEFT(L1084,2)="15",AND(LEFT(M1084,2)&lt;&gt;"15",LEFT(M1084,2)&lt;&gt;"33"))),"x","")</f>
        <v/>
      </c>
      <c r="V1084" s="22" t="str">
        <f>IF(AND(OR(LEFT(TH!L1084,2)="15",LEFT(TH!M1084,2)="15"),'152-CT'!$J$8=TH!F1084),"x","")</f>
        <v/>
      </c>
      <c r="W1084" s="22" t="str">
        <f>IF(AND(OR(LEFT(TH!L1084,2)="15",LEFT(TH!M1084,2)="15"),TK!$E$7=TH!F1084),"x","")</f>
        <v/>
      </c>
      <c r="X1084" s="22" t="str">
        <f>IF(OR(TH!L1084=TH!$X$7,M1084=TH!$X$7),"x","")</f>
        <v/>
      </c>
      <c r="Y1084" s="22" t="str">
        <f>IF(AND(B1084&lt;=NKC!$N$8,B1084&gt;=NKC!$M$8),"x","")</f>
        <v/>
      </c>
      <c r="Z1084" s="580"/>
      <c r="AA1084" s="406"/>
      <c r="AB1084" s="406"/>
    </row>
    <row r="1085" spans="1:31" s="130" customFormat="1" ht="15.75" customHeight="1">
      <c r="A1085" s="123" t="str">
        <f>IF(B1085&lt;&gt;"",IF(AND(B1085&gt;=_TM1,B1085&lt;=_TM2,OR(TH!L1085="1111",TH!M1085="1111")),TH!D1085,""),"")</f>
        <v/>
      </c>
      <c r="B1085" s="12">
        <f t="shared" si="56"/>
        <v>12</v>
      </c>
      <c r="C1085" s="108">
        <f t="shared" si="54"/>
        <v>42721</v>
      </c>
      <c r="D1085" s="113" t="s">
        <v>1073</v>
      </c>
      <c r="E1085" s="484">
        <v>42721</v>
      </c>
      <c r="F1085" s="167" t="s">
        <v>813</v>
      </c>
      <c r="G1085" s="485" t="s">
        <v>886</v>
      </c>
      <c r="H1085" s="115" t="s">
        <v>1074</v>
      </c>
      <c r="I1085" s="139">
        <v>2400</v>
      </c>
      <c r="J1085" s="139">
        <v>6391.2686000887979</v>
      </c>
      <c r="K1085" s="13">
        <f t="shared" si="55"/>
        <v>15339045</v>
      </c>
      <c r="L1085" s="116" t="s">
        <v>162</v>
      </c>
      <c r="M1085" s="116" t="s">
        <v>160</v>
      </c>
      <c r="N1085" s="22" t="str">
        <f>IF(AND('331-CT'!$E$7=TH!H1085,OR(L1085="331",M1085="331")),"331",IF(AND(OR(L1085="131",M1085="131"),H1085='131-CT'!$E$7),"131",""))</f>
        <v/>
      </c>
      <c r="O1085" s="22" t="str">
        <f>IF(AND($B1085&gt;='111'!$N$11,$B1085&lt;='111'!$O$11,OR($L1085=$O$7,$M1085=$O$7)),"x","")</f>
        <v/>
      </c>
      <c r="P1085" s="22" t="str">
        <f>IF(AND($L1085=$O$7,$B1085&lt;'111'!$N$11),"x","")</f>
        <v/>
      </c>
      <c r="Q1085" s="22" t="str">
        <f>IF(AND($M1085=$O$7,$B1085&lt;'111'!$N$11),"x","")</f>
        <v/>
      </c>
      <c r="R1085" s="22" t="str">
        <f>IF(ISERROR(FIND('112'!$M$9,G1085,1)),"",IF((AND(FIND('112'!$M$9,G1085,1)&gt;=1,$B1085&gt;='112'!$N$8,$B1085&lt;='112'!$O$8,OR($L1085='112'!$I$6,$M1085='112'!$I$6))),"x",""))</f>
        <v/>
      </c>
      <c r="S1085" s="22" t="str">
        <f>IF(ISERROR(FIND('112'!$M$9,G1085,1)),"",IF((AND(LEFT(G1085,2)=LEFT('112'!$M$9,2),B1085&lt;'112'!$N$8,$L1085='112'!$I$6)),"x",""))</f>
        <v/>
      </c>
      <c r="T1085" s="22" t="str">
        <f>IF(ISERROR(FIND('112'!$M$9,G1085,1)),"",IF((AND(RIGHT(G1085,2)=RIGHT('112'!$M$9,2),B1085&lt;'112'!$N$8,$M1085='112'!$I$6)),"x",""))</f>
        <v/>
      </c>
      <c r="U1085" s="22" t="str">
        <f>IF(AND(B1085&gt;='IN-NX'!$P$3,B1085&lt;='IN-NX'!$Q$3,'IN-NX'!$D$7=D1085,OR(LEFT(L1085,2)="15",AND(LEFT(M1085,2)&lt;&gt;"15",LEFT(M1085,2)&lt;&gt;"33"))),"x","")</f>
        <v/>
      </c>
      <c r="V1085" s="22" t="str">
        <f>IF(AND(OR(LEFT(TH!L1085,2)="15",LEFT(TH!M1085,2)="15"),'152-CT'!$J$8=TH!F1085),"x","")</f>
        <v/>
      </c>
      <c r="W1085" s="22" t="str">
        <f>IF(AND(OR(LEFT(TH!L1085,2)="15",LEFT(TH!M1085,2)="15"),TK!$E$7=TH!F1085),"x","")</f>
        <v/>
      </c>
      <c r="X1085" s="22" t="str">
        <f>IF(OR(TH!L1085=TH!$X$7,M1085=TH!$X$7),"x","")</f>
        <v/>
      </c>
      <c r="Y1085" s="22" t="str">
        <f>IF(AND(B1085&lt;=NKC!$N$8,B1085&gt;=NKC!$M$8),"x","")</f>
        <v/>
      </c>
      <c r="Z1085" s="580"/>
      <c r="AA1085" s="406"/>
      <c r="AB1085" s="406"/>
    </row>
    <row r="1086" spans="1:31" s="130" customFormat="1" ht="15.75" customHeight="1">
      <c r="A1086" s="123" t="str">
        <f>IF(B1086&lt;&gt;"",IF(AND(B1086&gt;=_TM1,B1086&lt;=_TM2,OR(TH!L1086="1111",TH!M1086="1111")),TH!D1086,""),"")</f>
        <v/>
      </c>
      <c r="B1086" s="12">
        <f t="shared" si="56"/>
        <v>12</v>
      </c>
      <c r="C1086" s="108">
        <f t="shared" si="54"/>
        <v>42722</v>
      </c>
      <c r="D1086" s="113" t="s">
        <v>1073</v>
      </c>
      <c r="E1086" s="484">
        <v>42722</v>
      </c>
      <c r="F1086" s="167" t="s">
        <v>813</v>
      </c>
      <c r="G1086" s="485" t="s">
        <v>887</v>
      </c>
      <c r="H1086" s="115" t="s">
        <v>1074</v>
      </c>
      <c r="I1086" s="139">
        <v>2400</v>
      </c>
      <c r="J1086" s="139">
        <v>6391.2686000887979</v>
      </c>
      <c r="K1086" s="13">
        <f t="shared" si="55"/>
        <v>15339045</v>
      </c>
      <c r="L1086" s="116" t="s">
        <v>162</v>
      </c>
      <c r="M1086" s="116" t="s">
        <v>160</v>
      </c>
      <c r="N1086" s="22" t="str">
        <f>IF(AND('331-CT'!$E$7=TH!H1086,OR(L1086="331",M1086="331")),"331",IF(AND(OR(L1086="131",M1086="131"),H1086='131-CT'!$E$7),"131",""))</f>
        <v/>
      </c>
      <c r="O1086" s="22" t="str">
        <f>IF(AND($B1086&gt;='111'!$N$11,$B1086&lt;='111'!$O$11,OR($L1086=$O$7,$M1086=$O$7)),"x","")</f>
        <v/>
      </c>
      <c r="P1086" s="22" t="str">
        <f>IF(AND($L1086=$O$7,$B1086&lt;'111'!$N$11),"x","")</f>
        <v/>
      </c>
      <c r="Q1086" s="22" t="str">
        <f>IF(AND($M1086=$O$7,$B1086&lt;'111'!$N$11),"x","")</f>
        <v/>
      </c>
      <c r="R1086" s="22" t="str">
        <f>IF(ISERROR(FIND('112'!$M$9,G1086,1)),"",IF((AND(FIND('112'!$M$9,G1086,1)&gt;=1,$B1086&gt;='112'!$N$8,$B1086&lt;='112'!$O$8,OR($L1086='112'!$I$6,$M1086='112'!$I$6))),"x",""))</f>
        <v/>
      </c>
      <c r="S1086" s="22" t="str">
        <f>IF(ISERROR(FIND('112'!$M$9,G1086,1)),"",IF((AND(LEFT(G1086,2)=LEFT('112'!$M$9,2),B1086&lt;'112'!$N$8,$L1086='112'!$I$6)),"x",""))</f>
        <v/>
      </c>
      <c r="T1086" s="22" t="str">
        <f>IF(ISERROR(FIND('112'!$M$9,G1086,1)),"",IF((AND(RIGHT(G1086,2)=RIGHT('112'!$M$9,2),B1086&lt;'112'!$N$8,$M1086='112'!$I$6)),"x",""))</f>
        <v/>
      </c>
      <c r="U1086" s="22" t="str">
        <f>IF(AND(B1086&gt;='IN-NX'!$P$3,B1086&lt;='IN-NX'!$Q$3,'IN-NX'!$D$7=D1086,OR(LEFT(L1086,2)="15",AND(LEFT(M1086,2)&lt;&gt;"15",LEFT(M1086,2)&lt;&gt;"33"))),"x","")</f>
        <v/>
      </c>
      <c r="V1086" s="22" t="str">
        <f>IF(AND(OR(LEFT(TH!L1086,2)="15",LEFT(TH!M1086,2)="15"),'152-CT'!$J$8=TH!F1086),"x","")</f>
        <v/>
      </c>
      <c r="W1086" s="22" t="str">
        <f>IF(AND(OR(LEFT(TH!L1086,2)="15",LEFT(TH!M1086,2)="15"),TK!$E$7=TH!F1086),"x","")</f>
        <v/>
      </c>
      <c r="X1086" s="22" t="str">
        <f>IF(OR(TH!L1086=TH!$X$7,M1086=TH!$X$7),"x","")</f>
        <v/>
      </c>
      <c r="Y1086" s="22" t="str">
        <f>IF(AND(B1086&lt;=NKC!$N$8,B1086&gt;=NKC!$M$8),"x","")</f>
        <v/>
      </c>
      <c r="Z1086" s="580"/>
      <c r="AA1086" s="406"/>
    </row>
    <row r="1087" spans="1:31" s="130" customFormat="1" ht="15.75" customHeight="1">
      <c r="A1087" s="123" t="str">
        <f>IF(B1087&lt;&gt;"",IF(AND(B1087&gt;=_TM1,B1087&lt;=_TM2,OR(TH!L1087="1111",TH!M1087="1111")),TH!D1087,""),"")</f>
        <v/>
      </c>
      <c r="B1087" s="12">
        <f t="shared" si="56"/>
        <v>12</v>
      </c>
      <c r="C1087" s="108">
        <f t="shared" si="54"/>
        <v>42723</v>
      </c>
      <c r="D1087" s="113" t="s">
        <v>1073</v>
      </c>
      <c r="E1087" s="484">
        <v>42723</v>
      </c>
      <c r="F1087" s="167" t="s">
        <v>813</v>
      </c>
      <c r="G1087" s="485" t="s">
        <v>888</v>
      </c>
      <c r="H1087" s="115" t="s">
        <v>1074</v>
      </c>
      <c r="I1087" s="139">
        <v>2400</v>
      </c>
      <c r="J1087" s="139">
        <v>6391.2686000887979</v>
      </c>
      <c r="K1087" s="13">
        <f t="shared" si="55"/>
        <v>15339045</v>
      </c>
      <c r="L1087" s="116" t="s">
        <v>162</v>
      </c>
      <c r="M1087" s="116" t="s">
        <v>160</v>
      </c>
      <c r="N1087" s="22" t="str">
        <f>IF(AND('331-CT'!$E$7=TH!H1087,OR(L1087="331",M1087="331")),"331",IF(AND(OR(L1087="131",M1087="131"),H1087='131-CT'!$E$7),"131",""))</f>
        <v/>
      </c>
      <c r="O1087" s="22" t="str">
        <f>IF(AND($B1087&gt;='111'!$N$11,$B1087&lt;='111'!$O$11,OR($L1087=$O$7,$M1087=$O$7)),"x","")</f>
        <v/>
      </c>
      <c r="P1087" s="22" t="str">
        <f>IF(AND($L1087=$O$7,$B1087&lt;'111'!$N$11),"x","")</f>
        <v/>
      </c>
      <c r="Q1087" s="22" t="str">
        <f>IF(AND($M1087=$O$7,$B1087&lt;'111'!$N$11),"x","")</f>
        <v/>
      </c>
      <c r="R1087" s="22" t="str">
        <f>IF(ISERROR(FIND('112'!$M$9,G1087,1)),"",IF((AND(FIND('112'!$M$9,G1087,1)&gt;=1,$B1087&gt;='112'!$N$8,$B1087&lt;='112'!$O$8,OR($L1087='112'!$I$6,$M1087='112'!$I$6))),"x",""))</f>
        <v/>
      </c>
      <c r="S1087" s="22" t="str">
        <f>IF(ISERROR(FIND('112'!$M$9,G1087,1)),"",IF((AND(LEFT(G1087,2)=LEFT('112'!$M$9,2),B1087&lt;'112'!$N$8,$L1087='112'!$I$6)),"x",""))</f>
        <v/>
      </c>
      <c r="T1087" s="22" t="str">
        <f>IF(ISERROR(FIND('112'!$M$9,G1087,1)),"",IF((AND(RIGHT(G1087,2)=RIGHT('112'!$M$9,2),B1087&lt;'112'!$N$8,$M1087='112'!$I$6)),"x",""))</f>
        <v/>
      </c>
      <c r="U1087" s="22" t="str">
        <f>IF(AND(B1087&gt;='IN-NX'!$P$3,B1087&lt;='IN-NX'!$Q$3,'IN-NX'!$D$7=D1087,OR(LEFT(L1087,2)="15",AND(LEFT(M1087,2)&lt;&gt;"15",LEFT(M1087,2)&lt;&gt;"33"))),"x","")</f>
        <v/>
      </c>
      <c r="V1087" s="22" t="str">
        <f>IF(AND(OR(LEFT(TH!L1087,2)="15",LEFT(TH!M1087,2)="15"),'152-CT'!$J$8=TH!F1087),"x","")</f>
        <v/>
      </c>
      <c r="W1087" s="22" t="str">
        <f>IF(AND(OR(LEFT(TH!L1087,2)="15",LEFT(TH!M1087,2)="15"),TK!$E$7=TH!F1087),"x","")</f>
        <v/>
      </c>
      <c r="X1087" s="22" t="str">
        <f>IF(OR(TH!L1087=TH!$X$7,M1087=TH!$X$7),"x","")</f>
        <v/>
      </c>
      <c r="Y1087" s="22" t="str">
        <f>IF(AND(B1087&lt;=NKC!$N$8,B1087&gt;=NKC!$M$8),"x","")</f>
        <v/>
      </c>
      <c r="Z1087" s="580"/>
      <c r="AA1087" s="406"/>
      <c r="AB1087" s="406"/>
    </row>
    <row r="1088" spans="1:31" s="130" customFormat="1" ht="15.75" customHeight="1">
      <c r="A1088" s="123" t="str">
        <f>IF(B1088&lt;&gt;"",IF(AND(B1088&gt;=_TM1,B1088&lt;=_TM2,OR(TH!L1088="1111",TH!M1088="1111")),TH!D1088,""),"")</f>
        <v/>
      </c>
      <c r="B1088" s="12">
        <f t="shared" si="56"/>
        <v>12</v>
      </c>
      <c r="C1088" s="108">
        <f t="shared" ref="C1088:C1135" si="57">E1088</f>
        <v>42724</v>
      </c>
      <c r="D1088" s="113" t="s">
        <v>1073</v>
      </c>
      <c r="E1088" s="484">
        <v>42724</v>
      </c>
      <c r="F1088" s="167" t="s">
        <v>691</v>
      </c>
      <c r="G1088" s="485" t="s">
        <v>889</v>
      </c>
      <c r="H1088" s="115" t="s">
        <v>1074</v>
      </c>
      <c r="I1088" s="139">
        <v>872</v>
      </c>
      <c r="J1088" s="139">
        <v>5173.8841048337899</v>
      </c>
      <c r="K1088" s="13">
        <f t="shared" si="55"/>
        <v>4511627</v>
      </c>
      <c r="L1088" s="116" t="s">
        <v>162</v>
      </c>
      <c r="M1088" s="116" t="s">
        <v>160</v>
      </c>
      <c r="N1088" s="22" t="str">
        <f>IF(AND('331-CT'!$E$7=TH!H1088,OR(L1088="331",M1088="331")),"331",IF(AND(OR(L1088="131",M1088="131"),H1088='131-CT'!$E$7),"131",""))</f>
        <v/>
      </c>
      <c r="O1088" s="22" t="str">
        <f>IF(AND($B1088&gt;='111'!$N$11,$B1088&lt;='111'!$O$11,OR($L1088=$O$7,$M1088=$O$7)),"x","")</f>
        <v/>
      </c>
      <c r="P1088" s="22" t="str">
        <f>IF(AND($L1088=$O$7,$B1088&lt;'111'!$N$11),"x","")</f>
        <v/>
      </c>
      <c r="Q1088" s="22" t="str">
        <f>IF(AND($M1088=$O$7,$B1088&lt;'111'!$N$11),"x","")</f>
        <v/>
      </c>
      <c r="R1088" s="22" t="str">
        <f>IF(ISERROR(FIND('112'!$M$9,G1088,1)),"",IF((AND(FIND('112'!$M$9,G1088,1)&gt;=1,$B1088&gt;='112'!$N$8,$B1088&lt;='112'!$O$8,OR($L1088='112'!$I$6,$M1088='112'!$I$6))),"x",""))</f>
        <v/>
      </c>
      <c r="S1088" s="22" t="str">
        <f>IF(ISERROR(FIND('112'!$M$9,G1088,1)),"",IF((AND(LEFT(G1088,2)=LEFT('112'!$M$9,2),B1088&lt;'112'!$N$8,$L1088='112'!$I$6)),"x",""))</f>
        <v/>
      </c>
      <c r="T1088" s="22" t="str">
        <f>IF(ISERROR(FIND('112'!$M$9,G1088,1)),"",IF((AND(RIGHT(G1088,2)=RIGHT('112'!$M$9,2),B1088&lt;'112'!$N$8,$M1088='112'!$I$6)),"x",""))</f>
        <v/>
      </c>
      <c r="U1088" s="22" t="str">
        <f>IF(AND(B1088&gt;='IN-NX'!$P$3,B1088&lt;='IN-NX'!$Q$3,'IN-NX'!$D$7=D1088,OR(LEFT(L1088,2)="15",AND(LEFT(M1088,2)&lt;&gt;"15",LEFT(M1088,2)&lt;&gt;"33"))),"x","")</f>
        <v/>
      </c>
      <c r="V1088" s="22" t="str">
        <f>IF(AND(OR(LEFT(TH!L1088,2)="15",LEFT(TH!M1088,2)="15"),'152-CT'!$J$8=TH!F1088),"x","")</f>
        <v/>
      </c>
      <c r="W1088" s="22" t="str">
        <f>IF(AND(OR(LEFT(TH!L1088,2)="15",LEFT(TH!M1088,2)="15"),TK!$E$7=TH!F1088),"x","")</f>
        <v/>
      </c>
      <c r="X1088" s="22" t="str">
        <f>IF(OR(TH!L1088=TH!$X$7,M1088=TH!$X$7),"x","")</f>
        <v/>
      </c>
      <c r="Y1088" s="22" t="str">
        <f>IF(AND(B1088&lt;=NKC!$N$8,B1088&gt;=NKC!$M$8),"x","")</f>
        <v/>
      </c>
      <c r="Z1088" s="580"/>
      <c r="AA1088" s="406"/>
      <c r="AB1088" s="406"/>
    </row>
    <row r="1089" spans="1:31" s="130" customFormat="1" ht="15.75" customHeight="1">
      <c r="A1089" s="123" t="str">
        <f>IF(B1089&lt;&gt;"",IF(AND(B1089&gt;=_TM1,B1089&lt;=_TM2,OR(TH!L1089="1111",TH!M1089="1111")),TH!D1089,""),"")</f>
        <v/>
      </c>
      <c r="B1089" s="12">
        <f t="shared" si="56"/>
        <v>12</v>
      </c>
      <c r="C1089" s="108">
        <f t="shared" si="57"/>
        <v>42724</v>
      </c>
      <c r="D1089" s="113" t="s">
        <v>1073</v>
      </c>
      <c r="E1089" s="484">
        <v>42724</v>
      </c>
      <c r="F1089" s="167" t="s">
        <v>893</v>
      </c>
      <c r="G1089" s="485" t="s">
        <v>892</v>
      </c>
      <c r="H1089" s="115" t="s">
        <v>1074</v>
      </c>
      <c r="I1089" s="139">
        <v>70</v>
      </c>
      <c r="J1089" s="139">
        <v>16358.604154989185</v>
      </c>
      <c r="K1089" s="13">
        <f t="shared" si="55"/>
        <v>1145102</v>
      </c>
      <c r="L1089" s="116" t="s">
        <v>162</v>
      </c>
      <c r="M1089" s="116" t="s">
        <v>160</v>
      </c>
      <c r="N1089" s="22" t="str">
        <f>IF(AND('331-CT'!$E$7=TH!H1089,OR(L1089="331",M1089="331")),"331",IF(AND(OR(L1089="131",M1089="131"),H1089='131-CT'!$E$7),"131",""))</f>
        <v/>
      </c>
      <c r="O1089" s="22" t="str">
        <f>IF(AND($B1089&gt;='111'!$N$11,$B1089&lt;='111'!$O$11,OR($L1089=$O$7,$M1089=$O$7)),"x","")</f>
        <v/>
      </c>
      <c r="P1089" s="22" t="str">
        <f>IF(AND($L1089=$O$7,$B1089&lt;'111'!$N$11),"x","")</f>
        <v/>
      </c>
      <c r="Q1089" s="22" t="str">
        <f>IF(AND($M1089=$O$7,$B1089&lt;'111'!$N$11),"x","")</f>
        <v/>
      </c>
      <c r="R1089" s="22" t="str">
        <f>IF(ISERROR(FIND('112'!$M$9,G1089,1)),"",IF((AND(FIND('112'!$M$9,G1089,1)&gt;=1,$B1089&gt;='112'!$N$8,$B1089&lt;='112'!$O$8,OR($L1089='112'!$I$6,$M1089='112'!$I$6))),"x",""))</f>
        <v/>
      </c>
      <c r="S1089" s="22" t="str">
        <f>IF(ISERROR(FIND('112'!$M$9,G1089,1)),"",IF((AND(LEFT(G1089,2)=LEFT('112'!$M$9,2),B1089&lt;'112'!$N$8,$L1089='112'!$I$6)),"x",""))</f>
        <v/>
      </c>
      <c r="T1089" s="22" t="str">
        <f>IF(ISERROR(FIND('112'!$M$9,G1089,1)),"",IF((AND(RIGHT(G1089,2)=RIGHT('112'!$M$9,2),B1089&lt;'112'!$N$8,$M1089='112'!$I$6)),"x",""))</f>
        <v/>
      </c>
      <c r="U1089" s="22" t="str">
        <f>IF(AND(B1089&gt;='IN-NX'!$P$3,B1089&lt;='IN-NX'!$Q$3,'IN-NX'!$D$7=D1089,OR(LEFT(L1089,2)="15",AND(LEFT(M1089,2)&lt;&gt;"15",LEFT(M1089,2)&lt;&gt;"33"))),"x","")</f>
        <v/>
      </c>
      <c r="V1089" s="22" t="str">
        <f>IF(AND(OR(LEFT(TH!L1089,2)="15",LEFT(TH!M1089,2)="15"),'152-CT'!$J$8=TH!F1089),"x","")</f>
        <v/>
      </c>
      <c r="W1089" s="22" t="str">
        <f>IF(AND(OR(LEFT(TH!L1089,2)="15",LEFT(TH!M1089,2)="15"),TK!$E$7=TH!F1089),"x","")</f>
        <v/>
      </c>
      <c r="X1089" s="22" t="str">
        <f>IF(OR(TH!L1089=TH!$X$7,M1089=TH!$X$7),"x","")</f>
        <v/>
      </c>
      <c r="Y1089" s="22" t="str">
        <f>IF(AND(B1089&lt;=NKC!$N$8,B1089&gt;=NKC!$M$8),"x","")</f>
        <v/>
      </c>
      <c r="Z1089" s="580"/>
      <c r="AA1089" s="406"/>
      <c r="AB1089" s="406"/>
    </row>
    <row r="1090" spans="1:31" s="130" customFormat="1" ht="15.75" customHeight="1">
      <c r="A1090" s="123" t="str">
        <f>IF(B1090&lt;&gt;"",IF(AND(B1090&gt;=_TM1,B1090&lt;=_TM2,OR(TH!L1090="1111",TH!M1090="1111")),TH!D1090,""),"")</f>
        <v/>
      </c>
      <c r="B1090" s="12">
        <f t="shared" si="56"/>
        <v>12</v>
      </c>
      <c r="C1090" s="108">
        <f t="shared" si="57"/>
        <v>42724</v>
      </c>
      <c r="D1090" s="113" t="s">
        <v>1073</v>
      </c>
      <c r="E1090" s="484">
        <v>42724</v>
      </c>
      <c r="F1090" s="167" t="s">
        <v>896</v>
      </c>
      <c r="G1090" s="485" t="s">
        <v>895</v>
      </c>
      <c r="H1090" s="115" t="s">
        <v>1074</v>
      </c>
      <c r="I1090" s="139">
        <v>126</v>
      </c>
      <c r="J1090" s="139">
        <v>13086.883323991349</v>
      </c>
      <c r="K1090" s="13">
        <f t="shared" si="55"/>
        <v>1648947</v>
      </c>
      <c r="L1090" s="116" t="s">
        <v>162</v>
      </c>
      <c r="M1090" s="116" t="s">
        <v>160</v>
      </c>
      <c r="N1090" s="22" t="str">
        <f>IF(AND('331-CT'!$E$7=TH!H1090,OR(L1090="331",M1090="331")),"331",IF(AND(OR(L1090="131",M1090="131"),H1090='131-CT'!$E$7),"131",""))</f>
        <v/>
      </c>
      <c r="O1090" s="22" t="str">
        <f>IF(AND($B1090&gt;='111'!$N$11,$B1090&lt;='111'!$O$11,OR($L1090=$O$7,$M1090=$O$7)),"x","")</f>
        <v/>
      </c>
      <c r="P1090" s="22" t="str">
        <f>IF(AND($L1090=$O$7,$B1090&lt;'111'!$N$11),"x","")</f>
        <v/>
      </c>
      <c r="Q1090" s="22" t="str">
        <f>IF(AND($M1090=$O$7,$B1090&lt;'111'!$N$11),"x","")</f>
        <v/>
      </c>
      <c r="R1090" s="22" t="str">
        <f>IF(ISERROR(FIND('112'!$M$9,G1090,1)),"",IF((AND(FIND('112'!$M$9,G1090,1)&gt;=1,$B1090&gt;='112'!$N$8,$B1090&lt;='112'!$O$8,OR($L1090='112'!$I$6,$M1090='112'!$I$6))),"x",""))</f>
        <v/>
      </c>
      <c r="S1090" s="22" t="str">
        <f>IF(ISERROR(FIND('112'!$M$9,G1090,1)),"",IF((AND(LEFT(G1090,2)=LEFT('112'!$M$9,2),B1090&lt;'112'!$N$8,$L1090='112'!$I$6)),"x",""))</f>
        <v/>
      </c>
      <c r="T1090" s="22" t="str">
        <f>IF(ISERROR(FIND('112'!$M$9,G1090,1)),"",IF((AND(RIGHT(G1090,2)=RIGHT('112'!$M$9,2),B1090&lt;'112'!$N$8,$M1090='112'!$I$6)),"x",""))</f>
        <v/>
      </c>
      <c r="U1090" s="22" t="str">
        <f>IF(AND(B1090&gt;='IN-NX'!$P$3,B1090&lt;='IN-NX'!$Q$3,'IN-NX'!$D$7=D1090,OR(LEFT(L1090,2)="15",AND(LEFT(M1090,2)&lt;&gt;"15",LEFT(M1090,2)&lt;&gt;"33"))),"x","")</f>
        <v/>
      </c>
      <c r="V1090" s="22" t="str">
        <f>IF(AND(OR(LEFT(TH!L1090,2)="15",LEFT(TH!M1090,2)="15"),'152-CT'!$J$8=TH!F1090),"x","")</f>
        <v/>
      </c>
      <c r="W1090" s="22" t="str">
        <f>IF(AND(OR(LEFT(TH!L1090,2)="15",LEFT(TH!M1090,2)="15"),TK!$E$7=TH!F1090),"x","")</f>
        <v/>
      </c>
      <c r="X1090" s="22" t="str">
        <f>IF(OR(TH!L1090=TH!$X$7,M1090=TH!$X$7),"x","")</f>
        <v/>
      </c>
      <c r="Y1090" s="22" t="str">
        <f>IF(AND(B1090&lt;=NKC!$N$8,B1090&gt;=NKC!$M$8),"x","")</f>
        <v/>
      </c>
      <c r="Z1090" s="580"/>
      <c r="AA1090" s="406"/>
      <c r="AB1090" s="406"/>
    </row>
    <row r="1091" spans="1:31" s="130" customFormat="1" ht="15.75" customHeight="1">
      <c r="A1091" s="123" t="str">
        <f>IF(B1091&lt;&gt;"",IF(AND(B1091&gt;=_TM1,B1091&lt;=_TM2,OR(TH!L1091="1111",TH!M1091="1111")),TH!D1091,""),"")</f>
        <v/>
      </c>
      <c r="B1091" s="12">
        <f t="shared" si="56"/>
        <v>12</v>
      </c>
      <c r="C1091" s="108">
        <f t="shared" si="57"/>
        <v>42724</v>
      </c>
      <c r="D1091" s="113" t="s">
        <v>1073</v>
      </c>
      <c r="E1091" s="484">
        <v>42724</v>
      </c>
      <c r="F1091" s="167" t="s">
        <v>897</v>
      </c>
      <c r="G1091" s="485" t="s">
        <v>895</v>
      </c>
      <c r="H1091" s="115" t="s">
        <v>1074</v>
      </c>
      <c r="I1091" s="140">
        <v>126</v>
      </c>
      <c r="J1091" s="140">
        <v>684.77877858094269</v>
      </c>
      <c r="K1091" s="13">
        <f t="shared" si="55"/>
        <v>86282</v>
      </c>
      <c r="L1091" s="116" t="s">
        <v>162</v>
      </c>
      <c r="M1091" s="116" t="s">
        <v>160</v>
      </c>
      <c r="N1091" s="22" t="str">
        <f>IF(AND('331-CT'!$E$7=TH!H1091,OR(L1091="331",M1091="331")),"331",IF(AND(OR(L1091="131",M1091="131"),H1091='131-CT'!$E$7),"131",""))</f>
        <v/>
      </c>
      <c r="O1091" s="22" t="str">
        <f>IF(AND($B1091&gt;='111'!$N$11,$B1091&lt;='111'!$O$11,OR($L1091=$O$7,$M1091=$O$7)),"x","")</f>
        <v/>
      </c>
      <c r="P1091" s="22" t="str">
        <f>IF(AND($L1091=$O$7,$B1091&lt;'111'!$N$11),"x","")</f>
        <v/>
      </c>
      <c r="Q1091" s="22" t="str">
        <f>IF(AND($M1091=$O$7,$B1091&lt;'111'!$N$11),"x","")</f>
        <v/>
      </c>
      <c r="R1091" s="22" t="str">
        <f>IF(ISERROR(FIND('112'!$M$9,G1091,1)),"",IF((AND(FIND('112'!$M$9,G1091,1)&gt;=1,$B1091&gt;='112'!$N$8,$B1091&lt;='112'!$O$8,OR($L1091='112'!$I$6,$M1091='112'!$I$6))),"x",""))</f>
        <v/>
      </c>
      <c r="S1091" s="22" t="str">
        <f>IF(ISERROR(FIND('112'!$M$9,G1091,1)),"",IF((AND(LEFT(G1091,2)=LEFT('112'!$M$9,2),B1091&lt;'112'!$N$8,$L1091='112'!$I$6)),"x",""))</f>
        <v/>
      </c>
      <c r="T1091" s="22" t="str">
        <f>IF(ISERROR(FIND('112'!$M$9,G1091,1)),"",IF((AND(RIGHT(G1091,2)=RIGHT('112'!$M$9,2),B1091&lt;'112'!$N$8,$M1091='112'!$I$6)),"x",""))</f>
        <v/>
      </c>
      <c r="U1091" s="22" t="str">
        <f>IF(AND(B1091&gt;='IN-NX'!$P$3,B1091&lt;='IN-NX'!$Q$3,'IN-NX'!$D$7=D1091,OR(LEFT(L1091,2)="15",AND(LEFT(M1091,2)&lt;&gt;"15",LEFT(M1091,2)&lt;&gt;"33"))),"x","")</f>
        <v/>
      </c>
      <c r="V1091" s="22" t="str">
        <f>IF(AND(OR(LEFT(TH!L1091,2)="15",LEFT(TH!M1091,2)="15"),'152-CT'!$J$8=TH!F1091),"x","")</f>
        <v/>
      </c>
      <c r="W1091" s="22" t="str">
        <f>IF(AND(OR(LEFT(TH!L1091,2)="15",LEFT(TH!M1091,2)="15"),TK!$E$7=TH!F1091),"x","")</f>
        <v/>
      </c>
      <c r="X1091" s="22" t="str">
        <f>IF(OR(TH!L1091=TH!$X$7,M1091=TH!$X$7),"x","")</f>
        <v/>
      </c>
      <c r="Y1091" s="22" t="str">
        <f>IF(AND(B1091&lt;=NKC!$N$8,B1091&gt;=NKC!$M$8),"x","")</f>
        <v/>
      </c>
      <c r="Z1091" s="580"/>
      <c r="AA1091" s="406"/>
    </row>
    <row r="1092" spans="1:31" s="130" customFormat="1" ht="15.75" customHeight="1">
      <c r="A1092" s="123" t="str">
        <f>IF(B1092&lt;&gt;"",IF(AND(B1092&gt;=_TM1,B1092&lt;=_TM2,OR(TH!L1092="1111",TH!M1092="1111")),TH!D1092,""),"")</f>
        <v/>
      </c>
      <c r="B1092" s="12">
        <f t="shared" si="56"/>
        <v>12</v>
      </c>
      <c r="C1092" s="108">
        <f t="shared" si="57"/>
        <v>42724</v>
      </c>
      <c r="D1092" s="113" t="s">
        <v>1073</v>
      </c>
      <c r="E1092" s="484">
        <v>42724</v>
      </c>
      <c r="F1092" s="167" t="s">
        <v>813</v>
      </c>
      <c r="G1092" s="485" t="s">
        <v>899</v>
      </c>
      <c r="H1092" s="115" t="s">
        <v>1074</v>
      </c>
      <c r="I1092" s="139">
        <v>2400</v>
      </c>
      <c r="J1092" s="139">
        <v>6391.2686000887979</v>
      </c>
      <c r="K1092" s="13">
        <f t="shared" si="55"/>
        <v>15339045</v>
      </c>
      <c r="L1092" s="116" t="s">
        <v>162</v>
      </c>
      <c r="M1092" s="116" t="s">
        <v>160</v>
      </c>
      <c r="N1092" s="22" t="str">
        <f>IF(AND('331-CT'!$E$7=TH!H1092,OR(L1092="331",M1092="331")),"331",IF(AND(OR(L1092="131",M1092="131"),H1092='131-CT'!$E$7),"131",""))</f>
        <v/>
      </c>
      <c r="O1092" s="22" t="str">
        <f>IF(AND($B1092&gt;='111'!$N$11,$B1092&lt;='111'!$O$11,OR($L1092=$O$7,$M1092=$O$7)),"x","")</f>
        <v/>
      </c>
      <c r="P1092" s="22" t="str">
        <f>IF(AND($L1092=$O$7,$B1092&lt;'111'!$N$11),"x","")</f>
        <v/>
      </c>
      <c r="Q1092" s="22" t="str">
        <f>IF(AND($M1092=$O$7,$B1092&lt;'111'!$N$11),"x","")</f>
        <v/>
      </c>
      <c r="R1092" s="22" t="str">
        <f>IF(ISERROR(FIND('112'!$M$9,G1092,1)),"",IF((AND(FIND('112'!$M$9,G1092,1)&gt;=1,$B1092&gt;='112'!$N$8,$B1092&lt;='112'!$O$8,OR($L1092='112'!$I$6,$M1092='112'!$I$6))),"x",""))</f>
        <v/>
      </c>
      <c r="S1092" s="22" t="str">
        <f>IF(ISERROR(FIND('112'!$M$9,G1092,1)),"",IF((AND(LEFT(G1092,2)=LEFT('112'!$M$9,2),B1092&lt;'112'!$N$8,$L1092='112'!$I$6)),"x",""))</f>
        <v/>
      </c>
      <c r="T1092" s="22" t="str">
        <f>IF(ISERROR(FIND('112'!$M$9,G1092,1)),"",IF((AND(RIGHT(G1092,2)=RIGHT('112'!$M$9,2),B1092&lt;'112'!$N$8,$M1092='112'!$I$6)),"x",""))</f>
        <v/>
      </c>
      <c r="U1092" s="22" t="str">
        <f>IF(AND(B1092&gt;='IN-NX'!$P$3,B1092&lt;='IN-NX'!$Q$3,'IN-NX'!$D$7=D1092,OR(LEFT(L1092,2)="15",AND(LEFT(M1092,2)&lt;&gt;"15",LEFT(M1092,2)&lt;&gt;"33"))),"x","")</f>
        <v/>
      </c>
      <c r="V1092" s="22" t="str">
        <f>IF(AND(OR(LEFT(TH!L1092,2)="15",LEFT(TH!M1092,2)="15"),'152-CT'!$J$8=TH!F1092),"x","")</f>
        <v/>
      </c>
      <c r="W1092" s="22" t="str">
        <f>IF(AND(OR(LEFT(TH!L1092,2)="15",LEFT(TH!M1092,2)="15"),TK!$E$7=TH!F1092),"x","")</f>
        <v/>
      </c>
      <c r="X1092" s="22" t="str">
        <f>IF(OR(TH!L1092=TH!$X$7,M1092=TH!$X$7),"x","")</f>
        <v/>
      </c>
      <c r="Y1092" s="22" t="str">
        <f>IF(AND(B1092&lt;=NKC!$N$8,B1092&gt;=NKC!$M$8),"x","")</f>
        <v/>
      </c>
      <c r="Z1092" s="580"/>
      <c r="AA1092" s="406"/>
      <c r="AB1092" s="406"/>
    </row>
    <row r="1093" spans="1:31" s="130" customFormat="1" ht="15.75" customHeight="1">
      <c r="A1093" s="123" t="str">
        <f>IF(B1093&lt;&gt;"",IF(AND(B1093&gt;=_TM1,B1093&lt;=_TM2,OR(TH!L1093="1111",TH!M1093="1111")),TH!D1093,""),"")</f>
        <v/>
      </c>
      <c r="B1093" s="12">
        <f t="shared" si="56"/>
        <v>12</v>
      </c>
      <c r="C1093" s="108">
        <f t="shared" si="57"/>
        <v>42725</v>
      </c>
      <c r="D1093" s="113" t="s">
        <v>1073</v>
      </c>
      <c r="E1093" s="484">
        <v>42725</v>
      </c>
      <c r="F1093" s="167" t="s">
        <v>813</v>
      </c>
      <c r="G1093" s="485" t="s">
        <v>900</v>
      </c>
      <c r="H1093" s="115" t="s">
        <v>1074</v>
      </c>
      <c r="I1093" s="139">
        <v>2400</v>
      </c>
      <c r="J1093" s="139">
        <v>6391.2686000887979</v>
      </c>
      <c r="K1093" s="13">
        <f t="shared" si="55"/>
        <v>15339045</v>
      </c>
      <c r="L1093" s="116" t="s">
        <v>162</v>
      </c>
      <c r="M1093" s="116" t="s">
        <v>160</v>
      </c>
      <c r="N1093" s="22" t="str">
        <f>IF(AND('331-CT'!$E$7=TH!H1093,OR(L1093="331",M1093="331")),"331",IF(AND(OR(L1093="131",M1093="131"),H1093='131-CT'!$E$7),"131",""))</f>
        <v/>
      </c>
      <c r="O1093" s="22" t="str">
        <f>IF(AND($B1093&gt;='111'!$N$11,$B1093&lt;='111'!$O$11,OR($L1093=$O$7,$M1093=$O$7)),"x","")</f>
        <v/>
      </c>
      <c r="P1093" s="22" t="str">
        <f>IF(AND($L1093=$O$7,$B1093&lt;'111'!$N$11),"x","")</f>
        <v/>
      </c>
      <c r="Q1093" s="22" t="str">
        <f>IF(AND($M1093=$O$7,$B1093&lt;'111'!$N$11),"x","")</f>
        <v/>
      </c>
      <c r="R1093" s="22" t="str">
        <f>IF(ISERROR(FIND('112'!$M$9,G1093,1)),"",IF((AND(FIND('112'!$M$9,G1093,1)&gt;=1,$B1093&gt;='112'!$N$8,$B1093&lt;='112'!$O$8,OR($L1093='112'!$I$6,$M1093='112'!$I$6))),"x",""))</f>
        <v/>
      </c>
      <c r="S1093" s="22" t="str">
        <f>IF(ISERROR(FIND('112'!$M$9,G1093,1)),"",IF((AND(LEFT(G1093,2)=LEFT('112'!$M$9,2),B1093&lt;'112'!$N$8,$L1093='112'!$I$6)),"x",""))</f>
        <v/>
      </c>
      <c r="T1093" s="22" t="str">
        <f>IF(ISERROR(FIND('112'!$M$9,G1093,1)),"",IF((AND(RIGHT(G1093,2)=RIGHT('112'!$M$9,2),B1093&lt;'112'!$N$8,$M1093='112'!$I$6)),"x",""))</f>
        <v/>
      </c>
      <c r="U1093" s="22" t="str">
        <f>IF(AND(B1093&gt;='IN-NX'!$P$3,B1093&lt;='IN-NX'!$Q$3,'IN-NX'!$D$7=D1093,OR(LEFT(L1093,2)="15",AND(LEFT(M1093,2)&lt;&gt;"15",LEFT(M1093,2)&lt;&gt;"33"))),"x","")</f>
        <v/>
      </c>
      <c r="V1093" s="22" t="str">
        <f>IF(AND(OR(LEFT(TH!L1093,2)="15",LEFT(TH!M1093,2)="15"),'152-CT'!$J$8=TH!F1093),"x","")</f>
        <v/>
      </c>
      <c r="W1093" s="22" t="str">
        <f>IF(AND(OR(LEFT(TH!L1093,2)="15",LEFT(TH!M1093,2)="15"),TK!$E$7=TH!F1093),"x","")</f>
        <v/>
      </c>
      <c r="X1093" s="22" t="str">
        <f>IF(OR(TH!L1093=TH!$X$7,M1093=TH!$X$7),"x","")</f>
        <v/>
      </c>
      <c r="Y1093" s="22" t="str">
        <f>IF(AND(B1093&lt;=NKC!$N$8,B1093&gt;=NKC!$M$8),"x","")</f>
        <v/>
      </c>
      <c r="Z1093" s="580"/>
      <c r="AA1093" s="406"/>
      <c r="AB1093" s="406"/>
    </row>
    <row r="1094" spans="1:31" s="130" customFormat="1" ht="15.75" customHeight="1">
      <c r="A1094" s="123" t="str">
        <f>IF(B1094&lt;&gt;"",IF(AND(B1094&gt;=_TM1,B1094&lt;=_TM2,OR(TH!L1094="1111",TH!M1094="1111")),TH!D1094,""),"")</f>
        <v/>
      </c>
      <c r="B1094" s="12">
        <f t="shared" si="56"/>
        <v>12</v>
      </c>
      <c r="C1094" s="108">
        <f t="shared" si="57"/>
        <v>42726</v>
      </c>
      <c r="D1094" s="113" t="s">
        <v>1073</v>
      </c>
      <c r="E1094" s="484">
        <v>42726</v>
      </c>
      <c r="F1094" s="167" t="s">
        <v>902</v>
      </c>
      <c r="G1094" s="485" t="s">
        <v>901</v>
      </c>
      <c r="H1094" s="115" t="s">
        <v>1074</v>
      </c>
      <c r="I1094" s="140">
        <v>285</v>
      </c>
      <c r="J1094" s="140">
        <v>9891.2490239469498</v>
      </c>
      <c r="K1094" s="13">
        <f t="shared" si="55"/>
        <v>2819006</v>
      </c>
      <c r="L1094" s="116" t="s">
        <v>162</v>
      </c>
      <c r="M1094" s="116" t="s">
        <v>160</v>
      </c>
      <c r="N1094" s="22" t="str">
        <f>IF(AND('331-CT'!$E$7=TH!H1094,OR(L1094="331",M1094="331")),"331",IF(AND(OR(L1094="131",M1094="131"),H1094='131-CT'!$E$7),"131",""))</f>
        <v/>
      </c>
      <c r="O1094" s="22" t="str">
        <f>IF(AND($B1094&gt;='111'!$N$11,$B1094&lt;='111'!$O$11,OR($L1094=$O$7,$M1094=$O$7)),"x","")</f>
        <v/>
      </c>
      <c r="P1094" s="22" t="str">
        <f>IF(AND($L1094=$O$7,$B1094&lt;'111'!$N$11),"x","")</f>
        <v/>
      </c>
      <c r="Q1094" s="22" t="str">
        <f>IF(AND($M1094=$O$7,$B1094&lt;'111'!$N$11),"x","")</f>
        <v/>
      </c>
      <c r="R1094" s="22" t="str">
        <f>IF(ISERROR(FIND('112'!$M$9,G1094,1)),"",IF((AND(FIND('112'!$M$9,G1094,1)&gt;=1,$B1094&gt;='112'!$N$8,$B1094&lt;='112'!$O$8,OR($L1094='112'!$I$6,$M1094='112'!$I$6))),"x",""))</f>
        <v/>
      </c>
      <c r="S1094" s="22" t="str">
        <f>IF(ISERROR(FIND('112'!$M$9,G1094,1)),"",IF((AND(LEFT(G1094,2)=LEFT('112'!$M$9,2),B1094&lt;'112'!$N$8,$L1094='112'!$I$6)),"x",""))</f>
        <v/>
      </c>
      <c r="T1094" s="22" t="str">
        <f>IF(ISERROR(FIND('112'!$M$9,G1094,1)),"",IF((AND(RIGHT(G1094,2)=RIGHT('112'!$M$9,2),B1094&lt;'112'!$N$8,$M1094='112'!$I$6)),"x",""))</f>
        <v/>
      </c>
      <c r="U1094" s="22" t="str">
        <f>IF(AND(B1094&gt;='IN-NX'!$P$3,B1094&lt;='IN-NX'!$Q$3,'IN-NX'!$D$7=D1094,OR(LEFT(L1094,2)="15",AND(LEFT(M1094,2)&lt;&gt;"15",LEFT(M1094,2)&lt;&gt;"33"))),"x","")</f>
        <v/>
      </c>
      <c r="V1094" s="22" t="str">
        <f>IF(AND(OR(LEFT(TH!L1094,2)="15",LEFT(TH!M1094,2)="15"),'152-CT'!$J$8=TH!F1094),"x","")</f>
        <v/>
      </c>
      <c r="W1094" s="22" t="str">
        <f>IF(AND(OR(LEFT(TH!L1094,2)="15",LEFT(TH!M1094,2)="15"),TK!$E$7=TH!F1094),"x","")</f>
        <v/>
      </c>
      <c r="X1094" s="22" t="str">
        <f>IF(OR(TH!L1094=TH!$X$7,M1094=TH!$X$7),"x","")</f>
        <v/>
      </c>
      <c r="Y1094" s="22" t="str">
        <f>IF(AND(B1094&lt;=NKC!$N$8,B1094&gt;=NKC!$M$8),"x","")</f>
        <v/>
      </c>
      <c r="Z1094" s="580"/>
      <c r="AA1094" s="406"/>
    </row>
    <row r="1095" spans="1:31" s="130" customFormat="1" ht="15.75" customHeight="1">
      <c r="A1095" s="123" t="str">
        <f>IF(B1095&lt;&gt;"",IF(AND(B1095&gt;=_TM1,B1095&lt;=_TM2,OR(TH!L1095="1111",TH!M1095="1111")),TH!D1095,""),"")</f>
        <v/>
      </c>
      <c r="B1095" s="12">
        <f t="shared" si="56"/>
        <v>12</v>
      </c>
      <c r="C1095" s="108">
        <f t="shared" si="57"/>
        <v>42726</v>
      </c>
      <c r="D1095" s="113" t="s">
        <v>1073</v>
      </c>
      <c r="E1095" s="484">
        <v>42726</v>
      </c>
      <c r="F1095" s="167" t="s">
        <v>903</v>
      </c>
      <c r="G1095" s="485" t="s">
        <v>901</v>
      </c>
      <c r="H1095" s="115" t="s">
        <v>1074</v>
      </c>
      <c r="I1095" s="139">
        <v>110</v>
      </c>
      <c r="J1095" s="139">
        <v>9434.7298382263216</v>
      </c>
      <c r="K1095" s="13">
        <f t="shared" si="55"/>
        <v>1037820</v>
      </c>
      <c r="L1095" s="116" t="s">
        <v>162</v>
      </c>
      <c r="M1095" s="116" t="s">
        <v>160</v>
      </c>
      <c r="N1095" s="22" t="str">
        <f>IF(AND('331-CT'!$E$7=TH!H1095,OR(L1095="331",M1095="331")),"331",IF(AND(OR(L1095="131",M1095="131"),H1095='131-CT'!$E$7),"131",""))</f>
        <v/>
      </c>
      <c r="O1095" s="22" t="str">
        <f>IF(AND($B1095&gt;='111'!$N$11,$B1095&lt;='111'!$O$11,OR($L1095=$O$7,$M1095=$O$7)),"x","")</f>
        <v/>
      </c>
      <c r="P1095" s="22" t="str">
        <f>IF(AND($L1095=$O$7,$B1095&lt;'111'!$N$11),"x","")</f>
        <v/>
      </c>
      <c r="Q1095" s="22" t="str">
        <f>IF(AND($M1095=$O$7,$B1095&lt;'111'!$N$11),"x","")</f>
        <v/>
      </c>
      <c r="R1095" s="22" t="str">
        <f>IF(ISERROR(FIND('112'!$M$9,G1095,1)),"",IF((AND(FIND('112'!$M$9,G1095,1)&gt;=1,$B1095&gt;='112'!$N$8,$B1095&lt;='112'!$O$8,OR($L1095='112'!$I$6,$M1095='112'!$I$6))),"x",""))</f>
        <v/>
      </c>
      <c r="S1095" s="22" t="str">
        <f>IF(ISERROR(FIND('112'!$M$9,G1095,1)),"",IF((AND(LEFT(G1095,2)=LEFT('112'!$M$9,2),B1095&lt;'112'!$N$8,$L1095='112'!$I$6)),"x",""))</f>
        <v/>
      </c>
      <c r="T1095" s="22" t="str">
        <f>IF(ISERROR(FIND('112'!$M$9,G1095,1)),"",IF((AND(RIGHT(G1095,2)=RIGHT('112'!$M$9,2),B1095&lt;'112'!$N$8,$M1095='112'!$I$6)),"x",""))</f>
        <v/>
      </c>
      <c r="U1095" s="22" t="str">
        <f>IF(AND(B1095&gt;='IN-NX'!$P$3,B1095&lt;='IN-NX'!$Q$3,'IN-NX'!$D$7=D1095,OR(LEFT(L1095,2)="15",AND(LEFT(M1095,2)&lt;&gt;"15",LEFT(M1095,2)&lt;&gt;"33"))),"x","")</f>
        <v/>
      </c>
      <c r="V1095" s="22" t="str">
        <f>IF(AND(OR(LEFT(TH!L1095,2)="15",LEFT(TH!M1095,2)="15"),'152-CT'!$J$8=TH!F1095),"x","")</f>
        <v/>
      </c>
      <c r="W1095" s="22" t="str">
        <f>IF(AND(OR(LEFT(TH!L1095,2)="15",LEFT(TH!M1095,2)="15"),TK!$E$7=TH!F1095),"x","")</f>
        <v/>
      </c>
      <c r="X1095" s="22" t="str">
        <f>IF(OR(TH!L1095=TH!$X$7,M1095=TH!$X$7),"x","")</f>
        <v/>
      </c>
      <c r="Y1095" s="22" t="str">
        <f>IF(AND(B1095&lt;=NKC!$N$8,B1095&gt;=NKC!$M$8),"x","")</f>
        <v/>
      </c>
      <c r="Z1095" s="580"/>
      <c r="AA1095" s="406"/>
      <c r="AB1095" s="406"/>
    </row>
    <row r="1096" spans="1:31" s="130" customFormat="1" ht="15.75" customHeight="1">
      <c r="A1096" s="123" t="str">
        <f>IF(B1096&lt;&gt;"",IF(AND(B1096&gt;=_TM1,B1096&lt;=_TM2,OR(TH!L1096="1111",TH!M1096="1111")),TH!D1096,""),"")</f>
        <v/>
      </c>
      <c r="B1096" s="12">
        <f t="shared" si="56"/>
        <v>12</v>
      </c>
      <c r="C1096" s="108">
        <f t="shared" si="57"/>
        <v>42726</v>
      </c>
      <c r="D1096" s="113" t="s">
        <v>1073</v>
      </c>
      <c r="E1096" s="484">
        <v>42726</v>
      </c>
      <c r="F1096" s="167" t="s">
        <v>904</v>
      </c>
      <c r="G1096" s="485" t="s">
        <v>901</v>
      </c>
      <c r="H1096" s="115" t="s">
        <v>1074</v>
      </c>
      <c r="I1096" s="140">
        <v>160</v>
      </c>
      <c r="J1096" s="140">
        <v>9739.075962040075</v>
      </c>
      <c r="K1096" s="13">
        <f t="shared" si="55"/>
        <v>1558252</v>
      </c>
      <c r="L1096" s="116" t="s">
        <v>162</v>
      </c>
      <c r="M1096" s="116" t="s">
        <v>160</v>
      </c>
      <c r="N1096" s="22" t="str">
        <f>IF(AND('331-CT'!$E$7=TH!H1096,OR(L1096="331",M1096="331")),"331",IF(AND(OR(L1096="131",M1096="131"),H1096='131-CT'!$E$7),"131",""))</f>
        <v/>
      </c>
      <c r="O1096" s="22" t="str">
        <f>IF(AND($B1096&gt;='111'!$N$11,$B1096&lt;='111'!$O$11,OR($L1096=$O$7,$M1096=$O$7)),"x","")</f>
        <v/>
      </c>
      <c r="P1096" s="22" t="str">
        <f>IF(AND($L1096=$O$7,$B1096&lt;'111'!$N$11),"x","")</f>
        <v/>
      </c>
      <c r="Q1096" s="22" t="str">
        <f>IF(AND($M1096=$O$7,$B1096&lt;'111'!$N$11),"x","")</f>
        <v/>
      </c>
      <c r="R1096" s="22" t="str">
        <f>IF(ISERROR(FIND('112'!$M$9,G1096,1)),"",IF((AND(FIND('112'!$M$9,G1096,1)&gt;=1,$B1096&gt;='112'!$N$8,$B1096&lt;='112'!$O$8,OR($L1096='112'!$I$6,$M1096='112'!$I$6))),"x",""))</f>
        <v/>
      </c>
      <c r="S1096" s="22" t="str">
        <f>IF(ISERROR(FIND('112'!$M$9,G1096,1)),"",IF((AND(LEFT(G1096,2)=LEFT('112'!$M$9,2),B1096&lt;'112'!$N$8,$L1096='112'!$I$6)),"x",""))</f>
        <v/>
      </c>
      <c r="T1096" s="22" t="str">
        <f>IF(ISERROR(FIND('112'!$M$9,G1096,1)),"",IF((AND(RIGHT(G1096,2)=RIGHT('112'!$M$9,2),B1096&lt;'112'!$N$8,$M1096='112'!$I$6)),"x",""))</f>
        <v/>
      </c>
      <c r="U1096" s="22" t="str">
        <f>IF(AND(B1096&gt;='IN-NX'!$P$3,B1096&lt;='IN-NX'!$Q$3,'IN-NX'!$D$7=D1096,OR(LEFT(L1096,2)="15",AND(LEFT(M1096,2)&lt;&gt;"15",LEFT(M1096,2)&lt;&gt;"33"))),"x","")</f>
        <v/>
      </c>
      <c r="V1096" s="22" t="str">
        <f>IF(AND(OR(LEFT(TH!L1096,2)="15",LEFT(TH!M1096,2)="15"),'152-CT'!$J$8=TH!F1096),"x","")</f>
        <v/>
      </c>
      <c r="W1096" s="22" t="str">
        <f>IF(AND(OR(LEFT(TH!L1096,2)="15",LEFT(TH!M1096,2)="15"),TK!$E$7=TH!F1096),"x","")</f>
        <v/>
      </c>
      <c r="X1096" s="22" t="str">
        <f>IF(OR(TH!L1096=TH!$X$7,M1096=TH!$X$7),"x","")</f>
        <v/>
      </c>
      <c r="Y1096" s="22" t="str">
        <f>IF(AND(B1096&lt;=NKC!$N$8,B1096&gt;=NKC!$M$8),"x","")</f>
        <v/>
      </c>
      <c r="Z1096" s="580"/>
      <c r="AA1096" s="406"/>
    </row>
    <row r="1097" spans="1:31" s="130" customFormat="1" ht="15.75" customHeight="1">
      <c r="A1097" s="123" t="str">
        <f>IF(B1097&lt;&gt;"",IF(AND(B1097&gt;=_TM1,B1097&lt;=_TM2,OR(TH!L1097="1111",TH!M1097="1111")),TH!D1097,""),"")</f>
        <v/>
      </c>
      <c r="B1097" s="12">
        <f t="shared" si="56"/>
        <v>12</v>
      </c>
      <c r="C1097" s="108">
        <f t="shared" si="57"/>
        <v>42726</v>
      </c>
      <c r="D1097" s="113" t="s">
        <v>1073</v>
      </c>
      <c r="E1097" s="484">
        <v>42726</v>
      </c>
      <c r="F1097" s="167" t="s">
        <v>501</v>
      </c>
      <c r="G1097" s="485" t="s">
        <v>901</v>
      </c>
      <c r="H1097" s="115" t="s">
        <v>1074</v>
      </c>
      <c r="I1097" s="139">
        <v>550</v>
      </c>
      <c r="J1097" s="139">
        <v>10195.595147760703</v>
      </c>
      <c r="K1097" s="13">
        <f t="shared" si="55"/>
        <v>5607577</v>
      </c>
      <c r="L1097" s="116" t="s">
        <v>162</v>
      </c>
      <c r="M1097" s="116" t="s">
        <v>160</v>
      </c>
      <c r="N1097" s="22" t="str">
        <f>IF(AND('331-CT'!$E$7=TH!H1097,OR(L1097="331",M1097="331")),"331",IF(AND(OR(L1097="131",M1097="131"),H1097='131-CT'!$E$7),"131",""))</f>
        <v/>
      </c>
      <c r="O1097" s="22" t="str">
        <f>IF(AND($B1097&gt;='111'!$N$11,$B1097&lt;='111'!$O$11,OR($L1097=$O$7,$M1097=$O$7)),"x","")</f>
        <v/>
      </c>
      <c r="P1097" s="22" t="str">
        <f>IF(AND($L1097=$O$7,$B1097&lt;'111'!$N$11),"x","")</f>
        <v/>
      </c>
      <c r="Q1097" s="22" t="str">
        <f>IF(AND($M1097=$O$7,$B1097&lt;'111'!$N$11),"x","")</f>
        <v/>
      </c>
      <c r="R1097" s="22" t="str">
        <f>IF(ISERROR(FIND('112'!$M$9,G1097,1)),"",IF((AND(FIND('112'!$M$9,G1097,1)&gt;=1,$B1097&gt;='112'!$N$8,$B1097&lt;='112'!$O$8,OR($L1097='112'!$I$6,$M1097='112'!$I$6))),"x",""))</f>
        <v/>
      </c>
      <c r="S1097" s="22" t="str">
        <f>IF(ISERROR(FIND('112'!$M$9,G1097,1)),"",IF((AND(LEFT(G1097,2)=LEFT('112'!$M$9,2),B1097&lt;'112'!$N$8,$L1097='112'!$I$6)),"x",""))</f>
        <v/>
      </c>
      <c r="T1097" s="22" t="str">
        <f>IF(ISERROR(FIND('112'!$M$9,G1097,1)),"",IF((AND(RIGHT(G1097,2)=RIGHT('112'!$M$9,2),B1097&lt;'112'!$N$8,$M1097='112'!$I$6)),"x",""))</f>
        <v/>
      </c>
      <c r="U1097" s="22" t="str">
        <f>IF(AND(B1097&gt;='IN-NX'!$P$3,B1097&lt;='IN-NX'!$Q$3,'IN-NX'!$D$7=D1097,OR(LEFT(L1097,2)="15",AND(LEFT(M1097,2)&lt;&gt;"15",LEFT(M1097,2)&lt;&gt;"33"))),"x","")</f>
        <v/>
      </c>
      <c r="V1097" s="22" t="str">
        <f>IF(AND(OR(LEFT(TH!L1097,2)="15",LEFT(TH!M1097,2)="15"),'152-CT'!$J$8=TH!F1097),"x","")</f>
        <v/>
      </c>
      <c r="W1097" s="22" t="str">
        <f>IF(AND(OR(LEFT(TH!L1097,2)="15",LEFT(TH!M1097,2)="15"),TK!$E$7=TH!F1097),"x","")</f>
        <v/>
      </c>
      <c r="X1097" s="22" t="str">
        <f>IF(OR(TH!L1097=TH!$X$7,M1097=TH!$X$7),"x","")</f>
        <v/>
      </c>
      <c r="Y1097" s="22" t="str">
        <f>IF(AND(B1097&lt;=NKC!$N$8,B1097&gt;=NKC!$M$8),"x","")</f>
        <v/>
      </c>
      <c r="Z1097" s="580"/>
      <c r="AA1097" s="406"/>
      <c r="AB1097" s="406"/>
    </row>
    <row r="1098" spans="1:31" s="130" customFormat="1" ht="15.75" customHeight="1">
      <c r="A1098" s="123" t="str">
        <f>IF(B1098&lt;&gt;"",IF(AND(B1098&gt;=_TM1,B1098&lt;=_TM2,OR(TH!L1098="1111",TH!M1098="1111")),TH!D1098,""),"")</f>
        <v/>
      </c>
      <c r="B1098" s="12">
        <f t="shared" si="56"/>
        <v>12</v>
      </c>
      <c r="C1098" s="108">
        <f t="shared" si="57"/>
        <v>42726</v>
      </c>
      <c r="D1098" s="113" t="s">
        <v>1073</v>
      </c>
      <c r="E1098" s="484">
        <v>42726</v>
      </c>
      <c r="F1098" s="167" t="s">
        <v>906</v>
      </c>
      <c r="G1098" s="485" t="s">
        <v>905</v>
      </c>
      <c r="H1098" s="115" t="s">
        <v>1074</v>
      </c>
      <c r="I1098" s="139">
        <v>275</v>
      </c>
      <c r="J1098" s="139">
        <v>12630.364138270721</v>
      </c>
      <c r="K1098" s="13">
        <f t="shared" si="55"/>
        <v>3473350</v>
      </c>
      <c r="L1098" s="116" t="s">
        <v>162</v>
      </c>
      <c r="M1098" s="116" t="s">
        <v>160</v>
      </c>
      <c r="N1098" s="22" t="str">
        <f>IF(AND('331-CT'!$E$7=TH!H1098,OR(L1098="331",M1098="331")),"331",IF(AND(OR(L1098="131",M1098="131"),H1098='131-CT'!$E$7),"131",""))</f>
        <v/>
      </c>
      <c r="O1098" s="22" t="str">
        <f>IF(AND($B1098&gt;='111'!$N$11,$B1098&lt;='111'!$O$11,OR($L1098=$O$7,$M1098=$O$7)),"x","")</f>
        <v/>
      </c>
      <c r="P1098" s="22" t="str">
        <f>IF(AND($L1098=$O$7,$B1098&lt;'111'!$N$11),"x","")</f>
        <v/>
      </c>
      <c r="Q1098" s="22" t="str">
        <f>IF(AND($M1098=$O$7,$B1098&lt;'111'!$N$11),"x","")</f>
        <v/>
      </c>
      <c r="R1098" s="22" t="str">
        <f>IF(ISERROR(FIND('112'!$M$9,G1098,1)),"",IF((AND(FIND('112'!$M$9,G1098,1)&gt;=1,$B1098&gt;='112'!$N$8,$B1098&lt;='112'!$O$8,OR($L1098='112'!$I$6,$M1098='112'!$I$6))),"x",""))</f>
        <v/>
      </c>
      <c r="S1098" s="22" t="str">
        <f>IF(ISERROR(FIND('112'!$M$9,G1098,1)),"",IF((AND(LEFT(G1098,2)=LEFT('112'!$M$9,2),B1098&lt;'112'!$N$8,$L1098='112'!$I$6)),"x",""))</f>
        <v/>
      </c>
      <c r="T1098" s="22" t="str">
        <f>IF(ISERROR(FIND('112'!$M$9,G1098,1)),"",IF((AND(RIGHT(G1098,2)=RIGHT('112'!$M$9,2),B1098&lt;'112'!$N$8,$M1098='112'!$I$6)),"x",""))</f>
        <v/>
      </c>
      <c r="U1098" s="22" t="str">
        <f>IF(AND(B1098&gt;='IN-NX'!$P$3,B1098&lt;='IN-NX'!$Q$3,'IN-NX'!$D$7=D1098,OR(LEFT(L1098,2)="15",AND(LEFT(M1098,2)&lt;&gt;"15",LEFT(M1098,2)&lt;&gt;"33"))),"x","")</f>
        <v/>
      </c>
      <c r="V1098" s="22" t="str">
        <f>IF(AND(OR(LEFT(TH!L1098,2)="15",LEFT(TH!M1098,2)="15"),'152-CT'!$J$8=TH!F1098),"x","")</f>
        <v/>
      </c>
      <c r="W1098" s="22" t="str">
        <f>IF(AND(OR(LEFT(TH!L1098,2)="15",LEFT(TH!M1098,2)="15"),TK!$E$7=TH!F1098),"x","")</f>
        <v/>
      </c>
      <c r="X1098" s="22" t="str">
        <f>IF(OR(TH!L1098=TH!$X$7,M1098=TH!$X$7),"x","")</f>
        <v/>
      </c>
      <c r="Y1098" s="22" t="str">
        <f>IF(AND(B1098&lt;=NKC!$N$8,B1098&gt;=NKC!$M$8),"x","")</f>
        <v/>
      </c>
      <c r="Z1098" s="580"/>
      <c r="AA1098" s="406"/>
      <c r="AB1098" s="406"/>
    </row>
    <row r="1099" spans="1:31" s="130" customFormat="1" ht="15.75" customHeight="1">
      <c r="A1099" s="123" t="str">
        <f>IF(B1099&lt;&gt;"",IF(AND(B1099&gt;=_TM1,B1099&lt;=_TM2,OR(TH!L1099="1111",TH!M1099="1111")),TH!D1099,""),"")</f>
        <v/>
      </c>
      <c r="B1099" s="12">
        <f t="shared" si="56"/>
        <v>12</v>
      </c>
      <c r="C1099" s="108">
        <f t="shared" si="57"/>
        <v>42726</v>
      </c>
      <c r="D1099" s="113" t="s">
        <v>1073</v>
      </c>
      <c r="E1099" s="484">
        <v>42726</v>
      </c>
      <c r="F1099" s="167" t="s">
        <v>907</v>
      </c>
      <c r="G1099" s="485" t="s">
        <v>905</v>
      </c>
      <c r="H1099" s="115" t="s">
        <v>1074</v>
      </c>
      <c r="I1099" s="139">
        <v>66</v>
      </c>
      <c r="J1099" s="139">
        <v>10728.200864434768</v>
      </c>
      <c r="K1099" s="13">
        <f t="shared" si="55"/>
        <v>708061</v>
      </c>
      <c r="L1099" s="116" t="s">
        <v>162</v>
      </c>
      <c r="M1099" s="116" t="s">
        <v>160</v>
      </c>
      <c r="N1099" s="22" t="str">
        <f>IF(AND('331-CT'!$E$7=TH!H1099,OR(L1099="331",M1099="331")),"331",IF(AND(OR(L1099="131",M1099="131"),H1099='131-CT'!$E$7),"131",""))</f>
        <v/>
      </c>
      <c r="O1099" s="22" t="str">
        <f>IF(AND($B1099&gt;='111'!$N$11,$B1099&lt;='111'!$O$11,OR($L1099=$O$7,$M1099=$O$7)),"x","")</f>
        <v/>
      </c>
      <c r="P1099" s="22" t="str">
        <f>IF(AND($L1099=$O$7,$B1099&lt;'111'!$N$11),"x","")</f>
        <v/>
      </c>
      <c r="Q1099" s="22" t="str">
        <f>IF(AND($M1099=$O$7,$B1099&lt;'111'!$N$11),"x","")</f>
        <v/>
      </c>
      <c r="R1099" s="22" t="str">
        <f>IF(ISERROR(FIND('112'!$M$9,G1099,1)),"",IF((AND(FIND('112'!$M$9,G1099,1)&gt;=1,$B1099&gt;='112'!$N$8,$B1099&lt;='112'!$O$8,OR($L1099='112'!$I$6,$M1099='112'!$I$6))),"x",""))</f>
        <v/>
      </c>
      <c r="S1099" s="22" t="str">
        <f>IF(ISERROR(FIND('112'!$M$9,G1099,1)),"",IF((AND(LEFT(G1099,2)=LEFT('112'!$M$9,2),B1099&lt;'112'!$N$8,$L1099='112'!$I$6)),"x",""))</f>
        <v/>
      </c>
      <c r="T1099" s="22" t="str">
        <f>IF(ISERROR(FIND('112'!$M$9,G1099,1)),"",IF((AND(RIGHT(G1099,2)=RIGHT('112'!$M$9,2),B1099&lt;'112'!$N$8,$M1099='112'!$I$6)),"x",""))</f>
        <v/>
      </c>
      <c r="U1099" s="22" t="str">
        <f>IF(AND(B1099&gt;='IN-NX'!$P$3,B1099&lt;='IN-NX'!$Q$3,'IN-NX'!$D$7=D1099,OR(LEFT(L1099,2)="15",AND(LEFT(M1099,2)&lt;&gt;"15",LEFT(M1099,2)&lt;&gt;"33"))),"x","")</f>
        <v/>
      </c>
      <c r="V1099" s="22" t="str">
        <f>IF(AND(OR(LEFT(TH!L1099,2)="15",LEFT(TH!M1099,2)="15"),'152-CT'!$J$8=TH!F1099),"x","")</f>
        <v/>
      </c>
      <c r="W1099" s="22" t="str">
        <f>IF(AND(OR(LEFT(TH!L1099,2)="15",LEFT(TH!M1099,2)="15"),TK!$E$7=TH!F1099),"x","")</f>
        <v/>
      </c>
      <c r="X1099" s="22" t="str">
        <f>IF(OR(TH!L1099=TH!$X$7,M1099=TH!$X$7),"x","")</f>
        <v/>
      </c>
      <c r="Y1099" s="22" t="str">
        <f>IF(AND(B1099&lt;=NKC!$N$8,B1099&gt;=NKC!$M$8),"x","")</f>
        <v/>
      </c>
      <c r="Z1099" s="580"/>
      <c r="AA1099" s="406"/>
    </row>
    <row r="1100" spans="1:31" s="130" customFormat="1" ht="15.75" customHeight="1">
      <c r="A1100" s="123" t="str">
        <f>IF(B1100&lt;&gt;"",IF(AND(B1100&gt;=_TM1,B1100&lt;=_TM2,OR(TH!L1100="1111",TH!M1100="1111")),TH!D1100,""),"")</f>
        <v/>
      </c>
      <c r="B1100" s="12">
        <f t="shared" si="56"/>
        <v>12</v>
      </c>
      <c r="C1100" s="108">
        <f t="shared" si="57"/>
        <v>42726</v>
      </c>
      <c r="D1100" s="113" t="s">
        <v>1073</v>
      </c>
      <c r="E1100" s="484">
        <v>42726</v>
      </c>
      <c r="F1100" s="167" t="s">
        <v>501</v>
      </c>
      <c r="G1100" s="485" t="s">
        <v>905</v>
      </c>
      <c r="H1100" s="115" t="s">
        <v>1074</v>
      </c>
      <c r="I1100" s="139">
        <v>165</v>
      </c>
      <c r="J1100" s="139">
        <v>10195.595147760703</v>
      </c>
      <c r="K1100" s="13">
        <f t="shared" si="55"/>
        <v>1682273</v>
      </c>
      <c r="L1100" s="116" t="s">
        <v>162</v>
      </c>
      <c r="M1100" s="116" t="s">
        <v>160</v>
      </c>
      <c r="N1100" s="22" t="str">
        <f>IF(AND('331-CT'!$E$7=TH!H1100,OR(L1100="331",M1100="331")),"331",IF(AND(OR(L1100="131",M1100="131"),H1100='131-CT'!$E$7),"131",""))</f>
        <v/>
      </c>
      <c r="O1100" s="22" t="str">
        <f>IF(AND($B1100&gt;='111'!$N$11,$B1100&lt;='111'!$O$11,OR($L1100=$O$7,$M1100=$O$7)),"x","")</f>
        <v/>
      </c>
      <c r="P1100" s="22" t="str">
        <f>IF(AND($L1100=$O$7,$B1100&lt;'111'!$N$11),"x","")</f>
        <v/>
      </c>
      <c r="Q1100" s="22" t="str">
        <f>IF(AND($M1100=$O$7,$B1100&lt;'111'!$N$11),"x","")</f>
        <v/>
      </c>
      <c r="R1100" s="22" t="str">
        <f>IF(ISERROR(FIND('112'!$M$9,G1100,1)),"",IF((AND(FIND('112'!$M$9,G1100,1)&gt;=1,$B1100&gt;='112'!$N$8,$B1100&lt;='112'!$O$8,OR($L1100='112'!$I$6,$M1100='112'!$I$6))),"x",""))</f>
        <v/>
      </c>
      <c r="S1100" s="22" t="str">
        <f>IF(ISERROR(FIND('112'!$M$9,G1100,1)),"",IF((AND(LEFT(G1100,2)=LEFT('112'!$M$9,2),B1100&lt;'112'!$N$8,$L1100='112'!$I$6)),"x",""))</f>
        <v/>
      </c>
      <c r="T1100" s="22" t="str">
        <f>IF(ISERROR(FIND('112'!$M$9,G1100,1)),"",IF((AND(RIGHT(G1100,2)=RIGHT('112'!$M$9,2),B1100&lt;'112'!$N$8,$M1100='112'!$I$6)),"x",""))</f>
        <v/>
      </c>
      <c r="U1100" s="22" t="str">
        <f>IF(AND(B1100&gt;='IN-NX'!$P$3,B1100&lt;='IN-NX'!$Q$3,'IN-NX'!$D$7=D1100,OR(LEFT(L1100,2)="15",AND(LEFT(M1100,2)&lt;&gt;"15",LEFT(M1100,2)&lt;&gt;"33"))),"x","")</f>
        <v/>
      </c>
      <c r="V1100" s="22" t="str">
        <f>IF(AND(OR(LEFT(TH!L1100,2)="15",LEFT(TH!M1100,2)="15"),'152-CT'!$J$8=TH!F1100),"x","")</f>
        <v/>
      </c>
      <c r="W1100" s="22" t="str">
        <f>IF(AND(OR(LEFT(TH!L1100,2)="15",LEFT(TH!M1100,2)="15"),TK!$E$7=TH!F1100),"x","")</f>
        <v/>
      </c>
      <c r="X1100" s="22" t="str">
        <f>IF(OR(TH!L1100=TH!$X$7,M1100=TH!$X$7),"x","")</f>
        <v/>
      </c>
      <c r="Y1100" s="22" t="str">
        <f>IF(AND(B1100&lt;=NKC!$N$8,B1100&gt;=NKC!$M$8),"x","")</f>
        <v/>
      </c>
      <c r="Z1100" s="580"/>
      <c r="AA1100" s="406"/>
      <c r="AB1100" s="406"/>
    </row>
    <row r="1101" spans="1:31" s="130" customFormat="1" ht="15.75" customHeight="1">
      <c r="A1101" s="123" t="str">
        <f>IF(B1101&lt;&gt;"",IF(AND(B1101&gt;=_TM1,B1101&lt;=_TM2,OR(TH!L1101="1111",TH!M1101="1111")),TH!D1101,""),"")</f>
        <v/>
      </c>
      <c r="B1101" s="12">
        <f t="shared" si="56"/>
        <v>12</v>
      </c>
      <c r="C1101" s="108">
        <f t="shared" si="57"/>
        <v>42726</v>
      </c>
      <c r="D1101" s="113" t="s">
        <v>1073</v>
      </c>
      <c r="E1101" s="484">
        <v>42726</v>
      </c>
      <c r="F1101" s="167" t="s">
        <v>509</v>
      </c>
      <c r="G1101" s="485" t="s">
        <v>905</v>
      </c>
      <c r="H1101" s="115" t="s">
        <v>1074</v>
      </c>
      <c r="I1101" s="139">
        <v>550</v>
      </c>
      <c r="J1101" s="139">
        <v>1521.7306190687616</v>
      </c>
      <c r="K1101" s="13">
        <f t="shared" si="55"/>
        <v>836952</v>
      </c>
      <c r="L1101" s="116" t="s">
        <v>162</v>
      </c>
      <c r="M1101" s="116" t="s">
        <v>160</v>
      </c>
      <c r="N1101" s="22" t="str">
        <f>IF(AND('331-CT'!$E$7=TH!H1101,OR(L1101="331",M1101="331")),"331",IF(AND(OR(L1101="131",M1101="131"),H1101='131-CT'!$E$7),"131",""))</f>
        <v/>
      </c>
      <c r="O1101" s="22" t="str">
        <f>IF(AND($B1101&gt;='111'!$N$11,$B1101&lt;='111'!$O$11,OR($L1101=$O$7,$M1101=$O$7)),"x","")</f>
        <v/>
      </c>
      <c r="P1101" s="22" t="str">
        <f>IF(AND($L1101=$O$7,$B1101&lt;'111'!$N$11),"x","")</f>
        <v/>
      </c>
      <c r="Q1101" s="22" t="str">
        <f>IF(AND($M1101=$O$7,$B1101&lt;'111'!$N$11),"x","")</f>
        <v/>
      </c>
      <c r="R1101" s="22" t="str">
        <f>IF(ISERROR(FIND('112'!$M$9,G1101,1)),"",IF((AND(FIND('112'!$M$9,G1101,1)&gt;=1,$B1101&gt;='112'!$N$8,$B1101&lt;='112'!$O$8,OR($L1101='112'!$I$6,$M1101='112'!$I$6))),"x",""))</f>
        <v/>
      </c>
      <c r="S1101" s="22" t="str">
        <f>IF(ISERROR(FIND('112'!$M$9,G1101,1)),"",IF((AND(LEFT(G1101,2)=LEFT('112'!$M$9,2),B1101&lt;'112'!$N$8,$L1101='112'!$I$6)),"x",""))</f>
        <v/>
      </c>
      <c r="T1101" s="22" t="str">
        <f>IF(ISERROR(FIND('112'!$M$9,G1101,1)),"",IF((AND(RIGHT(G1101,2)=RIGHT('112'!$M$9,2),B1101&lt;'112'!$N$8,$M1101='112'!$I$6)),"x",""))</f>
        <v/>
      </c>
      <c r="U1101" s="22" t="str">
        <f>IF(AND(B1101&gt;='IN-NX'!$P$3,B1101&lt;='IN-NX'!$Q$3,'IN-NX'!$D$7=D1101,OR(LEFT(L1101,2)="15",AND(LEFT(M1101,2)&lt;&gt;"15",LEFT(M1101,2)&lt;&gt;"33"))),"x","")</f>
        <v/>
      </c>
      <c r="V1101" s="22" t="str">
        <f>IF(AND(OR(LEFT(TH!L1101,2)="15",LEFT(TH!M1101,2)="15"),'152-CT'!$J$8=TH!F1101),"x","")</f>
        <v/>
      </c>
      <c r="W1101" s="22" t="str">
        <f>IF(AND(OR(LEFT(TH!L1101,2)="15",LEFT(TH!M1101,2)="15"),TK!$E$7=TH!F1101),"x","")</f>
        <v/>
      </c>
      <c r="X1101" s="22" t="str">
        <f>IF(OR(TH!L1101=TH!$X$7,M1101=TH!$X$7),"x","")</f>
        <v/>
      </c>
      <c r="Y1101" s="22" t="str">
        <f>IF(AND(B1101&lt;=NKC!$N$8,B1101&gt;=NKC!$M$8),"x","")</f>
        <v/>
      </c>
      <c r="Z1101" s="580"/>
      <c r="AA1101" s="406"/>
      <c r="AB1101" s="406"/>
    </row>
    <row r="1102" spans="1:31" s="130" customFormat="1" ht="15.75" customHeight="1">
      <c r="A1102" s="123" t="str">
        <f>IF(B1102&lt;&gt;"",IF(AND(B1102&gt;=_TM1,B1102&lt;=_TM2,OR(TH!L1102="1111",TH!M1102="1111")),TH!D1102,""),"")</f>
        <v/>
      </c>
      <c r="B1102" s="12">
        <f t="shared" si="56"/>
        <v>12</v>
      </c>
      <c r="C1102" s="108">
        <f t="shared" si="57"/>
        <v>42726</v>
      </c>
      <c r="D1102" s="113" t="s">
        <v>1073</v>
      </c>
      <c r="E1102" s="484">
        <v>42726</v>
      </c>
      <c r="F1102" s="167" t="s">
        <v>908</v>
      </c>
      <c r="G1102" s="485" t="s">
        <v>905</v>
      </c>
      <c r="H1102" s="115" t="s">
        <v>1074</v>
      </c>
      <c r="I1102" s="139">
        <v>132</v>
      </c>
      <c r="J1102" s="139">
        <v>1369.5575571618854</v>
      </c>
      <c r="K1102" s="13">
        <f t="shared" si="55"/>
        <v>180782</v>
      </c>
      <c r="L1102" s="116" t="s">
        <v>162</v>
      </c>
      <c r="M1102" s="116" t="s">
        <v>160</v>
      </c>
      <c r="N1102" s="22" t="str">
        <f>IF(AND('331-CT'!$E$7=TH!H1102,OR(L1102="331",M1102="331")),"331",IF(AND(OR(L1102="131",M1102="131"),H1102='131-CT'!$E$7),"131",""))</f>
        <v/>
      </c>
      <c r="O1102" s="22" t="str">
        <f>IF(AND($B1102&gt;='111'!$N$11,$B1102&lt;='111'!$O$11,OR($L1102=$O$7,$M1102=$O$7)),"x","")</f>
        <v/>
      </c>
      <c r="P1102" s="22" t="str">
        <f>IF(AND($L1102=$O$7,$B1102&lt;'111'!$N$11),"x","")</f>
        <v/>
      </c>
      <c r="Q1102" s="22" t="str">
        <f>IF(AND($M1102=$O$7,$B1102&lt;'111'!$N$11),"x","")</f>
        <v/>
      </c>
      <c r="R1102" s="22" t="str">
        <f>IF(ISERROR(FIND('112'!$M$9,G1102,1)),"",IF((AND(FIND('112'!$M$9,G1102,1)&gt;=1,$B1102&gt;='112'!$N$8,$B1102&lt;='112'!$O$8,OR($L1102='112'!$I$6,$M1102='112'!$I$6))),"x",""))</f>
        <v/>
      </c>
      <c r="S1102" s="22" t="str">
        <f>IF(ISERROR(FIND('112'!$M$9,G1102,1)),"",IF((AND(LEFT(G1102,2)=LEFT('112'!$M$9,2),B1102&lt;'112'!$N$8,$L1102='112'!$I$6)),"x",""))</f>
        <v/>
      </c>
      <c r="T1102" s="22" t="str">
        <f>IF(ISERROR(FIND('112'!$M$9,G1102,1)),"",IF((AND(RIGHT(G1102,2)=RIGHT('112'!$M$9,2),B1102&lt;'112'!$N$8,$M1102='112'!$I$6)),"x",""))</f>
        <v/>
      </c>
      <c r="U1102" s="22" t="str">
        <f>IF(AND(B1102&gt;='IN-NX'!$P$3,B1102&lt;='IN-NX'!$Q$3,'IN-NX'!$D$7=D1102,OR(LEFT(L1102,2)="15",AND(LEFT(M1102,2)&lt;&gt;"15",LEFT(M1102,2)&lt;&gt;"33"))),"x","")</f>
        <v/>
      </c>
      <c r="V1102" s="22" t="str">
        <f>IF(AND(OR(LEFT(TH!L1102,2)="15",LEFT(TH!M1102,2)="15"),'152-CT'!$J$8=TH!F1102),"x","")</f>
        <v/>
      </c>
      <c r="W1102" s="22" t="str">
        <f>IF(AND(OR(LEFT(TH!L1102,2)="15",LEFT(TH!M1102,2)="15"),TK!$E$7=TH!F1102),"x","")</f>
        <v/>
      </c>
      <c r="X1102" s="22" t="str">
        <f>IF(OR(TH!L1102=TH!$X$7,M1102=TH!$X$7),"x","")</f>
        <v/>
      </c>
      <c r="Y1102" s="22" t="str">
        <f>IF(AND(B1102&lt;=NKC!$N$8,B1102&gt;=NKC!$M$8),"x","")</f>
        <v/>
      </c>
      <c r="Z1102" s="580"/>
      <c r="AA1102" s="406"/>
    </row>
    <row r="1103" spans="1:31" s="130" customFormat="1" ht="15.75" customHeight="1">
      <c r="A1103" s="123" t="str">
        <f>IF(B1103&lt;&gt;"",IF(AND(B1103&gt;=_TM1,B1103&lt;=_TM2,OR(TH!L1103="1111",TH!M1103="1111")),TH!D1103,""),"")</f>
        <v/>
      </c>
      <c r="B1103" s="12">
        <f t="shared" si="56"/>
        <v>12</v>
      </c>
      <c r="C1103" s="108">
        <f t="shared" si="57"/>
        <v>42726</v>
      </c>
      <c r="D1103" s="113" t="s">
        <v>1073</v>
      </c>
      <c r="E1103" s="484">
        <v>42726</v>
      </c>
      <c r="F1103" s="167" t="s">
        <v>500</v>
      </c>
      <c r="G1103" s="485" t="s">
        <v>909</v>
      </c>
      <c r="H1103" s="115" t="s">
        <v>1074</v>
      </c>
      <c r="I1103" s="139">
        <v>571</v>
      </c>
      <c r="J1103" s="139">
        <v>9739.075962040075</v>
      </c>
      <c r="K1103" s="13">
        <f t="shared" si="55"/>
        <v>5561012</v>
      </c>
      <c r="L1103" s="116" t="s">
        <v>162</v>
      </c>
      <c r="M1103" s="116" t="s">
        <v>160</v>
      </c>
      <c r="N1103" s="22" t="str">
        <f>IF(AND('331-CT'!$E$7=TH!H1103,OR(L1103="331",M1103="331")),"331",IF(AND(OR(L1103="131",M1103="131"),H1103='131-CT'!$E$7),"131",""))</f>
        <v/>
      </c>
      <c r="O1103" s="22" t="str">
        <f>IF(AND($B1103&gt;='111'!$N$11,$B1103&lt;='111'!$O$11,OR($L1103=$O$7,$M1103=$O$7)),"x","")</f>
        <v/>
      </c>
      <c r="P1103" s="22" t="str">
        <f>IF(AND($L1103=$O$7,$B1103&lt;'111'!$N$11),"x","")</f>
        <v/>
      </c>
      <c r="Q1103" s="22" t="str">
        <f>IF(AND($M1103=$O$7,$B1103&lt;'111'!$N$11),"x","")</f>
        <v/>
      </c>
      <c r="R1103" s="22" t="str">
        <f>IF(ISERROR(FIND('112'!$M$9,G1103,1)),"",IF((AND(FIND('112'!$M$9,G1103,1)&gt;=1,$B1103&gt;='112'!$N$8,$B1103&lt;='112'!$O$8,OR($L1103='112'!$I$6,$M1103='112'!$I$6))),"x",""))</f>
        <v/>
      </c>
      <c r="S1103" s="22" t="str">
        <f>IF(ISERROR(FIND('112'!$M$9,G1103,1)),"",IF((AND(LEFT(G1103,2)=LEFT('112'!$M$9,2),B1103&lt;'112'!$N$8,$L1103='112'!$I$6)),"x",""))</f>
        <v/>
      </c>
      <c r="T1103" s="22" t="str">
        <f>IF(ISERROR(FIND('112'!$M$9,G1103,1)),"",IF((AND(RIGHT(G1103,2)=RIGHT('112'!$M$9,2),B1103&lt;'112'!$N$8,$M1103='112'!$I$6)),"x",""))</f>
        <v/>
      </c>
      <c r="U1103" s="22" t="str">
        <f>IF(AND(B1103&gt;='IN-NX'!$P$3,B1103&lt;='IN-NX'!$Q$3,'IN-NX'!$D$7=D1103,OR(LEFT(L1103,2)="15",AND(LEFT(M1103,2)&lt;&gt;"15",LEFT(M1103,2)&lt;&gt;"33"))),"x","")</f>
        <v/>
      </c>
      <c r="V1103" s="22" t="str">
        <f>IF(AND(OR(LEFT(TH!L1103,2)="15",LEFT(TH!M1103,2)="15"),'152-CT'!$J$8=TH!F1103),"x","")</f>
        <v/>
      </c>
      <c r="W1103" s="22" t="str">
        <f>IF(AND(OR(LEFT(TH!L1103,2)="15",LEFT(TH!M1103,2)="15"),TK!$E$7=TH!F1103),"x","")</f>
        <v/>
      </c>
      <c r="X1103" s="22" t="str">
        <f>IF(OR(TH!L1103=TH!$X$7,M1103=TH!$X$7),"x","")</f>
        <v/>
      </c>
      <c r="Y1103" s="22" t="str">
        <f>IF(AND(B1103&lt;=NKC!$N$8,B1103&gt;=NKC!$M$8),"x","")</f>
        <v/>
      </c>
      <c r="Z1103" s="580"/>
      <c r="AA1103" s="406"/>
      <c r="AD1103" s="406"/>
      <c r="AE1103" s="406"/>
    </row>
    <row r="1104" spans="1:31" s="564" customFormat="1" ht="15.75" customHeight="1">
      <c r="A1104" s="123" t="str">
        <f>IF(B1104&lt;&gt;"",IF(AND(B1104&gt;=_TM1,B1104&lt;=_TM2,OR(TH!L1104="1111",TH!M1104="1111")),TH!D1104,""),"")</f>
        <v/>
      </c>
      <c r="B1104" s="12">
        <f t="shared" si="56"/>
        <v>12</v>
      </c>
      <c r="C1104" s="108">
        <f t="shared" si="57"/>
        <v>42726</v>
      </c>
      <c r="D1104" s="113" t="s">
        <v>1073</v>
      </c>
      <c r="E1104" s="484">
        <v>42726</v>
      </c>
      <c r="F1104" s="167" t="s">
        <v>500</v>
      </c>
      <c r="G1104" s="485" t="s">
        <v>910</v>
      </c>
      <c r="H1104" s="115" t="s">
        <v>1074</v>
      </c>
      <c r="I1104" s="141">
        <v>633</v>
      </c>
      <c r="J1104" s="139">
        <v>9739.075962040075</v>
      </c>
      <c r="K1104" s="13">
        <f t="shared" si="55"/>
        <v>6164835</v>
      </c>
      <c r="L1104" s="116" t="s">
        <v>162</v>
      </c>
      <c r="M1104" s="116" t="s">
        <v>160</v>
      </c>
      <c r="N1104" s="22" t="str">
        <f>IF(AND('331-CT'!$E$7=TH!H1104,OR(L1104="331",M1104="331")),"331",IF(AND(OR(L1104="131",M1104="131"),H1104='131-CT'!$E$7),"131",""))</f>
        <v/>
      </c>
      <c r="O1104" s="22" t="str">
        <f>IF(AND($B1104&gt;='111'!$N$11,$B1104&lt;='111'!$O$11,OR($L1104=$O$7,$M1104=$O$7)),"x","")</f>
        <v/>
      </c>
      <c r="P1104" s="22" t="str">
        <f>IF(AND($L1104=$O$7,$B1104&lt;'111'!$N$11),"x","")</f>
        <v/>
      </c>
      <c r="Q1104" s="22" t="str">
        <f>IF(AND($M1104=$O$7,$B1104&lt;'111'!$N$11),"x","")</f>
        <v/>
      </c>
      <c r="R1104" s="22" t="str">
        <f>IF(ISERROR(FIND('112'!$M$9,G1104,1)),"",IF((AND(FIND('112'!$M$9,G1104,1)&gt;=1,$B1104&gt;='112'!$N$8,$B1104&lt;='112'!$O$8,OR($L1104='112'!$I$6,$M1104='112'!$I$6))),"x",""))</f>
        <v/>
      </c>
      <c r="S1104" s="22" t="str">
        <f>IF(ISERROR(FIND('112'!$M$9,G1104,1)),"",IF((AND(LEFT(G1104,2)=LEFT('112'!$M$9,2),B1104&lt;'112'!$N$8,$L1104='112'!$I$6)),"x",""))</f>
        <v/>
      </c>
      <c r="T1104" s="22" t="str">
        <f>IF(ISERROR(FIND('112'!$M$9,G1104,1)),"",IF((AND(RIGHT(G1104,2)=RIGHT('112'!$M$9,2),B1104&lt;'112'!$N$8,$M1104='112'!$I$6)),"x",""))</f>
        <v/>
      </c>
      <c r="U1104" s="22" t="str">
        <f>IF(AND(B1104&gt;='IN-NX'!$P$3,B1104&lt;='IN-NX'!$Q$3,'IN-NX'!$D$7=D1104,OR(LEFT(L1104,2)="15",AND(LEFT(M1104,2)&lt;&gt;"15",LEFT(M1104,2)&lt;&gt;"33"))),"x","")</f>
        <v/>
      </c>
      <c r="V1104" s="22" t="str">
        <f>IF(AND(OR(LEFT(TH!L1104,2)="15",LEFT(TH!M1104,2)="15"),'152-CT'!$J$8=TH!F1104),"x","")</f>
        <v/>
      </c>
      <c r="W1104" s="22" t="str">
        <f>IF(AND(OR(LEFT(TH!L1104,2)="15",LEFT(TH!M1104,2)="15"),TK!$E$7=TH!F1104),"x","")</f>
        <v/>
      </c>
      <c r="X1104" s="22" t="str">
        <f>IF(OR(TH!L1104=TH!$X$7,M1104=TH!$X$7),"x","")</f>
        <v/>
      </c>
      <c r="Y1104" s="22" t="str">
        <f>IF(AND(B1104&lt;=NKC!$N$8,B1104&gt;=NKC!$M$8),"x","")</f>
        <v/>
      </c>
      <c r="Z1104" s="580"/>
      <c r="AA1104" s="406"/>
      <c r="AB1104" s="406"/>
      <c r="AC1104" s="130"/>
      <c r="AD1104" s="406"/>
      <c r="AE1104" s="406"/>
    </row>
    <row r="1105" spans="1:31" s="130" customFormat="1" ht="15.75" customHeight="1">
      <c r="A1105" s="123" t="str">
        <f>IF(B1105&lt;&gt;"",IF(AND(B1105&gt;=_TM1,B1105&lt;=_TM2,OR(TH!L1105="1111",TH!M1105="1111")),TH!D1105,""),"")</f>
        <v/>
      </c>
      <c r="B1105" s="12">
        <f t="shared" si="56"/>
        <v>12</v>
      </c>
      <c r="C1105" s="108">
        <f t="shared" si="57"/>
        <v>42726</v>
      </c>
      <c r="D1105" s="113" t="s">
        <v>1073</v>
      </c>
      <c r="E1105" s="484">
        <v>42726</v>
      </c>
      <c r="F1105" s="167" t="s">
        <v>529</v>
      </c>
      <c r="G1105" s="485" t="s">
        <v>911</v>
      </c>
      <c r="H1105" s="115" t="s">
        <v>1074</v>
      </c>
      <c r="I1105" s="139">
        <v>288</v>
      </c>
      <c r="J1105" s="139">
        <v>55162.734941242605</v>
      </c>
      <c r="K1105" s="13">
        <f t="shared" si="55"/>
        <v>15886868</v>
      </c>
      <c r="L1105" s="116" t="s">
        <v>162</v>
      </c>
      <c r="M1105" s="116" t="s">
        <v>160</v>
      </c>
      <c r="N1105" s="22" t="str">
        <f>IF(AND('331-CT'!$E$7=TH!H1105,OR(L1105="331",M1105="331")),"331",IF(AND(OR(L1105="131",M1105="131"),H1105='131-CT'!$E$7),"131",""))</f>
        <v/>
      </c>
      <c r="O1105" s="22" t="str">
        <f>IF(AND($B1105&gt;='111'!$N$11,$B1105&lt;='111'!$O$11,OR($L1105=$O$7,$M1105=$O$7)),"x","")</f>
        <v/>
      </c>
      <c r="P1105" s="22" t="str">
        <f>IF(AND($L1105=$O$7,$B1105&lt;'111'!$N$11),"x","")</f>
        <v/>
      </c>
      <c r="Q1105" s="22" t="str">
        <f>IF(AND($M1105=$O$7,$B1105&lt;'111'!$N$11),"x","")</f>
        <v/>
      </c>
      <c r="R1105" s="22" t="str">
        <f>IF(ISERROR(FIND('112'!$M$9,G1105,1)),"",IF((AND(FIND('112'!$M$9,G1105,1)&gt;=1,$B1105&gt;='112'!$N$8,$B1105&lt;='112'!$O$8,OR($L1105='112'!$I$6,$M1105='112'!$I$6))),"x",""))</f>
        <v/>
      </c>
      <c r="S1105" s="22" t="str">
        <f>IF(ISERROR(FIND('112'!$M$9,G1105,1)),"",IF((AND(LEFT(G1105,2)=LEFT('112'!$M$9,2),B1105&lt;'112'!$N$8,$L1105='112'!$I$6)),"x",""))</f>
        <v/>
      </c>
      <c r="T1105" s="22" t="str">
        <f>IF(ISERROR(FIND('112'!$M$9,G1105,1)),"",IF((AND(RIGHT(G1105,2)=RIGHT('112'!$M$9,2),B1105&lt;'112'!$N$8,$M1105='112'!$I$6)),"x",""))</f>
        <v/>
      </c>
      <c r="U1105" s="22" t="str">
        <f>IF(AND(B1105&gt;='IN-NX'!$P$3,B1105&lt;='IN-NX'!$Q$3,'IN-NX'!$D$7=D1105,OR(LEFT(L1105,2)="15",AND(LEFT(M1105,2)&lt;&gt;"15",LEFT(M1105,2)&lt;&gt;"33"))),"x","")</f>
        <v/>
      </c>
      <c r="V1105" s="22" t="str">
        <f>IF(AND(OR(LEFT(TH!L1105,2)="15",LEFT(TH!M1105,2)="15"),'152-CT'!$J$8=TH!F1105),"x","")</f>
        <v/>
      </c>
      <c r="W1105" s="22" t="str">
        <f>IF(AND(OR(LEFT(TH!L1105,2)="15",LEFT(TH!M1105,2)="15"),TK!$E$7=TH!F1105),"x","")</f>
        <v/>
      </c>
      <c r="X1105" s="22" t="str">
        <f>IF(OR(TH!L1105=TH!$X$7,M1105=TH!$X$7),"x","")</f>
        <v/>
      </c>
      <c r="Y1105" s="22" t="str">
        <f>IF(AND(B1105&lt;=NKC!$N$8,B1105&gt;=NKC!$M$8),"x","")</f>
        <v/>
      </c>
      <c r="Z1105" s="580"/>
      <c r="AA1105" s="406"/>
      <c r="AB1105" s="406"/>
    </row>
    <row r="1106" spans="1:31" s="130" customFormat="1" ht="15.75" customHeight="1">
      <c r="A1106" s="123" t="str">
        <f>IF(B1106&lt;&gt;"",IF(AND(B1106&gt;=_TM1,B1106&lt;=_TM2,OR(TH!L1106="1111",TH!M1106="1111")),TH!D1106,""),"")</f>
        <v/>
      </c>
      <c r="B1106" s="12">
        <f t="shared" si="56"/>
        <v>12</v>
      </c>
      <c r="C1106" s="108">
        <f t="shared" si="57"/>
        <v>42726</v>
      </c>
      <c r="D1106" s="113" t="s">
        <v>1073</v>
      </c>
      <c r="E1106" s="484">
        <v>42726</v>
      </c>
      <c r="F1106" s="167" t="s">
        <v>912</v>
      </c>
      <c r="G1106" s="485" t="s">
        <v>911</v>
      </c>
      <c r="H1106" s="115" t="s">
        <v>1074</v>
      </c>
      <c r="I1106" s="139">
        <v>24</v>
      </c>
      <c r="J1106" s="139">
        <v>39717.169157694676</v>
      </c>
      <c r="K1106" s="13">
        <f t="shared" si="55"/>
        <v>953212</v>
      </c>
      <c r="L1106" s="116" t="s">
        <v>162</v>
      </c>
      <c r="M1106" s="116" t="s">
        <v>160</v>
      </c>
      <c r="N1106" s="22" t="str">
        <f>IF(AND('331-CT'!$E$7=TH!H1106,OR(L1106="331",M1106="331")),"331",IF(AND(OR(L1106="131",M1106="131"),H1106='131-CT'!$E$7),"131",""))</f>
        <v/>
      </c>
      <c r="O1106" s="22" t="str">
        <f>IF(AND($B1106&gt;='111'!$N$11,$B1106&lt;='111'!$O$11,OR($L1106=$O$7,$M1106=$O$7)),"x","")</f>
        <v/>
      </c>
      <c r="P1106" s="22" t="str">
        <f>IF(AND($L1106=$O$7,$B1106&lt;'111'!$N$11),"x","")</f>
        <v/>
      </c>
      <c r="Q1106" s="22" t="str">
        <f>IF(AND($M1106=$O$7,$B1106&lt;'111'!$N$11),"x","")</f>
        <v/>
      </c>
      <c r="R1106" s="22" t="str">
        <f>IF(ISERROR(FIND('112'!$M$9,G1106,1)),"",IF((AND(FIND('112'!$M$9,G1106,1)&gt;=1,$B1106&gt;='112'!$N$8,$B1106&lt;='112'!$O$8,OR($L1106='112'!$I$6,$M1106='112'!$I$6))),"x",""))</f>
        <v/>
      </c>
      <c r="S1106" s="22" t="str">
        <f>IF(ISERROR(FIND('112'!$M$9,G1106,1)),"",IF((AND(LEFT(G1106,2)=LEFT('112'!$M$9,2),B1106&lt;'112'!$N$8,$L1106='112'!$I$6)),"x",""))</f>
        <v/>
      </c>
      <c r="T1106" s="22" t="str">
        <f>IF(ISERROR(FIND('112'!$M$9,G1106,1)),"",IF((AND(RIGHT(G1106,2)=RIGHT('112'!$M$9,2),B1106&lt;'112'!$N$8,$M1106='112'!$I$6)),"x",""))</f>
        <v/>
      </c>
      <c r="U1106" s="22" t="str">
        <f>IF(AND(B1106&gt;='IN-NX'!$P$3,B1106&lt;='IN-NX'!$Q$3,'IN-NX'!$D$7=D1106,OR(LEFT(L1106,2)="15",AND(LEFT(M1106,2)&lt;&gt;"15",LEFT(M1106,2)&lt;&gt;"33"))),"x","")</f>
        <v/>
      </c>
      <c r="V1106" s="22" t="str">
        <f>IF(AND(OR(LEFT(TH!L1106,2)="15",LEFT(TH!M1106,2)="15"),'152-CT'!$J$8=TH!F1106),"x","")</f>
        <v/>
      </c>
      <c r="W1106" s="22" t="str">
        <f>IF(AND(OR(LEFT(TH!L1106,2)="15",LEFT(TH!M1106,2)="15"),TK!$E$7=TH!F1106),"x","")</f>
        <v/>
      </c>
      <c r="X1106" s="22" t="str">
        <f>IF(OR(TH!L1106=TH!$X$7,M1106=TH!$X$7),"x","")</f>
        <v/>
      </c>
      <c r="Y1106" s="22" t="str">
        <f>IF(AND(B1106&lt;=NKC!$N$8,B1106&gt;=NKC!$M$8),"x","")</f>
        <v/>
      </c>
      <c r="Z1106" s="580"/>
      <c r="AA1106" s="406"/>
      <c r="AB1106" s="406"/>
    </row>
    <row r="1107" spans="1:31" s="130" customFormat="1" ht="15.75" customHeight="1">
      <c r="A1107" s="123" t="str">
        <f>IF(B1107&lt;&gt;"",IF(AND(B1107&gt;=_TM1,B1107&lt;=_TM2,OR(TH!L1107="1111",TH!M1107="1111")),TH!D1107,""),"")</f>
        <v/>
      </c>
      <c r="B1107" s="12">
        <f t="shared" si="56"/>
        <v>12</v>
      </c>
      <c r="C1107" s="108">
        <f t="shared" si="57"/>
        <v>42726</v>
      </c>
      <c r="D1107" s="113" t="s">
        <v>1073</v>
      </c>
      <c r="E1107" s="484">
        <v>42726</v>
      </c>
      <c r="F1107" s="167" t="s">
        <v>813</v>
      </c>
      <c r="G1107" s="485" t="s">
        <v>913</v>
      </c>
      <c r="H1107" s="115" t="s">
        <v>1074</v>
      </c>
      <c r="I1107" s="140">
        <v>550</v>
      </c>
      <c r="J1107" s="140">
        <v>6391.2686000887979</v>
      </c>
      <c r="K1107" s="13">
        <f t="shared" si="55"/>
        <v>3515198</v>
      </c>
      <c r="L1107" s="116" t="s">
        <v>162</v>
      </c>
      <c r="M1107" s="116" t="s">
        <v>160</v>
      </c>
      <c r="N1107" s="22" t="str">
        <f>IF(AND('331-CT'!$E$7=TH!H1107,OR(L1107="331",M1107="331")),"331",IF(AND(OR(L1107="131",M1107="131"),H1107='131-CT'!$E$7),"131",""))</f>
        <v/>
      </c>
      <c r="O1107" s="22" t="str">
        <f>IF(AND($B1107&gt;='111'!$N$11,$B1107&lt;='111'!$O$11,OR($L1107=$O$7,$M1107=$O$7)),"x","")</f>
        <v/>
      </c>
      <c r="P1107" s="22" t="str">
        <f>IF(AND($L1107=$O$7,$B1107&lt;'111'!$N$11),"x","")</f>
        <v/>
      </c>
      <c r="Q1107" s="22" t="str">
        <f>IF(AND($M1107=$O$7,$B1107&lt;'111'!$N$11),"x","")</f>
        <v/>
      </c>
      <c r="R1107" s="22" t="str">
        <f>IF(ISERROR(FIND('112'!$M$9,G1107,1)),"",IF((AND(FIND('112'!$M$9,G1107,1)&gt;=1,$B1107&gt;='112'!$N$8,$B1107&lt;='112'!$O$8,OR($L1107='112'!$I$6,$M1107='112'!$I$6))),"x",""))</f>
        <v/>
      </c>
      <c r="S1107" s="22" t="str">
        <f>IF(ISERROR(FIND('112'!$M$9,G1107,1)),"",IF((AND(LEFT(G1107,2)=LEFT('112'!$M$9,2),B1107&lt;'112'!$N$8,$L1107='112'!$I$6)),"x",""))</f>
        <v/>
      </c>
      <c r="T1107" s="22" t="str">
        <f>IF(ISERROR(FIND('112'!$M$9,G1107,1)),"",IF((AND(RIGHT(G1107,2)=RIGHT('112'!$M$9,2),B1107&lt;'112'!$N$8,$M1107='112'!$I$6)),"x",""))</f>
        <v/>
      </c>
      <c r="U1107" s="22" t="str">
        <f>IF(AND(B1107&gt;='IN-NX'!$P$3,B1107&lt;='IN-NX'!$Q$3,'IN-NX'!$D$7=D1107,OR(LEFT(L1107,2)="15",AND(LEFT(M1107,2)&lt;&gt;"15",LEFT(M1107,2)&lt;&gt;"33"))),"x","")</f>
        <v/>
      </c>
      <c r="V1107" s="22" t="str">
        <f>IF(AND(OR(LEFT(TH!L1107,2)="15",LEFT(TH!M1107,2)="15"),'152-CT'!$J$8=TH!F1107),"x","")</f>
        <v/>
      </c>
      <c r="W1107" s="22" t="str">
        <f>IF(AND(OR(LEFT(TH!L1107,2)="15",LEFT(TH!M1107,2)="15"),TK!$E$7=TH!F1107),"x","")</f>
        <v/>
      </c>
      <c r="X1107" s="22" t="str">
        <f>IF(OR(TH!L1107=TH!$X$7,M1107=TH!$X$7),"x","")</f>
        <v/>
      </c>
      <c r="Y1107" s="22" t="str">
        <f>IF(AND(B1107&lt;=NKC!$N$8,B1107&gt;=NKC!$M$8),"x","")</f>
        <v/>
      </c>
      <c r="Z1107" s="580"/>
      <c r="AA1107" s="406"/>
      <c r="AB1107" s="406"/>
    </row>
    <row r="1108" spans="1:31" s="130" customFormat="1" ht="15.75" customHeight="1">
      <c r="A1108" s="123" t="str">
        <f>IF(B1108&lt;&gt;"",IF(AND(B1108&gt;=_TM1,B1108&lt;=_TM2,OR(TH!L1108="1111",TH!M1108="1111")),TH!D1108,""),"")</f>
        <v/>
      </c>
      <c r="B1108" s="12">
        <f t="shared" si="56"/>
        <v>12</v>
      </c>
      <c r="C1108" s="108">
        <f t="shared" si="57"/>
        <v>42727</v>
      </c>
      <c r="D1108" s="113" t="s">
        <v>1073</v>
      </c>
      <c r="E1108" s="484">
        <v>42727</v>
      </c>
      <c r="F1108" s="167" t="s">
        <v>813</v>
      </c>
      <c r="G1108" s="485" t="s">
        <v>914</v>
      </c>
      <c r="H1108" s="115" t="s">
        <v>1074</v>
      </c>
      <c r="I1108" s="139">
        <v>2400</v>
      </c>
      <c r="J1108" s="139">
        <v>6391.2686000887979</v>
      </c>
      <c r="K1108" s="13">
        <f t="shared" si="55"/>
        <v>15339045</v>
      </c>
      <c r="L1108" s="116" t="s">
        <v>162</v>
      </c>
      <c r="M1108" s="116" t="s">
        <v>160</v>
      </c>
      <c r="N1108" s="22" t="str">
        <f>IF(AND('331-CT'!$E$7=TH!H1108,OR(L1108="331",M1108="331")),"331",IF(AND(OR(L1108="131",M1108="131"),H1108='131-CT'!$E$7),"131",""))</f>
        <v/>
      </c>
      <c r="O1108" s="22" t="str">
        <f>IF(AND($B1108&gt;='111'!$N$11,$B1108&lt;='111'!$O$11,OR($L1108=$O$7,$M1108=$O$7)),"x","")</f>
        <v/>
      </c>
      <c r="P1108" s="22" t="str">
        <f>IF(AND($L1108=$O$7,$B1108&lt;'111'!$N$11),"x","")</f>
        <v/>
      </c>
      <c r="Q1108" s="22" t="str">
        <f>IF(AND($M1108=$O$7,$B1108&lt;'111'!$N$11),"x","")</f>
        <v/>
      </c>
      <c r="R1108" s="22" t="str">
        <f>IF(ISERROR(FIND('112'!$M$9,G1108,1)),"",IF((AND(FIND('112'!$M$9,G1108,1)&gt;=1,$B1108&gt;='112'!$N$8,$B1108&lt;='112'!$O$8,OR($L1108='112'!$I$6,$M1108='112'!$I$6))),"x",""))</f>
        <v/>
      </c>
      <c r="S1108" s="22" t="str">
        <f>IF(ISERROR(FIND('112'!$M$9,G1108,1)),"",IF((AND(LEFT(G1108,2)=LEFT('112'!$M$9,2),B1108&lt;'112'!$N$8,$L1108='112'!$I$6)),"x",""))</f>
        <v/>
      </c>
      <c r="T1108" s="22" t="str">
        <f>IF(ISERROR(FIND('112'!$M$9,G1108,1)),"",IF((AND(RIGHT(G1108,2)=RIGHT('112'!$M$9,2),B1108&lt;'112'!$N$8,$M1108='112'!$I$6)),"x",""))</f>
        <v/>
      </c>
      <c r="U1108" s="22" t="str">
        <f>IF(AND(B1108&gt;='IN-NX'!$P$3,B1108&lt;='IN-NX'!$Q$3,'IN-NX'!$D$7=D1108,OR(LEFT(L1108,2)="15",AND(LEFT(M1108,2)&lt;&gt;"15",LEFT(M1108,2)&lt;&gt;"33"))),"x","")</f>
        <v/>
      </c>
      <c r="V1108" s="22" t="str">
        <f>IF(AND(OR(LEFT(TH!L1108,2)="15",LEFT(TH!M1108,2)="15"),'152-CT'!$J$8=TH!F1108),"x","")</f>
        <v/>
      </c>
      <c r="W1108" s="22" t="str">
        <f>IF(AND(OR(LEFT(TH!L1108,2)="15",LEFT(TH!M1108,2)="15"),TK!$E$7=TH!F1108),"x","")</f>
        <v/>
      </c>
      <c r="X1108" s="22" t="str">
        <f>IF(OR(TH!L1108=TH!$X$7,M1108=TH!$X$7),"x","")</f>
        <v/>
      </c>
      <c r="Y1108" s="22" t="str">
        <f>IF(AND(B1108&lt;=NKC!$N$8,B1108&gt;=NKC!$M$8),"x","")</f>
        <v/>
      </c>
      <c r="Z1108" s="580"/>
      <c r="AA1108" s="406"/>
    </row>
    <row r="1109" spans="1:31" s="130" customFormat="1" ht="15.75" customHeight="1">
      <c r="A1109" s="123" t="str">
        <f>IF(B1109&lt;&gt;"",IF(AND(B1109&gt;=_TM1,B1109&lt;=_TM2,OR(TH!L1109="1111",TH!M1109="1111")),TH!D1109,""),"")</f>
        <v/>
      </c>
      <c r="B1109" s="12">
        <f t="shared" si="56"/>
        <v>12</v>
      </c>
      <c r="C1109" s="108">
        <f t="shared" si="57"/>
        <v>42728</v>
      </c>
      <c r="D1109" s="113" t="s">
        <v>1073</v>
      </c>
      <c r="E1109" s="484">
        <v>42728</v>
      </c>
      <c r="F1109" s="167" t="s">
        <v>916</v>
      </c>
      <c r="G1109" s="485" t="s">
        <v>915</v>
      </c>
      <c r="H1109" s="115" t="s">
        <v>1074</v>
      </c>
      <c r="I1109" s="139">
        <v>1010</v>
      </c>
      <c r="J1109" s="139">
        <v>8673.86452869194</v>
      </c>
      <c r="K1109" s="13">
        <f t="shared" si="55"/>
        <v>8760603</v>
      </c>
      <c r="L1109" s="116" t="s">
        <v>162</v>
      </c>
      <c r="M1109" s="116" t="s">
        <v>160</v>
      </c>
      <c r="N1109" s="22" t="str">
        <f>IF(AND('331-CT'!$E$7=TH!H1109,OR(L1109="331",M1109="331")),"331",IF(AND(OR(L1109="131",M1109="131"),H1109='131-CT'!$E$7),"131",""))</f>
        <v/>
      </c>
      <c r="O1109" s="22" t="str">
        <f>IF(AND($B1109&gt;='111'!$N$11,$B1109&lt;='111'!$O$11,OR($L1109=$O$7,$M1109=$O$7)),"x","")</f>
        <v/>
      </c>
      <c r="P1109" s="22" t="str">
        <f>IF(AND($L1109=$O$7,$B1109&lt;'111'!$N$11),"x","")</f>
        <v/>
      </c>
      <c r="Q1109" s="22" t="str">
        <f>IF(AND($M1109=$O$7,$B1109&lt;'111'!$N$11),"x","")</f>
        <v/>
      </c>
      <c r="R1109" s="22" t="str">
        <f>IF(ISERROR(FIND('112'!$M$9,G1109,1)),"",IF((AND(FIND('112'!$M$9,G1109,1)&gt;=1,$B1109&gt;='112'!$N$8,$B1109&lt;='112'!$O$8,OR($L1109='112'!$I$6,$M1109='112'!$I$6))),"x",""))</f>
        <v/>
      </c>
      <c r="S1109" s="22" t="str">
        <f>IF(ISERROR(FIND('112'!$M$9,G1109,1)),"",IF((AND(LEFT(G1109,2)=LEFT('112'!$M$9,2),B1109&lt;'112'!$N$8,$L1109='112'!$I$6)),"x",""))</f>
        <v/>
      </c>
      <c r="T1109" s="22" t="str">
        <f>IF(ISERROR(FIND('112'!$M$9,G1109,1)),"",IF((AND(RIGHT(G1109,2)=RIGHT('112'!$M$9,2),B1109&lt;'112'!$N$8,$M1109='112'!$I$6)),"x",""))</f>
        <v/>
      </c>
      <c r="U1109" s="22" t="str">
        <f>IF(AND(B1109&gt;='IN-NX'!$P$3,B1109&lt;='IN-NX'!$Q$3,'IN-NX'!$D$7=D1109,OR(LEFT(L1109,2)="15",AND(LEFT(M1109,2)&lt;&gt;"15",LEFT(M1109,2)&lt;&gt;"33"))),"x","")</f>
        <v/>
      </c>
      <c r="V1109" s="22" t="str">
        <f>IF(AND(OR(LEFT(TH!L1109,2)="15",LEFT(TH!M1109,2)="15"),'152-CT'!$J$8=TH!F1109),"x","")</f>
        <v/>
      </c>
      <c r="W1109" s="22" t="str">
        <f>IF(AND(OR(LEFT(TH!L1109,2)="15",LEFT(TH!M1109,2)="15"),TK!$E$7=TH!F1109),"x","")</f>
        <v/>
      </c>
      <c r="X1109" s="22" t="str">
        <f>IF(OR(TH!L1109=TH!$X$7,M1109=TH!$X$7),"x","")</f>
        <v/>
      </c>
      <c r="Y1109" s="22" t="str">
        <f>IF(AND(B1109&lt;=NKC!$N$8,B1109&gt;=NKC!$M$8),"x","")</f>
        <v/>
      </c>
      <c r="Z1109" s="580"/>
      <c r="AA1109" s="406"/>
      <c r="AB1109" s="406"/>
    </row>
    <row r="1110" spans="1:31" s="130" customFormat="1" ht="15.75" customHeight="1">
      <c r="A1110" s="123" t="str">
        <f>IF(B1110&lt;&gt;"",IF(AND(B1110&gt;=_TM1,B1110&lt;=_TM2,OR(TH!L1110="1111",TH!M1110="1111")),TH!D1110,""),"")</f>
        <v/>
      </c>
      <c r="B1110" s="12">
        <f t="shared" si="56"/>
        <v>12</v>
      </c>
      <c r="C1110" s="108">
        <f t="shared" si="57"/>
        <v>42728</v>
      </c>
      <c r="D1110" s="113" t="s">
        <v>1073</v>
      </c>
      <c r="E1110" s="484">
        <v>42728</v>
      </c>
      <c r="F1110" s="167" t="s">
        <v>917</v>
      </c>
      <c r="G1110" s="485" t="s">
        <v>915</v>
      </c>
      <c r="H1110" s="115" t="s">
        <v>1074</v>
      </c>
      <c r="I1110" s="139">
        <v>1006</v>
      </c>
      <c r="J1110" s="139">
        <v>7456.4800334369311</v>
      </c>
      <c r="K1110" s="13">
        <f t="shared" si="55"/>
        <v>7501219</v>
      </c>
      <c r="L1110" s="116" t="s">
        <v>162</v>
      </c>
      <c r="M1110" s="116" t="s">
        <v>160</v>
      </c>
      <c r="N1110" s="22" t="str">
        <f>IF(AND('331-CT'!$E$7=TH!H1110,OR(L1110="331",M1110="331")),"331",IF(AND(OR(L1110="131",M1110="131"),H1110='131-CT'!$E$7),"131",""))</f>
        <v/>
      </c>
      <c r="O1110" s="22" t="str">
        <f>IF(AND($B1110&gt;='111'!$N$11,$B1110&lt;='111'!$O$11,OR($L1110=$O$7,$M1110=$O$7)),"x","")</f>
        <v/>
      </c>
      <c r="P1110" s="22" t="str">
        <f>IF(AND($L1110=$O$7,$B1110&lt;'111'!$N$11),"x","")</f>
        <v/>
      </c>
      <c r="Q1110" s="22" t="str">
        <f>IF(AND($M1110=$O$7,$B1110&lt;'111'!$N$11),"x","")</f>
        <v/>
      </c>
      <c r="R1110" s="22" t="str">
        <f>IF(ISERROR(FIND('112'!$M$9,G1110,1)),"",IF((AND(FIND('112'!$M$9,G1110,1)&gt;=1,$B1110&gt;='112'!$N$8,$B1110&lt;='112'!$O$8,OR($L1110='112'!$I$6,$M1110='112'!$I$6))),"x",""))</f>
        <v/>
      </c>
      <c r="S1110" s="22" t="str">
        <f>IF(ISERROR(FIND('112'!$M$9,G1110,1)),"",IF((AND(LEFT(G1110,2)=LEFT('112'!$M$9,2),B1110&lt;'112'!$N$8,$L1110='112'!$I$6)),"x",""))</f>
        <v/>
      </c>
      <c r="T1110" s="22" t="str">
        <f>IF(ISERROR(FIND('112'!$M$9,G1110,1)),"",IF((AND(RIGHT(G1110,2)=RIGHT('112'!$M$9,2),B1110&lt;'112'!$N$8,$M1110='112'!$I$6)),"x",""))</f>
        <v/>
      </c>
      <c r="U1110" s="22" t="str">
        <f>IF(AND(B1110&gt;='IN-NX'!$P$3,B1110&lt;='IN-NX'!$Q$3,'IN-NX'!$D$7=D1110,OR(LEFT(L1110,2)="15",AND(LEFT(M1110,2)&lt;&gt;"15",LEFT(M1110,2)&lt;&gt;"33"))),"x","")</f>
        <v/>
      </c>
      <c r="V1110" s="22" t="str">
        <f>IF(AND(OR(LEFT(TH!L1110,2)="15",LEFT(TH!M1110,2)="15"),'152-CT'!$J$8=TH!F1110),"x","")</f>
        <v/>
      </c>
      <c r="W1110" s="22" t="str">
        <f>IF(AND(OR(LEFT(TH!L1110,2)="15",LEFT(TH!M1110,2)="15"),TK!$E$7=TH!F1110),"x","")</f>
        <v/>
      </c>
      <c r="X1110" s="22" t="str">
        <f>IF(OR(TH!L1110=TH!$X$7,M1110=TH!$X$7),"x","")</f>
        <v/>
      </c>
      <c r="Y1110" s="22" t="str">
        <f>IF(AND(B1110&lt;=NKC!$N$8,B1110&gt;=NKC!$M$8),"x","")</f>
        <v/>
      </c>
      <c r="Z1110" s="580"/>
      <c r="AA1110" s="406"/>
      <c r="AB1110" s="406"/>
    </row>
    <row r="1111" spans="1:31" s="130" customFormat="1" ht="15.75" customHeight="1">
      <c r="A1111" s="123" t="str">
        <f>IF(B1111&lt;&gt;"",IF(AND(B1111&gt;=_TM1,B1111&lt;=_TM2,OR(TH!L1111="1111",TH!M1111="1111")),TH!D1111,""),"")</f>
        <v/>
      </c>
      <c r="B1111" s="12">
        <f t="shared" si="56"/>
        <v>12</v>
      </c>
      <c r="C1111" s="108">
        <f t="shared" si="57"/>
        <v>42728</v>
      </c>
      <c r="D1111" s="113" t="s">
        <v>1073</v>
      </c>
      <c r="E1111" s="484">
        <v>42728</v>
      </c>
      <c r="F1111" s="167" t="s">
        <v>813</v>
      </c>
      <c r="G1111" s="485" t="s">
        <v>918</v>
      </c>
      <c r="H1111" s="115" t="s">
        <v>1074</v>
      </c>
      <c r="I1111" s="141">
        <v>2400</v>
      </c>
      <c r="J1111" s="141">
        <v>6391.2686000887979</v>
      </c>
      <c r="K1111" s="13">
        <f t="shared" si="55"/>
        <v>15339045</v>
      </c>
      <c r="L1111" s="116" t="s">
        <v>162</v>
      </c>
      <c r="M1111" s="116" t="s">
        <v>160</v>
      </c>
      <c r="N1111" s="22" t="str">
        <f>IF(AND('331-CT'!$E$7=TH!H1111,OR(L1111="331",M1111="331")),"331",IF(AND(OR(L1111="131",M1111="131"),H1111='131-CT'!$E$7),"131",""))</f>
        <v/>
      </c>
      <c r="O1111" s="22" t="str">
        <f>IF(AND($B1111&gt;='111'!$N$11,$B1111&lt;='111'!$O$11,OR($L1111=$O$7,$M1111=$O$7)),"x","")</f>
        <v/>
      </c>
      <c r="P1111" s="22" t="str">
        <f>IF(AND($L1111=$O$7,$B1111&lt;'111'!$N$11),"x","")</f>
        <v/>
      </c>
      <c r="Q1111" s="22" t="str">
        <f>IF(AND($M1111=$O$7,$B1111&lt;'111'!$N$11),"x","")</f>
        <v/>
      </c>
      <c r="R1111" s="22" t="str">
        <f>IF(ISERROR(FIND('112'!$M$9,G1111,1)),"",IF((AND(FIND('112'!$M$9,G1111,1)&gt;=1,$B1111&gt;='112'!$N$8,$B1111&lt;='112'!$O$8,OR($L1111='112'!$I$6,$M1111='112'!$I$6))),"x",""))</f>
        <v/>
      </c>
      <c r="S1111" s="22" t="str">
        <f>IF(ISERROR(FIND('112'!$M$9,G1111,1)),"",IF((AND(LEFT(G1111,2)=LEFT('112'!$M$9,2),B1111&lt;'112'!$N$8,$L1111='112'!$I$6)),"x",""))</f>
        <v/>
      </c>
      <c r="T1111" s="22" t="str">
        <f>IF(ISERROR(FIND('112'!$M$9,G1111,1)),"",IF((AND(RIGHT(G1111,2)=RIGHT('112'!$M$9,2),B1111&lt;'112'!$N$8,$M1111='112'!$I$6)),"x",""))</f>
        <v/>
      </c>
      <c r="U1111" s="22" t="str">
        <f>IF(AND(B1111&gt;='IN-NX'!$P$3,B1111&lt;='IN-NX'!$Q$3,'IN-NX'!$D$7=D1111,OR(LEFT(L1111,2)="15",AND(LEFT(M1111,2)&lt;&gt;"15",LEFT(M1111,2)&lt;&gt;"33"))),"x","")</f>
        <v/>
      </c>
      <c r="V1111" s="22" t="str">
        <f>IF(AND(OR(LEFT(TH!L1111,2)="15",LEFT(TH!M1111,2)="15"),'152-CT'!$J$8=TH!F1111),"x","")</f>
        <v/>
      </c>
      <c r="W1111" s="22" t="str">
        <f>IF(AND(OR(LEFT(TH!L1111,2)="15",LEFT(TH!M1111,2)="15"),TK!$E$7=TH!F1111),"x","")</f>
        <v/>
      </c>
      <c r="X1111" s="22" t="str">
        <f>IF(OR(TH!L1111=TH!$X$7,M1111=TH!$X$7),"x","")</f>
        <v/>
      </c>
      <c r="Y1111" s="22" t="str">
        <f>IF(AND(B1111&lt;=NKC!$N$8,B1111&gt;=NKC!$M$8),"x","")</f>
        <v/>
      </c>
      <c r="Z1111" s="580"/>
      <c r="AA1111" s="406"/>
      <c r="AB1111" s="406"/>
    </row>
    <row r="1112" spans="1:31" s="130" customFormat="1" ht="15.75" customHeight="1">
      <c r="A1112" s="123" t="str">
        <f>IF(B1112&lt;&gt;"",IF(AND(B1112&gt;=_TM1,B1112&lt;=_TM2,OR(TH!L1112="1111",TH!M1112="1111")),TH!D1112,""),"")</f>
        <v/>
      </c>
      <c r="B1112" s="12">
        <f t="shared" si="56"/>
        <v>12</v>
      </c>
      <c r="C1112" s="108">
        <f t="shared" si="57"/>
        <v>42729</v>
      </c>
      <c r="D1112" s="113" t="s">
        <v>1073</v>
      </c>
      <c r="E1112" s="484">
        <v>42729</v>
      </c>
      <c r="F1112" s="167" t="s">
        <v>920</v>
      </c>
      <c r="G1112" s="485" t="s">
        <v>919</v>
      </c>
      <c r="H1112" s="115" t="s">
        <v>1074</v>
      </c>
      <c r="I1112" s="139">
        <v>1070</v>
      </c>
      <c r="J1112" s="139">
        <v>7304.3069715300553</v>
      </c>
      <c r="K1112" s="13">
        <f t="shared" si="55"/>
        <v>7815608</v>
      </c>
      <c r="L1112" s="116" t="s">
        <v>162</v>
      </c>
      <c r="M1112" s="116" t="s">
        <v>160</v>
      </c>
      <c r="N1112" s="22" t="str">
        <f>IF(AND('331-CT'!$E$7=TH!H1112,OR(L1112="331",M1112="331")),"331",IF(AND(OR(L1112="131",M1112="131"),H1112='131-CT'!$E$7),"131",""))</f>
        <v/>
      </c>
      <c r="O1112" s="22" t="str">
        <f>IF(AND($B1112&gt;='111'!$N$11,$B1112&lt;='111'!$O$11,OR($L1112=$O$7,$M1112=$O$7)),"x","")</f>
        <v/>
      </c>
      <c r="P1112" s="22" t="str">
        <f>IF(AND($L1112=$O$7,$B1112&lt;'111'!$N$11),"x","")</f>
        <v/>
      </c>
      <c r="Q1112" s="22" t="str">
        <f>IF(AND($M1112=$O$7,$B1112&lt;'111'!$N$11),"x","")</f>
        <v/>
      </c>
      <c r="R1112" s="22" t="str">
        <f>IF(ISERROR(FIND('112'!$M$9,G1112,1)),"",IF((AND(FIND('112'!$M$9,G1112,1)&gt;=1,$B1112&gt;='112'!$N$8,$B1112&lt;='112'!$O$8,OR($L1112='112'!$I$6,$M1112='112'!$I$6))),"x",""))</f>
        <v/>
      </c>
      <c r="S1112" s="22" t="str">
        <f>IF(ISERROR(FIND('112'!$M$9,G1112,1)),"",IF((AND(LEFT(G1112,2)=LEFT('112'!$M$9,2),B1112&lt;'112'!$N$8,$L1112='112'!$I$6)),"x",""))</f>
        <v/>
      </c>
      <c r="T1112" s="22" t="str">
        <f>IF(ISERROR(FIND('112'!$M$9,G1112,1)),"",IF((AND(RIGHT(G1112,2)=RIGHT('112'!$M$9,2),B1112&lt;'112'!$N$8,$M1112='112'!$I$6)),"x",""))</f>
        <v/>
      </c>
      <c r="U1112" s="22" t="str">
        <f>IF(AND(B1112&gt;='IN-NX'!$P$3,B1112&lt;='IN-NX'!$Q$3,'IN-NX'!$D$7=D1112,OR(LEFT(L1112,2)="15",AND(LEFT(M1112,2)&lt;&gt;"15",LEFT(M1112,2)&lt;&gt;"33"))),"x","")</f>
        <v/>
      </c>
      <c r="V1112" s="22" t="str">
        <f>IF(AND(OR(LEFT(TH!L1112,2)="15",LEFT(TH!M1112,2)="15"),'152-CT'!$J$8=TH!F1112),"x","")</f>
        <v/>
      </c>
      <c r="W1112" s="22" t="str">
        <f>IF(AND(OR(LEFT(TH!L1112,2)="15",LEFT(TH!M1112,2)="15"),TK!$E$7=TH!F1112),"x","")</f>
        <v/>
      </c>
      <c r="X1112" s="22" t="str">
        <f>IF(OR(TH!L1112=TH!$X$7,M1112=TH!$X$7),"x","")</f>
        <v/>
      </c>
      <c r="Y1112" s="22" t="str">
        <f>IF(AND(B1112&lt;=NKC!$N$8,B1112&gt;=NKC!$M$8),"x","")</f>
        <v/>
      </c>
      <c r="Z1112" s="580"/>
      <c r="AA1112" s="406"/>
      <c r="AB1112" s="406"/>
    </row>
    <row r="1113" spans="1:31" s="130" customFormat="1" ht="15.75" customHeight="1">
      <c r="A1113" s="123" t="str">
        <f>IF(B1113&lt;&gt;"",IF(AND(B1113&gt;=_TM1,B1113&lt;=_TM2,OR(TH!L1113="1111",TH!M1113="1111")),TH!D1113,""),"")</f>
        <v/>
      </c>
      <c r="B1113" s="12">
        <f t="shared" si="56"/>
        <v>12</v>
      </c>
      <c r="C1113" s="108">
        <f t="shared" si="57"/>
        <v>42729</v>
      </c>
      <c r="D1113" s="113" t="s">
        <v>1073</v>
      </c>
      <c r="E1113" s="484">
        <v>42729</v>
      </c>
      <c r="F1113" s="167" t="s">
        <v>813</v>
      </c>
      <c r="G1113" s="485" t="s">
        <v>922</v>
      </c>
      <c r="H1113" s="115" t="s">
        <v>1074</v>
      </c>
      <c r="I1113" s="139">
        <v>2400</v>
      </c>
      <c r="J1113" s="139">
        <v>6391.2686000887979</v>
      </c>
      <c r="K1113" s="13">
        <f t="shared" si="55"/>
        <v>15339045</v>
      </c>
      <c r="L1113" s="116" t="s">
        <v>162</v>
      </c>
      <c r="M1113" s="116" t="s">
        <v>160</v>
      </c>
      <c r="N1113" s="22" t="str">
        <f>IF(AND('331-CT'!$E$7=TH!H1113,OR(L1113="331",M1113="331")),"331",IF(AND(OR(L1113="131",M1113="131"),H1113='131-CT'!$E$7),"131",""))</f>
        <v/>
      </c>
      <c r="O1113" s="22" t="str">
        <f>IF(AND($B1113&gt;='111'!$N$11,$B1113&lt;='111'!$O$11,OR($L1113=$O$7,$M1113=$O$7)),"x","")</f>
        <v/>
      </c>
      <c r="P1113" s="22" t="str">
        <f>IF(AND($L1113=$O$7,$B1113&lt;'111'!$N$11),"x","")</f>
        <v/>
      </c>
      <c r="Q1113" s="22" t="str">
        <f>IF(AND($M1113=$O$7,$B1113&lt;'111'!$N$11),"x","")</f>
        <v/>
      </c>
      <c r="R1113" s="22" t="str">
        <f>IF(ISERROR(FIND('112'!$M$9,G1113,1)),"",IF((AND(FIND('112'!$M$9,G1113,1)&gt;=1,$B1113&gt;='112'!$N$8,$B1113&lt;='112'!$O$8,OR($L1113='112'!$I$6,$M1113='112'!$I$6))),"x",""))</f>
        <v/>
      </c>
      <c r="S1113" s="22" t="str">
        <f>IF(ISERROR(FIND('112'!$M$9,G1113,1)),"",IF((AND(LEFT(G1113,2)=LEFT('112'!$M$9,2),B1113&lt;'112'!$N$8,$L1113='112'!$I$6)),"x",""))</f>
        <v/>
      </c>
      <c r="T1113" s="22" t="str">
        <f>IF(ISERROR(FIND('112'!$M$9,G1113,1)),"",IF((AND(RIGHT(G1113,2)=RIGHT('112'!$M$9,2),B1113&lt;'112'!$N$8,$M1113='112'!$I$6)),"x",""))</f>
        <v/>
      </c>
      <c r="U1113" s="22" t="str">
        <f>IF(AND(B1113&gt;='IN-NX'!$P$3,B1113&lt;='IN-NX'!$Q$3,'IN-NX'!$D$7=D1113,OR(LEFT(L1113,2)="15",AND(LEFT(M1113,2)&lt;&gt;"15",LEFT(M1113,2)&lt;&gt;"33"))),"x","")</f>
        <v/>
      </c>
      <c r="V1113" s="22" t="str">
        <f>IF(AND(OR(LEFT(TH!L1113,2)="15",LEFT(TH!M1113,2)="15"),'152-CT'!$J$8=TH!F1113),"x","")</f>
        <v/>
      </c>
      <c r="W1113" s="22" t="str">
        <f>IF(AND(OR(LEFT(TH!L1113,2)="15",LEFT(TH!M1113,2)="15"),TK!$E$7=TH!F1113),"x","")</f>
        <v/>
      </c>
      <c r="X1113" s="22" t="str">
        <f>IF(OR(TH!L1113=TH!$X$7,M1113=TH!$X$7),"x","")</f>
        <v/>
      </c>
      <c r="Y1113" s="22" t="str">
        <f>IF(AND(B1113&lt;=NKC!$N$8,B1113&gt;=NKC!$M$8),"x","")</f>
        <v/>
      </c>
      <c r="Z1113" s="580"/>
      <c r="AA1113" s="406"/>
      <c r="AB1113" s="406"/>
    </row>
    <row r="1114" spans="1:31" s="130" customFormat="1" ht="15.75" customHeight="1">
      <c r="A1114" s="123" t="str">
        <f>IF(B1114&lt;&gt;"",IF(AND(B1114&gt;=_TM1,B1114&lt;=_TM2,OR(TH!L1114="1111",TH!M1114="1111")),TH!D1114,""),"")</f>
        <v/>
      </c>
      <c r="B1114" s="12">
        <f t="shared" si="56"/>
        <v>12</v>
      </c>
      <c r="C1114" s="108">
        <f t="shared" si="57"/>
        <v>42730</v>
      </c>
      <c r="D1114" s="113" t="s">
        <v>1073</v>
      </c>
      <c r="E1114" s="484">
        <v>42730</v>
      </c>
      <c r="F1114" s="167" t="s">
        <v>813</v>
      </c>
      <c r="G1114" s="485" t="s">
        <v>923</v>
      </c>
      <c r="H1114" s="115" t="s">
        <v>1074</v>
      </c>
      <c r="I1114" s="139">
        <v>1200</v>
      </c>
      <c r="J1114" s="139">
        <v>6391.2686000887979</v>
      </c>
      <c r="K1114" s="13">
        <f t="shared" si="55"/>
        <v>7669522</v>
      </c>
      <c r="L1114" s="116" t="s">
        <v>162</v>
      </c>
      <c r="M1114" s="116" t="s">
        <v>160</v>
      </c>
      <c r="N1114" s="22" t="str">
        <f>IF(AND('331-CT'!$E$7=TH!H1114,OR(L1114="331",M1114="331")),"331",IF(AND(OR(L1114="131",M1114="131"),H1114='131-CT'!$E$7),"131",""))</f>
        <v/>
      </c>
      <c r="O1114" s="22" t="str">
        <f>IF(AND($B1114&gt;='111'!$N$11,$B1114&lt;='111'!$O$11,OR($L1114=$O$7,$M1114=$O$7)),"x","")</f>
        <v/>
      </c>
      <c r="P1114" s="22" t="str">
        <f>IF(AND($L1114=$O$7,$B1114&lt;'111'!$N$11),"x","")</f>
        <v/>
      </c>
      <c r="Q1114" s="22" t="str">
        <f>IF(AND($M1114=$O$7,$B1114&lt;'111'!$N$11),"x","")</f>
        <v/>
      </c>
      <c r="R1114" s="22" t="str">
        <f>IF(ISERROR(FIND('112'!$M$9,G1114,1)),"",IF((AND(FIND('112'!$M$9,G1114,1)&gt;=1,$B1114&gt;='112'!$N$8,$B1114&lt;='112'!$O$8,OR($L1114='112'!$I$6,$M1114='112'!$I$6))),"x",""))</f>
        <v/>
      </c>
      <c r="S1114" s="22" t="str">
        <f>IF(ISERROR(FIND('112'!$M$9,G1114,1)),"",IF((AND(LEFT(G1114,2)=LEFT('112'!$M$9,2),B1114&lt;'112'!$N$8,$L1114='112'!$I$6)),"x",""))</f>
        <v/>
      </c>
      <c r="T1114" s="22" t="str">
        <f>IF(ISERROR(FIND('112'!$M$9,G1114,1)),"",IF((AND(RIGHT(G1114,2)=RIGHT('112'!$M$9,2),B1114&lt;'112'!$N$8,$M1114='112'!$I$6)),"x",""))</f>
        <v/>
      </c>
      <c r="U1114" s="22" t="str">
        <f>IF(AND(B1114&gt;='IN-NX'!$P$3,B1114&lt;='IN-NX'!$Q$3,'IN-NX'!$D$7=D1114,OR(LEFT(L1114,2)="15",AND(LEFT(M1114,2)&lt;&gt;"15",LEFT(M1114,2)&lt;&gt;"33"))),"x","")</f>
        <v/>
      </c>
      <c r="V1114" s="22" t="str">
        <f>IF(AND(OR(LEFT(TH!L1114,2)="15",LEFT(TH!M1114,2)="15"),'152-CT'!$J$8=TH!F1114),"x","")</f>
        <v/>
      </c>
      <c r="W1114" s="22" t="str">
        <f>IF(AND(OR(LEFT(TH!L1114,2)="15",LEFT(TH!M1114,2)="15"),TK!$E$7=TH!F1114),"x","")</f>
        <v/>
      </c>
      <c r="X1114" s="22" t="str">
        <f>IF(OR(TH!L1114=TH!$X$7,M1114=TH!$X$7),"x","")</f>
        <v/>
      </c>
      <c r="Y1114" s="22" t="str">
        <f>IF(AND(B1114&lt;=NKC!$N$8,B1114&gt;=NKC!$M$8),"x","")</f>
        <v/>
      </c>
      <c r="Z1114" s="580"/>
      <c r="AA1114" s="406"/>
      <c r="AB1114" s="406"/>
    </row>
    <row r="1115" spans="1:31" s="130" customFormat="1" ht="15.75" customHeight="1">
      <c r="A1115" s="123" t="str">
        <f>IF(B1115&lt;&gt;"",IF(AND(B1115&gt;=_TM1,B1115&lt;=_TM2,OR(TH!L1115="1111",TH!M1115="1111")),TH!D1115,""),"")</f>
        <v/>
      </c>
      <c r="B1115" s="12">
        <f t="shared" si="56"/>
        <v>12</v>
      </c>
      <c r="C1115" s="108">
        <f t="shared" si="57"/>
        <v>42731</v>
      </c>
      <c r="D1115" s="113" t="s">
        <v>1073</v>
      </c>
      <c r="E1115" s="484">
        <v>42731</v>
      </c>
      <c r="F1115" s="167" t="s">
        <v>813</v>
      </c>
      <c r="G1115" s="485" t="s">
        <v>924</v>
      </c>
      <c r="H1115" s="115" t="s">
        <v>1074</v>
      </c>
      <c r="I1115" s="140">
        <v>1380</v>
      </c>
      <c r="J1115" s="141">
        <v>6391.2686000887979</v>
      </c>
      <c r="K1115" s="13">
        <f t="shared" si="55"/>
        <v>8819951</v>
      </c>
      <c r="L1115" s="116" t="s">
        <v>162</v>
      </c>
      <c r="M1115" s="116" t="s">
        <v>160</v>
      </c>
      <c r="N1115" s="22" t="str">
        <f>IF(AND('331-CT'!$E$7=TH!H1115,OR(L1115="331",M1115="331")),"331",IF(AND(OR(L1115="131",M1115="131"),H1115='131-CT'!$E$7),"131",""))</f>
        <v/>
      </c>
      <c r="O1115" s="22" t="str">
        <f>IF(AND($B1115&gt;='111'!$N$11,$B1115&lt;='111'!$O$11,OR($L1115=$O$7,$M1115=$O$7)),"x","")</f>
        <v/>
      </c>
      <c r="P1115" s="22" t="str">
        <f>IF(AND($L1115=$O$7,$B1115&lt;'111'!$N$11),"x","")</f>
        <v/>
      </c>
      <c r="Q1115" s="22" t="str">
        <f>IF(AND($M1115=$O$7,$B1115&lt;'111'!$N$11),"x","")</f>
        <v/>
      </c>
      <c r="R1115" s="22" t="str">
        <f>IF(ISERROR(FIND('112'!$M$9,G1115,1)),"",IF((AND(FIND('112'!$M$9,G1115,1)&gt;=1,$B1115&gt;='112'!$N$8,$B1115&lt;='112'!$O$8,OR($L1115='112'!$I$6,$M1115='112'!$I$6))),"x",""))</f>
        <v/>
      </c>
      <c r="S1115" s="22" t="str">
        <f>IF(ISERROR(FIND('112'!$M$9,G1115,1)),"",IF((AND(LEFT(G1115,2)=LEFT('112'!$M$9,2),B1115&lt;'112'!$N$8,$L1115='112'!$I$6)),"x",""))</f>
        <v/>
      </c>
      <c r="T1115" s="22" t="str">
        <f>IF(ISERROR(FIND('112'!$M$9,G1115,1)),"",IF((AND(RIGHT(G1115,2)=RIGHT('112'!$M$9,2),B1115&lt;'112'!$N$8,$M1115='112'!$I$6)),"x",""))</f>
        <v/>
      </c>
      <c r="U1115" s="22" t="str">
        <f>IF(AND(B1115&gt;='IN-NX'!$P$3,B1115&lt;='IN-NX'!$Q$3,'IN-NX'!$D$7=D1115,OR(LEFT(L1115,2)="15",AND(LEFT(M1115,2)&lt;&gt;"15",LEFT(M1115,2)&lt;&gt;"33"))),"x","")</f>
        <v/>
      </c>
      <c r="V1115" s="22" t="str">
        <f>IF(AND(OR(LEFT(TH!L1115,2)="15",LEFT(TH!M1115,2)="15"),'152-CT'!$J$8=TH!F1115),"x","")</f>
        <v/>
      </c>
      <c r="W1115" s="22" t="str">
        <f>IF(AND(OR(LEFT(TH!L1115,2)="15",LEFT(TH!M1115,2)="15"),TK!$E$7=TH!F1115),"x","")</f>
        <v/>
      </c>
      <c r="X1115" s="22" t="str">
        <f>IF(OR(TH!L1115=TH!$X$7,M1115=TH!$X$7),"x","")</f>
        <v/>
      </c>
      <c r="Y1115" s="22" t="str">
        <f>IF(AND(B1115&lt;=NKC!$N$8,B1115&gt;=NKC!$M$8),"x","")</f>
        <v/>
      </c>
      <c r="Z1115" s="580"/>
      <c r="AA1115" s="406"/>
      <c r="AB1115" s="406"/>
    </row>
    <row r="1116" spans="1:31" s="130" customFormat="1" ht="15.75" customHeight="1">
      <c r="A1116" s="123" t="str">
        <f>IF(B1116&lt;&gt;"",IF(AND(B1116&gt;=_TM1,B1116&lt;=_TM2,OR(TH!L1116="1111",TH!M1116="1111")),TH!D1116,""),"")</f>
        <v/>
      </c>
      <c r="B1116" s="12">
        <f t="shared" si="56"/>
        <v>12</v>
      </c>
      <c r="C1116" s="108">
        <f t="shared" si="57"/>
        <v>42732</v>
      </c>
      <c r="D1116" s="113" t="s">
        <v>1073</v>
      </c>
      <c r="E1116" s="484">
        <v>42732</v>
      </c>
      <c r="F1116" s="167" t="s">
        <v>813</v>
      </c>
      <c r="G1116" s="485" t="s">
        <v>925</v>
      </c>
      <c r="H1116" s="115" t="s">
        <v>1074</v>
      </c>
      <c r="I1116" s="139">
        <v>2030</v>
      </c>
      <c r="J1116" s="141">
        <v>6391.2686000887979</v>
      </c>
      <c r="K1116" s="13">
        <f t="shared" si="55"/>
        <v>12974275</v>
      </c>
      <c r="L1116" s="116" t="s">
        <v>162</v>
      </c>
      <c r="M1116" s="116" t="s">
        <v>160</v>
      </c>
      <c r="N1116" s="22" t="str">
        <f>IF(AND('331-CT'!$E$7=TH!H1116,OR(L1116="331",M1116="331")),"331",IF(AND(OR(L1116="131",M1116="131"),H1116='131-CT'!$E$7),"131",""))</f>
        <v/>
      </c>
      <c r="O1116" s="22" t="str">
        <f>IF(AND($B1116&gt;='111'!$N$11,$B1116&lt;='111'!$O$11,OR($L1116=$O$7,$M1116=$O$7)),"x","")</f>
        <v/>
      </c>
      <c r="P1116" s="22" t="str">
        <f>IF(AND($L1116=$O$7,$B1116&lt;'111'!$N$11),"x","")</f>
        <v/>
      </c>
      <c r="Q1116" s="22" t="str">
        <f>IF(AND($M1116=$O$7,$B1116&lt;'111'!$N$11),"x","")</f>
        <v/>
      </c>
      <c r="R1116" s="22" t="str">
        <f>IF(ISERROR(FIND('112'!$M$9,G1116,1)),"",IF((AND(FIND('112'!$M$9,G1116,1)&gt;=1,$B1116&gt;='112'!$N$8,$B1116&lt;='112'!$O$8,OR($L1116='112'!$I$6,$M1116='112'!$I$6))),"x",""))</f>
        <v/>
      </c>
      <c r="S1116" s="22" t="str">
        <f>IF(ISERROR(FIND('112'!$M$9,G1116,1)),"",IF((AND(LEFT(G1116,2)=LEFT('112'!$M$9,2),B1116&lt;'112'!$N$8,$L1116='112'!$I$6)),"x",""))</f>
        <v/>
      </c>
      <c r="T1116" s="22" t="str">
        <f>IF(ISERROR(FIND('112'!$M$9,G1116,1)),"",IF((AND(RIGHT(G1116,2)=RIGHT('112'!$M$9,2),B1116&lt;'112'!$N$8,$M1116='112'!$I$6)),"x",""))</f>
        <v/>
      </c>
      <c r="U1116" s="22" t="str">
        <f>IF(AND(B1116&gt;='IN-NX'!$P$3,B1116&lt;='IN-NX'!$Q$3,'IN-NX'!$D$7=D1116,OR(LEFT(L1116,2)="15",AND(LEFT(M1116,2)&lt;&gt;"15",LEFT(M1116,2)&lt;&gt;"33"))),"x","")</f>
        <v/>
      </c>
      <c r="V1116" s="22" t="str">
        <f>IF(AND(OR(LEFT(TH!L1116,2)="15",LEFT(TH!M1116,2)="15"),'152-CT'!$J$8=TH!F1116),"x","")</f>
        <v/>
      </c>
      <c r="W1116" s="22" t="str">
        <f>IF(AND(OR(LEFT(TH!L1116,2)="15",LEFT(TH!M1116,2)="15"),TK!$E$7=TH!F1116),"x","")</f>
        <v/>
      </c>
      <c r="X1116" s="22" t="str">
        <f>IF(OR(TH!L1116=TH!$X$7,M1116=TH!$X$7),"x","")</f>
        <v/>
      </c>
      <c r="Y1116" s="22" t="str">
        <f>IF(AND(B1116&lt;=NKC!$N$8,B1116&gt;=NKC!$M$8),"x","")</f>
        <v/>
      </c>
      <c r="Z1116" s="580"/>
      <c r="AA1116" s="406"/>
    </row>
    <row r="1117" spans="1:31" s="130" customFormat="1" ht="15.75" customHeight="1">
      <c r="A1117" s="123" t="str">
        <f>IF(B1117&lt;&gt;"",IF(AND(B1117&gt;=_TM1,B1117&lt;=_TM2,OR(TH!L1117="1111",TH!M1117="1111")),TH!D1117,""),"")</f>
        <v/>
      </c>
      <c r="B1117" s="12">
        <f t="shared" si="56"/>
        <v>12</v>
      </c>
      <c r="C1117" s="108">
        <f t="shared" si="57"/>
        <v>42732</v>
      </c>
      <c r="D1117" s="113" t="s">
        <v>1073</v>
      </c>
      <c r="E1117" s="484">
        <v>42732</v>
      </c>
      <c r="F1117" s="167" t="s">
        <v>961</v>
      </c>
      <c r="G1117" s="485" t="s">
        <v>960</v>
      </c>
      <c r="H1117" s="115" t="s">
        <v>1074</v>
      </c>
      <c r="I1117" s="139">
        <v>188</v>
      </c>
      <c r="J1117" s="139">
        <v>9206.4702453660066</v>
      </c>
      <c r="K1117" s="13">
        <f t="shared" si="55"/>
        <v>1730816</v>
      </c>
      <c r="L1117" s="116" t="s">
        <v>162</v>
      </c>
      <c r="M1117" s="116" t="s">
        <v>160</v>
      </c>
      <c r="N1117" s="22" t="str">
        <f>IF(AND('331-CT'!$E$7=TH!H1117,OR(L1117="331",M1117="331")),"331",IF(AND(OR(L1117="131",M1117="131"),H1117='131-CT'!$E$7),"131",""))</f>
        <v/>
      </c>
      <c r="O1117" s="22" t="str">
        <f>IF(AND($B1117&gt;='111'!$N$11,$B1117&lt;='111'!$O$11,OR($L1117=$O$7,$M1117=$O$7)),"x","")</f>
        <v/>
      </c>
      <c r="P1117" s="22" t="str">
        <f>IF(AND($L1117=$O$7,$B1117&lt;'111'!$N$11),"x","")</f>
        <v/>
      </c>
      <c r="Q1117" s="22" t="str">
        <f>IF(AND($M1117=$O$7,$B1117&lt;'111'!$N$11),"x","")</f>
        <v/>
      </c>
      <c r="R1117" s="22" t="str">
        <f>IF(ISERROR(FIND('112'!$M$9,G1117,1)),"",IF((AND(FIND('112'!$M$9,G1117,1)&gt;=1,$B1117&gt;='112'!$N$8,$B1117&lt;='112'!$O$8,OR($L1117='112'!$I$6,$M1117='112'!$I$6))),"x",""))</f>
        <v/>
      </c>
      <c r="S1117" s="22" t="str">
        <f>IF(ISERROR(FIND('112'!$M$9,G1117,1)),"",IF((AND(LEFT(G1117,2)=LEFT('112'!$M$9,2),B1117&lt;'112'!$N$8,$L1117='112'!$I$6)),"x",""))</f>
        <v/>
      </c>
      <c r="T1117" s="22" t="str">
        <f>IF(ISERROR(FIND('112'!$M$9,G1117,1)),"",IF((AND(RIGHT(G1117,2)=RIGHT('112'!$M$9,2),B1117&lt;'112'!$N$8,$M1117='112'!$I$6)),"x",""))</f>
        <v/>
      </c>
      <c r="U1117" s="22" t="str">
        <f>IF(AND(B1117&gt;='IN-NX'!$P$3,B1117&lt;='IN-NX'!$Q$3,'IN-NX'!$D$7=D1117,OR(LEFT(L1117,2)="15",AND(LEFT(M1117,2)&lt;&gt;"15",LEFT(M1117,2)&lt;&gt;"33"))),"x","")</f>
        <v/>
      </c>
      <c r="V1117" s="22" t="str">
        <f>IF(AND(OR(LEFT(TH!L1117,2)="15",LEFT(TH!M1117,2)="15"),'152-CT'!$J$8=TH!F1117),"x","")</f>
        <v/>
      </c>
      <c r="W1117" s="22" t="str">
        <f>IF(AND(OR(LEFT(TH!L1117,2)="15",LEFT(TH!M1117,2)="15"),TK!$E$7=TH!F1117),"x","")</f>
        <v/>
      </c>
      <c r="X1117" s="22" t="str">
        <f>IF(OR(TH!L1117=TH!$X$7,M1117=TH!$X$7),"x","")</f>
        <v/>
      </c>
      <c r="Y1117" s="22" t="str">
        <f>IF(AND(B1117&lt;=NKC!$N$8,B1117&gt;=NKC!$M$8),"x","")</f>
        <v/>
      </c>
      <c r="Z1117" s="580"/>
      <c r="AA1117" s="406"/>
      <c r="AB1117" s="406"/>
      <c r="AD1117" s="406"/>
      <c r="AE1117" s="406"/>
    </row>
    <row r="1118" spans="1:31" s="130" customFormat="1" ht="15.75" customHeight="1">
      <c r="A1118" s="123" t="str">
        <f>IF(B1118&lt;&gt;"",IF(AND(B1118&gt;=_TM1,B1118&lt;=_TM2,OR(TH!L1118="1111",TH!M1118="1111")),TH!D1118,""),"")</f>
        <v/>
      </c>
      <c r="B1118" s="12">
        <f t="shared" si="56"/>
        <v>12</v>
      </c>
      <c r="C1118" s="108">
        <f t="shared" si="57"/>
        <v>42732</v>
      </c>
      <c r="D1118" s="113" t="s">
        <v>1073</v>
      </c>
      <c r="E1118" s="484">
        <v>42732</v>
      </c>
      <c r="F1118" s="167" t="s">
        <v>511</v>
      </c>
      <c r="G1118" s="485" t="s">
        <v>927</v>
      </c>
      <c r="H1118" s="115" t="s">
        <v>1074</v>
      </c>
      <c r="I1118" s="139">
        <v>209</v>
      </c>
      <c r="J1118" s="139">
        <v>10195.595147760703</v>
      </c>
      <c r="K1118" s="13">
        <f t="shared" si="55"/>
        <v>2130879</v>
      </c>
      <c r="L1118" s="116" t="s">
        <v>162</v>
      </c>
      <c r="M1118" s="116" t="s">
        <v>160</v>
      </c>
      <c r="N1118" s="22" t="str">
        <f>IF(AND('331-CT'!$E$7=TH!H1118,OR(L1118="331",M1118="331")),"331",IF(AND(OR(L1118="131",M1118="131"),H1118='131-CT'!$E$7),"131",""))</f>
        <v/>
      </c>
      <c r="O1118" s="22" t="str">
        <f>IF(AND($B1118&gt;='111'!$N$11,$B1118&lt;='111'!$O$11,OR($L1118=$O$7,$M1118=$O$7)),"x","")</f>
        <v/>
      </c>
      <c r="P1118" s="22" t="str">
        <f>IF(AND($L1118=$O$7,$B1118&lt;'111'!$N$11),"x","")</f>
        <v/>
      </c>
      <c r="Q1118" s="22" t="str">
        <f>IF(AND($M1118=$O$7,$B1118&lt;'111'!$N$11),"x","")</f>
        <v/>
      </c>
      <c r="R1118" s="22" t="str">
        <f>IF(ISERROR(FIND('112'!$M$9,G1118,1)),"",IF((AND(FIND('112'!$M$9,G1118,1)&gt;=1,$B1118&gt;='112'!$N$8,$B1118&lt;='112'!$O$8,OR($L1118='112'!$I$6,$M1118='112'!$I$6))),"x",""))</f>
        <v/>
      </c>
      <c r="S1118" s="22" t="str">
        <f>IF(ISERROR(FIND('112'!$M$9,G1118,1)),"",IF((AND(LEFT(G1118,2)=LEFT('112'!$M$9,2),B1118&lt;'112'!$N$8,$L1118='112'!$I$6)),"x",""))</f>
        <v/>
      </c>
      <c r="T1118" s="22" t="str">
        <f>IF(ISERROR(FIND('112'!$M$9,G1118,1)),"",IF((AND(RIGHT(G1118,2)=RIGHT('112'!$M$9,2),B1118&lt;'112'!$N$8,$M1118='112'!$I$6)),"x",""))</f>
        <v/>
      </c>
      <c r="U1118" s="22" t="str">
        <f>IF(AND(B1118&gt;='IN-NX'!$P$3,B1118&lt;='IN-NX'!$Q$3,'IN-NX'!$D$7=D1118,OR(LEFT(L1118,2)="15",AND(LEFT(M1118,2)&lt;&gt;"15",LEFT(M1118,2)&lt;&gt;"33"))),"x","")</f>
        <v/>
      </c>
      <c r="V1118" s="22" t="str">
        <f>IF(AND(OR(LEFT(TH!L1118,2)="15",LEFT(TH!M1118,2)="15"),'152-CT'!$J$8=TH!F1118),"x","")</f>
        <v/>
      </c>
      <c r="W1118" s="22" t="str">
        <f>IF(AND(OR(LEFT(TH!L1118,2)="15",LEFT(TH!M1118,2)="15"),TK!$E$7=TH!F1118),"x","")</f>
        <v/>
      </c>
      <c r="X1118" s="22" t="str">
        <f>IF(OR(TH!L1118=TH!$X$7,M1118=TH!$X$7),"x","")</f>
        <v/>
      </c>
      <c r="Y1118" s="22" t="str">
        <f>IF(AND(B1118&lt;=NKC!$N$8,B1118&gt;=NKC!$M$8),"x","")</f>
        <v/>
      </c>
      <c r="Z1118" s="580"/>
      <c r="AA1118" s="406"/>
      <c r="AB1118" s="406"/>
      <c r="AD1118" s="406"/>
      <c r="AE1118" s="406"/>
    </row>
    <row r="1119" spans="1:31" s="130" customFormat="1" ht="15.75" customHeight="1">
      <c r="A1119" s="123" t="str">
        <f>IF(B1119&lt;&gt;"",IF(AND(B1119&gt;=_TM1,B1119&lt;=_TM2,OR(TH!L1119="1111",TH!M1119="1111")),TH!D1119,""),"")</f>
        <v/>
      </c>
      <c r="B1119" s="12">
        <f t="shared" si="56"/>
        <v>12</v>
      </c>
      <c r="C1119" s="108">
        <f t="shared" si="57"/>
        <v>42732</v>
      </c>
      <c r="D1119" s="113" t="s">
        <v>1073</v>
      </c>
      <c r="E1119" s="484">
        <v>42732</v>
      </c>
      <c r="F1119" s="167" t="s">
        <v>928</v>
      </c>
      <c r="G1119" s="485" t="s">
        <v>926</v>
      </c>
      <c r="H1119" s="115" t="s">
        <v>1074</v>
      </c>
      <c r="I1119" s="139">
        <v>244</v>
      </c>
      <c r="J1119" s="139">
        <v>11108.63351920196</v>
      </c>
      <c r="K1119" s="13">
        <f t="shared" si="55"/>
        <v>2710507</v>
      </c>
      <c r="L1119" s="116" t="s">
        <v>162</v>
      </c>
      <c r="M1119" s="116" t="s">
        <v>160</v>
      </c>
      <c r="N1119" s="22" t="str">
        <f>IF(AND('331-CT'!$E$7=TH!H1119,OR(L1119="331",M1119="331")),"331",IF(AND(OR(L1119="131",M1119="131"),H1119='131-CT'!$E$7),"131",""))</f>
        <v/>
      </c>
      <c r="O1119" s="22" t="str">
        <f>IF(AND($B1119&gt;='111'!$N$11,$B1119&lt;='111'!$O$11,OR($L1119=$O$7,$M1119=$O$7)),"x","")</f>
        <v/>
      </c>
      <c r="P1119" s="22" t="str">
        <f>IF(AND($L1119=$O$7,$B1119&lt;'111'!$N$11),"x","")</f>
        <v/>
      </c>
      <c r="Q1119" s="22" t="str">
        <f>IF(AND($M1119=$O$7,$B1119&lt;'111'!$N$11),"x","")</f>
        <v/>
      </c>
      <c r="R1119" s="22" t="str">
        <f>IF(ISERROR(FIND('112'!$M$9,G1119,1)),"",IF((AND(FIND('112'!$M$9,G1119,1)&gt;=1,$B1119&gt;='112'!$N$8,$B1119&lt;='112'!$O$8,OR($L1119='112'!$I$6,$M1119='112'!$I$6))),"x",""))</f>
        <v/>
      </c>
      <c r="S1119" s="22" t="str">
        <f>IF(ISERROR(FIND('112'!$M$9,G1119,1)),"",IF((AND(LEFT(G1119,2)=LEFT('112'!$M$9,2),B1119&lt;'112'!$N$8,$L1119='112'!$I$6)),"x",""))</f>
        <v/>
      </c>
      <c r="T1119" s="22" t="str">
        <f>IF(ISERROR(FIND('112'!$M$9,G1119,1)),"",IF((AND(RIGHT(G1119,2)=RIGHT('112'!$M$9,2),B1119&lt;'112'!$N$8,$M1119='112'!$I$6)),"x",""))</f>
        <v/>
      </c>
      <c r="U1119" s="22" t="str">
        <f>IF(AND(B1119&gt;='IN-NX'!$P$3,B1119&lt;='IN-NX'!$Q$3,'IN-NX'!$D$7=D1119,OR(LEFT(L1119,2)="15",AND(LEFT(M1119,2)&lt;&gt;"15",LEFT(M1119,2)&lt;&gt;"33"))),"x","")</f>
        <v/>
      </c>
      <c r="V1119" s="22" t="str">
        <f>IF(AND(OR(LEFT(TH!L1119,2)="15",LEFT(TH!M1119,2)="15"),'152-CT'!$J$8=TH!F1119),"x","")</f>
        <v/>
      </c>
      <c r="W1119" s="22" t="str">
        <f>IF(AND(OR(LEFT(TH!L1119,2)="15",LEFT(TH!M1119,2)="15"),TK!$E$7=TH!F1119),"x","")</f>
        <v/>
      </c>
      <c r="X1119" s="22" t="str">
        <f>IF(OR(TH!L1119=TH!$X$7,M1119=TH!$X$7),"x","")</f>
        <v/>
      </c>
      <c r="Y1119" s="22" t="str">
        <f>IF(AND(B1119&lt;=NKC!$N$8,B1119&gt;=NKC!$M$8),"x","")</f>
        <v/>
      </c>
      <c r="Z1119" s="580"/>
      <c r="AA1119" s="406"/>
      <c r="AB1119" s="406"/>
      <c r="AD1119" s="406"/>
      <c r="AE1119" s="406"/>
    </row>
    <row r="1120" spans="1:31" s="130" customFormat="1" ht="15.75" customHeight="1">
      <c r="A1120" s="123" t="str">
        <f>IF(B1120&lt;&gt;"",IF(AND(B1120&gt;=_TM1,B1120&lt;=_TM2,OR(TH!L1120="1111",TH!M1120="1111")),TH!D1120,""),"")</f>
        <v/>
      </c>
      <c r="B1120" s="12">
        <f t="shared" si="56"/>
        <v>12</v>
      </c>
      <c r="C1120" s="108">
        <f t="shared" si="57"/>
        <v>42732</v>
      </c>
      <c r="D1120" s="113" t="s">
        <v>1073</v>
      </c>
      <c r="E1120" s="484">
        <v>42732</v>
      </c>
      <c r="F1120" s="167" t="s">
        <v>929</v>
      </c>
      <c r="G1120" s="485" t="s">
        <v>926</v>
      </c>
      <c r="H1120" s="115" t="s">
        <v>1074</v>
      </c>
      <c r="I1120" s="139">
        <v>244</v>
      </c>
      <c r="J1120" s="139">
        <v>10423.854740621018</v>
      </c>
      <c r="K1120" s="13">
        <f t="shared" si="55"/>
        <v>2543421</v>
      </c>
      <c r="L1120" s="116" t="s">
        <v>162</v>
      </c>
      <c r="M1120" s="116" t="s">
        <v>160</v>
      </c>
      <c r="N1120" s="22" t="str">
        <f>IF(AND('331-CT'!$E$7=TH!H1120,OR(L1120="331",M1120="331")),"331",IF(AND(OR(L1120="131",M1120="131"),H1120='131-CT'!$E$7),"131",""))</f>
        <v/>
      </c>
      <c r="O1120" s="22" t="str">
        <f>IF(AND($B1120&gt;='111'!$N$11,$B1120&lt;='111'!$O$11,OR($L1120=$O$7,$M1120=$O$7)),"x","")</f>
        <v/>
      </c>
      <c r="P1120" s="22" t="str">
        <f>IF(AND($L1120=$O$7,$B1120&lt;'111'!$N$11),"x","")</f>
        <v/>
      </c>
      <c r="Q1120" s="22" t="str">
        <f>IF(AND($M1120=$O$7,$B1120&lt;'111'!$N$11),"x","")</f>
        <v/>
      </c>
      <c r="R1120" s="22" t="str">
        <f>IF(ISERROR(FIND('112'!$M$9,G1120,1)),"",IF((AND(FIND('112'!$M$9,G1120,1)&gt;=1,$B1120&gt;='112'!$N$8,$B1120&lt;='112'!$O$8,OR($L1120='112'!$I$6,$M1120='112'!$I$6))),"x",""))</f>
        <v/>
      </c>
      <c r="S1120" s="22" t="str">
        <f>IF(ISERROR(FIND('112'!$M$9,G1120,1)),"",IF((AND(LEFT(G1120,2)=LEFT('112'!$M$9,2),B1120&lt;'112'!$N$8,$L1120='112'!$I$6)),"x",""))</f>
        <v/>
      </c>
      <c r="T1120" s="22" t="str">
        <f>IF(ISERROR(FIND('112'!$M$9,G1120,1)),"",IF((AND(RIGHT(G1120,2)=RIGHT('112'!$M$9,2),B1120&lt;'112'!$N$8,$M1120='112'!$I$6)),"x",""))</f>
        <v/>
      </c>
      <c r="U1120" s="22" t="str">
        <f>IF(AND(B1120&gt;='IN-NX'!$P$3,B1120&lt;='IN-NX'!$Q$3,'IN-NX'!$D$7=D1120,OR(LEFT(L1120,2)="15",AND(LEFT(M1120,2)&lt;&gt;"15",LEFT(M1120,2)&lt;&gt;"33"))),"x","")</f>
        <v/>
      </c>
      <c r="V1120" s="22" t="str">
        <f>IF(AND(OR(LEFT(TH!L1120,2)="15",LEFT(TH!M1120,2)="15"),'152-CT'!$J$8=TH!F1120),"x","")</f>
        <v/>
      </c>
      <c r="W1120" s="22" t="str">
        <f>IF(AND(OR(LEFT(TH!L1120,2)="15",LEFT(TH!M1120,2)="15"),TK!$E$7=TH!F1120),"x","")</f>
        <v/>
      </c>
      <c r="X1120" s="22" t="str">
        <f>IF(OR(TH!L1120=TH!$X$7,M1120=TH!$X$7),"x","")</f>
        <v/>
      </c>
      <c r="Y1120" s="22" t="str">
        <f>IF(AND(B1120&lt;=NKC!$N$8,B1120&gt;=NKC!$M$8),"x","")</f>
        <v/>
      </c>
      <c r="Z1120" s="580"/>
      <c r="AA1120" s="406"/>
      <c r="AB1120" s="406"/>
      <c r="AD1120" s="406"/>
      <c r="AE1120" s="406"/>
    </row>
    <row r="1121" spans="1:31" s="130" customFormat="1" ht="15.75" customHeight="1">
      <c r="A1121" s="123" t="str">
        <f>IF(B1121&lt;&gt;"",IF(AND(B1121&gt;=_TM1,B1121&lt;=_TM2,OR(TH!L1121="1111",TH!M1121="1111")),TH!D1121,""),"")</f>
        <v/>
      </c>
      <c r="B1121" s="12">
        <f t="shared" si="56"/>
        <v>12</v>
      </c>
      <c r="C1121" s="108">
        <f t="shared" si="57"/>
        <v>42732</v>
      </c>
      <c r="D1121" s="113" t="s">
        <v>1073</v>
      </c>
      <c r="E1121" s="484">
        <v>42732</v>
      </c>
      <c r="F1121" s="167" t="s">
        <v>930</v>
      </c>
      <c r="G1121" s="485" t="s">
        <v>926</v>
      </c>
      <c r="H1121" s="115" t="s">
        <v>1074</v>
      </c>
      <c r="I1121" s="139">
        <v>244</v>
      </c>
      <c r="J1121" s="139">
        <v>1141.297964301571</v>
      </c>
      <c r="K1121" s="13">
        <f t="shared" si="55"/>
        <v>278477</v>
      </c>
      <c r="L1121" s="116" t="s">
        <v>162</v>
      </c>
      <c r="M1121" s="116" t="s">
        <v>160</v>
      </c>
      <c r="N1121" s="22" t="str">
        <f>IF(AND('331-CT'!$E$7=TH!H1121,OR(L1121="331",M1121="331")),"331",IF(AND(OR(L1121="131",M1121="131"),H1121='131-CT'!$E$7),"131",""))</f>
        <v/>
      </c>
      <c r="O1121" s="22" t="str">
        <f>IF(AND($B1121&gt;='111'!$N$11,$B1121&lt;='111'!$O$11,OR($L1121=$O$7,$M1121=$O$7)),"x","")</f>
        <v/>
      </c>
      <c r="P1121" s="22" t="str">
        <f>IF(AND($L1121=$O$7,$B1121&lt;'111'!$N$11),"x","")</f>
        <v/>
      </c>
      <c r="Q1121" s="22" t="str">
        <f>IF(AND($M1121=$O$7,$B1121&lt;'111'!$N$11),"x","")</f>
        <v/>
      </c>
      <c r="R1121" s="22" t="str">
        <f>IF(ISERROR(FIND('112'!$M$9,G1121,1)),"",IF((AND(FIND('112'!$M$9,G1121,1)&gt;=1,$B1121&gt;='112'!$N$8,$B1121&lt;='112'!$O$8,OR($L1121='112'!$I$6,$M1121='112'!$I$6))),"x",""))</f>
        <v/>
      </c>
      <c r="S1121" s="22" t="str">
        <f>IF(ISERROR(FIND('112'!$M$9,G1121,1)),"",IF((AND(LEFT(G1121,2)=LEFT('112'!$M$9,2),B1121&lt;'112'!$N$8,$L1121='112'!$I$6)),"x",""))</f>
        <v/>
      </c>
      <c r="T1121" s="22" t="str">
        <f>IF(ISERROR(FIND('112'!$M$9,G1121,1)),"",IF((AND(RIGHT(G1121,2)=RIGHT('112'!$M$9,2),B1121&lt;'112'!$N$8,$M1121='112'!$I$6)),"x",""))</f>
        <v/>
      </c>
      <c r="U1121" s="22" t="str">
        <f>IF(AND(B1121&gt;='IN-NX'!$P$3,B1121&lt;='IN-NX'!$Q$3,'IN-NX'!$D$7=D1121,OR(LEFT(L1121,2)="15",AND(LEFT(M1121,2)&lt;&gt;"15",LEFT(M1121,2)&lt;&gt;"33"))),"x","")</f>
        <v/>
      </c>
      <c r="V1121" s="22" t="str">
        <f>IF(AND(OR(LEFT(TH!L1121,2)="15",LEFT(TH!M1121,2)="15"),'152-CT'!$J$8=TH!F1121),"x","")</f>
        <v/>
      </c>
      <c r="W1121" s="22" t="str">
        <f>IF(AND(OR(LEFT(TH!L1121,2)="15",LEFT(TH!M1121,2)="15"),TK!$E$7=TH!F1121),"x","")</f>
        <v/>
      </c>
      <c r="X1121" s="22" t="str">
        <f>IF(OR(TH!L1121=TH!$X$7,M1121=TH!$X$7),"x","")</f>
        <v/>
      </c>
      <c r="Y1121" s="22" t="str">
        <f>IF(AND(B1121&lt;=NKC!$N$8,B1121&gt;=NKC!$M$8),"x","")</f>
        <v/>
      </c>
      <c r="Z1121" s="580"/>
      <c r="AA1121" s="406"/>
      <c r="AB1121" s="406"/>
    </row>
    <row r="1122" spans="1:31" s="130" customFormat="1" ht="15.75" customHeight="1">
      <c r="A1122" s="123" t="str">
        <f>IF(B1122&lt;&gt;"",IF(AND(B1122&gt;=_TM1,B1122&lt;=_TM2,OR(TH!L1122="1111",TH!M1122="1111")),TH!D1122,""),"")</f>
        <v/>
      </c>
      <c r="B1122" s="12">
        <f t="shared" si="56"/>
        <v>12</v>
      </c>
      <c r="C1122" s="108">
        <f t="shared" si="57"/>
        <v>42732</v>
      </c>
      <c r="D1122" s="113" t="s">
        <v>1073</v>
      </c>
      <c r="E1122" s="484">
        <v>42732</v>
      </c>
      <c r="F1122" s="167" t="s">
        <v>931</v>
      </c>
      <c r="G1122" s="485" t="s">
        <v>926</v>
      </c>
      <c r="H1122" s="115" t="s">
        <v>1074</v>
      </c>
      <c r="I1122" s="137">
        <v>244</v>
      </c>
      <c r="J1122" s="138">
        <v>989.12490239469503</v>
      </c>
      <c r="K1122" s="13">
        <f t="shared" si="55"/>
        <v>241346</v>
      </c>
      <c r="L1122" s="116" t="s">
        <v>162</v>
      </c>
      <c r="M1122" s="116" t="s">
        <v>160</v>
      </c>
      <c r="N1122" s="22" t="str">
        <f>IF(AND('331-CT'!$E$7=TH!H1122,OR(L1122="331",M1122="331")),"331",IF(AND(OR(L1122="131",M1122="131"),H1122='131-CT'!$E$7),"131",""))</f>
        <v/>
      </c>
      <c r="O1122" s="22" t="str">
        <f>IF(AND($B1122&gt;='111'!$N$11,$B1122&lt;='111'!$O$11,OR($L1122=$O$7,$M1122=$O$7)),"x","")</f>
        <v/>
      </c>
      <c r="P1122" s="22" t="str">
        <f>IF(AND($L1122=$O$7,$B1122&lt;'111'!$N$11),"x","")</f>
        <v/>
      </c>
      <c r="Q1122" s="22" t="str">
        <f>IF(AND($M1122=$O$7,$B1122&lt;'111'!$N$11),"x","")</f>
        <v/>
      </c>
      <c r="R1122" s="22" t="str">
        <f>IF(ISERROR(FIND('112'!$M$9,G1122,1)),"",IF((AND(FIND('112'!$M$9,G1122,1)&gt;=1,$B1122&gt;='112'!$N$8,$B1122&lt;='112'!$O$8,OR($L1122='112'!$I$6,$M1122='112'!$I$6))),"x",""))</f>
        <v/>
      </c>
      <c r="S1122" s="22" t="str">
        <f>IF(ISERROR(FIND('112'!$M$9,G1122,1)),"",IF((AND(LEFT(G1122,2)=LEFT('112'!$M$9,2),B1122&lt;'112'!$N$8,$L1122='112'!$I$6)),"x",""))</f>
        <v/>
      </c>
      <c r="T1122" s="22" t="str">
        <f>IF(ISERROR(FIND('112'!$M$9,G1122,1)),"",IF((AND(RIGHT(G1122,2)=RIGHT('112'!$M$9,2),B1122&lt;'112'!$N$8,$M1122='112'!$I$6)),"x",""))</f>
        <v/>
      </c>
      <c r="U1122" s="22" t="str">
        <f>IF(AND(B1122&gt;='IN-NX'!$P$3,B1122&lt;='IN-NX'!$Q$3,'IN-NX'!$D$7=D1122,OR(LEFT(L1122,2)="15",AND(LEFT(M1122,2)&lt;&gt;"15",LEFT(M1122,2)&lt;&gt;"33"))),"x","")</f>
        <v/>
      </c>
      <c r="V1122" s="22" t="str">
        <f>IF(AND(OR(LEFT(TH!L1122,2)="15",LEFT(TH!M1122,2)="15"),'152-CT'!$J$8=TH!F1122),"x","")</f>
        <v/>
      </c>
      <c r="W1122" s="22" t="str">
        <f>IF(AND(OR(LEFT(TH!L1122,2)="15",LEFT(TH!M1122,2)="15"),TK!$E$7=TH!F1122),"x","")</f>
        <v/>
      </c>
      <c r="X1122" s="22" t="str">
        <f>IF(OR(TH!L1122=TH!$X$7,M1122=TH!$X$7),"x","")</f>
        <v/>
      </c>
      <c r="Y1122" s="22" t="str">
        <f>IF(AND(B1122&lt;=NKC!$N$8,B1122&gt;=NKC!$M$8),"x","")</f>
        <v/>
      </c>
      <c r="Z1122" s="580"/>
      <c r="AA1122" s="406"/>
      <c r="AD1122" s="406"/>
      <c r="AE1122" s="406"/>
    </row>
    <row r="1123" spans="1:31" s="130" customFormat="1" ht="15.75" customHeight="1">
      <c r="A1123" s="123" t="str">
        <f>IF(B1123&lt;&gt;"",IF(AND(B1123&gt;=_TM1,B1123&lt;=_TM2,OR(TH!L1123="1111",TH!M1123="1111")),TH!D1123,""),"")</f>
        <v/>
      </c>
      <c r="B1123" s="12">
        <f t="shared" si="56"/>
        <v>12</v>
      </c>
      <c r="C1123" s="108">
        <f t="shared" si="57"/>
        <v>42732</v>
      </c>
      <c r="D1123" s="113" t="s">
        <v>1073</v>
      </c>
      <c r="E1123" s="484">
        <v>42732</v>
      </c>
      <c r="F1123" s="167" t="s">
        <v>932</v>
      </c>
      <c r="G1123" s="485" t="s">
        <v>926</v>
      </c>
      <c r="H1123" s="115" t="s">
        <v>1074</v>
      </c>
      <c r="I1123" s="139">
        <v>244</v>
      </c>
      <c r="J1123" s="139">
        <v>760.8653095343808</v>
      </c>
      <c r="K1123" s="13">
        <f t="shared" si="55"/>
        <v>185651</v>
      </c>
      <c r="L1123" s="116" t="s">
        <v>162</v>
      </c>
      <c r="M1123" s="116" t="s">
        <v>160</v>
      </c>
      <c r="N1123" s="22" t="str">
        <f>IF(AND('331-CT'!$E$7=TH!H1123,OR(L1123="331",M1123="331")),"331",IF(AND(OR(L1123="131",M1123="131"),H1123='131-CT'!$E$7),"131",""))</f>
        <v/>
      </c>
      <c r="O1123" s="22" t="str">
        <f>IF(AND($B1123&gt;='111'!$N$11,$B1123&lt;='111'!$O$11,OR($L1123=$O$7,$M1123=$O$7)),"x","")</f>
        <v/>
      </c>
      <c r="P1123" s="22" t="str">
        <f>IF(AND($L1123=$O$7,$B1123&lt;'111'!$N$11),"x","")</f>
        <v/>
      </c>
      <c r="Q1123" s="22" t="str">
        <f>IF(AND($M1123=$O$7,$B1123&lt;'111'!$N$11),"x","")</f>
        <v/>
      </c>
      <c r="R1123" s="22" t="str">
        <f>IF(ISERROR(FIND('112'!$M$9,G1123,1)),"",IF((AND(FIND('112'!$M$9,G1123,1)&gt;=1,$B1123&gt;='112'!$N$8,$B1123&lt;='112'!$O$8,OR($L1123='112'!$I$6,$M1123='112'!$I$6))),"x",""))</f>
        <v/>
      </c>
      <c r="S1123" s="22" t="str">
        <f>IF(ISERROR(FIND('112'!$M$9,G1123,1)),"",IF((AND(LEFT(G1123,2)=LEFT('112'!$M$9,2),B1123&lt;'112'!$N$8,$L1123='112'!$I$6)),"x",""))</f>
        <v/>
      </c>
      <c r="T1123" s="22" t="str">
        <f>IF(ISERROR(FIND('112'!$M$9,G1123,1)),"",IF((AND(RIGHT(G1123,2)=RIGHT('112'!$M$9,2),B1123&lt;'112'!$N$8,$M1123='112'!$I$6)),"x",""))</f>
        <v/>
      </c>
      <c r="U1123" s="22" t="str">
        <f>IF(AND(B1123&gt;='IN-NX'!$P$3,B1123&lt;='IN-NX'!$Q$3,'IN-NX'!$D$7=D1123,OR(LEFT(L1123,2)="15",AND(LEFT(M1123,2)&lt;&gt;"15",LEFT(M1123,2)&lt;&gt;"33"))),"x","")</f>
        <v/>
      </c>
      <c r="V1123" s="22" t="str">
        <f>IF(AND(OR(LEFT(TH!L1123,2)="15",LEFT(TH!M1123,2)="15"),'152-CT'!$J$8=TH!F1123),"x","")</f>
        <v/>
      </c>
      <c r="W1123" s="22" t="str">
        <f>IF(AND(OR(LEFT(TH!L1123,2)="15",LEFT(TH!M1123,2)="15"),TK!$E$7=TH!F1123),"x","")</f>
        <v/>
      </c>
      <c r="X1123" s="22" t="str">
        <f>IF(OR(TH!L1123=TH!$X$7,M1123=TH!$X$7),"x","")</f>
        <v/>
      </c>
      <c r="Y1123" s="22" t="str">
        <f>IF(AND(B1123&lt;=NKC!$N$8,B1123&gt;=NKC!$M$8),"x","")</f>
        <v/>
      </c>
      <c r="Z1123" s="580"/>
      <c r="AA1123" s="406"/>
      <c r="AB1123" s="406"/>
    </row>
    <row r="1124" spans="1:31" s="130" customFormat="1" ht="15.75" customHeight="1">
      <c r="A1124" s="123" t="str">
        <f>IF(B1124&lt;&gt;"",IF(AND(B1124&gt;=_TM1,B1124&lt;=_TM2,OR(TH!L1124="1111",TH!M1124="1111")),TH!D1124,""),"")</f>
        <v/>
      </c>
      <c r="B1124" s="12">
        <f t="shared" si="56"/>
        <v>12</v>
      </c>
      <c r="C1124" s="108">
        <f t="shared" si="57"/>
        <v>42732</v>
      </c>
      <c r="D1124" s="113" t="s">
        <v>1073</v>
      </c>
      <c r="E1124" s="484">
        <v>42732</v>
      </c>
      <c r="F1124" s="167" t="s">
        <v>933</v>
      </c>
      <c r="G1124" s="485" t="s">
        <v>926</v>
      </c>
      <c r="H1124" s="115" t="s">
        <v>1074</v>
      </c>
      <c r="I1124" s="139">
        <v>244</v>
      </c>
      <c r="J1124" s="139">
        <v>608.69224762750468</v>
      </c>
      <c r="K1124" s="13">
        <f t="shared" si="55"/>
        <v>148521</v>
      </c>
      <c r="L1124" s="116" t="s">
        <v>162</v>
      </c>
      <c r="M1124" s="116" t="s">
        <v>160</v>
      </c>
      <c r="N1124" s="22" t="str">
        <f>IF(AND('331-CT'!$E$7=TH!H1124,OR(L1124="331",M1124="331")),"331",IF(AND(OR(L1124="131",M1124="131"),H1124='131-CT'!$E$7),"131",""))</f>
        <v/>
      </c>
      <c r="O1124" s="22" t="str">
        <f>IF(AND($B1124&gt;='111'!$N$11,$B1124&lt;='111'!$O$11,OR($L1124=$O$7,$M1124=$O$7)),"x","")</f>
        <v/>
      </c>
      <c r="P1124" s="22" t="str">
        <f>IF(AND($L1124=$O$7,$B1124&lt;'111'!$N$11),"x","")</f>
        <v/>
      </c>
      <c r="Q1124" s="22" t="str">
        <f>IF(AND($M1124=$O$7,$B1124&lt;'111'!$N$11),"x","")</f>
        <v/>
      </c>
      <c r="R1124" s="22" t="str">
        <f>IF(ISERROR(FIND('112'!$M$9,G1124,1)),"",IF((AND(FIND('112'!$M$9,G1124,1)&gt;=1,$B1124&gt;='112'!$N$8,$B1124&lt;='112'!$O$8,OR($L1124='112'!$I$6,$M1124='112'!$I$6))),"x",""))</f>
        <v/>
      </c>
      <c r="S1124" s="22" t="str">
        <f>IF(ISERROR(FIND('112'!$M$9,G1124,1)),"",IF((AND(LEFT(G1124,2)=LEFT('112'!$M$9,2),B1124&lt;'112'!$N$8,$L1124='112'!$I$6)),"x",""))</f>
        <v/>
      </c>
      <c r="T1124" s="22" t="str">
        <f>IF(ISERROR(FIND('112'!$M$9,G1124,1)),"",IF((AND(RIGHT(G1124,2)=RIGHT('112'!$M$9,2),B1124&lt;'112'!$N$8,$M1124='112'!$I$6)),"x",""))</f>
        <v/>
      </c>
      <c r="U1124" s="22" t="str">
        <f>IF(AND(B1124&gt;='IN-NX'!$P$3,B1124&lt;='IN-NX'!$Q$3,'IN-NX'!$D$7=D1124,OR(LEFT(L1124,2)="15",AND(LEFT(M1124,2)&lt;&gt;"15",LEFT(M1124,2)&lt;&gt;"33"))),"x","")</f>
        <v/>
      </c>
      <c r="V1124" s="22" t="str">
        <f>IF(AND(OR(LEFT(TH!L1124,2)="15",LEFT(TH!M1124,2)="15"),'152-CT'!$J$8=TH!F1124),"x","")</f>
        <v/>
      </c>
      <c r="W1124" s="22" t="str">
        <f>IF(AND(OR(LEFT(TH!L1124,2)="15",LEFT(TH!M1124,2)="15"),TK!$E$7=TH!F1124),"x","")</f>
        <v/>
      </c>
      <c r="X1124" s="22" t="str">
        <f>IF(OR(TH!L1124=TH!$X$7,M1124=TH!$X$7),"x","")</f>
        <v/>
      </c>
      <c r="Y1124" s="22" t="str">
        <f>IF(AND(B1124&lt;=NKC!$N$8,B1124&gt;=NKC!$M$8),"x","")</f>
        <v/>
      </c>
      <c r="Z1124" s="580"/>
      <c r="AA1124" s="406"/>
      <c r="AB1124" s="406"/>
    </row>
    <row r="1125" spans="1:31" s="130" customFormat="1" ht="15.75" customHeight="1">
      <c r="A1125" s="123" t="str">
        <f>IF(B1125&lt;&gt;"",IF(AND(B1125&gt;=_TM1,B1125&lt;=_TM2,OR(TH!L1125="1111",TH!M1125="1111")),TH!D1125,""),"")</f>
        <v/>
      </c>
      <c r="B1125" s="12">
        <f t="shared" si="56"/>
        <v>12</v>
      </c>
      <c r="C1125" s="108">
        <f t="shared" si="57"/>
        <v>42733</v>
      </c>
      <c r="D1125" s="113" t="s">
        <v>1073</v>
      </c>
      <c r="E1125" s="484">
        <v>42733</v>
      </c>
      <c r="F1125" s="167" t="s">
        <v>937</v>
      </c>
      <c r="G1125" s="485" t="s">
        <v>934</v>
      </c>
      <c r="H1125" s="115" t="s">
        <v>1074</v>
      </c>
      <c r="I1125" s="139">
        <v>650</v>
      </c>
      <c r="J1125" s="139">
        <v>836.95184048781891</v>
      </c>
      <c r="K1125" s="13">
        <f t="shared" si="55"/>
        <v>544019</v>
      </c>
      <c r="L1125" s="116" t="s">
        <v>162</v>
      </c>
      <c r="M1125" s="116" t="s">
        <v>160</v>
      </c>
      <c r="N1125" s="22" t="str">
        <f>IF(AND('331-CT'!$E$7=TH!H1125,OR(L1125="331",M1125="331")),"331",IF(AND(OR(L1125="131",M1125="131"),H1125='131-CT'!$E$7),"131",""))</f>
        <v/>
      </c>
      <c r="O1125" s="22" t="str">
        <f>IF(AND($B1125&gt;='111'!$N$11,$B1125&lt;='111'!$O$11,OR($L1125=$O$7,$M1125=$O$7)),"x","")</f>
        <v/>
      </c>
      <c r="P1125" s="22" t="str">
        <f>IF(AND($L1125=$O$7,$B1125&lt;'111'!$N$11),"x","")</f>
        <v/>
      </c>
      <c r="Q1125" s="22" t="str">
        <f>IF(AND($M1125=$O$7,$B1125&lt;'111'!$N$11),"x","")</f>
        <v/>
      </c>
      <c r="R1125" s="22" t="str">
        <f>IF(ISERROR(FIND('112'!$M$9,G1125,1)),"",IF((AND(FIND('112'!$M$9,G1125,1)&gt;=1,$B1125&gt;='112'!$N$8,$B1125&lt;='112'!$O$8,OR($L1125='112'!$I$6,$M1125='112'!$I$6))),"x",""))</f>
        <v/>
      </c>
      <c r="S1125" s="22" t="str">
        <f>IF(ISERROR(FIND('112'!$M$9,G1125,1)),"",IF((AND(LEFT(G1125,2)=LEFT('112'!$M$9,2),B1125&lt;'112'!$N$8,$L1125='112'!$I$6)),"x",""))</f>
        <v/>
      </c>
      <c r="T1125" s="22" t="str">
        <f>IF(ISERROR(FIND('112'!$M$9,G1125,1)),"",IF((AND(RIGHT(G1125,2)=RIGHT('112'!$M$9,2),B1125&lt;'112'!$N$8,$M1125='112'!$I$6)),"x",""))</f>
        <v/>
      </c>
      <c r="U1125" s="22" t="str">
        <f>IF(AND(B1125&gt;='IN-NX'!$P$3,B1125&lt;='IN-NX'!$Q$3,'IN-NX'!$D$7=D1125,OR(LEFT(L1125,2)="15",AND(LEFT(M1125,2)&lt;&gt;"15",LEFT(M1125,2)&lt;&gt;"33"))),"x","")</f>
        <v/>
      </c>
      <c r="V1125" s="22" t="str">
        <f>IF(AND(OR(LEFT(TH!L1125,2)="15",LEFT(TH!M1125,2)="15"),'152-CT'!$J$8=TH!F1125),"x","")</f>
        <v/>
      </c>
      <c r="W1125" s="22" t="str">
        <f>IF(AND(OR(LEFT(TH!L1125,2)="15",LEFT(TH!M1125,2)="15"),TK!$E$7=TH!F1125),"x","")</f>
        <v/>
      </c>
      <c r="X1125" s="22" t="str">
        <f>IF(OR(TH!L1125=TH!$X$7,M1125=TH!$X$7),"x","")</f>
        <v/>
      </c>
      <c r="Y1125" s="22" t="str">
        <f>IF(AND(B1125&lt;=NKC!$N$8,B1125&gt;=NKC!$M$8),"x","")</f>
        <v/>
      </c>
      <c r="Z1125" s="580"/>
      <c r="AA1125" s="406"/>
      <c r="AB1125" s="406"/>
    </row>
    <row r="1126" spans="1:31" s="130" customFormat="1" ht="15.75" customHeight="1">
      <c r="A1126" s="123" t="str">
        <f>IF(B1126&lt;&gt;"",IF(AND(B1126&gt;=_TM1,B1126&lt;=_TM2,OR(TH!L1126="1111",TH!M1126="1111")),TH!D1126,""),"")</f>
        <v/>
      </c>
      <c r="B1126" s="12">
        <f t="shared" si="56"/>
        <v>12</v>
      </c>
      <c r="C1126" s="108">
        <f t="shared" si="57"/>
        <v>42734</v>
      </c>
      <c r="D1126" s="113" t="s">
        <v>1073</v>
      </c>
      <c r="E1126" s="484">
        <v>42734</v>
      </c>
      <c r="F1126" s="167" t="s">
        <v>524</v>
      </c>
      <c r="G1126" s="485" t="s">
        <v>936</v>
      </c>
      <c r="H1126" s="115" t="s">
        <v>1074</v>
      </c>
      <c r="I1126" s="139">
        <v>525</v>
      </c>
      <c r="J1126" s="139">
        <v>5554.3167596009798</v>
      </c>
      <c r="K1126" s="13">
        <f t="shared" ref="K1126:K1196" si="58">ROUND(I1126*J1126,0)</f>
        <v>2916016</v>
      </c>
      <c r="L1126" s="116" t="s">
        <v>162</v>
      </c>
      <c r="M1126" s="116" t="s">
        <v>160</v>
      </c>
      <c r="N1126" s="22" t="str">
        <f>IF(AND('331-CT'!$E$7=TH!H1126,OR(L1126="331",M1126="331")),"331",IF(AND(OR(L1126="131",M1126="131"),H1126='131-CT'!$E$7),"131",""))</f>
        <v/>
      </c>
      <c r="O1126" s="22" t="str">
        <f>IF(AND($B1126&gt;='111'!$N$11,$B1126&lt;='111'!$O$11,OR($L1126=$O$7,$M1126=$O$7)),"x","")</f>
        <v/>
      </c>
      <c r="P1126" s="22" t="str">
        <f>IF(AND($L1126=$O$7,$B1126&lt;'111'!$N$11),"x","")</f>
        <v/>
      </c>
      <c r="Q1126" s="22" t="str">
        <f>IF(AND($M1126=$O$7,$B1126&lt;'111'!$N$11),"x","")</f>
        <v/>
      </c>
      <c r="R1126" s="22" t="str">
        <f>IF(ISERROR(FIND('112'!$M$9,G1126,1)),"",IF((AND(FIND('112'!$M$9,G1126,1)&gt;=1,$B1126&gt;='112'!$N$8,$B1126&lt;='112'!$O$8,OR($L1126='112'!$I$6,$M1126='112'!$I$6))),"x",""))</f>
        <v/>
      </c>
      <c r="S1126" s="22" t="str">
        <f>IF(ISERROR(FIND('112'!$M$9,G1126,1)),"",IF((AND(LEFT(G1126,2)=LEFT('112'!$M$9,2),B1126&lt;'112'!$N$8,$L1126='112'!$I$6)),"x",""))</f>
        <v/>
      </c>
      <c r="T1126" s="22" t="str">
        <f>IF(ISERROR(FIND('112'!$M$9,G1126,1)),"",IF((AND(RIGHT(G1126,2)=RIGHT('112'!$M$9,2),B1126&lt;'112'!$N$8,$M1126='112'!$I$6)),"x",""))</f>
        <v/>
      </c>
      <c r="U1126" s="22" t="str">
        <f>IF(AND(B1126&gt;='IN-NX'!$P$3,B1126&lt;='IN-NX'!$Q$3,'IN-NX'!$D$7=D1126,OR(LEFT(L1126,2)="15",AND(LEFT(M1126,2)&lt;&gt;"15",LEFT(M1126,2)&lt;&gt;"33"))),"x","")</f>
        <v/>
      </c>
      <c r="V1126" s="22" t="str">
        <f>IF(AND(OR(LEFT(TH!L1126,2)="15",LEFT(TH!M1126,2)="15"),'152-CT'!$J$8=TH!F1126),"x","")</f>
        <v/>
      </c>
      <c r="W1126" s="22" t="str">
        <f>IF(AND(OR(LEFT(TH!L1126,2)="15",LEFT(TH!M1126,2)="15"),TK!$E$7=TH!F1126),"x","")</f>
        <v/>
      </c>
      <c r="X1126" s="22" t="str">
        <f>IF(OR(TH!L1126=TH!$X$7,M1126=TH!$X$7),"x","")</f>
        <v/>
      </c>
      <c r="Y1126" s="22" t="str">
        <f>IF(AND(B1126&lt;=NKC!$N$8,B1126&gt;=NKC!$M$8),"x","")</f>
        <v/>
      </c>
      <c r="Z1126" s="580"/>
      <c r="AA1126" s="406"/>
      <c r="AD1126" s="406"/>
      <c r="AE1126" s="406"/>
    </row>
    <row r="1127" spans="1:31" s="130" customFormat="1" ht="15.75" customHeight="1">
      <c r="A1127" s="123" t="str">
        <f>IF(B1127&lt;&gt;"",IF(AND(B1127&gt;=_TM1,B1127&lt;=_TM2,OR(TH!L1127="1111",TH!M1127="1111")),TH!D1127,""),"")</f>
        <v/>
      </c>
      <c r="B1127" s="12">
        <f t="shared" ref="B1127:B1133" si="59">IF(C1127&lt;&gt;"",MONTH(C1127),"")</f>
        <v>12</v>
      </c>
      <c r="C1127" s="108">
        <f t="shared" ref="C1127:C1133" si="60">E1127</f>
        <v>42734</v>
      </c>
      <c r="D1127" s="113" t="s">
        <v>1073</v>
      </c>
      <c r="E1127" s="484">
        <v>42734</v>
      </c>
      <c r="F1127" s="167" t="s">
        <v>1085</v>
      </c>
      <c r="G1127" s="485" t="s">
        <v>1083</v>
      </c>
      <c r="H1127" s="115" t="s">
        <v>1074</v>
      </c>
      <c r="I1127" s="139">
        <v>7250</v>
      </c>
      <c r="J1127" s="139">
        <v>2130.4228666962663</v>
      </c>
      <c r="K1127" s="13">
        <f t="shared" si="58"/>
        <v>15445566</v>
      </c>
      <c r="L1127" s="116" t="s">
        <v>162</v>
      </c>
      <c r="M1127" s="116" t="s">
        <v>160</v>
      </c>
      <c r="N1127" s="22" t="str">
        <f>IF(AND('331-CT'!$E$7=TH!H1127,OR(L1127="331",M1127="331")),"331",IF(AND(OR(L1127="131",M1127="131"),H1127='131-CT'!$E$7),"131",""))</f>
        <v/>
      </c>
      <c r="O1127" s="22" t="str">
        <f>IF(AND($B1127&gt;='111'!$N$11,$B1127&lt;='111'!$O$11,OR($L1127=$O$7,$M1127=$O$7)),"x","")</f>
        <v/>
      </c>
      <c r="P1127" s="22" t="str">
        <f>IF(AND($L1127=$O$7,$B1127&lt;'111'!$N$11),"x","")</f>
        <v/>
      </c>
      <c r="Q1127" s="22" t="str">
        <f>IF(AND($M1127=$O$7,$B1127&lt;'111'!$N$11),"x","")</f>
        <v/>
      </c>
      <c r="R1127" s="22" t="str">
        <f>IF(ISERROR(FIND('112'!$M$9,G1127,1)),"",IF((AND(FIND('112'!$M$9,G1127,1)&gt;=1,$B1127&gt;='112'!$N$8,$B1127&lt;='112'!$O$8,OR($L1127='112'!$I$6,$M1127='112'!$I$6))),"x",""))</f>
        <v/>
      </c>
      <c r="S1127" s="22" t="str">
        <f>IF(ISERROR(FIND('112'!$M$9,G1127,1)),"",IF((AND(LEFT(G1127,2)=LEFT('112'!$M$9,2),B1127&lt;'112'!$N$8,$L1127='112'!$I$6)),"x",""))</f>
        <v/>
      </c>
      <c r="T1127" s="22" t="str">
        <f>IF(ISERROR(FIND('112'!$M$9,G1127,1)),"",IF((AND(RIGHT(G1127,2)=RIGHT('112'!$M$9,2),B1127&lt;'112'!$N$8,$M1127='112'!$I$6)),"x",""))</f>
        <v/>
      </c>
      <c r="U1127" s="22" t="str">
        <f>IF(AND(B1127&gt;='IN-NX'!$P$3,B1127&lt;='IN-NX'!$Q$3,'IN-NX'!$D$7=D1127,OR(LEFT(L1127,2)="15",AND(LEFT(M1127,2)&lt;&gt;"15",LEFT(M1127,2)&lt;&gt;"33"))),"x","")</f>
        <v/>
      </c>
      <c r="V1127" s="22" t="str">
        <f>IF(AND(OR(LEFT(TH!L1127,2)="15",LEFT(TH!M1127,2)="15"),'152-CT'!$J$8=TH!F1127),"x","")</f>
        <v/>
      </c>
      <c r="W1127" s="22" t="str">
        <f>IF(AND(OR(LEFT(TH!L1127,2)="15",LEFT(TH!M1127,2)="15"),TK!$E$7=TH!F1127),"x","")</f>
        <v/>
      </c>
      <c r="X1127" s="22" t="str">
        <f>IF(OR(TH!L1127=TH!$X$7,M1127=TH!$X$7),"x","")</f>
        <v/>
      </c>
      <c r="Y1127" s="22" t="str">
        <f>IF(AND(B1127&lt;=NKC!$N$8,B1127&gt;=NKC!$M$8),"x","")</f>
        <v/>
      </c>
      <c r="Z1127" s="580"/>
      <c r="AA1127" s="406"/>
      <c r="AB1127" s="406"/>
      <c r="AD1127" s="406"/>
      <c r="AE1127" s="406"/>
    </row>
    <row r="1128" spans="1:31" s="130" customFormat="1" ht="15.75" customHeight="1">
      <c r="A1128" s="123" t="str">
        <f>IF(B1128&lt;&gt;"",IF(AND(B1128&gt;=_TM1,B1128&lt;=_TM2,OR(TH!L1128="1111",TH!M1128="1111")),TH!D1128,""),"")</f>
        <v/>
      </c>
      <c r="B1128" s="12">
        <f t="shared" si="59"/>
        <v>12</v>
      </c>
      <c r="C1128" s="108">
        <f t="shared" si="60"/>
        <v>42734</v>
      </c>
      <c r="D1128" s="113" t="s">
        <v>1073</v>
      </c>
      <c r="E1128" s="484">
        <v>42734</v>
      </c>
      <c r="F1128" s="167" t="s">
        <v>1086</v>
      </c>
      <c r="G1128" s="485" t="s">
        <v>1083</v>
      </c>
      <c r="H1128" s="115" t="s">
        <v>1074</v>
      </c>
      <c r="I1128" s="139">
        <v>9730</v>
      </c>
      <c r="J1128" s="139">
        <v>1673.9036809756378</v>
      </c>
      <c r="K1128" s="13">
        <f t="shared" si="58"/>
        <v>16287083</v>
      </c>
      <c r="L1128" s="116" t="s">
        <v>162</v>
      </c>
      <c r="M1128" s="116" t="s">
        <v>160</v>
      </c>
      <c r="N1128" s="22" t="str">
        <f>IF(AND('331-CT'!$E$7=TH!H1128,OR(L1128="331",M1128="331")),"331",IF(AND(OR(L1128="131",M1128="131"),H1128='131-CT'!$E$7),"131",""))</f>
        <v/>
      </c>
      <c r="O1128" s="22" t="str">
        <f>IF(AND($B1128&gt;='111'!$N$11,$B1128&lt;='111'!$O$11,OR($L1128=$O$7,$M1128=$O$7)),"x","")</f>
        <v/>
      </c>
      <c r="P1128" s="22" t="str">
        <f>IF(AND($L1128=$O$7,$B1128&lt;'111'!$N$11),"x","")</f>
        <v/>
      </c>
      <c r="Q1128" s="22" t="str">
        <f>IF(AND($M1128=$O$7,$B1128&lt;'111'!$N$11),"x","")</f>
        <v/>
      </c>
      <c r="R1128" s="22" t="str">
        <f>IF(ISERROR(FIND('112'!$M$9,G1128,1)),"",IF((AND(FIND('112'!$M$9,G1128,1)&gt;=1,$B1128&gt;='112'!$N$8,$B1128&lt;='112'!$O$8,OR($L1128='112'!$I$6,$M1128='112'!$I$6))),"x",""))</f>
        <v/>
      </c>
      <c r="S1128" s="22" t="str">
        <f>IF(ISERROR(FIND('112'!$M$9,G1128,1)),"",IF((AND(LEFT(G1128,2)=LEFT('112'!$M$9,2),B1128&lt;'112'!$N$8,$L1128='112'!$I$6)),"x",""))</f>
        <v/>
      </c>
      <c r="T1128" s="22" t="str">
        <f>IF(ISERROR(FIND('112'!$M$9,G1128,1)),"",IF((AND(RIGHT(G1128,2)=RIGHT('112'!$M$9,2),B1128&lt;'112'!$N$8,$M1128='112'!$I$6)),"x",""))</f>
        <v/>
      </c>
      <c r="U1128" s="22" t="str">
        <f>IF(AND(B1128&gt;='IN-NX'!$P$3,B1128&lt;='IN-NX'!$Q$3,'IN-NX'!$D$7=D1128,OR(LEFT(L1128,2)="15",AND(LEFT(M1128,2)&lt;&gt;"15",LEFT(M1128,2)&lt;&gt;"33"))),"x","")</f>
        <v/>
      </c>
      <c r="V1128" s="22" t="str">
        <f>IF(AND(OR(LEFT(TH!L1128,2)="15",LEFT(TH!M1128,2)="15"),'152-CT'!$J$8=TH!F1128),"x","")</f>
        <v/>
      </c>
      <c r="W1128" s="22" t="str">
        <f>IF(AND(OR(LEFT(TH!L1128,2)="15",LEFT(TH!M1128,2)="15"),TK!$E$7=TH!F1128),"x","")</f>
        <v/>
      </c>
      <c r="X1128" s="22" t="str">
        <f>IF(OR(TH!L1128=TH!$X$7,M1128=TH!$X$7),"x","")</f>
        <v/>
      </c>
      <c r="Y1128" s="22" t="str">
        <f>IF(AND(B1128&lt;=NKC!$N$8,B1128&gt;=NKC!$M$8),"x","")</f>
        <v/>
      </c>
      <c r="Z1128" s="580"/>
      <c r="AA1128" s="406"/>
      <c r="AB1128" s="406"/>
    </row>
    <row r="1129" spans="1:31" s="130" customFormat="1" ht="15.75" customHeight="1">
      <c r="A1129" s="123" t="str">
        <f>IF(B1129&lt;&gt;"",IF(AND(B1129&gt;=_TM1,B1129&lt;=_TM2,OR(TH!L1129="1111",TH!M1129="1111")),TH!D1129,""),"")</f>
        <v/>
      </c>
      <c r="B1129" s="12">
        <f t="shared" si="59"/>
        <v>12</v>
      </c>
      <c r="C1129" s="108">
        <f t="shared" si="60"/>
        <v>42734</v>
      </c>
      <c r="D1129" s="113" t="s">
        <v>1073</v>
      </c>
      <c r="E1129" s="484">
        <v>42734</v>
      </c>
      <c r="F1129" s="167" t="s">
        <v>1087</v>
      </c>
      <c r="G1129" s="485" t="s">
        <v>1083</v>
      </c>
      <c r="H1129" s="115" t="s">
        <v>1074</v>
      </c>
      <c r="I1129" s="137">
        <v>375</v>
      </c>
      <c r="J1129" s="138">
        <v>380.4326547671904</v>
      </c>
      <c r="K1129" s="13">
        <f t="shared" si="58"/>
        <v>142662</v>
      </c>
      <c r="L1129" s="116" t="s">
        <v>162</v>
      </c>
      <c r="M1129" s="116" t="s">
        <v>160</v>
      </c>
      <c r="N1129" s="22" t="str">
        <f>IF(AND('331-CT'!$E$7=TH!H1129,OR(L1129="331",M1129="331")),"331",IF(AND(OR(L1129="131",M1129="131"),H1129='131-CT'!$E$7),"131",""))</f>
        <v/>
      </c>
      <c r="O1129" s="22" t="str">
        <f>IF(AND($B1129&gt;='111'!$N$11,$B1129&lt;='111'!$O$11,OR($L1129=$O$7,$M1129=$O$7)),"x","")</f>
        <v/>
      </c>
      <c r="P1129" s="22" t="str">
        <f>IF(AND($L1129=$O$7,$B1129&lt;'111'!$N$11),"x","")</f>
        <v/>
      </c>
      <c r="Q1129" s="22" t="str">
        <f>IF(AND($M1129=$O$7,$B1129&lt;'111'!$N$11),"x","")</f>
        <v/>
      </c>
      <c r="R1129" s="22" t="str">
        <f>IF(ISERROR(FIND('112'!$M$9,G1129,1)),"",IF((AND(FIND('112'!$M$9,G1129,1)&gt;=1,$B1129&gt;='112'!$N$8,$B1129&lt;='112'!$O$8,OR($L1129='112'!$I$6,$M1129='112'!$I$6))),"x",""))</f>
        <v/>
      </c>
      <c r="S1129" s="22" t="str">
        <f>IF(ISERROR(FIND('112'!$M$9,G1129,1)),"",IF((AND(LEFT(G1129,2)=LEFT('112'!$M$9,2),B1129&lt;'112'!$N$8,$L1129='112'!$I$6)),"x",""))</f>
        <v/>
      </c>
      <c r="T1129" s="22" t="str">
        <f>IF(ISERROR(FIND('112'!$M$9,G1129,1)),"",IF((AND(RIGHT(G1129,2)=RIGHT('112'!$M$9,2),B1129&lt;'112'!$N$8,$M1129='112'!$I$6)),"x",""))</f>
        <v/>
      </c>
      <c r="U1129" s="22" t="str">
        <f>IF(AND(B1129&gt;='IN-NX'!$P$3,B1129&lt;='IN-NX'!$Q$3,'IN-NX'!$D$7=D1129,OR(LEFT(L1129,2)="15",AND(LEFT(M1129,2)&lt;&gt;"15",LEFT(M1129,2)&lt;&gt;"33"))),"x","")</f>
        <v/>
      </c>
      <c r="V1129" s="22" t="str">
        <f>IF(AND(OR(LEFT(TH!L1129,2)="15",LEFT(TH!M1129,2)="15"),'152-CT'!$J$8=TH!F1129),"x","")</f>
        <v/>
      </c>
      <c r="W1129" s="22" t="str">
        <f>IF(AND(OR(LEFT(TH!L1129,2)="15",LEFT(TH!M1129,2)="15"),TK!$E$7=TH!F1129),"x","")</f>
        <v/>
      </c>
      <c r="X1129" s="22" t="str">
        <f>IF(OR(TH!L1129=TH!$X$7,M1129=TH!$X$7),"x","")</f>
        <v/>
      </c>
      <c r="Y1129" s="22" t="str">
        <f>IF(AND(B1129&lt;=NKC!$N$8,B1129&gt;=NKC!$M$8),"x","")</f>
        <v/>
      </c>
      <c r="Z1129" s="580"/>
      <c r="AA1129" s="406"/>
      <c r="AD1129" s="406"/>
      <c r="AE1129" s="406"/>
    </row>
    <row r="1130" spans="1:31" s="130" customFormat="1" ht="15.75" customHeight="1">
      <c r="A1130" s="123" t="str">
        <f>IF(B1130&lt;&gt;"",IF(AND(B1130&gt;=_TM1,B1130&lt;=_TM2,OR(TH!L1130="1111",TH!M1130="1111")),TH!D1130,""),"")</f>
        <v/>
      </c>
      <c r="B1130" s="12">
        <f t="shared" si="59"/>
        <v>12</v>
      </c>
      <c r="C1130" s="108">
        <f t="shared" si="60"/>
        <v>42734</v>
      </c>
      <c r="D1130" s="113" t="s">
        <v>1073</v>
      </c>
      <c r="E1130" s="484">
        <v>42734</v>
      </c>
      <c r="F1130" s="167" t="s">
        <v>1088</v>
      </c>
      <c r="G1130" s="485" t="s">
        <v>1083</v>
      </c>
      <c r="H1130" s="115" t="s">
        <v>1074</v>
      </c>
      <c r="I1130" s="139">
        <v>500</v>
      </c>
      <c r="J1130" s="139">
        <v>21912.920914590166</v>
      </c>
      <c r="K1130" s="13">
        <f t="shared" si="58"/>
        <v>10956460</v>
      </c>
      <c r="L1130" s="116" t="s">
        <v>162</v>
      </c>
      <c r="M1130" s="116" t="s">
        <v>160</v>
      </c>
      <c r="N1130" s="22" t="str">
        <f>IF(AND('331-CT'!$E$7=TH!H1130,OR(L1130="331",M1130="331")),"331",IF(AND(OR(L1130="131",M1130="131"),H1130='131-CT'!$E$7),"131",""))</f>
        <v/>
      </c>
      <c r="O1130" s="22" t="str">
        <f>IF(AND($B1130&gt;='111'!$N$11,$B1130&lt;='111'!$O$11,OR($L1130=$O$7,$M1130=$O$7)),"x","")</f>
        <v/>
      </c>
      <c r="P1130" s="22" t="str">
        <f>IF(AND($L1130=$O$7,$B1130&lt;'111'!$N$11),"x","")</f>
        <v/>
      </c>
      <c r="Q1130" s="22" t="str">
        <f>IF(AND($M1130=$O$7,$B1130&lt;'111'!$N$11),"x","")</f>
        <v/>
      </c>
      <c r="R1130" s="22" t="str">
        <f>IF(ISERROR(FIND('112'!$M$9,G1130,1)),"",IF((AND(FIND('112'!$M$9,G1130,1)&gt;=1,$B1130&gt;='112'!$N$8,$B1130&lt;='112'!$O$8,OR($L1130='112'!$I$6,$M1130='112'!$I$6))),"x",""))</f>
        <v/>
      </c>
      <c r="S1130" s="22" t="str">
        <f>IF(ISERROR(FIND('112'!$M$9,G1130,1)),"",IF((AND(LEFT(G1130,2)=LEFT('112'!$M$9,2),B1130&lt;'112'!$N$8,$L1130='112'!$I$6)),"x",""))</f>
        <v/>
      </c>
      <c r="T1130" s="22" t="str">
        <f>IF(ISERROR(FIND('112'!$M$9,G1130,1)),"",IF((AND(RIGHT(G1130,2)=RIGHT('112'!$M$9,2),B1130&lt;'112'!$N$8,$M1130='112'!$I$6)),"x",""))</f>
        <v/>
      </c>
      <c r="U1130" s="22" t="str">
        <f>IF(AND(B1130&gt;='IN-NX'!$P$3,B1130&lt;='IN-NX'!$Q$3,'IN-NX'!$D$7=D1130,OR(LEFT(L1130,2)="15",AND(LEFT(M1130,2)&lt;&gt;"15",LEFT(M1130,2)&lt;&gt;"33"))),"x","")</f>
        <v/>
      </c>
      <c r="V1130" s="22" t="str">
        <f>IF(AND(OR(LEFT(TH!L1130,2)="15",LEFT(TH!M1130,2)="15"),'152-CT'!$J$8=TH!F1130),"x","")</f>
        <v/>
      </c>
      <c r="W1130" s="22" t="str">
        <f>IF(AND(OR(LEFT(TH!L1130,2)="15",LEFT(TH!M1130,2)="15"),TK!$E$7=TH!F1130),"x","")</f>
        <v/>
      </c>
      <c r="X1130" s="22" t="str">
        <f>IF(OR(TH!L1130=TH!$X$7,M1130=TH!$X$7),"x","")</f>
        <v/>
      </c>
      <c r="Y1130" s="22" t="str">
        <f>IF(AND(B1130&lt;=NKC!$N$8,B1130&gt;=NKC!$M$8),"x","")</f>
        <v/>
      </c>
      <c r="Z1130" s="580"/>
      <c r="AA1130" s="406"/>
      <c r="AB1130" s="406"/>
    </row>
    <row r="1131" spans="1:31" s="130" customFormat="1" ht="15.75" customHeight="1">
      <c r="A1131" s="123" t="str">
        <f>IF(B1131&lt;&gt;"",IF(AND(B1131&gt;=_TM1,B1131&lt;=_TM2,OR(TH!L1131="1111",TH!M1131="1111")),TH!D1131,""),"")</f>
        <v/>
      </c>
      <c r="B1131" s="12">
        <f t="shared" si="59"/>
        <v>12</v>
      </c>
      <c r="C1131" s="108">
        <f t="shared" si="60"/>
        <v>42734</v>
      </c>
      <c r="D1131" s="113" t="s">
        <v>1073</v>
      </c>
      <c r="E1131" s="484">
        <v>42734</v>
      </c>
      <c r="F1131" s="167" t="s">
        <v>1089</v>
      </c>
      <c r="G1131" s="485" t="s">
        <v>1083</v>
      </c>
      <c r="H1131" s="115" t="s">
        <v>1074</v>
      </c>
      <c r="I1131" s="139">
        <v>2375</v>
      </c>
      <c r="J1131" s="139">
        <v>1217.3844952550094</v>
      </c>
      <c r="K1131" s="13">
        <f t="shared" si="58"/>
        <v>2891288</v>
      </c>
      <c r="L1131" s="116" t="s">
        <v>162</v>
      </c>
      <c r="M1131" s="116" t="s">
        <v>160</v>
      </c>
      <c r="N1131" s="22" t="str">
        <f>IF(AND('331-CT'!$E$7=TH!H1131,OR(L1131="331",M1131="331")),"331",IF(AND(OR(L1131="131",M1131="131"),H1131='131-CT'!$E$7),"131",""))</f>
        <v/>
      </c>
      <c r="O1131" s="22" t="str">
        <f>IF(AND($B1131&gt;='111'!$N$11,$B1131&lt;='111'!$O$11,OR($L1131=$O$7,$M1131=$O$7)),"x","")</f>
        <v/>
      </c>
      <c r="P1131" s="22" t="str">
        <f>IF(AND($L1131=$O$7,$B1131&lt;'111'!$N$11),"x","")</f>
        <v/>
      </c>
      <c r="Q1131" s="22" t="str">
        <f>IF(AND($M1131=$O$7,$B1131&lt;'111'!$N$11),"x","")</f>
        <v/>
      </c>
      <c r="R1131" s="22" t="str">
        <f>IF(ISERROR(FIND('112'!$M$9,G1131,1)),"",IF((AND(FIND('112'!$M$9,G1131,1)&gt;=1,$B1131&gt;='112'!$N$8,$B1131&lt;='112'!$O$8,OR($L1131='112'!$I$6,$M1131='112'!$I$6))),"x",""))</f>
        <v/>
      </c>
      <c r="S1131" s="22" t="str">
        <f>IF(ISERROR(FIND('112'!$M$9,G1131,1)),"",IF((AND(LEFT(G1131,2)=LEFT('112'!$M$9,2),B1131&lt;'112'!$N$8,$L1131='112'!$I$6)),"x",""))</f>
        <v/>
      </c>
      <c r="T1131" s="22" t="str">
        <f>IF(ISERROR(FIND('112'!$M$9,G1131,1)),"",IF((AND(RIGHT(G1131,2)=RIGHT('112'!$M$9,2),B1131&lt;'112'!$N$8,$M1131='112'!$I$6)),"x",""))</f>
        <v/>
      </c>
      <c r="U1131" s="22" t="str">
        <f>IF(AND(B1131&gt;='IN-NX'!$P$3,B1131&lt;='IN-NX'!$Q$3,'IN-NX'!$D$7=D1131,OR(LEFT(L1131,2)="15",AND(LEFT(M1131,2)&lt;&gt;"15",LEFT(M1131,2)&lt;&gt;"33"))),"x","")</f>
        <v/>
      </c>
      <c r="V1131" s="22" t="str">
        <f>IF(AND(OR(LEFT(TH!L1131,2)="15",LEFT(TH!M1131,2)="15"),'152-CT'!$J$8=TH!F1131),"x","")</f>
        <v/>
      </c>
      <c r="W1131" s="22" t="str">
        <f>IF(AND(OR(LEFT(TH!L1131,2)="15",LEFT(TH!M1131,2)="15"),TK!$E$7=TH!F1131),"x","")</f>
        <v/>
      </c>
      <c r="X1131" s="22" t="str">
        <f>IF(OR(TH!L1131=TH!$X$7,M1131=TH!$X$7),"x","")</f>
        <v/>
      </c>
      <c r="Y1131" s="22" t="str">
        <f>IF(AND(B1131&lt;=NKC!$N$8,B1131&gt;=NKC!$M$8),"x","")</f>
        <v/>
      </c>
      <c r="Z1131" s="580"/>
      <c r="AA1131" s="406"/>
      <c r="AB1131" s="406"/>
    </row>
    <row r="1132" spans="1:31" s="130" customFormat="1" ht="15.75" customHeight="1">
      <c r="A1132" s="123" t="str">
        <f>IF(B1132&lt;&gt;"",IF(AND(B1132&gt;=_TM1,B1132&lt;=_TM2,OR(TH!L1132="1111",TH!M1132="1111")),TH!D1132,""),"")</f>
        <v/>
      </c>
      <c r="B1132" s="12">
        <f t="shared" si="59"/>
        <v>12</v>
      </c>
      <c r="C1132" s="108">
        <f t="shared" si="60"/>
        <v>42734</v>
      </c>
      <c r="D1132" s="113" t="s">
        <v>1073</v>
      </c>
      <c r="E1132" s="484">
        <v>42734</v>
      </c>
      <c r="F1132" s="167" t="s">
        <v>1090</v>
      </c>
      <c r="G1132" s="485" t="s">
        <v>1083</v>
      </c>
      <c r="H1132" s="115" t="s">
        <v>1074</v>
      </c>
      <c r="I1132" s="139">
        <v>200</v>
      </c>
      <c r="J1132" s="139">
        <v>2739.1151143237707</v>
      </c>
      <c r="K1132" s="13">
        <f t="shared" si="58"/>
        <v>547823</v>
      </c>
      <c r="L1132" s="116" t="s">
        <v>162</v>
      </c>
      <c r="M1132" s="116" t="s">
        <v>160</v>
      </c>
      <c r="N1132" s="22" t="str">
        <f>IF(AND('331-CT'!$E$7=TH!H1132,OR(L1132="331",M1132="331")),"331",IF(AND(OR(L1132="131",M1132="131"),H1132='131-CT'!$E$7),"131",""))</f>
        <v/>
      </c>
      <c r="O1132" s="22" t="str">
        <f>IF(AND($B1132&gt;='111'!$N$11,$B1132&lt;='111'!$O$11,OR($L1132=$O$7,$M1132=$O$7)),"x","")</f>
        <v/>
      </c>
      <c r="P1132" s="22" t="str">
        <f>IF(AND($L1132=$O$7,$B1132&lt;'111'!$N$11),"x","")</f>
        <v/>
      </c>
      <c r="Q1132" s="22" t="str">
        <f>IF(AND($M1132=$O$7,$B1132&lt;'111'!$N$11),"x","")</f>
        <v/>
      </c>
      <c r="R1132" s="22" t="str">
        <f>IF(ISERROR(FIND('112'!$M$9,G1132,1)),"",IF((AND(FIND('112'!$M$9,G1132,1)&gt;=1,$B1132&gt;='112'!$N$8,$B1132&lt;='112'!$O$8,OR($L1132='112'!$I$6,$M1132='112'!$I$6))),"x",""))</f>
        <v/>
      </c>
      <c r="S1132" s="22" t="str">
        <f>IF(ISERROR(FIND('112'!$M$9,G1132,1)),"",IF((AND(LEFT(G1132,2)=LEFT('112'!$M$9,2),B1132&lt;'112'!$N$8,$L1132='112'!$I$6)),"x",""))</f>
        <v/>
      </c>
      <c r="T1132" s="22" t="str">
        <f>IF(ISERROR(FIND('112'!$M$9,G1132,1)),"",IF((AND(RIGHT(G1132,2)=RIGHT('112'!$M$9,2),B1132&lt;'112'!$N$8,$M1132='112'!$I$6)),"x",""))</f>
        <v/>
      </c>
      <c r="U1132" s="22" t="str">
        <f>IF(AND(B1132&gt;='IN-NX'!$P$3,B1132&lt;='IN-NX'!$Q$3,'IN-NX'!$D$7=D1132,OR(LEFT(L1132,2)="15",AND(LEFT(M1132,2)&lt;&gt;"15",LEFT(M1132,2)&lt;&gt;"33"))),"x","")</f>
        <v/>
      </c>
      <c r="V1132" s="22" t="str">
        <f>IF(AND(OR(LEFT(TH!L1132,2)="15",LEFT(TH!M1132,2)="15"),'152-CT'!$J$8=TH!F1132),"x","")</f>
        <v/>
      </c>
      <c r="W1132" s="22" t="str">
        <f>IF(AND(OR(LEFT(TH!L1132,2)="15",LEFT(TH!M1132,2)="15"),TK!$E$7=TH!F1132),"x","")</f>
        <v/>
      </c>
      <c r="X1132" s="22" t="str">
        <f>IF(OR(TH!L1132=TH!$X$7,M1132=TH!$X$7),"x","")</f>
        <v/>
      </c>
      <c r="Y1132" s="22" t="str">
        <f>IF(AND(B1132&lt;=NKC!$N$8,B1132&gt;=NKC!$M$8),"x","")</f>
        <v/>
      </c>
      <c r="Z1132" s="580"/>
      <c r="AA1132" s="406"/>
      <c r="AB1132" s="406"/>
    </row>
    <row r="1133" spans="1:31" s="130" customFormat="1" ht="15.75" customHeight="1">
      <c r="A1133" s="123" t="str">
        <f>IF(B1133&lt;&gt;"",IF(AND(B1133&gt;=_TM1,B1133&lt;=_TM2,OR(TH!L1133="1111",TH!M1133="1111")),TH!D1133,""),"")</f>
        <v/>
      </c>
      <c r="B1133" s="12">
        <f t="shared" si="59"/>
        <v>12</v>
      </c>
      <c r="C1133" s="108">
        <f t="shared" si="60"/>
        <v>42734</v>
      </c>
      <c r="D1133" s="113" t="s">
        <v>1073</v>
      </c>
      <c r="E1133" s="484">
        <v>42734</v>
      </c>
      <c r="F1133" s="167" t="s">
        <v>1091</v>
      </c>
      <c r="G1133" s="485" t="s">
        <v>1083</v>
      </c>
      <c r="H1133" s="115" t="s">
        <v>1074</v>
      </c>
      <c r="I1133" s="139">
        <v>2000</v>
      </c>
      <c r="J1133" s="139">
        <v>1065.2114333481331</v>
      </c>
      <c r="K1133" s="13">
        <f t="shared" ref="K1133" si="61">ROUND(I1133*J1133,0)</f>
        <v>2130423</v>
      </c>
      <c r="L1133" s="116" t="s">
        <v>162</v>
      </c>
      <c r="M1133" s="116" t="s">
        <v>160</v>
      </c>
      <c r="N1133" s="22" t="str">
        <f>IF(AND('331-CT'!$E$7=TH!H1133,OR(L1133="331",M1133="331")),"331",IF(AND(OR(L1133="131",M1133="131"),H1133='131-CT'!$E$7),"131",""))</f>
        <v/>
      </c>
      <c r="O1133" s="22" t="str">
        <f>IF(AND($B1133&gt;='111'!$N$11,$B1133&lt;='111'!$O$11,OR($L1133=$O$7,$M1133=$O$7)),"x","")</f>
        <v/>
      </c>
      <c r="P1133" s="22" t="str">
        <f>IF(AND($L1133=$O$7,$B1133&lt;'111'!$N$11),"x","")</f>
        <v/>
      </c>
      <c r="Q1133" s="22" t="str">
        <f>IF(AND($M1133=$O$7,$B1133&lt;'111'!$N$11),"x","")</f>
        <v/>
      </c>
      <c r="R1133" s="22" t="str">
        <f>IF(ISERROR(FIND('112'!$M$9,G1133,1)),"",IF((AND(FIND('112'!$M$9,G1133,1)&gt;=1,$B1133&gt;='112'!$N$8,$B1133&lt;='112'!$O$8,OR($L1133='112'!$I$6,$M1133='112'!$I$6))),"x",""))</f>
        <v/>
      </c>
      <c r="S1133" s="22" t="str">
        <f>IF(ISERROR(FIND('112'!$M$9,G1133,1)),"",IF((AND(LEFT(G1133,2)=LEFT('112'!$M$9,2),B1133&lt;'112'!$N$8,$L1133='112'!$I$6)),"x",""))</f>
        <v/>
      </c>
      <c r="T1133" s="22" t="str">
        <f>IF(ISERROR(FIND('112'!$M$9,G1133,1)),"",IF((AND(RIGHT(G1133,2)=RIGHT('112'!$M$9,2),B1133&lt;'112'!$N$8,$M1133='112'!$I$6)),"x",""))</f>
        <v/>
      </c>
      <c r="U1133" s="22" t="str">
        <f>IF(AND(B1133&gt;='IN-NX'!$P$3,B1133&lt;='IN-NX'!$Q$3,'IN-NX'!$D$7=D1133,OR(LEFT(L1133,2)="15",AND(LEFT(M1133,2)&lt;&gt;"15",LEFT(M1133,2)&lt;&gt;"33"))),"x","")</f>
        <v/>
      </c>
      <c r="V1133" s="22" t="str">
        <f>IF(AND(OR(LEFT(TH!L1133,2)="15",LEFT(TH!M1133,2)="15"),'152-CT'!$J$8=TH!F1133),"x","")</f>
        <v/>
      </c>
      <c r="W1133" s="22" t="str">
        <f>IF(AND(OR(LEFT(TH!L1133,2)="15",LEFT(TH!M1133,2)="15"),TK!$E$7=TH!F1133),"x","")</f>
        <v/>
      </c>
      <c r="X1133" s="22" t="str">
        <f>IF(OR(TH!L1133=TH!$X$7,M1133=TH!$X$7),"x","")</f>
        <v/>
      </c>
      <c r="Y1133" s="22" t="str">
        <f>IF(AND(B1133&lt;=NKC!$N$8,B1133&gt;=NKC!$M$8),"x","")</f>
        <v/>
      </c>
      <c r="Z1133" s="580"/>
      <c r="AA1133" s="406"/>
      <c r="AD1133" s="406"/>
      <c r="AE1133" s="406"/>
    </row>
    <row r="1134" spans="1:31" s="130" customFormat="1" ht="15.75" customHeight="1">
      <c r="A1134" s="123" t="str">
        <f>IF(B1134&lt;&gt;"",IF(AND(B1134&gt;=_TM1,B1134&lt;=_TM2,OR(TH!L1134="1111",TH!M1134="1111")),TH!D1134,""),"")</f>
        <v/>
      </c>
      <c r="B1134" s="12">
        <f t="shared" si="56"/>
        <v>12</v>
      </c>
      <c r="C1134" s="108">
        <f t="shared" si="57"/>
        <v>42735</v>
      </c>
      <c r="D1134" s="113" t="s">
        <v>1073</v>
      </c>
      <c r="E1134" s="484">
        <v>42735</v>
      </c>
      <c r="F1134" s="167" t="s">
        <v>502</v>
      </c>
      <c r="G1134" s="485" t="s">
        <v>944</v>
      </c>
      <c r="H1134" s="115" t="s">
        <v>1074</v>
      </c>
      <c r="I1134" s="139">
        <v>1808</v>
      </c>
      <c r="J1134" s="139">
        <v>8673.86452869194</v>
      </c>
      <c r="K1134" s="13">
        <f t="shared" si="58"/>
        <v>15682347</v>
      </c>
      <c r="L1134" s="116" t="s">
        <v>162</v>
      </c>
      <c r="M1134" s="116" t="s">
        <v>160</v>
      </c>
      <c r="N1134" s="22" t="str">
        <f>IF(AND('331-CT'!$E$7=TH!H1134,OR(L1134="331",M1134="331")),"331",IF(AND(OR(L1134="131",M1134="131"),H1134='131-CT'!$E$7),"131",""))</f>
        <v/>
      </c>
      <c r="O1134" s="22" t="str">
        <f>IF(AND($B1134&gt;='111'!$N$11,$B1134&lt;='111'!$O$11,OR($L1134=$O$7,$M1134=$O$7)),"x","")</f>
        <v/>
      </c>
      <c r="P1134" s="22" t="str">
        <f>IF(AND($L1134=$O$7,$B1134&lt;'111'!$N$11),"x","")</f>
        <v/>
      </c>
      <c r="Q1134" s="22" t="str">
        <f>IF(AND($M1134=$O$7,$B1134&lt;'111'!$N$11),"x","")</f>
        <v/>
      </c>
      <c r="R1134" s="22" t="str">
        <f>IF(ISERROR(FIND('112'!$M$9,G1134,1)),"",IF((AND(FIND('112'!$M$9,G1134,1)&gt;=1,$B1134&gt;='112'!$N$8,$B1134&lt;='112'!$O$8,OR($L1134='112'!$I$6,$M1134='112'!$I$6))),"x",""))</f>
        <v/>
      </c>
      <c r="S1134" s="22" t="str">
        <f>IF(ISERROR(FIND('112'!$M$9,G1134,1)),"",IF((AND(LEFT(G1134,2)=LEFT('112'!$M$9,2),B1134&lt;'112'!$N$8,$L1134='112'!$I$6)),"x",""))</f>
        <v/>
      </c>
      <c r="T1134" s="22" t="str">
        <f>IF(ISERROR(FIND('112'!$M$9,G1134,1)),"",IF((AND(RIGHT(G1134,2)=RIGHT('112'!$M$9,2),B1134&lt;'112'!$N$8,$M1134='112'!$I$6)),"x",""))</f>
        <v/>
      </c>
      <c r="U1134" s="22" t="str">
        <f>IF(AND(B1134&gt;='IN-NX'!$P$3,B1134&lt;='IN-NX'!$Q$3,'IN-NX'!$D$7=D1134,OR(LEFT(L1134,2)="15",AND(LEFT(M1134,2)&lt;&gt;"15",LEFT(M1134,2)&lt;&gt;"33"))),"x","")</f>
        <v/>
      </c>
      <c r="V1134" s="22" t="str">
        <f>IF(AND(OR(LEFT(TH!L1134,2)="15",LEFT(TH!M1134,2)="15"),'152-CT'!$J$8=TH!F1134),"x","")</f>
        <v/>
      </c>
      <c r="W1134" s="22" t="str">
        <f>IF(AND(OR(LEFT(TH!L1134,2)="15",LEFT(TH!M1134,2)="15"),TK!$E$7=TH!F1134),"x","")</f>
        <v/>
      </c>
      <c r="X1134" s="22" t="str">
        <f>IF(OR(TH!L1134=TH!$X$7,M1134=TH!$X$7),"x","")</f>
        <v/>
      </c>
      <c r="Y1134" s="22" t="str">
        <f>IF(AND(B1134&lt;=NKC!$N$8,B1134&gt;=NKC!$M$8),"x","")</f>
        <v/>
      </c>
      <c r="Z1134" s="580"/>
      <c r="AA1134" s="406"/>
      <c r="AB1134" s="406"/>
      <c r="AD1134" s="406"/>
      <c r="AE1134" s="406"/>
    </row>
    <row r="1135" spans="1:31" s="130" customFormat="1" ht="15.75" customHeight="1">
      <c r="A1135" s="123" t="str">
        <f>IF(B1135&lt;&gt;"",IF(AND(B1135&gt;=_TM1,B1135&lt;=_TM2,OR(TH!L1135="1111",TH!M1135="1111")),TH!D1135,""),"")</f>
        <v/>
      </c>
      <c r="B1135" s="12">
        <f t="shared" ref="B1135:B1326" si="62">IF(C1135&lt;&gt;"",MONTH(C1135),"")</f>
        <v>12</v>
      </c>
      <c r="C1135" s="108">
        <f t="shared" si="57"/>
        <v>42735</v>
      </c>
      <c r="D1135" s="113" t="s">
        <v>1073</v>
      </c>
      <c r="E1135" s="484">
        <v>42735</v>
      </c>
      <c r="F1135" s="167" t="s">
        <v>377</v>
      </c>
      <c r="G1135" s="485" t="s">
        <v>944</v>
      </c>
      <c r="H1135" s="115" t="s">
        <v>1074</v>
      </c>
      <c r="I1135" s="139">
        <v>3616</v>
      </c>
      <c r="J1135" s="139">
        <v>684.77877858094269</v>
      </c>
      <c r="K1135" s="13">
        <f t="shared" si="58"/>
        <v>2476160</v>
      </c>
      <c r="L1135" s="116" t="s">
        <v>162</v>
      </c>
      <c r="M1135" s="116" t="s">
        <v>160</v>
      </c>
      <c r="N1135" s="22" t="str">
        <f>IF(AND('331-CT'!$E$7=TH!H1135,OR(L1135="331",M1135="331")),"331",IF(AND(OR(L1135="131",M1135="131"),H1135='131-CT'!$E$7),"131",""))</f>
        <v/>
      </c>
      <c r="O1135" s="22" t="str">
        <f>IF(AND($B1135&gt;='111'!$N$11,$B1135&lt;='111'!$O$11,OR($L1135=$O$7,$M1135=$O$7)),"x","")</f>
        <v/>
      </c>
      <c r="P1135" s="22" t="str">
        <f>IF(AND($L1135=$O$7,$B1135&lt;'111'!$N$11),"x","")</f>
        <v/>
      </c>
      <c r="Q1135" s="22" t="str">
        <f>IF(AND($M1135=$O$7,$B1135&lt;'111'!$N$11),"x","")</f>
        <v/>
      </c>
      <c r="R1135" s="22" t="str">
        <f>IF(ISERROR(FIND('112'!$M$9,G1135,1)),"",IF((AND(FIND('112'!$M$9,G1135,1)&gt;=1,$B1135&gt;='112'!$N$8,$B1135&lt;='112'!$O$8,OR($L1135='112'!$I$6,$M1135='112'!$I$6))),"x",""))</f>
        <v/>
      </c>
      <c r="S1135" s="22" t="str">
        <f>IF(ISERROR(FIND('112'!$M$9,G1135,1)),"",IF((AND(LEFT(G1135,2)=LEFT('112'!$M$9,2),B1135&lt;'112'!$N$8,$L1135='112'!$I$6)),"x",""))</f>
        <v/>
      </c>
      <c r="T1135" s="22" t="str">
        <f>IF(ISERROR(FIND('112'!$M$9,G1135,1)),"",IF((AND(RIGHT(G1135,2)=RIGHT('112'!$M$9,2),B1135&lt;'112'!$N$8,$M1135='112'!$I$6)),"x",""))</f>
        <v/>
      </c>
      <c r="U1135" s="22" t="str">
        <f>IF(AND(B1135&gt;='IN-NX'!$P$3,B1135&lt;='IN-NX'!$Q$3,'IN-NX'!$D$7=D1135,OR(LEFT(L1135,2)="15",AND(LEFT(M1135,2)&lt;&gt;"15",LEFT(M1135,2)&lt;&gt;"33"))),"x","")</f>
        <v/>
      </c>
      <c r="V1135" s="22" t="str">
        <f>IF(AND(OR(LEFT(TH!L1135,2)="15",LEFT(TH!M1135,2)="15"),'152-CT'!$J$8=TH!F1135),"x","")</f>
        <v/>
      </c>
      <c r="W1135" s="22" t="str">
        <f>IF(AND(OR(LEFT(TH!L1135,2)="15",LEFT(TH!M1135,2)="15"),TK!$E$7=TH!F1135),"x","")</f>
        <v/>
      </c>
      <c r="X1135" s="22" t="str">
        <f>IF(OR(TH!L1135=TH!$X$7,M1135=TH!$X$7),"x","")</f>
        <v/>
      </c>
      <c r="Y1135" s="22" t="str">
        <f>IF(AND(B1135&lt;=NKC!$N$8,B1135&gt;=NKC!$M$8),"x","")</f>
        <v/>
      </c>
      <c r="Z1135" s="580"/>
      <c r="AA1135" s="406"/>
      <c r="AB1135" s="406"/>
      <c r="AD1135" s="406"/>
      <c r="AE1135" s="406"/>
    </row>
    <row r="1136" spans="1:31" s="564" customFormat="1" ht="15.75" customHeight="1">
      <c r="A1136" s="603" t="str">
        <f>IF(B1136&lt;&gt;"",IF(AND(B1136&gt;=_TM1,B1136&lt;=_TM2,OR(TH!L1136="1111",TH!M1136="1111")),TH!D1136,""),"")</f>
        <v/>
      </c>
      <c r="B1136" s="556">
        <f t="shared" si="62"/>
        <v>7</v>
      </c>
      <c r="C1136" s="557">
        <f>E1136</f>
        <v>42566</v>
      </c>
      <c r="D1136" s="558" t="s">
        <v>1022</v>
      </c>
      <c r="E1136" s="617">
        <v>42566</v>
      </c>
      <c r="F1136" s="618" t="s">
        <v>493</v>
      </c>
      <c r="G1136" s="619" t="s">
        <v>699</v>
      </c>
      <c r="H1136" s="620" t="s">
        <v>1075</v>
      </c>
      <c r="I1136" s="562">
        <v>73</v>
      </c>
      <c r="J1136" s="562">
        <v>43030.791972046798</v>
      </c>
      <c r="K1136" s="568">
        <f t="shared" si="58"/>
        <v>3141248</v>
      </c>
      <c r="L1136" s="573" t="s">
        <v>167</v>
      </c>
      <c r="M1136" s="573" t="s">
        <v>162</v>
      </c>
      <c r="N1136" s="22" t="str">
        <f>IF(AND('331-CT'!$E$7=TH!H1136,OR(L1136="331",M1136="331")),"331",IF(AND(OR(L1136="131",M1136="131"),H1136='131-CT'!$E$7),"131",""))</f>
        <v/>
      </c>
      <c r="O1136" s="22" t="str">
        <f>IF(AND($B1136&gt;='111'!$N$11,$B1136&lt;='111'!$O$11,OR($L1136=$O$7,$M1136=$O$7)),"x","")</f>
        <v/>
      </c>
      <c r="P1136" s="22" t="str">
        <f>IF(AND($L1136=$O$7,$B1136&lt;'111'!$N$11),"x","")</f>
        <v/>
      </c>
      <c r="Q1136" s="22" t="str">
        <f>IF(AND($M1136=$O$7,$B1136&lt;'111'!$N$11),"x","")</f>
        <v/>
      </c>
      <c r="R1136" s="22" t="str">
        <f>IF(ISERROR(FIND('112'!$M$9,G1136,1)),"",IF((AND(FIND('112'!$M$9,G1136,1)&gt;=1,$B1136&gt;='112'!$N$8,$B1136&lt;='112'!$O$8,OR($L1136='112'!$I$6,$M1136='112'!$I$6))),"x",""))</f>
        <v/>
      </c>
      <c r="S1136" s="22" t="str">
        <f>IF(ISERROR(FIND('112'!$M$9,G1136,1)),"",IF((AND(LEFT(G1136,2)=LEFT('112'!$M$9,2),B1136&lt;'112'!$N$8,$L1136='112'!$I$6)),"x",""))</f>
        <v/>
      </c>
      <c r="T1136" s="22" t="str">
        <f>IF(ISERROR(FIND('112'!$M$9,G1136,1)),"",IF((AND(RIGHT(G1136,2)=RIGHT('112'!$M$9,2),B1136&lt;'112'!$N$8,$M1136='112'!$I$6)),"x",""))</f>
        <v/>
      </c>
      <c r="U1136" s="22" t="str">
        <f>IF(AND(B1136&gt;='IN-NX'!$P$3,B1136&lt;='IN-NX'!$Q$3,'IN-NX'!$D$7=D1136,OR(LEFT(L1136,2)="15",AND(LEFT(M1136,2)&lt;&gt;"15",LEFT(M1136,2)&lt;&gt;"33"))),"x","")</f>
        <v/>
      </c>
      <c r="V1136" s="22" t="str">
        <f>IF(AND(OR(LEFT(TH!L1136,2)="15",LEFT(TH!M1136,2)="15"),'152-CT'!$J$8=TH!F1136),"x","")</f>
        <v/>
      </c>
      <c r="W1136" s="22" t="str">
        <f>IF(AND(OR(LEFT(TH!L1136,2)="15",LEFT(TH!M1136,2)="15"),TK!$E$7=TH!F1136),"x","")</f>
        <v/>
      </c>
      <c r="X1136" s="22" t="str">
        <f>IF(OR(TH!L1136=TH!$X$7,M1136=TH!$X$7),"x","")</f>
        <v/>
      </c>
      <c r="Y1136" s="22" t="str">
        <f>IF(AND(B1136&lt;=NKC!$N$8,B1136&gt;=NKC!$M$8),"x","")</f>
        <v>x</v>
      </c>
      <c r="Z1136" s="582"/>
      <c r="AA1136" s="563"/>
      <c r="AB1136" s="563"/>
      <c r="AC1136" s="565"/>
    </row>
    <row r="1137" spans="1:31" s="589" customFormat="1" ht="15.75" customHeight="1">
      <c r="A1137" s="607" t="str">
        <f>IF(B1137&lt;&gt;"",IF(AND(B1137&gt;=_TM1,B1137&lt;=_TM2,OR(TH!L1137="1111",TH!M1137="1111")),TH!D1137,""),"")</f>
        <v/>
      </c>
      <c r="B1137" s="585">
        <f t="shared" si="62"/>
        <v>7</v>
      </c>
      <c r="C1137" s="586">
        <f t="shared" ref="C1137:C1200" si="63">E1137</f>
        <v>42566</v>
      </c>
      <c r="D1137" s="569" t="s">
        <v>1022</v>
      </c>
      <c r="E1137" s="613">
        <v>42566</v>
      </c>
      <c r="F1137" s="614" t="s">
        <v>497</v>
      </c>
      <c r="G1137" s="615" t="s">
        <v>700</v>
      </c>
      <c r="H1137" s="572" t="s">
        <v>1075</v>
      </c>
      <c r="I1137" s="591">
        <v>100</v>
      </c>
      <c r="J1137" s="591">
        <v>32314.311212724799</v>
      </c>
      <c r="K1137" s="21">
        <f t="shared" si="58"/>
        <v>3231431</v>
      </c>
      <c r="L1137" s="567" t="s">
        <v>167</v>
      </c>
      <c r="M1137" s="567" t="s">
        <v>162</v>
      </c>
      <c r="N1137" s="22" t="str">
        <f>IF(AND('331-CT'!$E$7=TH!H1137,OR(L1137="331",M1137="331")),"331",IF(AND(OR(L1137="131",M1137="131"),H1137='131-CT'!$E$7),"131",""))</f>
        <v/>
      </c>
      <c r="O1137" s="22" t="str">
        <f>IF(AND($B1137&gt;='111'!$N$11,$B1137&lt;='111'!$O$11,OR($L1137=$O$7,$M1137=$O$7)),"x","")</f>
        <v/>
      </c>
      <c r="P1137" s="22" t="str">
        <f>IF(AND($L1137=$O$7,$B1137&lt;'111'!$N$11),"x","")</f>
        <v/>
      </c>
      <c r="Q1137" s="22" t="str">
        <f>IF(AND($M1137=$O$7,$B1137&lt;'111'!$N$11),"x","")</f>
        <v/>
      </c>
      <c r="R1137" s="22" t="str">
        <f>IF(ISERROR(FIND('112'!$M$9,G1137,1)),"",IF((AND(FIND('112'!$M$9,G1137,1)&gt;=1,$B1137&gt;='112'!$N$8,$B1137&lt;='112'!$O$8,OR($L1137='112'!$I$6,$M1137='112'!$I$6))),"x",""))</f>
        <v/>
      </c>
      <c r="S1137" s="22" t="str">
        <f>IF(ISERROR(FIND('112'!$M$9,G1137,1)),"",IF((AND(LEFT(G1137,2)=LEFT('112'!$M$9,2),B1137&lt;'112'!$N$8,$L1137='112'!$I$6)),"x",""))</f>
        <v/>
      </c>
      <c r="T1137" s="22" t="str">
        <f>IF(ISERROR(FIND('112'!$M$9,G1137,1)),"",IF((AND(RIGHT(G1137,2)=RIGHT('112'!$M$9,2),B1137&lt;'112'!$N$8,$M1137='112'!$I$6)),"x",""))</f>
        <v/>
      </c>
      <c r="U1137" s="22" t="str">
        <f>IF(AND(B1137&gt;='IN-NX'!$P$3,B1137&lt;='IN-NX'!$Q$3,'IN-NX'!$D$7=D1137,OR(LEFT(L1137,2)="15",AND(LEFT(M1137,2)&lt;&gt;"15",LEFT(M1137,2)&lt;&gt;"33"))),"x","")</f>
        <v/>
      </c>
      <c r="V1137" s="22" t="str">
        <f>IF(AND(OR(LEFT(TH!L1137,2)="15",LEFT(TH!M1137,2)="15"),'152-CT'!$J$8=TH!F1137),"x","")</f>
        <v/>
      </c>
      <c r="W1137" s="22" t="str">
        <f>IF(AND(OR(LEFT(TH!L1137,2)="15",LEFT(TH!M1137,2)="15"),TK!$E$7=TH!F1137),"x","")</f>
        <v/>
      </c>
      <c r="X1137" s="22" t="str">
        <f>IF(OR(TH!L1137=TH!$X$7,M1137=TH!$X$7),"x","")</f>
        <v/>
      </c>
      <c r="Y1137" s="22" t="str">
        <f>IF(AND(B1137&lt;=NKC!$N$8,B1137&gt;=NKC!$M$8),"x","")</f>
        <v>x</v>
      </c>
      <c r="Z1137" s="580"/>
      <c r="AA1137" s="588"/>
      <c r="AB1137" s="588"/>
    </row>
    <row r="1138" spans="1:31" s="589" customFormat="1" ht="15.75" customHeight="1">
      <c r="A1138" s="607" t="str">
        <f>IF(B1138&lt;&gt;"",IF(AND(B1138&gt;=_TM1,B1138&lt;=_TM2,OR(TH!L1138="1111",TH!M1138="1111")),TH!D1138,""),"")</f>
        <v/>
      </c>
      <c r="B1138" s="585">
        <f t="shared" si="62"/>
        <v>7</v>
      </c>
      <c r="C1138" s="586">
        <f t="shared" si="63"/>
        <v>42566</v>
      </c>
      <c r="D1138" s="569" t="s">
        <v>1022</v>
      </c>
      <c r="E1138" s="613">
        <v>42566</v>
      </c>
      <c r="F1138" s="614" t="s">
        <v>498</v>
      </c>
      <c r="G1138" s="615" t="s">
        <v>700</v>
      </c>
      <c r="H1138" s="572" t="s">
        <v>1075</v>
      </c>
      <c r="I1138" s="137">
        <v>116</v>
      </c>
      <c r="J1138" s="137">
        <v>62320.457338826389</v>
      </c>
      <c r="K1138" s="21">
        <f t="shared" si="58"/>
        <v>7229173</v>
      </c>
      <c r="L1138" s="567" t="s">
        <v>167</v>
      </c>
      <c r="M1138" s="567" t="s">
        <v>162</v>
      </c>
      <c r="N1138" s="22" t="str">
        <f>IF(AND('331-CT'!$E$7=TH!H1138,OR(L1138="331",M1138="331")),"331",IF(AND(OR(L1138="131",M1138="131"),H1138='131-CT'!$E$7),"131",""))</f>
        <v/>
      </c>
      <c r="O1138" s="22" t="str">
        <f>IF(AND($B1138&gt;='111'!$N$11,$B1138&lt;='111'!$O$11,OR($L1138=$O$7,$M1138=$O$7)),"x","")</f>
        <v/>
      </c>
      <c r="P1138" s="22" t="str">
        <f>IF(AND($L1138=$O$7,$B1138&lt;'111'!$N$11),"x","")</f>
        <v/>
      </c>
      <c r="Q1138" s="22" t="str">
        <f>IF(AND($M1138=$O$7,$B1138&lt;'111'!$N$11),"x","")</f>
        <v/>
      </c>
      <c r="R1138" s="22" t="str">
        <f>IF(ISERROR(FIND('112'!$M$9,G1138,1)),"",IF((AND(FIND('112'!$M$9,G1138,1)&gt;=1,$B1138&gt;='112'!$N$8,$B1138&lt;='112'!$O$8,OR($L1138='112'!$I$6,$M1138='112'!$I$6))),"x",""))</f>
        <v/>
      </c>
      <c r="S1138" s="22" t="str">
        <f>IF(ISERROR(FIND('112'!$M$9,G1138,1)),"",IF((AND(LEFT(G1138,2)=LEFT('112'!$M$9,2),B1138&lt;'112'!$N$8,$L1138='112'!$I$6)),"x",""))</f>
        <v/>
      </c>
      <c r="T1138" s="22" t="str">
        <f>IF(ISERROR(FIND('112'!$M$9,G1138,1)),"",IF((AND(RIGHT(G1138,2)=RIGHT('112'!$M$9,2),B1138&lt;'112'!$N$8,$M1138='112'!$I$6)),"x",""))</f>
        <v/>
      </c>
      <c r="U1138" s="22" t="str">
        <f>IF(AND(B1138&gt;='IN-NX'!$P$3,B1138&lt;='IN-NX'!$Q$3,'IN-NX'!$D$7=D1138,OR(LEFT(L1138,2)="15",AND(LEFT(M1138,2)&lt;&gt;"15",LEFT(M1138,2)&lt;&gt;"33"))),"x","")</f>
        <v/>
      </c>
      <c r="V1138" s="22" t="str">
        <f>IF(AND(OR(LEFT(TH!L1138,2)="15",LEFT(TH!M1138,2)="15"),'152-CT'!$J$8=TH!F1138),"x","")</f>
        <v/>
      </c>
      <c r="W1138" s="22" t="str">
        <f>IF(AND(OR(LEFT(TH!L1138,2)="15",LEFT(TH!M1138,2)="15"),TK!$E$7=TH!F1138),"x","")</f>
        <v/>
      </c>
      <c r="X1138" s="22" t="str">
        <f>IF(OR(TH!L1138=TH!$X$7,M1138=TH!$X$7),"x","")</f>
        <v/>
      </c>
      <c r="Y1138" s="22" t="str">
        <f>IF(AND(B1138&lt;=NKC!$N$8,B1138&gt;=NKC!$M$8),"x","")</f>
        <v>x</v>
      </c>
      <c r="Z1138" s="580"/>
      <c r="AA1138" s="588"/>
      <c r="AD1138" s="588"/>
      <c r="AE1138" s="588"/>
    </row>
    <row r="1139" spans="1:31" s="589" customFormat="1" ht="15.75" customHeight="1">
      <c r="A1139" s="607" t="str">
        <f>IF(B1139&lt;&gt;"",IF(AND(B1139&gt;=_TM1,B1139&lt;=_TM2,OR(TH!L1139="1111",TH!M1139="1111")),TH!D1139,""),"")</f>
        <v/>
      </c>
      <c r="B1139" s="585">
        <f t="shared" si="62"/>
        <v>7</v>
      </c>
      <c r="C1139" s="586">
        <f t="shared" si="63"/>
        <v>42566</v>
      </c>
      <c r="D1139" s="569" t="s">
        <v>1022</v>
      </c>
      <c r="E1139" s="613">
        <v>42566</v>
      </c>
      <c r="F1139" s="614" t="s">
        <v>499</v>
      </c>
      <c r="G1139" s="615" t="s">
        <v>701</v>
      </c>
      <c r="H1139" s="572" t="s">
        <v>1075</v>
      </c>
      <c r="I1139" s="137">
        <v>220</v>
      </c>
      <c r="J1139" s="137">
        <v>22504.609594576199</v>
      </c>
      <c r="K1139" s="21">
        <f t="shared" si="58"/>
        <v>4951014</v>
      </c>
      <c r="L1139" s="567" t="s">
        <v>167</v>
      </c>
      <c r="M1139" s="567" t="s">
        <v>162</v>
      </c>
      <c r="N1139" s="22" t="str">
        <f>IF(AND('331-CT'!$E$7=TH!H1139,OR(L1139="331",M1139="331")),"331",IF(AND(OR(L1139="131",M1139="131"),H1139='131-CT'!$E$7),"131",""))</f>
        <v/>
      </c>
      <c r="O1139" s="22" t="str">
        <f>IF(AND($B1139&gt;='111'!$N$11,$B1139&lt;='111'!$O$11,OR($L1139=$O$7,$M1139=$O$7)),"x","")</f>
        <v/>
      </c>
      <c r="P1139" s="22" t="str">
        <f>IF(AND($L1139=$O$7,$B1139&lt;'111'!$N$11),"x","")</f>
        <v/>
      </c>
      <c r="Q1139" s="22" t="str">
        <f>IF(AND($M1139=$O$7,$B1139&lt;'111'!$N$11),"x","")</f>
        <v/>
      </c>
      <c r="R1139" s="22" t="str">
        <f>IF(ISERROR(FIND('112'!$M$9,G1139,1)),"",IF((AND(FIND('112'!$M$9,G1139,1)&gt;=1,$B1139&gt;='112'!$N$8,$B1139&lt;='112'!$O$8,OR($L1139='112'!$I$6,$M1139='112'!$I$6))),"x",""))</f>
        <v/>
      </c>
      <c r="S1139" s="22" t="str">
        <f>IF(ISERROR(FIND('112'!$M$9,G1139,1)),"",IF((AND(LEFT(G1139,2)=LEFT('112'!$M$9,2),B1139&lt;'112'!$N$8,$L1139='112'!$I$6)),"x",""))</f>
        <v/>
      </c>
      <c r="T1139" s="22" t="str">
        <f>IF(ISERROR(FIND('112'!$M$9,G1139,1)),"",IF((AND(RIGHT(G1139,2)=RIGHT('112'!$M$9,2),B1139&lt;'112'!$N$8,$M1139='112'!$I$6)),"x",""))</f>
        <v/>
      </c>
      <c r="U1139" s="22" t="str">
        <f>IF(AND(B1139&gt;='IN-NX'!$P$3,B1139&lt;='IN-NX'!$Q$3,'IN-NX'!$D$7=D1139,OR(LEFT(L1139,2)="15",AND(LEFT(M1139,2)&lt;&gt;"15",LEFT(M1139,2)&lt;&gt;"33"))),"x","")</f>
        <v/>
      </c>
      <c r="V1139" s="22" t="str">
        <f>IF(AND(OR(LEFT(TH!L1139,2)="15",LEFT(TH!M1139,2)="15"),'152-CT'!$J$8=TH!F1139),"x","")</f>
        <v/>
      </c>
      <c r="W1139" s="22" t="str">
        <f>IF(AND(OR(LEFT(TH!L1139,2)="15",LEFT(TH!M1139,2)="15"),TK!$E$7=TH!F1139),"x","")</f>
        <v/>
      </c>
      <c r="X1139" s="22" t="str">
        <f>IF(OR(TH!L1139=TH!$X$7,M1139=TH!$X$7),"x","")</f>
        <v/>
      </c>
      <c r="Y1139" s="22" t="str">
        <f>IF(AND(B1139&lt;=NKC!$N$8,B1139&gt;=NKC!$M$8),"x","")</f>
        <v>x</v>
      </c>
      <c r="Z1139" s="580"/>
      <c r="AA1139" s="588"/>
      <c r="AB1139" s="588"/>
      <c r="AD1139" s="588"/>
      <c r="AE1139" s="588"/>
    </row>
    <row r="1140" spans="1:31" s="589" customFormat="1" ht="15.75" customHeight="1">
      <c r="A1140" s="607" t="str">
        <f>IF(B1140&lt;&gt;"",IF(AND(B1140&gt;=_TM1,B1140&lt;=_TM2,OR(TH!L1140="1111",TH!M1140="1111")),TH!D1140,""),"")</f>
        <v/>
      </c>
      <c r="B1140" s="585">
        <f t="shared" si="62"/>
        <v>7</v>
      </c>
      <c r="C1140" s="586">
        <f t="shared" si="63"/>
        <v>42566</v>
      </c>
      <c r="D1140" s="569" t="s">
        <v>1022</v>
      </c>
      <c r="E1140" s="613">
        <v>42566</v>
      </c>
      <c r="F1140" s="614" t="s">
        <v>500</v>
      </c>
      <c r="G1140" s="615" t="s">
        <v>701</v>
      </c>
      <c r="H1140" s="572" t="s">
        <v>1075</v>
      </c>
      <c r="I1140" s="137">
        <v>357</v>
      </c>
      <c r="J1140" s="137">
        <v>10551.611824563199</v>
      </c>
      <c r="K1140" s="21">
        <f t="shared" si="58"/>
        <v>3766925</v>
      </c>
      <c r="L1140" s="567" t="s">
        <v>167</v>
      </c>
      <c r="M1140" s="567" t="s">
        <v>162</v>
      </c>
      <c r="N1140" s="22" t="str">
        <f>IF(AND('331-CT'!$E$7=TH!H1140,OR(L1140="331",M1140="331")),"331",IF(AND(OR(L1140="131",M1140="131"),H1140='131-CT'!$E$7),"131",""))</f>
        <v/>
      </c>
      <c r="O1140" s="22" t="str">
        <f>IF(AND($B1140&gt;='111'!$N$11,$B1140&lt;='111'!$O$11,OR($L1140=$O$7,$M1140=$O$7)),"x","")</f>
        <v/>
      </c>
      <c r="P1140" s="22" t="str">
        <f>IF(AND($L1140=$O$7,$B1140&lt;'111'!$N$11),"x","")</f>
        <v/>
      </c>
      <c r="Q1140" s="22" t="str">
        <f>IF(AND($M1140=$O$7,$B1140&lt;'111'!$N$11),"x","")</f>
        <v/>
      </c>
      <c r="R1140" s="22" t="str">
        <f>IF(ISERROR(FIND('112'!$M$9,G1140,1)),"",IF((AND(FIND('112'!$M$9,G1140,1)&gt;=1,$B1140&gt;='112'!$N$8,$B1140&lt;='112'!$O$8,OR($L1140='112'!$I$6,$M1140='112'!$I$6))),"x",""))</f>
        <v/>
      </c>
      <c r="S1140" s="22" t="str">
        <f>IF(ISERROR(FIND('112'!$M$9,G1140,1)),"",IF((AND(LEFT(G1140,2)=LEFT('112'!$M$9,2),B1140&lt;'112'!$N$8,$L1140='112'!$I$6)),"x",""))</f>
        <v/>
      </c>
      <c r="T1140" s="22" t="str">
        <f>IF(ISERROR(FIND('112'!$M$9,G1140,1)),"",IF((AND(RIGHT(G1140,2)=RIGHT('112'!$M$9,2),B1140&lt;'112'!$N$8,$M1140='112'!$I$6)),"x",""))</f>
        <v/>
      </c>
      <c r="U1140" s="22" t="str">
        <f>IF(AND(B1140&gt;='IN-NX'!$P$3,B1140&lt;='IN-NX'!$Q$3,'IN-NX'!$D$7=D1140,OR(LEFT(L1140,2)="15",AND(LEFT(M1140,2)&lt;&gt;"15",LEFT(M1140,2)&lt;&gt;"33"))),"x","")</f>
        <v/>
      </c>
      <c r="V1140" s="22" t="str">
        <f>IF(AND(OR(LEFT(TH!L1140,2)="15",LEFT(TH!M1140,2)="15"),'152-CT'!$J$8=TH!F1140),"x","")</f>
        <v/>
      </c>
      <c r="W1140" s="22" t="str">
        <f>IF(AND(OR(LEFT(TH!L1140,2)="15",LEFT(TH!M1140,2)="15"),TK!$E$7=TH!F1140),"x","")</f>
        <v/>
      </c>
      <c r="X1140" s="22" t="str">
        <f>IF(OR(TH!L1140=TH!$X$7,M1140=TH!$X$7),"x","")</f>
        <v/>
      </c>
      <c r="Y1140" s="22" t="str">
        <f>IF(AND(B1140&lt;=NKC!$N$8,B1140&gt;=NKC!$M$8),"x","")</f>
        <v>x</v>
      </c>
      <c r="Z1140" s="580"/>
      <c r="AA1140" s="588"/>
      <c r="AB1140" s="588"/>
      <c r="AD1140" s="588"/>
      <c r="AE1140" s="588"/>
    </row>
    <row r="1141" spans="1:31" s="589" customFormat="1" ht="15.75" customHeight="1">
      <c r="A1141" s="607" t="str">
        <f>IF(B1141&lt;&gt;"",IF(AND(B1141&gt;=_TM1,B1141&lt;=_TM2,OR(TH!L1141="1111",TH!M1141="1111")),TH!D1141,""),"")</f>
        <v/>
      </c>
      <c r="B1141" s="585">
        <f t="shared" si="62"/>
        <v>7</v>
      </c>
      <c r="C1141" s="586">
        <f t="shared" si="63"/>
        <v>42566</v>
      </c>
      <c r="D1141" s="569" t="s">
        <v>1022</v>
      </c>
      <c r="E1141" s="613">
        <v>42566</v>
      </c>
      <c r="F1141" s="614" t="s">
        <v>501</v>
      </c>
      <c r="G1141" s="615" t="s">
        <v>701</v>
      </c>
      <c r="H1141" s="572" t="s">
        <v>1075</v>
      </c>
      <c r="I1141" s="137">
        <v>70</v>
      </c>
      <c r="J1141" s="137">
        <v>11046.218628839601</v>
      </c>
      <c r="K1141" s="21">
        <f t="shared" si="58"/>
        <v>773235</v>
      </c>
      <c r="L1141" s="567" t="s">
        <v>167</v>
      </c>
      <c r="M1141" s="567" t="s">
        <v>162</v>
      </c>
      <c r="N1141" s="22" t="str">
        <f>IF(AND('331-CT'!$E$7=TH!H1141,OR(L1141="331",M1141="331")),"331",IF(AND(OR(L1141="131",M1141="131"),H1141='131-CT'!$E$7),"131",""))</f>
        <v/>
      </c>
      <c r="O1141" s="22" t="str">
        <f>IF(AND($B1141&gt;='111'!$N$11,$B1141&lt;='111'!$O$11,OR($L1141=$O$7,$M1141=$O$7)),"x","")</f>
        <v/>
      </c>
      <c r="P1141" s="22" t="str">
        <f>IF(AND($L1141=$O$7,$B1141&lt;'111'!$N$11),"x","")</f>
        <v/>
      </c>
      <c r="Q1141" s="22" t="str">
        <f>IF(AND($M1141=$O$7,$B1141&lt;'111'!$N$11),"x","")</f>
        <v/>
      </c>
      <c r="R1141" s="22" t="str">
        <f>IF(ISERROR(FIND('112'!$M$9,G1141,1)),"",IF((AND(FIND('112'!$M$9,G1141,1)&gt;=1,$B1141&gt;='112'!$N$8,$B1141&lt;='112'!$O$8,OR($L1141='112'!$I$6,$M1141='112'!$I$6))),"x",""))</f>
        <v/>
      </c>
      <c r="S1141" s="22" t="str">
        <f>IF(ISERROR(FIND('112'!$M$9,G1141,1)),"",IF((AND(LEFT(G1141,2)=LEFT('112'!$M$9,2),B1141&lt;'112'!$N$8,$L1141='112'!$I$6)),"x",""))</f>
        <v/>
      </c>
      <c r="T1141" s="22" t="str">
        <f>IF(ISERROR(FIND('112'!$M$9,G1141,1)),"",IF((AND(RIGHT(G1141,2)=RIGHT('112'!$M$9,2),B1141&lt;'112'!$N$8,$M1141='112'!$I$6)),"x",""))</f>
        <v/>
      </c>
      <c r="U1141" s="22" t="str">
        <f>IF(AND(B1141&gt;='IN-NX'!$P$3,B1141&lt;='IN-NX'!$Q$3,'IN-NX'!$D$7=D1141,OR(LEFT(L1141,2)="15",AND(LEFT(M1141,2)&lt;&gt;"15",LEFT(M1141,2)&lt;&gt;"33"))),"x","")</f>
        <v/>
      </c>
      <c r="V1141" s="22" t="str">
        <f>IF(AND(OR(LEFT(TH!L1141,2)="15",LEFT(TH!M1141,2)="15"),'152-CT'!$J$8=TH!F1141),"x","")</f>
        <v/>
      </c>
      <c r="W1141" s="22" t="str">
        <f>IF(AND(OR(LEFT(TH!L1141,2)="15",LEFT(TH!M1141,2)="15"),TK!$E$7=TH!F1141),"x","")</f>
        <v/>
      </c>
      <c r="X1141" s="22" t="str">
        <f>IF(OR(TH!L1141=TH!$X$7,M1141=TH!$X$7),"x","")</f>
        <v/>
      </c>
      <c r="Y1141" s="22" t="str">
        <f>IF(AND(B1141&lt;=NKC!$N$8,B1141&gt;=NKC!$M$8),"x","")</f>
        <v>x</v>
      </c>
      <c r="Z1141" s="580"/>
      <c r="AA1141" s="588"/>
      <c r="AD1141" s="588"/>
      <c r="AE1141" s="588"/>
    </row>
    <row r="1142" spans="1:31" s="589" customFormat="1" ht="15.75" customHeight="1">
      <c r="A1142" s="607" t="str">
        <f>IF(B1142&lt;&gt;"",IF(AND(B1142&gt;=_TM1,B1142&lt;=_TM2,OR(TH!L1142="1111",TH!M1142="1111")),TH!D1142,""),"")</f>
        <v/>
      </c>
      <c r="B1142" s="585">
        <f t="shared" si="62"/>
        <v>7</v>
      </c>
      <c r="C1142" s="586">
        <f t="shared" si="63"/>
        <v>42567</v>
      </c>
      <c r="D1142" s="569" t="s">
        <v>1022</v>
      </c>
      <c r="E1142" s="613">
        <v>42567</v>
      </c>
      <c r="F1142" s="614" t="s">
        <v>502</v>
      </c>
      <c r="G1142" s="615" t="s">
        <v>702</v>
      </c>
      <c r="H1142" s="572" t="s">
        <v>1075</v>
      </c>
      <c r="I1142" s="137">
        <v>300</v>
      </c>
      <c r="J1142" s="137">
        <v>9397.5292812515981</v>
      </c>
      <c r="K1142" s="21">
        <f t="shared" si="58"/>
        <v>2819259</v>
      </c>
      <c r="L1142" s="567" t="s">
        <v>167</v>
      </c>
      <c r="M1142" s="567" t="s">
        <v>162</v>
      </c>
      <c r="N1142" s="22" t="str">
        <f>IF(AND('331-CT'!$E$7=TH!H1142,OR(L1142="331",M1142="331")),"331",IF(AND(OR(L1142="131",M1142="131"),H1142='131-CT'!$E$7),"131",""))</f>
        <v/>
      </c>
      <c r="O1142" s="22" t="str">
        <f>IF(AND($B1142&gt;='111'!$N$11,$B1142&lt;='111'!$O$11,OR($L1142=$O$7,$M1142=$O$7)),"x","")</f>
        <v/>
      </c>
      <c r="P1142" s="22" t="str">
        <f>IF(AND($L1142=$O$7,$B1142&lt;'111'!$N$11),"x","")</f>
        <v/>
      </c>
      <c r="Q1142" s="22" t="str">
        <f>IF(AND($M1142=$O$7,$B1142&lt;'111'!$N$11),"x","")</f>
        <v/>
      </c>
      <c r="R1142" s="22" t="str">
        <f>IF(ISERROR(FIND('112'!$M$9,G1142,1)),"",IF((AND(FIND('112'!$M$9,G1142,1)&gt;=1,$B1142&gt;='112'!$N$8,$B1142&lt;='112'!$O$8,OR($L1142='112'!$I$6,$M1142='112'!$I$6))),"x",""))</f>
        <v/>
      </c>
      <c r="S1142" s="22" t="str">
        <f>IF(ISERROR(FIND('112'!$M$9,G1142,1)),"",IF((AND(LEFT(G1142,2)=LEFT('112'!$M$9,2),B1142&lt;'112'!$N$8,$L1142='112'!$I$6)),"x",""))</f>
        <v/>
      </c>
      <c r="T1142" s="22" t="str">
        <f>IF(ISERROR(FIND('112'!$M$9,G1142,1)),"",IF((AND(RIGHT(G1142,2)=RIGHT('112'!$M$9,2),B1142&lt;'112'!$N$8,$M1142='112'!$I$6)),"x",""))</f>
        <v/>
      </c>
      <c r="U1142" s="22" t="str">
        <f>IF(AND(B1142&gt;='IN-NX'!$P$3,B1142&lt;='IN-NX'!$Q$3,'IN-NX'!$D$7=D1142,OR(LEFT(L1142,2)="15",AND(LEFT(M1142,2)&lt;&gt;"15",LEFT(M1142,2)&lt;&gt;"33"))),"x","")</f>
        <v/>
      </c>
      <c r="V1142" s="22" t="str">
        <f>IF(AND(OR(LEFT(TH!L1142,2)="15",LEFT(TH!M1142,2)="15"),'152-CT'!$J$8=TH!F1142),"x","")</f>
        <v/>
      </c>
      <c r="W1142" s="22" t="str">
        <f>IF(AND(OR(LEFT(TH!L1142,2)="15",LEFT(TH!M1142,2)="15"),TK!$E$7=TH!F1142),"x","")</f>
        <v/>
      </c>
      <c r="X1142" s="22" t="str">
        <f>IF(OR(TH!L1142=TH!$X$7,M1142=TH!$X$7),"x","")</f>
        <v/>
      </c>
      <c r="Y1142" s="22" t="str">
        <f>IF(AND(B1142&lt;=NKC!$N$8,B1142&gt;=NKC!$M$8),"x","")</f>
        <v>x</v>
      </c>
      <c r="Z1142" s="580"/>
      <c r="AA1142" s="588"/>
      <c r="AB1142" s="588"/>
    </row>
    <row r="1143" spans="1:31" s="589" customFormat="1" ht="15.75" customHeight="1">
      <c r="A1143" s="607" t="str">
        <f>IF(B1143&lt;&gt;"",IF(AND(B1143&gt;=_TM1,B1143&lt;=_TM2,OR(TH!L1143="1111",TH!M1143="1111")),TH!D1143,""),"")</f>
        <v/>
      </c>
      <c r="B1143" s="585">
        <f t="shared" si="62"/>
        <v>7</v>
      </c>
      <c r="C1143" s="586">
        <f t="shared" si="63"/>
        <v>42567</v>
      </c>
      <c r="D1143" s="569" t="s">
        <v>1022</v>
      </c>
      <c r="E1143" s="613">
        <v>42567</v>
      </c>
      <c r="F1143" s="614" t="s">
        <v>502</v>
      </c>
      <c r="G1143" s="615" t="s">
        <v>702</v>
      </c>
      <c r="H1143" s="572" t="s">
        <v>1075</v>
      </c>
      <c r="I1143" s="137">
        <v>500</v>
      </c>
      <c r="J1143" s="137">
        <v>9397.5292812515981</v>
      </c>
      <c r="K1143" s="21">
        <f t="shared" si="58"/>
        <v>4698765</v>
      </c>
      <c r="L1143" s="567" t="s">
        <v>167</v>
      </c>
      <c r="M1143" s="567" t="s">
        <v>162</v>
      </c>
      <c r="N1143" s="22" t="str">
        <f>IF(AND('331-CT'!$E$7=TH!H1143,OR(L1143="331",M1143="331")),"331",IF(AND(OR(L1143="131",M1143="131"),H1143='131-CT'!$E$7),"131",""))</f>
        <v/>
      </c>
      <c r="O1143" s="22" t="str">
        <f>IF(AND($B1143&gt;='111'!$N$11,$B1143&lt;='111'!$O$11,OR($L1143=$O$7,$M1143=$O$7)),"x","")</f>
        <v/>
      </c>
      <c r="P1143" s="22" t="str">
        <f>IF(AND($L1143=$O$7,$B1143&lt;'111'!$N$11),"x","")</f>
        <v/>
      </c>
      <c r="Q1143" s="22" t="str">
        <f>IF(AND($M1143=$O$7,$B1143&lt;'111'!$N$11),"x","")</f>
        <v/>
      </c>
      <c r="R1143" s="22" t="str">
        <f>IF(ISERROR(FIND('112'!$M$9,G1143,1)),"",IF((AND(FIND('112'!$M$9,G1143,1)&gt;=1,$B1143&gt;='112'!$N$8,$B1143&lt;='112'!$O$8,OR($L1143='112'!$I$6,$M1143='112'!$I$6))),"x",""))</f>
        <v/>
      </c>
      <c r="S1143" s="22" t="str">
        <f>IF(ISERROR(FIND('112'!$M$9,G1143,1)),"",IF((AND(LEFT(G1143,2)=LEFT('112'!$M$9,2),B1143&lt;'112'!$N$8,$L1143='112'!$I$6)),"x",""))</f>
        <v/>
      </c>
      <c r="T1143" s="22" t="str">
        <f>IF(ISERROR(FIND('112'!$M$9,G1143,1)),"",IF((AND(RIGHT(G1143,2)=RIGHT('112'!$M$9,2),B1143&lt;'112'!$N$8,$M1143='112'!$I$6)),"x",""))</f>
        <v/>
      </c>
      <c r="U1143" s="22" t="str">
        <f>IF(AND(B1143&gt;='IN-NX'!$P$3,B1143&lt;='IN-NX'!$Q$3,'IN-NX'!$D$7=D1143,OR(LEFT(L1143,2)="15",AND(LEFT(M1143,2)&lt;&gt;"15",LEFT(M1143,2)&lt;&gt;"33"))),"x","")</f>
        <v/>
      </c>
      <c r="V1143" s="22" t="str">
        <f>IF(AND(OR(LEFT(TH!L1143,2)="15",LEFT(TH!M1143,2)="15"),'152-CT'!$J$8=TH!F1143),"x","")</f>
        <v/>
      </c>
      <c r="W1143" s="22" t="str">
        <f>IF(AND(OR(LEFT(TH!L1143,2)="15",LEFT(TH!M1143,2)="15"),TK!$E$7=TH!F1143),"x","")</f>
        <v/>
      </c>
      <c r="X1143" s="22" t="str">
        <f>IF(OR(TH!L1143=TH!$X$7,M1143=TH!$X$7),"x","")</f>
        <v/>
      </c>
      <c r="Y1143" s="22" t="str">
        <f>IF(AND(B1143&lt;=NKC!$N$8,B1143&gt;=NKC!$M$8),"x","")</f>
        <v>x</v>
      </c>
      <c r="Z1143" s="580"/>
      <c r="AA1143" s="588"/>
      <c r="AB1143" s="588"/>
    </row>
    <row r="1144" spans="1:31" s="589" customFormat="1" ht="15.75" customHeight="1">
      <c r="A1144" s="607" t="str">
        <f>IF(B1144&lt;&gt;"",IF(AND(B1144&gt;=_TM1,B1144&lt;=_TM2,OR(TH!L1144="1111",TH!M1144="1111")),TH!D1144,""),"")</f>
        <v/>
      </c>
      <c r="B1144" s="585">
        <f t="shared" si="62"/>
        <v>7</v>
      </c>
      <c r="C1144" s="586">
        <f t="shared" si="63"/>
        <v>42567</v>
      </c>
      <c r="D1144" s="569" t="s">
        <v>1022</v>
      </c>
      <c r="E1144" s="613">
        <v>42567</v>
      </c>
      <c r="F1144" s="614" t="s">
        <v>377</v>
      </c>
      <c r="G1144" s="615" t="s">
        <v>702</v>
      </c>
      <c r="H1144" s="572" t="s">
        <v>1075</v>
      </c>
      <c r="I1144" s="137">
        <v>1600</v>
      </c>
      <c r="J1144" s="137">
        <v>741.91020641459988</v>
      </c>
      <c r="K1144" s="21">
        <f t="shared" si="58"/>
        <v>1187056</v>
      </c>
      <c r="L1144" s="567" t="s">
        <v>167</v>
      </c>
      <c r="M1144" s="567" t="s">
        <v>162</v>
      </c>
      <c r="N1144" s="22" t="str">
        <f>IF(AND('331-CT'!$E$7=TH!H1144,OR(L1144="331",M1144="331")),"331",IF(AND(OR(L1144="131",M1144="131"),H1144='131-CT'!$E$7),"131",""))</f>
        <v/>
      </c>
      <c r="O1144" s="22" t="str">
        <f>IF(AND($B1144&gt;='111'!$N$11,$B1144&lt;='111'!$O$11,OR($L1144=$O$7,$M1144=$O$7)),"x","")</f>
        <v/>
      </c>
      <c r="P1144" s="22" t="str">
        <f>IF(AND($L1144=$O$7,$B1144&lt;'111'!$N$11),"x","")</f>
        <v/>
      </c>
      <c r="Q1144" s="22" t="str">
        <f>IF(AND($M1144=$O$7,$B1144&lt;'111'!$N$11),"x","")</f>
        <v/>
      </c>
      <c r="R1144" s="22" t="str">
        <f>IF(ISERROR(FIND('112'!$M$9,G1144,1)),"",IF((AND(FIND('112'!$M$9,G1144,1)&gt;=1,$B1144&gt;='112'!$N$8,$B1144&lt;='112'!$O$8,OR($L1144='112'!$I$6,$M1144='112'!$I$6))),"x",""))</f>
        <v/>
      </c>
      <c r="S1144" s="22" t="str">
        <f>IF(ISERROR(FIND('112'!$M$9,G1144,1)),"",IF((AND(LEFT(G1144,2)=LEFT('112'!$M$9,2),B1144&lt;'112'!$N$8,$L1144='112'!$I$6)),"x",""))</f>
        <v/>
      </c>
      <c r="T1144" s="22" t="str">
        <f>IF(ISERROR(FIND('112'!$M$9,G1144,1)),"",IF((AND(RIGHT(G1144,2)=RIGHT('112'!$M$9,2),B1144&lt;'112'!$N$8,$M1144='112'!$I$6)),"x",""))</f>
        <v/>
      </c>
      <c r="U1144" s="22" t="str">
        <f>IF(AND(B1144&gt;='IN-NX'!$P$3,B1144&lt;='IN-NX'!$Q$3,'IN-NX'!$D$7=D1144,OR(LEFT(L1144,2)="15",AND(LEFT(M1144,2)&lt;&gt;"15",LEFT(M1144,2)&lt;&gt;"33"))),"x","")</f>
        <v/>
      </c>
      <c r="V1144" s="22" t="str">
        <f>IF(AND(OR(LEFT(TH!L1144,2)="15",LEFT(TH!M1144,2)="15"),'152-CT'!$J$8=TH!F1144),"x","")</f>
        <v/>
      </c>
      <c r="W1144" s="22" t="str">
        <f>IF(AND(OR(LEFT(TH!L1144,2)="15",LEFT(TH!M1144,2)="15"),TK!$E$7=TH!F1144),"x","")</f>
        <v/>
      </c>
      <c r="X1144" s="22" t="str">
        <f>IF(OR(TH!L1144=TH!$X$7,M1144=TH!$X$7),"x","")</f>
        <v/>
      </c>
      <c r="Y1144" s="22" t="str">
        <f>IF(AND(B1144&lt;=NKC!$N$8,B1144&gt;=NKC!$M$8),"x","")</f>
        <v>x</v>
      </c>
      <c r="Z1144" s="580"/>
      <c r="AA1144" s="588"/>
    </row>
    <row r="1145" spans="1:31" s="589" customFormat="1" ht="15.75" customHeight="1">
      <c r="A1145" s="607" t="str">
        <f>IF(B1145&lt;&gt;"",IF(AND(B1145&gt;=_TM1,B1145&lt;=_TM2,OR(TH!L1145="1111",TH!M1145="1111")),TH!D1145,""),"")</f>
        <v/>
      </c>
      <c r="B1145" s="585">
        <f t="shared" si="62"/>
        <v>7</v>
      </c>
      <c r="C1145" s="586">
        <f t="shared" si="63"/>
        <v>42567</v>
      </c>
      <c r="D1145" s="569" t="s">
        <v>1022</v>
      </c>
      <c r="E1145" s="613">
        <v>42567</v>
      </c>
      <c r="F1145" s="614" t="s">
        <v>503</v>
      </c>
      <c r="G1145" s="615" t="s">
        <v>703</v>
      </c>
      <c r="H1145" s="572" t="s">
        <v>1075</v>
      </c>
      <c r="I1145" s="591">
        <v>1005</v>
      </c>
      <c r="J1145" s="591">
        <v>7666.4054662842</v>
      </c>
      <c r="K1145" s="21">
        <f t="shared" si="58"/>
        <v>7704737</v>
      </c>
      <c r="L1145" s="567" t="s">
        <v>167</v>
      </c>
      <c r="M1145" s="567" t="s">
        <v>162</v>
      </c>
      <c r="N1145" s="22" t="str">
        <f>IF(AND('331-CT'!$E$7=TH!H1145,OR(L1145="331",M1145="331")),"331",IF(AND(OR(L1145="131",M1145="131"),H1145='131-CT'!$E$7),"131",""))</f>
        <v/>
      </c>
      <c r="O1145" s="22" t="str">
        <f>IF(AND($B1145&gt;='111'!$N$11,$B1145&lt;='111'!$O$11,OR($L1145=$O$7,$M1145=$O$7)),"x","")</f>
        <v/>
      </c>
      <c r="P1145" s="22" t="str">
        <f>IF(AND($L1145=$O$7,$B1145&lt;'111'!$N$11),"x","")</f>
        <v/>
      </c>
      <c r="Q1145" s="22" t="str">
        <f>IF(AND($M1145=$O$7,$B1145&lt;'111'!$N$11),"x","")</f>
        <v/>
      </c>
      <c r="R1145" s="22" t="str">
        <f>IF(ISERROR(FIND('112'!$M$9,G1145,1)),"",IF((AND(FIND('112'!$M$9,G1145,1)&gt;=1,$B1145&gt;='112'!$N$8,$B1145&lt;='112'!$O$8,OR($L1145='112'!$I$6,$M1145='112'!$I$6))),"x",""))</f>
        <v/>
      </c>
      <c r="S1145" s="22" t="str">
        <f>IF(ISERROR(FIND('112'!$M$9,G1145,1)),"",IF((AND(LEFT(G1145,2)=LEFT('112'!$M$9,2),B1145&lt;'112'!$N$8,$L1145='112'!$I$6)),"x",""))</f>
        <v/>
      </c>
      <c r="T1145" s="22" t="str">
        <f>IF(ISERROR(FIND('112'!$M$9,G1145,1)),"",IF((AND(RIGHT(G1145,2)=RIGHT('112'!$M$9,2),B1145&lt;'112'!$N$8,$M1145='112'!$I$6)),"x",""))</f>
        <v/>
      </c>
      <c r="U1145" s="22" t="str">
        <f>IF(AND(B1145&gt;='IN-NX'!$P$3,B1145&lt;='IN-NX'!$Q$3,'IN-NX'!$D$7=D1145,OR(LEFT(L1145,2)="15",AND(LEFT(M1145,2)&lt;&gt;"15",LEFT(M1145,2)&lt;&gt;"33"))),"x","")</f>
        <v/>
      </c>
      <c r="V1145" s="22" t="str">
        <f>IF(AND(OR(LEFT(TH!L1145,2)="15",LEFT(TH!M1145,2)="15"),'152-CT'!$J$8=TH!F1145),"x","")</f>
        <v/>
      </c>
      <c r="W1145" s="22" t="str">
        <f>IF(AND(OR(LEFT(TH!L1145,2)="15",LEFT(TH!M1145,2)="15"),TK!$E$7=TH!F1145),"x","")</f>
        <v/>
      </c>
      <c r="X1145" s="22" t="str">
        <f>IF(OR(TH!L1145=TH!$X$7,M1145=TH!$X$7),"x","")</f>
        <v/>
      </c>
      <c r="Y1145" s="22" t="str">
        <f>IF(AND(B1145&lt;=NKC!$N$8,B1145&gt;=NKC!$M$8),"x","")</f>
        <v>x</v>
      </c>
      <c r="Z1145" s="580"/>
      <c r="AA1145" s="588"/>
      <c r="AB1145" s="588"/>
    </row>
    <row r="1146" spans="1:31" s="589" customFormat="1" ht="15.75" customHeight="1">
      <c r="A1146" s="607" t="str">
        <f>IF(B1146&lt;&gt;"",IF(AND(B1146&gt;=_TM1,B1146&lt;=_TM2,OR(TH!L1146="1111",TH!M1146="1111")),TH!D1146,""),"")</f>
        <v/>
      </c>
      <c r="B1146" s="585">
        <f t="shared" si="62"/>
        <v>7</v>
      </c>
      <c r="C1146" s="586">
        <f t="shared" si="63"/>
        <v>42569</v>
      </c>
      <c r="D1146" s="569" t="s">
        <v>1022</v>
      </c>
      <c r="E1146" s="613">
        <v>42569</v>
      </c>
      <c r="F1146" s="614" t="s">
        <v>504</v>
      </c>
      <c r="G1146" s="615" t="s">
        <v>704</v>
      </c>
      <c r="H1146" s="572" t="s">
        <v>1075</v>
      </c>
      <c r="I1146" s="137">
        <v>254</v>
      </c>
      <c r="J1146" s="137">
        <v>10057.005020286799</v>
      </c>
      <c r="K1146" s="21">
        <f t="shared" si="58"/>
        <v>2554479</v>
      </c>
      <c r="L1146" s="567" t="s">
        <v>167</v>
      </c>
      <c r="M1146" s="567" t="s">
        <v>162</v>
      </c>
      <c r="N1146" s="22" t="str">
        <f>IF(AND('331-CT'!$E$7=TH!H1146,OR(L1146="331",M1146="331")),"331",IF(AND(OR(L1146="131",M1146="131"),H1146='131-CT'!$E$7),"131",""))</f>
        <v/>
      </c>
      <c r="O1146" s="22" t="str">
        <f>IF(AND($B1146&gt;='111'!$N$11,$B1146&lt;='111'!$O$11,OR($L1146=$O$7,$M1146=$O$7)),"x","")</f>
        <v/>
      </c>
      <c r="P1146" s="22" t="str">
        <f>IF(AND($L1146=$O$7,$B1146&lt;'111'!$N$11),"x","")</f>
        <v/>
      </c>
      <c r="Q1146" s="22" t="str">
        <f>IF(AND($M1146=$O$7,$B1146&lt;'111'!$N$11),"x","")</f>
        <v/>
      </c>
      <c r="R1146" s="22" t="str">
        <f>IF(ISERROR(FIND('112'!$M$9,G1146,1)),"",IF((AND(FIND('112'!$M$9,G1146,1)&gt;=1,$B1146&gt;='112'!$N$8,$B1146&lt;='112'!$O$8,OR($L1146='112'!$I$6,$M1146='112'!$I$6))),"x",""))</f>
        <v/>
      </c>
      <c r="S1146" s="22" t="str">
        <f>IF(ISERROR(FIND('112'!$M$9,G1146,1)),"",IF((AND(LEFT(G1146,2)=LEFT('112'!$M$9,2),B1146&lt;'112'!$N$8,$L1146='112'!$I$6)),"x",""))</f>
        <v/>
      </c>
      <c r="T1146" s="22" t="str">
        <f>IF(ISERROR(FIND('112'!$M$9,G1146,1)),"",IF((AND(RIGHT(G1146,2)=RIGHT('112'!$M$9,2),B1146&lt;'112'!$N$8,$M1146='112'!$I$6)),"x",""))</f>
        <v/>
      </c>
      <c r="U1146" s="22" t="str">
        <f>IF(AND(B1146&gt;='IN-NX'!$P$3,B1146&lt;='IN-NX'!$Q$3,'IN-NX'!$D$7=D1146,OR(LEFT(L1146,2)="15",AND(LEFT(M1146,2)&lt;&gt;"15",LEFT(M1146,2)&lt;&gt;"33"))),"x","")</f>
        <v/>
      </c>
      <c r="V1146" s="22" t="str">
        <f>IF(AND(OR(LEFT(TH!L1146,2)="15",LEFT(TH!M1146,2)="15"),'152-CT'!$J$8=TH!F1146),"x","")</f>
        <v/>
      </c>
      <c r="W1146" s="22" t="str">
        <f>IF(AND(OR(LEFT(TH!L1146,2)="15",LEFT(TH!M1146,2)="15"),TK!$E$7=TH!F1146),"x","")</f>
        <v/>
      </c>
      <c r="X1146" s="22" t="str">
        <f>IF(OR(TH!L1146=TH!$X$7,M1146=TH!$X$7),"x","")</f>
        <v/>
      </c>
      <c r="Y1146" s="22" t="str">
        <f>IF(AND(B1146&lt;=NKC!$N$8,B1146&gt;=NKC!$M$8),"x","")</f>
        <v>x</v>
      </c>
      <c r="Z1146" s="580"/>
      <c r="AA1146" s="588"/>
      <c r="AB1146" s="588"/>
    </row>
    <row r="1147" spans="1:31" s="589" customFormat="1" ht="15.75" customHeight="1">
      <c r="A1147" s="607" t="str">
        <f>IF(B1147&lt;&gt;"",IF(AND(B1147&gt;=_TM1,B1147&lt;=_TM2,OR(TH!L1147="1111",TH!M1147="1111")),TH!D1147,""),"")</f>
        <v/>
      </c>
      <c r="B1147" s="585">
        <f t="shared" si="62"/>
        <v>7</v>
      </c>
      <c r="C1147" s="586">
        <f t="shared" si="63"/>
        <v>42569</v>
      </c>
      <c r="D1147" s="569" t="s">
        <v>1022</v>
      </c>
      <c r="E1147" s="613">
        <v>42569</v>
      </c>
      <c r="F1147" s="614" t="s">
        <v>505</v>
      </c>
      <c r="G1147" s="615" t="s">
        <v>705</v>
      </c>
      <c r="H1147" s="572" t="s">
        <v>1075</v>
      </c>
      <c r="I1147" s="137">
        <v>75</v>
      </c>
      <c r="J1147" s="137">
        <v>11128.653096218999</v>
      </c>
      <c r="K1147" s="21">
        <f t="shared" si="58"/>
        <v>834649</v>
      </c>
      <c r="L1147" s="567" t="s">
        <v>167</v>
      </c>
      <c r="M1147" s="567" t="s">
        <v>162</v>
      </c>
      <c r="N1147" s="22" t="str">
        <f>IF(AND('331-CT'!$E$7=TH!H1147,OR(L1147="331",M1147="331")),"331",IF(AND(OR(L1147="131",M1147="131"),H1147='131-CT'!$E$7),"131",""))</f>
        <v/>
      </c>
      <c r="O1147" s="22" t="str">
        <f>IF(AND($B1147&gt;='111'!$N$11,$B1147&lt;='111'!$O$11,OR($L1147=$O$7,$M1147=$O$7)),"x","")</f>
        <v/>
      </c>
      <c r="P1147" s="22" t="str">
        <f>IF(AND($L1147=$O$7,$B1147&lt;'111'!$N$11),"x","")</f>
        <v/>
      </c>
      <c r="Q1147" s="22" t="str">
        <f>IF(AND($M1147=$O$7,$B1147&lt;'111'!$N$11),"x","")</f>
        <v/>
      </c>
      <c r="R1147" s="22" t="str">
        <f>IF(ISERROR(FIND('112'!$M$9,G1147,1)),"",IF((AND(FIND('112'!$M$9,G1147,1)&gt;=1,$B1147&gt;='112'!$N$8,$B1147&lt;='112'!$O$8,OR($L1147='112'!$I$6,$M1147='112'!$I$6))),"x",""))</f>
        <v/>
      </c>
      <c r="S1147" s="22" t="str">
        <f>IF(ISERROR(FIND('112'!$M$9,G1147,1)),"",IF((AND(LEFT(G1147,2)=LEFT('112'!$M$9,2),B1147&lt;'112'!$N$8,$L1147='112'!$I$6)),"x",""))</f>
        <v/>
      </c>
      <c r="T1147" s="22" t="str">
        <f>IF(ISERROR(FIND('112'!$M$9,G1147,1)),"",IF((AND(RIGHT(G1147,2)=RIGHT('112'!$M$9,2),B1147&lt;'112'!$N$8,$M1147='112'!$I$6)),"x",""))</f>
        <v/>
      </c>
      <c r="U1147" s="22" t="str">
        <f>IF(AND(B1147&gt;='IN-NX'!$P$3,B1147&lt;='IN-NX'!$Q$3,'IN-NX'!$D$7=D1147,OR(LEFT(L1147,2)="15",AND(LEFT(M1147,2)&lt;&gt;"15",LEFT(M1147,2)&lt;&gt;"33"))),"x","")</f>
        <v/>
      </c>
      <c r="V1147" s="22" t="str">
        <f>IF(AND(OR(LEFT(TH!L1147,2)="15",LEFT(TH!M1147,2)="15"),'152-CT'!$J$8=TH!F1147),"x","")</f>
        <v/>
      </c>
      <c r="W1147" s="22" t="str">
        <f>IF(AND(OR(LEFT(TH!L1147,2)="15",LEFT(TH!M1147,2)="15"),TK!$E$7=TH!F1147),"x","")</f>
        <v/>
      </c>
      <c r="X1147" s="22" t="str">
        <f>IF(OR(TH!L1147=TH!$X$7,M1147=TH!$X$7),"x","")</f>
        <v/>
      </c>
      <c r="Y1147" s="22" t="str">
        <f>IF(AND(B1147&lt;=NKC!$N$8,B1147&gt;=NKC!$M$8),"x","")</f>
        <v>x</v>
      </c>
      <c r="Z1147" s="580"/>
      <c r="AA1147" s="588"/>
      <c r="AB1147" s="588"/>
    </row>
    <row r="1148" spans="1:31" s="589" customFormat="1" ht="15.75" customHeight="1">
      <c r="A1148" s="607" t="str">
        <f>IF(B1148&lt;&gt;"",IF(AND(B1148&gt;=_TM1,B1148&lt;=_TM2,OR(TH!L1148="1111",TH!M1148="1111")),TH!D1148,""),"")</f>
        <v/>
      </c>
      <c r="B1148" s="585">
        <f t="shared" si="62"/>
        <v>7</v>
      </c>
      <c r="C1148" s="586">
        <f t="shared" si="63"/>
        <v>42571</v>
      </c>
      <c r="D1148" s="569" t="s">
        <v>1022</v>
      </c>
      <c r="E1148" s="613">
        <v>42571</v>
      </c>
      <c r="F1148" s="614" t="s">
        <v>508</v>
      </c>
      <c r="G1148" s="615" t="s">
        <v>706</v>
      </c>
      <c r="H1148" s="572" t="s">
        <v>1075</v>
      </c>
      <c r="I1148" s="137">
        <v>500</v>
      </c>
      <c r="J1148" s="137">
        <v>2637.9029561407997</v>
      </c>
      <c r="K1148" s="21">
        <f t="shared" si="58"/>
        <v>1318951</v>
      </c>
      <c r="L1148" s="567" t="s">
        <v>167</v>
      </c>
      <c r="M1148" s="567" t="s">
        <v>162</v>
      </c>
      <c r="N1148" s="22" t="str">
        <f>IF(AND('331-CT'!$E$7=TH!H1148,OR(L1148="331",M1148="331")),"331",IF(AND(OR(L1148="131",M1148="131"),H1148='131-CT'!$E$7),"131",""))</f>
        <v/>
      </c>
      <c r="O1148" s="22" t="str">
        <f>IF(AND($B1148&gt;='111'!$N$11,$B1148&lt;='111'!$O$11,OR($L1148=$O$7,$M1148=$O$7)),"x","")</f>
        <v/>
      </c>
      <c r="P1148" s="22" t="str">
        <f>IF(AND($L1148=$O$7,$B1148&lt;'111'!$N$11),"x","")</f>
        <v/>
      </c>
      <c r="Q1148" s="22" t="str">
        <f>IF(AND($M1148=$O$7,$B1148&lt;'111'!$N$11),"x","")</f>
        <v/>
      </c>
      <c r="R1148" s="22" t="str">
        <f>IF(ISERROR(FIND('112'!$M$9,G1148,1)),"",IF((AND(FIND('112'!$M$9,G1148,1)&gt;=1,$B1148&gt;='112'!$N$8,$B1148&lt;='112'!$O$8,OR($L1148='112'!$I$6,$M1148='112'!$I$6))),"x",""))</f>
        <v/>
      </c>
      <c r="S1148" s="22" t="str">
        <f>IF(ISERROR(FIND('112'!$M$9,G1148,1)),"",IF((AND(LEFT(G1148,2)=LEFT('112'!$M$9,2),B1148&lt;'112'!$N$8,$L1148='112'!$I$6)),"x",""))</f>
        <v/>
      </c>
      <c r="T1148" s="22" t="str">
        <f>IF(ISERROR(FIND('112'!$M$9,G1148,1)),"",IF((AND(RIGHT(G1148,2)=RIGHT('112'!$M$9,2),B1148&lt;'112'!$N$8,$M1148='112'!$I$6)),"x",""))</f>
        <v/>
      </c>
      <c r="U1148" s="22" t="str">
        <f>IF(AND(B1148&gt;='IN-NX'!$P$3,B1148&lt;='IN-NX'!$Q$3,'IN-NX'!$D$7=D1148,OR(LEFT(L1148,2)="15",AND(LEFT(M1148,2)&lt;&gt;"15",LEFT(M1148,2)&lt;&gt;"33"))),"x","")</f>
        <v/>
      </c>
      <c r="V1148" s="22" t="str">
        <f>IF(AND(OR(LEFT(TH!L1148,2)="15",LEFT(TH!M1148,2)="15"),'152-CT'!$J$8=TH!F1148),"x","")</f>
        <v/>
      </c>
      <c r="W1148" s="22" t="str">
        <f>IF(AND(OR(LEFT(TH!L1148,2)="15",LEFT(TH!M1148,2)="15"),TK!$E$7=TH!F1148),"x","")</f>
        <v/>
      </c>
      <c r="X1148" s="22" t="str">
        <f>IF(OR(TH!L1148=TH!$X$7,M1148=TH!$X$7),"x","")</f>
        <v/>
      </c>
      <c r="Y1148" s="22" t="str">
        <f>IF(AND(B1148&lt;=NKC!$N$8,B1148&gt;=NKC!$M$8),"x","")</f>
        <v>x</v>
      </c>
      <c r="Z1148" s="580"/>
      <c r="AA1148" s="588"/>
      <c r="AB1148" s="588"/>
    </row>
    <row r="1149" spans="1:31" s="589" customFormat="1" ht="15.75" customHeight="1">
      <c r="A1149" s="607" t="str">
        <f>IF(B1149&lt;&gt;"",IF(AND(B1149&gt;=_TM1,B1149&lt;=_TM2,OR(TH!L1149="1111",TH!M1149="1111")),TH!D1149,""),"")</f>
        <v/>
      </c>
      <c r="B1149" s="585">
        <f t="shared" si="62"/>
        <v>7</v>
      </c>
      <c r="C1149" s="586">
        <f t="shared" si="63"/>
        <v>42571</v>
      </c>
      <c r="D1149" s="569" t="s">
        <v>1022</v>
      </c>
      <c r="E1149" s="613">
        <v>42571</v>
      </c>
      <c r="F1149" s="614" t="s">
        <v>509</v>
      </c>
      <c r="G1149" s="615" t="s">
        <v>706</v>
      </c>
      <c r="H1149" s="572" t="s">
        <v>1075</v>
      </c>
      <c r="I1149" s="137">
        <v>300</v>
      </c>
      <c r="J1149" s="137">
        <v>1648.6893475879999</v>
      </c>
      <c r="K1149" s="21">
        <f t="shared" si="58"/>
        <v>494607</v>
      </c>
      <c r="L1149" s="567" t="s">
        <v>167</v>
      </c>
      <c r="M1149" s="567" t="s">
        <v>162</v>
      </c>
      <c r="N1149" s="22" t="str">
        <f>IF(AND('331-CT'!$E$7=TH!H1149,OR(L1149="331",M1149="331")),"331",IF(AND(OR(L1149="131",M1149="131"),H1149='131-CT'!$E$7),"131",""))</f>
        <v/>
      </c>
      <c r="O1149" s="22" t="str">
        <f>IF(AND($B1149&gt;='111'!$N$11,$B1149&lt;='111'!$O$11,OR($L1149=$O$7,$M1149=$O$7)),"x","")</f>
        <v/>
      </c>
      <c r="P1149" s="22" t="str">
        <f>IF(AND($L1149=$O$7,$B1149&lt;'111'!$N$11),"x","")</f>
        <v/>
      </c>
      <c r="Q1149" s="22" t="str">
        <f>IF(AND($M1149=$O$7,$B1149&lt;'111'!$N$11),"x","")</f>
        <v/>
      </c>
      <c r="R1149" s="22" t="str">
        <f>IF(ISERROR(FIND('112'!$M$9,G1149,1)),"",IF((AND(FIND('112'!$M$9,G1149,1)&gt;=1,$B1149&gt;='112'!$N$8,$B1149&lt;='112'!$O$8,OR($L1149='112'!$I$6,$M1149='112'!$I$6))),"x",""))</f>
        <v/>
      </c>
      <c r="S1149" s="22" t="str">
        <f>IF(ISERROR(FIND('112'!$M$9,G1149,1)),"",IF((AND(LEFT(G1149,2)=LEFT('112'!$M$9,2),B1149&lt;'112'!$N$8,$L1149='112'!$I$6)),"x",""))</f>
        <v/>
      </c>
      <c r="T1149" s="22" t="str">
        <f>IF(ISERROR(FIND('112'!$M$9,G1149,1)),"",IF((AND(RIGHT(G1149,2)=RIGHT('112'!$M$9,2),B1149&lt;'112'!$N$8,$M1149='112'!$I$6)),"x",""))</f>
        <v/>
      </c>
      <c r="U1149" s="22" t="str">
        <f>IF(AND(B1149&gt;='IN-NX'!$P$3,B1149&lt;='IN-NX'!$Q$3,'IN-NX'!$D$7=D1149,OR(LEFT(L1149,2)="15",AND(LEFT(M1149,2)&lt;&gt;"15",LEFT(M1149,2)&lt;&gt;"33"))),"x","")</f>
        <v/>
      </c>
      <c r="V1149" s="22" t="str">
        <f>IF(AND(OR(LEFT(TH!L1149,2)="15",LEFT(TH!M1149,2)="15"),'152-CT'!$J$8=TH!F1149),"x","")</f>
        <v/>
      </c>
      <c r="W1149" s="22" t="str">
        <f>IF(AND(OR(LEFT(TH!L1149,2)="15",LEFT(TH!M1149,2)="15"),TK!$E$7=TH!F1149),"x","")</f>
        <v/>
      </c>
      <c r="X1149" s="22" t="str">
        <f>IF(OR(TH!L1149=TH!$X$7,M1149=TH!$X$7),"x","")</f>
        <v/>
      </c>
      <c r="Y1149" s="22" t="str">
        <f>IF(AND(B1149&lt;=NKC!$N$8,B1149&gt;=NKC!$M$8),"x","")</f>
        <v>x</v>
      </c>
      <c r="Z1149" s="580"/>
      <c r="AA1149" s="588"/>
      <c r="AB1149" s="588"/>
    </row>
    <row r="1150" spans="1:31" s="589" customFormat="1" ht="15.75" customHeight="1">
      <c r="A1150" s="607" t="str">
        <f>IF(B1150&lt;&gt;"",IF(AND(B1150&gt;=_TM1,B1150&lt;=_TM2,OR(TH!L1150="1111",TH!M1150="1111")),TH!D1150,""),"")</f>
        <v/>
      </c>
      <c r="B1150" s="585">
        <f t="shared" si="62"/>
        <v>7</v>
      </c>
      <c r="C1150" s="586">
        <f t="shared" si="63"/>
        <v>42571</v>
      </c>
      <c r="D1150" s="569" t="s">
        <v>1022</v>
      </c>
      <c r="E1150" s="613">
        <v>42571</v>
      </c>
      <c r="F1150" s="614" t="s">
        <v>510</v>
      </c>
      <c r="G1150" s="615" t="s">
        <v>707</v>
      </c>
      <c r="H1150" s="572" t="s">
        <v>1075</v>
      </c>
      <c r="I1150" s="591">
        <v>1559</v>
      </c>
      <c r="J1150" s="591">
        <v>5687.9782491785991</v>
      </c>
      <c r="K1150" s="21">
        <f t="shared" si="58"/>
        <v>8867558</v>
      </c>
      <c r="L1150" s="567" t="s">
        <v>167</v>
      </c>
      <c r="M1150" s="567" t="s">
        <v>162</v>
      </c>
      <c r="N1150" s="22" t="str">
        <f>IF(AND('331-CT'!$E$7=TH!H1150,OR(L1150="331",M1150="331")),"331",IF(AND(OR(L1150="131",M1150="131"),H1150='131-CT'!$E$7),"131",""))</f>
        <v/>
      </c>
      <c r="O1150" s="22" t="str">
        <f>IF(AND($B1150&gt;='111'!$N$11,$B1150&lt;='111'!$O$11,OR($L1150=$O$7,$M1150=$O$7)),"x","")</f>
        <v/>
      </c>
      <c r="P1150" s="22" t="str">
        <f>IF(AND($L1150=$O$7,$B1150&lt;'111'!$N$11),"x","")</f>
        <v/>
      </c>
      <c r="Q1150" s="22" t="str">
        <f>IF(AND($M1150=$O$7,$B1150&lt;'111'!$N$11),"x","")</f>
        <v/>
      </c>
      <c r="R1150" s="22" t="str">
        <f>IF(ISERROR(FIND('112'!$M$9,G1150,1)),"",IF((AND(FIND('112'!$M$9,G1150,1)&gt;=1,$B1150&gt;='112'!$N$8,$B1150&lt;='112'!$O$8,OR($L1150='112'!$I$6,$M1150='112'!$I$6))),"x",""))</f>
        <v/>
      </c>
      <c r="S1150" s="22" t="str">
        <f>IF(ISERROR(FIND('112'!$M$9,G1150,1)),"",IF((AND(LEFT(G1150,2)=LEFT('112'!$M$9,2),B1150&lt;'112'!$N$8,$L1150='112'!$I$6)),"x",""))</f>
        <v/>
      </c>
      <c r="T1150" s="22" t="str">
        <f>IF(ISERROR(FIND('112'!$M$9,G1150,1)),"",IF((AND(RIGHT(G1150,2)=RIGHT('112'!$M$9,2),B1150&lt;'112'!$N$8,$M1150='112'!$I$6)),"x",""))</f>
        <v/>
      </c>
      <c r="U1150" s="22" t="str">
        <f>IF(AND(B1150&gt;='IN-NX'!$P$3,B1150&lt;='IN-NX'!$Q$3,'IN-NX'!$D$7=D1150,OR(LEFT(L1150,2)="15",AND(LEFT(M1150,2)&lt;&gt;"15",LEFT(M1150,2)&lt;&gt;"33"))),"x","")</f>
        <v/>
      </c>
      <c r="V1150" s="22" t="str">
        <f>IF(AND(OR(LEFT(TH!L1150,2)="15",LEFT(TH!M1150,2)="15"),'152-CT'!$J$8=TH!F1150),"x","")</f>
        <v/>
      </c>
      <c r="W1150" s="22" t="str">
        <f>IF(AND(OR(LEFT(TH!L1150,2)="15",LEFT(TH!M1150,2)="15"),TK!$E$7=TH!F1150),"x","")</f>
        <v/>
      </c>
      <c r="X1150" s="22" t="str">
        <f>IF(OR(TH!L1150=TH!$X$7,M1150=TH!$X$7),"x","")</f>
        <v/>
      </c>
      <c r="Y1150" s="22" t="str">
        <f>IF(AND(B1150&lt;=NKC!$N$8,B1150&gt;=NKC!$M$8),"x","")</f>
        <v>x</v>
      </c>
      <c r="Z1150" s="580"/>
      <c r="AA1150" s="588"/>
      <c r="AB1150" s="588"/>
    </row>
    <row r="1151" spans="1:31" s="589" customFormat="1" ht="15.75" customHeight="1">
      <c r="A1151" s="607" t="str">
        <f>IF(B1151&lt;&gt;"",IF(AND(B1151&gt;=_TM1,B1151&lt;=_TM2,OR(TH!L1151="1111",TH!M1151="1111")),TH!D1151,""),"")</f>
        <v/>
      </c>
      <c r="B1151" s="585">
        <f t="shared" si="62"/>
        <v>7</v>
      </c>
      <c r="C1151" s="586">
        <f t="shared" si="63"/>
        <v>42572</v>
      </c>
      <c r="D1151" s="569" t="s">
        <v>1022</v>
      </c>
      <c r="E1151" s="613">
        <v>42572</v>
      </c>
      <c r="F1151" s="614" t="s">
        <v>512</v>
      </c>
      <c r="G1151" s="615" t="s">
        <v>708</v>
      </c>
      <c r="H1151" s="572" t="s">
        <v>1075</v>
      </c>
      <c r="I1151" s="137">
        <v>102</v>
      </c>
      <c r="J1151" s="137">
        <v>19619.403236297199</v>
      </c>
      <c r="K1151" s="21">
        <f t="shared" si="58"/>
        <v>2001179</v>
      </c>
      <c r="L1151" s="567" t="s">
        <v>167</v>
      </c>
      <c r="M1151" s="567" t="s">
        <v>162</v>
      </c>
      <c r="N1151" s="22" t="str">
        <f>IF(AND('331-CT'!$E$7=TH!H1151,OR(L1151="331",M1151="331")),"331",IF(AND(OR(L1151="131",M1151="131"),H1151='131-CT'!$E$7),"131",""))</f>
        <v/>
      </c>
      <c r="O1151" s="22" t="str">
        <f>IF(AND($B1151&gt;='111'!$N$11,$B1151&lt;='111'!$O$11,OR($L1151=$O$7,$M1151=$O$7)),"x","")</f>
        <v/>
      </c>
      <c r="P1151" s="22" t="str">
        <f>IF(AND($L1151=$O$7,$B1151&lt;'111'!$N$11),"x","")</f>
        <v/>
      </c>
      <c r="Q1151" s="22" t="str">
        <f>IF(AND($M1151=$O$7,$B1151&lt;'111'!$N$11),"x","")</f>
        <v/>
      </c>
      <c r="R1151" s="22" t="str">
        <f>IF(ISERROR(FIND('112'!$M$9,G1151,1)),"",IF((AND(FIND('112'!$M$9,G1151,1)&gt;=1,$B1151&gt;='112'!$N$8,$B1151&lt;='112'!$O$8,OR($L1151='112'!$I$6,$M1151='112'!$I$6))),"x",""))</f>
        <v/>
      </c>
      <c r="S1151" s="22" t="str">
        <f>IF(ISERROR(FIND('112'!$M$9,G1151,1)),"",IF((AND(LEFT(G1151,2)=LEFT('112'!$M$9,2),B1151&lt;'112'!$N$8,$L1151='112'!$I$6)),"x",""))</f>
        <v/>
      </c>
      <c r="T1151" s="22" t="str">
        <f>IF(ISERROR(FIND('112'!$M$9,G1151,1)),"",IF((AND(RIGHT(G1151,2)=RIGHT('112'!$M$9,2),B1151&lt;'112'!$N$8,$M1151='112'!$I$6)),"x",""))</f>
        <v/>
      </c>
      <c r="U1151" s="22" t="str">
        <f>IF(AND(B1151&gt;='IN-NX'!$P$3,B1151&lt;='IN-NX'!$Q$3,'IN-NX'!$D$7=D1151,OR(LEFT(L1151,2)="15",AND(LEFT(M1151,2)&lt;&gt;"15",LEFT(M1151,2)&lt;&gt;"33"))),"x","")</f>
        <v/>
      </c>
      <c r="V1151" s="22" t="str">
        <f>IF(AND(OR(LEFT(TH!L1151,2)="15",LEFT(TH!M1151,2)="15"),'152-CT'!$J$8=TH!F1151),"x","")</f>
        <v/>
      </c>
      <c r="W1151" s="22" t="str">
        <f>IF(AND(OR(LEFT(TH!L1151,2)="15",LEFT(TH!M1151,2)="15"),TK!$E$7=TH!F1151),"x","")</f>
        <v/>
      </c>
      <c r="X1151" s="22" t="str">
        <f>IF(OR(TH!L1151=TH!$X$7,M1151=TH!$X$7),"x","")</f>
        <v/>
      </c>
      <c r="Y1151" s="22" t="str">
        <f>IF(AND(B1151&lt;=NKC!$N$8,B1151&gt;=NKC!$M$8),"x","")</f>
        <v>x</v>
      </c>
      <c r="Z1151" s="580"/>
      <c r="AA1151" s="588"/>
    </row>
    <row r="1152" spans="1:31" s="589" customFormat="1" ht="15.75" customHeight="1">
      <c r="A1152" s="607" t="str">
        <f>IF(B1152&lt;&gt;"",IF(AND(B1152&gt;=_TM1,B1152&lt;=_TM2,OR(TH!L1152="1111",TH!M1152="1111")),TH!D1152,""),"")</f>
        <v/>
      </c>
      <c r="B1152" s="585">
        <f t="shared" si="62"/>
        <v>7</v>
      </c>
      <c r="C1152" s="586">
        <f t="shared" si="63"/>
        <v>42572</v>
      </c>
      <c r="D1152" s="569" t="s">
        <v>1022</v>
      </c>
      <c r="E1152" s="613">
        <v>42572</v>
      </c>
      <c r="F1152" s="614" t="s">
        <v>511</v>
      </c>
      <c r="G1152" s="615" t="s">
        <v>708</v>
      </c>
      <c r="H1152" s="572" t="s">
        <v>1075</v>
      </c>
      <c r="I1152" s="137">
        <v>103</v>
      </c>
      <c r="J1152" s="137">
        <v>11046.218628839601</v>
      </c>
      <c r="K1152" s="21">
        <f t="shared" si="58"/>
        <v>1137761</v>
      </c>
      <c r="L1152" s="567" t="s">
        <v>167</v>
      </c>
      <c r="M1152" s="567" t="s">
        <v>162</v>
      </c>
      <c r="N1152" s="22" t="str">
        <f>IF(AND('331-CT'!$E$7=TH!H1152,OR(L1152="331",M1152="331")),"331",IF(AND(OR(L1152="131",M1152="131"),H1152='131-CT'!$E$7),"131",""))</f>
        <v/>
      </c>
      <c r="O1152" s="22" t="str">
        <f>IF(AND($B1152&gt;='111'!$N$11,$B1152&lt;='111'!$O$11,OR($L1152=$O$7,$M1152=$O$7)),"x","")</f>
        <v/>
      </c>
      <c r="P1152" s="22" t="str">
        <f>IF(AND($L1152=$O$7,$B1152&lt;'111'!$N$11),"x","")</f>
        <v/>
      </c>
      <c r="Q1152" s="22" t="str">
        <f>IF(AND($M1152=$O$7,$B1152&lt;'111'!$N$11),"x","")</f>
        <v/>
      </c>
      <c r="R1152" s="22" t="str">
        <f>IF(ISERROR(FIND('112'!$M$9,G1152,1)),"",IF((AND(FIND('112'!$M$9,G1152,1)&gt;=1,$B1152&gt;='112'!$N$8,$B1152&lt;='112'!$O$8,OR($L1152='112'!$I$6,$M1152='112'!$I$6))),"x",""))</f>
        <v/>
      </c>
      <c r="S1152" s="22" t="str">
        <f>IF(ISERROR(FIND('112'!$M$9,G1152,1)),"",IF((AND(LEFT(G1152,2)=LEFT('112'!$M$9,2),B1152&lt;'112'!$N$8,$L1152='112'!$I$6)),"x",""))</f>
        <v/>
      </c>
      <c r="T1152" s="22" t="str">
        <f>IF(ISERROR(FIND('112'!$M$9,G1152,1)),"",IF((AND(RIGHT(G1152,2)=RIGHT('112'!$M$9,2),B1152&lt;'112'!$N$8,$M1152='112'!$I$6)),"x",""))</f>
        <v/>
      </c>
      <c r="U1152" s="22" t="str">
        <f>IF(AND(B1152&gt;='IN-NX'!$P$3,B1152&lt;='IN-NX'!$Q$3,'IN-NX'!$D$7=D1152,OR(LEFT(L1152,2)="15",AND(LEFT(M1152,2)&lt;&gt;"15",LEFT(M1152,2)&lt;&gt;"33"))),"x","")</f>
        <v/>
      </c>
      <c r="V1152" s="22" t="str">
        <f>IF(AND(OR(LEFT(TH!L1152,2)="15",LEFT(TH!M1152,2)="15"),'152-CT'!$J$8=TH!F1152),"x","")</f>
        <v/>
      </c>
      <c r="W1152" s="22" t="str">
        <f>IF(AND(OR(LEFT(TH!L1152,2)="15",LEFT(TH!M1152,2)="15"),TK!$E$7=TH!F1152),"x","")</f>
        <v/>
      </c>
      <c r="X1152" s="22" t="str">
        <f>IF(OR(TH!L1152=TH!$X$7,M1152=TH!$X$7),"x","")</f>
        <v/>
      </c>
      <c r="Y1152" s="22" t="str">
        <f>IF(AND(B1152&lt;=NKC!$N$8,B1152&gt;=NKC!$M$8),"x","")</f>
        <v>x</v>
      </c>
      <c r="Z1152" s="580"/>
      <c r="AA1152" s="588"/>
      <c r="AB1152" s="588"/>
    </row>
    <row r="1153" spans="1:28" s="589" customFormat="1" ht="15.75" customHeight="1">
      <c r="A1153" s="607" t="str">
        <f>IF(B1153&lt;&gt;"",IF(AND(B1153&gt;=_TM1,B1153&lt;=_TM2,OR(TH!L1153="1111",TH!M1153="1111")),TH!D1153,""),"")</f>
        <v/>
      </c>
      <c r="B1153" s="585">
        <f t="shared" si="62"/>
        <v>7</v>
      </c>
      <c r="C1153" s="586">
        <f t="shared" si="63"/>
        <v>42573</v>
      </c>
      <c r="D1153" s="569" t="s">
        <v>1022</v>
      </c>
      <c r="E1153" s="613">
        <v>42573</v>
      </c>
      <c r="F1153" s="614" t="s">
        <v>646</v>
      </c>
      <c r="G1153" s="615" t="s">
        <v>709</v>
      </c>
      <c r="H1153" s="572" t="s">
        <v>1075</v>
      </c>
      <c r="I1153" s="592">
        <v>250</v>
      </c>
      <c r="J1153" s="592">
        <v>10221.873955045599</v>
      </c>
      <c r="K1153" s="21">
        <f t="shared" si="58"/>
        <v>2555468</v>
      </c>
      <c r="L1153" s="567" t="s">
        <v>167</v>
      </c>
      <c r="M1153" s="567" t="s">
        <v>162</v>
      </c>
      <c r="N1153" s="22" t="str">
        <f>IF(AND('331-CT'!$E$7=TH!H1153,OR(L1153="331",M1153="331")),"331",IF(AND(OR(L1153="131",M1153="131"),H1153='131-CT'!$E$7),"131",""))</f>
        <v/>
      </c>
      <c r="O1153" s="22" t="str">
        <f>IF(AND($B1153&gt;='111'!$N$11,$B1153&lt;='111'!$O$11,OR($L1153=$O$7,$M1153=$O$7)),"x","")</f>
        <v/>
      </c>
      <c r="P1153" s="22" t="str">
        <f>IF(AND($L1153=$O$7,$B1153&lt;'111'!$N$11),"x","")</f>
        <v/>
      </c>
      <c r="Q1153" s="22" t="str">
        <f>IF(AND($M1153=$O$7,$B1153&lt;'111'!$N$11),"x","")</f>
        <v/>
      </c>
      <c r="R1153" s="22" t="str">
        <f>IF(ISERROR(FIND('112'!$M$9,G1153,1)),"",IF((AND(FIND('112'!$M$9,G1153,1)&gt;=1,$B1153&gt;='112'!$N$8,$B1153&lt;='112'!$O$8,OR($L1153='112'!$I$6,$M1153='112'!$I$6))),"x",""))</f>
        <v/>
      </c>
      <c r="S1153" s="22" t="str">
        <f>IF(ISERROR(FIND('112'!$M$9,G1153,1)),"",IF((AND(LEFT(G1153,2)=LEFT('112'!$M$9,2),B1153&lt;'112'!$N$8,$L1153='112'!$I$6)),"x",""))</f>
        <v/>
      </c>
      <c r="T1153" s="22" t="str">
        <f>IF(ISERROR(FIND('112'!$M$9,G1153,1)),"",IF((AND(RIGHT(G1153,2)=RIGHT('112'!$M$9,2),B1153&lt;'112'!$N$8,$M1153='112'!$I$6)),"x",""))</f>
        <v/>
      </c>
      <c r="U1153" s="22" t="str">
        <f>IF(AND(B1153&gt;='IN-NX'!$P$3,B1153&lt;='IN-NX'!$Q$3,'IN-NX'!$D$7=D1153,OR(LEFT(L1153,2)="15",AND(LEFT(M1153,2)&lt;&gt;"15",LEFT(M1153,2)&lt;&gt;"33"))),"x","")</f>
        <v/>
      </c>
      <c r="V1153" s="22" t="str">
        <f>IF(AND(OR(LEFT(TH!L1153,2)="15",LEFT(TH!M1153,2)="15"),'152-CT'!$J$8=TH!F1153),"x","")</f>
        <v/>
      </c>
      <c r="W1153" s="22" t="str">
        <f>IF(AND(OR(LEFT(TH!L1153,2)="15",LEFT(TH!M1153,2)="15"),TK!$E$7=TH!F1153),"x","")</f>
        <v/>
      </c>
      <c r="X1153" s="22" t="str">
        <f>IF(OR(TH!L1153=TH!$X$7,M1153=TH!$X$7),"x","")</f>
        <v/>
      </c>
      <c r="Y1153" s="22" t="str">
        <f>IF(AND(B1153&lt;=NKC!$N$8,B1153&gt;=NKC!$M$8),"x","")</f>
        <v>x</v>
      </c>
      <c r="Z1153" s="580"/>
      <c r="AA1153" s="588"/>
      <c r="AB1153" s="588"/>
    </row>
    <row r="1154" spans="1:28" s="589" customFormat="1" ht="15.75" customHeight="1">
      <c r="A1154" s="607" t="str">
        <f>IF(B1154&lt;&gt;"",IF(AND(B1154&gt;=_TM1,B1154&lt;=_TM2,OR(TH!L1154="1111",TH!M1154="1111")),TH!D1154,""),"")</f>
        <v/>
      </c>
      <c r="B1154" s="585">
        <f t="shared" si="62"/>
        <v>7</v>
      </c>
      <c r="C1154" s="586">
        <f t="shared" si="63"/>
        <v>42573</v>
      </c>
      <c r="D1154" s="569" t="s">
        <v>1022</v>
      </c>
      <c r="E1154" s="613">
        <v>42573</v>
      </c>
      <c r="F1154" s="614" t="s">
        <v>647</v>
      </c>
      <c r="G1154" s="615" t="s">
        <v>709</v>
      </c>
      <c r="H1154" s="572" t="s">
        <v>1075</v>
      </c>
      <c r="I1154" s="137">
        <v>200</v>
      </c>
      <c r="J1154" s="137">
        <v>12530.039041668799</v>
      </c>
      <c r="K1154" s="21">
        <f t="shared" si="58"/>
        <v>2506008</v>
      </c>
      <c r="L1154" s="567" t="s">
        <v>167</v>
      </c>
      <c r="M1154" s="567" t="s">
        <v>162</v>
      </c>
      <c r="N1154" s="22" t="str">
        <f>IF(AND('331-CT'!$E$7=TH!H1154,OR(L1154="331",M1154="331")),"331",IF(AND(OR(L1154="131",M1154="131"),H1154='131-CT'!$E$7),"131",""))</f>
        <v/>
      </c>
      <c r="O1154" s="22" t="str">
        <f>IF(AND($B1154&gt;='111'!$N$11,$B1154&lt;='111'!$O$11,OR($L1154=$O$7,$M1154=$O$7)),"x","")</f>
        <v/>
      </c>
      <c r="P1154" s="22" t="str">
        <f>IF(AND($L1154=$O$7,$B1154&lt;'111'!$N$11),"x","")</f>
        <v/>
      </c>
      <c r="Q1154" s="22" t="str">
        <f>IF(AND($M1154=$O$7,$B1154&lt;'111'!$N$11),"x","")</f>
        <v/>
      </c>
      <c r="R1154" s="22" t="str">
        <f>IF(ISERROR(FIND('112'!$M$9,G1154,1)),"",IF((AND(FIND('112'!$M$9,G1154,1)&gt;=1,$B1154&gt;='112'!$N$8,$B1154&lt;='112'!$O$8,OR($L1154='112'!$I$6,$M1154='112'!$I$6))),"x",""))</f>
        <v/>
      </c>
      <c r="S1154" s="22" t="str">
        <f>IF(ISERROR(FIND('112'!$M$9,G1154,1)),"",IF((AND(LEFT(G1154,2)=LEFT('112'!$M$9,2),B1154&lt;'112'!$N$8,$L1154='112'!$I$6)),"x",""))</f>
        <v/>
      </c>
      <c r="T1154" s="22" t="str">
        <f>IF(ISERROR(FIND('112'!$M$9,G1154,1)),"",IF((AND(RIGHT(G1154,2)=RIGHT('112'!$M$9,2),B1154&lt;'112'!$N$8,$M1154='112'!$I$6)),"x",""))</f>
        <v/>
      </c>
      <c r="U1154" s="22" t="str">
        <f>IF(AND(B1154&gt;='IN-NX'!$P$3,B1154&lt;='IN-NX'!$Q$3,'IN-NX'!$D$7=D1154,OR(LEFT(L1154,2)="15",AND(LEFT(M1154,2)&lt;&gt;"15",LEFT(M1154,2)&lt;&gt;"33"))),"x","")</f>
        <v/>
      </c>
      <c r="V1154" s="22" t="str">
        <f>IF(AND(OR(LEFT(TH!L1154,2)="15",LEFT(TH!M1154,2)="15"),'152-CT'!$J$8=TH!F1154),"x","")</f>
        <v/>
      </c>
      <c r="W1154" s="22" t="str">
        <f>IF(AND(OR(LEFT(TH!L1154,2)="15",LEFT(TH!M1154,2)="15"),TK!$E$7=TH!F1154),"x","")</f>
        <v/>
      </c>
      <c r="X1154" s="22" t="str">
        <f>IF(OR(TH!L1154=TH!$X$7,M1154=TH!$X$7),"x","")</f>
        <v/>
      </c>
      <c r="Y1154" s="22" t="str">
        <f>IF(AND(B1154&lt;=NKC!$N$8,B1154&gt;=NKC!$M$8),"x","")</f>
        <v>x</v>
      </c>
      <c r="Z1154" s="580"/>
      <c r="AA1154" s="588"/>
      <c r="AB1154" s="588"/>
    </row>
    <row r="1155" spans="1:28" s="589" customFormat="1" ht="15.75" customHeight="1">
      <c r="A1155" s="607" t="str">
        <f>IF(B1155&lt;&gt;"",IF(AND(B1155&gt;=_TM1,B1155&lt;=_TM2,OR(TH!L1155="1111",TH!M1155="1111")),TH!D1155,""),"")</f>
        <v/>
      </c>
      <c r="B1155" s="585">
        <f t="shared" si="62"/>
        <v>7</v>
      </c>
      <c r="C1155" s="586">
        <f t="shared" si="63"/>
        <v>42573</v>
      </c>
      <c r="D1155" s="569" t="s">
        <v>1022</v>
      </c>
      <c r="E1155" s="613">
        <v>42573</v>
      </c>
      <c r="F1155" s="614" t="s">
        <v>648</v>
      </c>
      <c r="G1155" s="615" t="s">
        <v>709</v>
      </c>
      <c r="H1155" s="572" t="s">
        <v>1075</v>
      </c>
      <c r="I1155" s="137">
        <v>300</v>
      </c>
      <c r="J1155" s="137">
        <v>9974.5705529073985</v>
      </c>
      <c r="K1155" s="21">
        <f t="shared" si="58"/>
        <v>2992371</v>
      </c>
      <c r="L1155" s="567" t="s">
        <v>167</v>
      </c>
      <c r="M1155" s="567" t="s">
        <v>162</v>
      </c>
      <c r="N1155" s="22" t="str">
        <f>IF(AND('331-CT'!$E$7=TH!H1155,OR(L1155="331",M1155="331")),"331",IF(AND(OR(L1155="131",M1155="131"),H1155='131-CT'!$E$7),"131",""))</f>
        <v/>
      </c>
      <c r="O1155" s="22" t="str">
        <f>IF(AND($B1155&gt;='111'!$N$11,$B1155&lt;='111'!$O$11,OR($L1155=$O$7,$M1155=$O$7)),"x","")</f>
        <v/>
      </c>
      <c r="P1155" s="22" t="str">
        <f>IF(AND($L1155=$O$7,$B1155&lt;'111'!$N$11),"x","")</f>
        <v/>
      </c>
      <c r="Q1155" s="22" t="str">
        <f>IF(AND($M1155=$O$7,$B1155&lt;'111'!$N$11),"x","")</f>
        <v/>
      </c>
      <c r="R1155" s="22" t="str">
        <f>IF(ISERROR(FIND('112'!$M$9,G1155,1)),"",IF((AND(FIND('112'!$M$9,G1155,1)&gt;=1,$B1155&gt;='112'!$N$8,$B1155&lt;='112'!$O$8,OR($L1155='112'!$I$6,$M1155='112'!$I$6))),"x",""))</f>
        <v/>
      </c>
      <c r="S1155" s="22" t="str">
        <f>IF(ISERROR(FIND('112'!$M$9,G1155,1)),"",IF((AND(LEFT(G1155,2)=LEFT('112'!$M$9,2),B1155&lt;'112'!$N$8,$L1155='112'!$I$6)),"x",""))</f>
        <v/>
      </c>
      <c r="T1155" s="22" t="str">
        <f>IF(ISERROR(FIND('112'!$M$9,G1155,1)),"",IF((AND(RIGHT(G1155,2)=RIGHT('112'!$M$9,2),B1155&lt;'112'!$N$8,$M1155='112'!$I$6)),"x",""))</f>
        <v/>
      </c>
      <c r="U1155" s="22" t="str">
        <f>IF(AND(B1155&gt;='IN-NX'!$P$3,B1155&lt;='IN-NX'!$Q$3,'IN-NX'!$D$7=D1155,OR(LEFT(L1155,2)="15",AND(LEFT(M1155,2)&lt;&gt;"15",LEFT(M1155,2)&lt;&gt;"33"))),"x","")</f>
        <v/>
      </c>
      <c r="V1155" s="22" t="str">
        <f>IF(AND(OR(LEFT(TH!L1155,2)="15",LEFT(TH!M1155,2)="15"),'152-CT'!$J$8=TH!F1155),"x","")</f>
        <v/>
      </c>
      <c r="W1155" s="22" t="str">
        <f>IF(AND(OR(LEFT(TH!L1155,2)="15",LEFT(TH!M1155,2)="15"),TK!$E$7=TH!F1155),"x","")</f>
        <v/>
      </c>
      <c r="X1155" s="22" t="str">
        <f>IF(OR(TH!L1155=TH!$X$7,M1155=TH!$X$7),"x","")</f>
        <v/>
      </c>
      <c r="Y1155" s="22" t="str">
        <f>IF(AND(B1155&lt;=NKC!$N$8,B1155&gt;=NKC!$M$8),"x","")</f>
        <v>x</v>
      </c>
      <c r="Z1155" s="580"/>
      <c r="AA1155" s="588"/>
      <c r="AB1155" s="588"/>
    </row>
    <row r="1156" spans="1:28" s="589" customFormat="1" ht="15.75" customHeight="1">
      <c r="A1156" s="607" t="str">
        <f>IF(B1156&lt;&gt;"",IF(AND(B1156&gt;=_TM1,B1156&lt;=_TM2,OR(TH!L1156="1111",TH!M1156="1111")),TH!D1156,""),"")</f>
        <v/>
      </c>
      <c r="B1156" s="585">
        <f t="shared" si="62"/>
        <v>7</v>
      </c>
      <c r="C1156" s="586">
        <f t="shared" si="63"/>
        <v>42573</v>
      </c>
      <c r="D1156" s="569" t="s">
        <v>1022</v>
      </c>
      <c r="E1156" s="613">
        <v>42573</v>
      </c>
      <c r="F1156" s="614" t="s">
        <v>649</v>
      </c>
      <c r="G1156" s="615" t="s">
        <v>709</v>
      </c>
      <c r="H1156" s="572" t="s">
        <v>1075</v>
      </c>
      <c r="I1156" s="591">
        <v>300</v>
      </c>
      <c r="J1156" s="591">
        <v>10963.7841614602</v>
      </c>
      <c r="K1156" s="21">
        <f t="shared" si="58"/>
        <v>3289135</v>
      </c>
      <c r="L1156" s="567" t="s">
        <v>167</v>
      </c>
      <c r="M1156" s="567" t="s">
        <v>162</v>
      </c>
      <c r="N1156" s="22" t="str">
        <f>IF(AND('331-CT'!$E$7=TH!H1156,OR(L1156="331",M1156="331")),"331",IF(AND(OR(L1156="131",M1156="131"),H1156='131-CT'!$E$7),"131",""))</f>
        <v/>
      </c>
      <c r="O1156" s="22" t="str">
        <f>IF(AND($B1156&gt;='111'!$N$11,$B1156&lt;='111'!$O$11,OR($L1156=$O$7,$M1156=$O$7)),"x","")</f>
        <v/>
      </c>
      <c r="P1156" s="22" t="str">
        <f>IF(AND($L1156=$O$7,$B1156&lt;'111'!$N$11),"x","")</f>
        <v/>
      </c>
      <c r="Q1156" s="22" t="str">
        <f>IF(AND($M1156=$O$7,$B1156&lt;'111'!$N$11),"x","")</f>
        <v/>
      </c>
      <c r="R1156" s="22" t="str">
        <f>IF(ISERROR(FIND('112'!$M$9,G1156,1)),"",IF((AND(FIND('112'!$M$9,G1156,1)&gt;=1,$B1156&gt;='112'!$N$8,$B1156&lt;='112'!$O$8,OR($L1156='112'!$I$6,$M1156='112'!$I$6))),"x",""))</f>
        <v/>
      </c>
      <c r="S1156" s="22" t="str">
        <f>IF(ISERROR(FIND('112'!$M$9,G1156,1)),"",IF((AND(LEFT(G1156,2)=LEFT('112'!$M$9,2),B1156&lt;'112'!$N$8,$L1156='112'!$I$6)),"x",""))</f>
        <v/>
      </c>
      <c r="T1156" s="22" t="str">
        <f>IF(ISERROR(FIND('112'!$M$9,G1156,1)),"",IF((AND(RIGHT(G1156,2)=RIGHT('112'!$M$9,2),B1156&lt;'112'!$N$8,$M1156='112'!$I$6)),"x",""))</f>
        <v/>
      </c>
      <c r="U1156" s="22" t="str">
        <f>IF(AND(B1156&gt;='IN-NX'!$P$3,B1156&lt;='IN-NX'!$Q$3,'IN-NX'!$D$7=D1156,OR(LEFT(L1156,2)="15",AND(LEFT(M1156,2)&lt;&gt;"15",LEFT(M1156,2)&lt;&gt;"33"))),"x","")</f>
        <v/>
      </c>
      <c r="V1156" s="22" t="str">
        <f>IF(AND(OR(LEFT(TH!L1156,2)="15",LEFT(TH!M1156,2)="15"),'152-CT'!$J$8=TH!F1156),"x","")</f>
        <v/>
      </c>
      <c r="W1156" s="22" t="str">
        <f>IF(AND(OR(LEFT(TH!L1156,2)="15",LEFT(TH!M1156,2)="15"),TK!$E$7=TH!F1156),"x","")</f>
        <v/>
      </c>
      <c r="X1156" s="22" t="str">
        <f>IF(OR(TH!L1156=TH!$X$7,M1156=TH!$X$7),"x","")</f>
        <v/>
      </c>
      <c r="Y1156" s="22" t="str">
        <f>IF(AND(B1156&lt;=NKC!$N$8,B1156&gt;=NKC!$M$8),"x","")</f>
        <v>x</v>
      </c>
      <c r="Z1156" s="580"/>
      <c r="AA1156" s="588"/>
      <c r="AB1156" s="588"/>
    </row>
    <row r="1157" spans="1:28" s="589" customFormat="1" ht="15.75" customHeight="1">
      <c r="A1157" s="607" t="str">
        <f>IF(B1157&lt;&gt;"",IF(AND(B1157&gt;=_TM1,B1157&lt;=_TM2,OR(TH!L1157="1111",TH!M1157="1111")),TH!D1157,""),"")</f>
        <v/>
      </c>
      <c r="B1157" s="585">
        <f t="shared" si="62"/>
        <v>7</v>
      </c>
      <c r="C1157" s="586">
        <f t="shared" si="63"/>
        <v>42573</v>
      </c>
      <c r="D1157" s="569" t="s">
        <v>1022</v>
      </c>
      <c r="E1157" s="613">
        <v>42573</v>
      </c>
      <c r="F1157" s="614" t="s">
        <v>819</v>
      </c>
      <c r="G1157" s="615" t="s">
        <v>709</v>
      </c>
      <c r="H1157" s="572" t="s">
        <v>1075</v>
      </c>
      <c r="I1157" s="591">
        <v>200</v>
      </c>
      <c r="J1157" s="591">
        <v>17228.803682294598</v>
      </c>
      <c r="K1157" s="21">
        <f t="shared" si="58"/>
        <v>3445761</v>
      </c>
      <c r="L1157" s="567" t="s">
        <v>167</v>
      </c>
      <c r="M1157" s="567" t="s">
        <v>162</v>
      </c>
      <c r="N1157" s="22" t="str">
        <f>IF(AND('331-CT'!$E$7=TH!H1157,OR(L1157="331",M1157="331")),"331",IF(AND(OR(L1157="131",M1157="131"),H1157='131-CT'!$E$7),"131",""))</f>
        <v/>
      </c>
      <c r="O1157" s="22" t="str">
        <f>IF(AND($B1157&gt;='111'!$N$11,$B1157&lt;='111'!$O$11,OR($L1157=$O$7,$M1157=$O$7)),"x","")</f>
        <v/>
      </c>
      <c r="P1157" s="22" t="str">
        <f>IF(AND($L1157=$O$7,$B1157&lt;'111'!$N$11),"x","")</f>
        <v/>
      </c>
      <c r="Q1157" s="22" t="str">
        <f>IF(AND($M1157=$O$7,$B1157&lt;'111'!$N$11),"x","")</f>
        <v/>
      </c>
      <c r="R1157" s="22" t="str">
        <f>IF(ISERROR(FIND('112'!$M$9,G1157,1)),"",IF((AND(FIND('112'!$M$9,G1157,1)&gt;=1,$B1157&gt;='112'!$N$8,$B1157&lt;='112'!$O$8,OR($L1157='112'!$I$6,$M1157='112'!$I$6))),"x",""))</f>
        <v/>
      </c>
      <c r="S1157" s="22" t="str">
        <f>IF(ISERROR(FIND('112'!$M$9,G1157,1)),"",IF((AND(LEFT(G1157,2)=LEFT('112'!$M$9,2),B1157&lt;'112'!$N$8,$L1157='112'!$I$6)),"x",""))</f>
        <v/>
      </c>
      <c r="T1157" s="22" t="str">
        <f>IF(ISERROR(FIND('112'!$M$9,G1157,1)),"",IF((AND(RIGHT(G1157,2)=RIGHT('112'!$M$9,2),B1157&lt;'112'!$N$8,$M1157='112'!$I$6)),"x",""))</f>
        <v/>
      </c>
      <c r="U1157" s="22" t="str">
        <f>IF(AND(B1157&gt;='IN-NX'!$P$3,B1157&lt;='IN-NX'!$Q$3,'IN-NX'!$D$7=D1157,OR(LEFT(L1157,2)="15",AND(LEFT(M1157,2)&lt;&gt;"15",LEFT(M1157,2)&lt;&gt;"33"))),"x","")</f>
        <v/>
      </c>
      <c r="V1157" s="22" t="str">
        <f>IF(AND(OR(LEFT(TH!L1157,2)="15",LEFT(TH!M1157,2)="15"),'152-CT'!$J$8=TH!F1157),"x","")</f>
        <v/>
      </c>
      <c r="W1157" s="22" t="str">
        <f>IF(AND(OR(LEFT(TH!L1157,2)="15",LEFT(TH!M1157,2)="15"),TK!$E$7=TH!F1157),"x","")</f>
        <v/>
      </c>
      <c r="X1157" s="22" t="str">
        <f>IF(OR(TH!L1157=TH!$X$7,M1157=TH!$X$7),"x","")</f>
        <v/>
      </c>
      <c r="Y1157" s="22" t="str">
        <f>IF(AND(B1157&lt;=NKC!$N$8,B1157&gt;=NKC!$M$8),"x","")</f>
        <v>x</v>
      </c>
      <c r="Z1157" s="580"/>
      <c r="AA1157" s="588"/>
      <c r="AB1157" s="588"/>
    </row>
    <row r="1158" spans="1:28" s="589" customFormat="1" ht="15.75" customHeight="1">
      <c r="A1158" s="607" t="str">
        <f>IF(B1158&lt;&gt;"",IF(AND(B1158&gt;=_TM1,B1158&lt;=_TM2,OR(TH!L1158="1111",TH!M1158="1111")),TH!D1158,""),"")</f>
        <v/>
      </c>
      <c r="B1158" s="585">
        <f t="shared" si="62"/>
        <v>7</v>
      </c>
      <c r="C1158" s="586">
        <f t="shared" si="63"/>
        <v>42574</v>
      </c>
      <c r="D1158" s="569" t="s">
        <v>1022</v>
      </c>
      <c r="E1158" s="613">
        <v>42574</v>
      </c>
      <c r="F1158" s="614" t="s">
        <v>655</v>
      </c>
      <c r="G1158" s="615" t="s">
        <v>710</v>
      </c>
      <c r="H1158" s="572" t="s">
        <v>1075</v>
      </c>
      <c r="I1158" s="137">
        <v>530</v>
      </c>
      <c r="J1158" s="137">
        <v>12777.342443807</v>
      </c>
      <c r="K1158" s="21">
        <f t="shared" si="58"/>
        <v>6771991</v>
      </c>
      <c r="L1158" s="567" t="s">
        <v>167</v>
      </c>
      <c r="M1158" s="567" t="s">
        <v>162</v>
      </c>
      <c r="N1158" s="22" t="str">
        <f>IF(AND('331-CT'!$E$7=TH!H1158,OR(L1158="331",M1158="331")),"331",IF(AND(OR(L1158="131",M1158="131"),H1158='131-CT'!$E$7),"131",""))</f>
        <v/>
      </c>
      <c r="O1158" s="22" t="str">
        <f>IF(AND($B1158&gt;='111'!$N$11,$B1158&lt;='111'!$O$11,OR($L1158=$O$7,$M1158=$O$7)),"x","")</f>
        <v/>
      </c>
      <c r="P1158" s="22" t="str">
        <f>IF(AND($L1158=$O$7,$B1158&lt;'111'!$N$11),"x","")</f>
        <v/>
      </c>
      <c r="Q1158" s="22" t="str">
        <f>IF(AND($M1158=$O$7,$B1158&lt;'111'!$N$11),"x","")</f>
        <v/>
      </c>
      <c r="R1158" s="22" t="str">
        <f>IF(ISERROR(FIND('112'!$M$9,G1158,1)),"",IF((AND(FIND('112'!$M$9,G1158,1)&gt;=1,$B1158&gt;='112'!$N$8,$B1158&lt;='112'!$O$8,OR($L1158='112'!$I$6,$M1158='112'!$I$6))),"x",""))</f>
        <v/>
      </c>
      <c r="S1158" s="22" t="str">
        <f>IF(ISERROR(FIND('112'!$M$9,G1158,1)),"",IF((AND(LEFT(G1158,2)=LEFT('112'!$M$9,2),B1158&lt;'112'!$N$8,$L1158='112'!$I$6)),"x",""))</f>
        <v/>
      </c>
      <c r="T1158" s="22" t="str">
        <f>IF(ISERROR(FIND('112'!$M$9,G1158,1)),"",IF((AND(RIGHT(G1158,2)=RIGHT('112'!$M$9,2),B1158&lt;'112'!$N$8,$M1158='112'!$I$6)),"x",""))</f>
        <v/>
      </c>
      <c r="U1158" s="22" t="str">
        <f>IF(AND(B1158&gt;='IN-NX'!$P$3,B1158&lt;='IN-NX'!$Q$3,'IN-NX'!$D$7=D1158,OR(LEFT(L1158,2)="15",AND(LEFT(M1158,2)&lt;&gt;"15",LEFT(M1158,2)&lt;&gt;"33"))),"x","")</f>
        <v/>
      </c>
      <c r="V1158" s="22" t="str">
        <f>IF(AND(OR(LEFT(TH!L1158,2)="15",LEFT(TH!M1158,2)="15"),'152-CT'!$J$8=TH!F1158),"x","")</f>
        <v/>
      </c>
      <c r="W1158" s="22" t="str">
        <f>IF(AND(OR(LEFT(TH!L1158,2)="15",LEFT(TH!M1158,2)="15"),TK!$E$7=TH!F1158),"x","")</f>
        <v/>
      </c>
      <c r="X1158" s="22" t="str">
        <f>IF(OR(TH!L1158=TH!$X$7,M1158=TH!$X$7),"x","")</f>
        <v/>
      </c>
      <c r="Y1158" s="22" t="str">
        <f>IF(AND(B1158&lt;=NKC!$N$8,B1158&gt;=NKC!$M$8),"x","")</f>
        <v>x</v>
      </c>
      <c r="Z1158" s="580"/>
      <c r="AA1158" s="588"/>
      <c r="AB1158" s="588"/>
    </row>
    <row r="1159" spans="1:28" s="589" customFormat="1" ht="15.75" customHeight="1">
      <c r="A1159" s="607" t="str">
        <f>IF(B1159&lt;&gt;"",IF(AND(B1159&gt;=_TM1,B1159&lt;=_TM2,OR(TH!L1159="1111",TH!M1159="1111")),TH!D1159,""),"")</f>
        <v/>
      </c>
      <c r="B1159" s="585">
        <f t="shared" si="62"/>
        <v>7</v>
      </c>
      <c r="C1159" s="586">
        <f t="shared" si="63"/>
        <v>42574</v>
      </c>
      <c r="D1159" s="569" t="s">
        <v>1022</v>
      </c>
      <c r="E1159" s="613">
        <v>42574</v>
      </c>
      <c r="F1159" s="614" t="s">
        <v>500</v>
      </c>
      <c r="G1159" s="615" t="s">
        <v>710</v>
      </c>
      <c r="H1159" s="572" t="s">
        <v>1075</v>
      </c>
      <c r="I1159" s="137">
        <v>33</v>
      </c>
      <c r="J1159" s="137">
        <v>10551.611824563199</v>
      </c>
      <c r="K1159" s="21">
        <f t="shared" si="58"/>
        <v>348203</v>
      </c>
      <c r="L1159" s="567" t="s">
        <v>167</v>
      </c>
      <c r="M1159" s="567" t="s">
        <v>162</v>
      </c>
      <c r="N1159" s="22" t="str">
        <f>IF(AND('331-CT'!$E$7=TH!H1159,OR(L1159="331",M1159="331")),"331",IF(AND(OR(L1159="131",M1159="131"),H1159='131-CT'!$E$7),"131",""))</f>
        <v/>
      </c>
      <c r="O1159" s="22" t="str">
        <f>IF(AND($B1159&gt;='111'!$N$11,$B1159&lt;='111'!$O$11,OR($L1159=$O$7,$M1159=$O$7)),"x","")</f>
        <v/>
      </c>
      <c r="P1159" s="22" t="str">
        <f>IF(AND($L1159=$O$7,$B1159&lt;'111'!$N$11),"x","")</f>
        <v/>
      </c>
      <c r="Q1159" s="22" t="str">
        <f>IF(AND($M1159=$O$7,$B1159&lt;'111'!$N$11),"x","")</f>
        <v/>
      </c>
      <c r="R1159" s="22" t="str">
        <f>IF(ISERROR(FIND('112'!$M$9,G1159,1)),"",IF((AND(FIND('112'!$M$9,G1159,1)&gt;=1,$B1159&gt;='112'!$N$8,$B1159&lt;='112'!$O$8,OR($L1159='112'!$I$6,$M1159='112'!$I$6))),"x",""))</f>
        <v/>
      </c>
      <c r="S1159" s="22" t="str">
        <f>IF(ISERROR(FIND('112'!$M$9,G1159,1)),"",IF((AND(LEFT(G1159,2)=LEFT('112'!$M$9,2),B1159&lt;'112'!$N$8,$L1159='112'!$I$6)),"x",""))</f>
        <v/>
      </c>
      <c r="T1159" s="22" t="str">
        <f>IF(ISERROR(FIND('112'!$M$9,G1159,1)),"",IF((AND(RIGHT(G1159,2)=RIGHT('112'!$M$9,2),B1159&lt;'112'!$N$8,$M1159='112'!$I$6)),"x",""))</f>
        <v/>
      </c>
      <c r="U1159" s="22" t="str">
        <f>IF(AND(B1159&gt;='IN-NX'!$P$3,B1159&lt;='IN-NX'!$Q$3,'IN-NX'!$D$7=D1159,OR(LEFT(L1159,2)="15",AND(LEFT(M1159,2)&lt;&gt;"15",LEFT(M1159,2)&lt;&gt;"33"))),"x","")</f>
        <v/>
      </c>
      <c r="V1159" s="22" t="str">
        <f>IF(AND(OR(LEFT(TH!L1159,2)="15",LEFT(TH!M1159,2)="15"),'152-CT'!$J$8=TH!F1159),"x","")</f>
        <v/>
      </c>
      <c r="W1159" s="22" t="str">
        <f>IF(AND(OR(LEFT(TH!L1159,2)="15",LEFT(TH!M1159,2)="15"),TK!$E$7=TH!F1159),"x","")</f>
        <v/>
      </c>
      <c r="X1159" s="22" t="str">
        <f>IF(OR(TH!L1159=TH!$X$7,M1159=TH!$X$7),"x","")</f>
        <v/>
      </c>
      <c r="Y1159" s="22" t="str">
        <f>IF(AND(B1159&lt;=NKC!$N$8,B1159&gt;=NKC!$M$8),"x","")</f>
        <v>x</v>
      </c>
      <c r="Z1159" s="580"/>
      <c r="AA1159" s="588"/>
      <c r="AB1159" s="588"/>
    </row>
    <row r="1160" spans="1:28" s="589" customFormat="1" ht="15.75" customHeight="1">
      <c r="A1160" s="607" t="str">
        <f>IF(B1160&lt;&gt;"",IF(AND(B1160&gt;=_TM1,B1160&lt;=_TM2,OR(TH!L1160="1111",TH!M1160="1111")),TH!D1160,""),"")</f>
        <v/>
      </c>
      <c r="B1160" s="585">
        <f t="shared" si="62"/>
        <v>7</v>
      </c>
      <c r="C1160" s="586">
        <f t="shared" si="63"/>
        <v>42574</v>
      </c>
      <c r="D1160" s="569" t="s">
        <v>1022</v>
      </c>
      <c r="E1160" s="613">
        <v>42574</v>
      </c>
      <c r="F1160" s="614" t="s">
        <v>656</v>
      </c>
      <c r="G1160" s="615" t="s">
        <v>710</v>
      </c>
      <c r="H1160" s="572" t="s">
        <v>1075</v>
      </c>
      <c r="I1160" s="137">
        <v>630</v>
      </c>
      <c r="J1160" s="137">
        <v>11128.653096218999</v>
      </c>
      <c r="K1160" s="21">
        <f t="shared" si="58"/>
        <v>7011051</v>
      </c>
      <c r="L1160" s="567" t="s">
        <v>167</v>
      </c>
      <c r="M1160" s="567" t="s">
        <v>162</v>
      </c>
      <c r="N1160" s="22" t="str">
        <f>IF(AND('331-CT'!$E$7=TH!H1160,OR(L1160="331",M1160="331")),"331",IF(AND(OR(L1160="131",M1160="131"),H1160='131-CT'!$E$7),"131",""))</f>
        <v/>
      </c>
      <c r="O1160" s="22" t="str">
        <f>IF(AND($B1160&gt;='111'!$N$11,$B1160&lt;='111'!$O$11,OR($L1160=$O$7,$M1160=$O$7)),"x","")</f>
        <v/>
      </c>
      <c r="P1160" s="22" t="str">
        <f>IF(AND($L1160=$O$7,$B1160&lt;'111'!$N$11),"x","")</f>
        <v/>
      </c>
      <c r="Q1160" s="22" t="str">
        <f>IF(AND($M1160=$O$7,$B1160&lt;'111'!$N$11),"x","")</f>
        <v/>
      </c>
      <c r="R1160" s="22" t="str">
        <f>IF(ISERROR(FIND('112'!$M$9,G1160,1)),"",IF((AND(FIND('112'!$M$9,G1160,1)&gt;=1,$B1160&gt;='112'!$N$8,$B1160&lt;='112'!$O$8,OR($L1160='112'!$I$6,$M1160='112'!$I$6))),"x",""))</f>
        <v/>
      </c>
      <c r="S1160" s="22" t="str">
        <f>IF(ISERROR(FIND('112'!$M$9,G1160,1)),"",IF((AND(LEFT(G1160,2)=LEFT('112'!$M$9,2),B1160&lt;'112'!$N$8,$L1160='112'!$I$6)),"x",""))</f>
        <v/>
      </c>
      <c r="T1160" s="22" t="str">
        <f>IF(ISERROR(FIND('112'!$M$9,G1160,1)),"",IF((AND(RIGHT(G1160,2)=RIGHT('112'!$M$9,2),B1160&lt;'112'!$N$8,$M1160='112'!$I$6)),"x",""))</f>
        <v/>
      </c>
      <c r="U1160" s="22" t="str">
        <f>IF(AND(B1160&gt;='IN-NX'!$P$3,B1160&lt;='IN-NX'!$Q$3,'IN-NX'!$D$7=D1160,OR(LEFT(L1160,2)="15",AND(LEFT(M1160,2)&lt;&gt;"15",LEFT(M1160,2)&lt;&gt;"33"))),"x","")</f>
        <v/>
      </c>
      <c r="V1160" s="22" t="str">
        <f>IF(AND(OR(LEFT(TH!L1160,2)="15",LEFT(TH!M1160,2)="15"),'152-CT'!$J$8=TH!F1160),"x","")</f>
        <v/>
      </c>
      <c r="W1160" s="22" t="str">
        <f>IF(AND(OR(LEFT(TH!L1160,2)="15",LEFT(TH!M1160,2)="15"),TK!$E$7=TH!F1160),"x","")</f>
        <v/>
      </c>
      <c r="X1160" s="22" t="str">
        <f>IF(OR(TH!L1160=TH!$X$7,M1160=TH!$X$7),"x","")</f>
        <v/>
      </c>
      <c r="Y1160" s="22" t="str">
        <f>IF(AND(B1160&lt;=NKC!$N$8,B1160&gt;=NKC!$M$8),"x","")</f>
        <v>x</v>
      </c>
      <c r="Z1160" s="580"/>
      <c r="AA1160" s="588"/>
    </row>
    <row r="1161" spans="1:28" s="589" customFormat="1" ht="15.75" customHeight="1">
      <c r="A1161" s="607" t="str">
        <f>IF(B1161&lt;&gt;"",IF(AND(B1161&gt;=_TM1,B1161&lt;=_TM2,OR(TH!L1161="1111",TH!M1161="1111")),TH!D1161,""),"")</f>
        <v/>
      </c>
      <c r="B1161" s="585">
        <f t="shared" si="62"/>
        <v>7</v>
      </c>
      <c r="C1161" s="586">
        <f t="shared" si="63"/>
        <v>42574</v>
      </c>
      <c r="D1161" s="569" t="s">
        <v>1022</v>
      </c>
      <c r="E1161" s="613">
        <v>42574</v>
      </c>
      <c r="F1161" s="614" t="s">
        <v>662</v>
      </c>
      <c r="G1161" s="615" t="s">
        <v>710</v>
      </c>
      <c r="H1161" s="572" t="s">
        <v>1075</v>
      </c>
      <c r="I1161" s="592">
        <v>352</v>
      </c>
      <c r="J1161" s="592">
        <v>9397.5292812515981</v>
      </c>
      <c r="K1161" s="21">
        <f t="shared" si="58"/>
        <v>3307930</v>
      </c>
      <c r="L1161" s="567" t="s">
        <v>167</v>
      </c>
      <c r="M1161" s="567" t="s">
        <v>162</v>
      </c>
      <c r="N1161" s="22" t="str">
        <f>IF(AND('331-CT'!$E$7=TH!H1161,OR(L1161="331",M1161="331")),"331",IF(AND(OR(L1161="131",M1161="131"),H1161='131-CT'!$E$7),"131",""))</f>
        <v/>
      </c>
      <c r="O1161" s="22" t="str">
        <f>IF(AND($B1161&gt;='111'!$N$11,$B1161&lt;='111'!$O$11,OR($L1161=$O$7,$M1161=$O$7)),"x","")</f>
        <v/>
      </c>
      <c r="P1161" s="22" t="str">
        <f>IF(AND($L1161=$O$7,$B1161&lt;'111'!$N$11),"x","")</f>
        <v/>
      </c>
      <c r="Q1161" s="22" t="str">
        <f>IF(AND($M1161=$O$7,$B1161&lt;'111'!$N$11),"x","")</f>
        <v/>
      </c>
      <c r="R1161" s="22" t="str">
        <f>IF(ISERROR(FIND('112'!$M$9,G1161,1)),"",IF((AND(FIND('112'!$M$9,G1161,1)&gt;=1,$B1161&gt;='112'!$N$8,$B1161&lt;='112'!$O$8,OR($L1161='112'!$I$6,$M1161='112'!$I$6))),"x",""))</f>
        <v/>
      </c>
      <c r="S1161" s="22" t="str">
        <f>IF(ISERROR(FIND('112'!$M$9,G1161,1)),"",IF((AND(LEFT(G1161,2)=LEFT('112'!$M$9,2),B1161&lt;'112'!$N$8,$L1161='112'!$I$6)),"x",""))</f>
        <v/>
      </c>
      <c r="T1161" s="22" t="str">
        <f>IF(ISERROR(FIND('112'!$M$9,G1161,1)),"",IF((AND(RIGHT(G1161,2)=RIGHT('112'!$M$9,2),B1161&lt;'112'!$N$8,$M1161='112'!$I$6)),"x",""))</f>
        <v/>
      </c>
      <c r="U1161" s="22" t="str">
        <f>IF(AND(B1161&gt;='IN-NX'!$P$3,B1161&lt;='IN-NX'!$Q$3,'IN-NX'!$D$7=D1161,OR(LEFT(L1161,2)="15",AND(LEFT(M1161,2)&lt;&gt;"15",LEFT(M1161,2)&lt;&gt;"33"))),"x","")</f>
        <v/>
      </c>
      <c r="V1161" s="22" t="str">
        <f>IF(AND(OR(LEFT(TH!L1161,2)="15",LEFT(TH!M1161,2)="15"),'152-CT'!$J$8=TH!F1161),"x","")</f>
        <v/>
      </c>
      <c r="W1161" s="22" t="str">
        <f>IF(AND(OR(LEFT(TH!L1161,2)="15",LEFT(TH!M1161,2)="15"),TK!$E$7=TH!F1161),"x","")</f>
        <v/>
      </c>
      <c r="X1161" s="22" t="str">
        <f>IF(OR(TH!L1161=TH!$X$7,M1161=TH!$X$7),"x","")</f>
        <v/>
      </c>
      <c r="Y1161" s="22" t="str">
        <f>IF(AND(B1161&lt;=NKC!$N$8,B1161&gt;=NKC!$M$8),"x","")</f>
        <v>x</v>
      </c>
      <c r="Z1161" s="580"/>
      <c r="AA1161" s="588"/>
      <c r="AB1161" s="588"/>
    </row>
    <row r="1162" spans="1:28" s="589" customFormat="1" ht="15.75" customHeight="1">
      <c r="A1162" s="607" t="str">
        <f>IF(B1162&lt;&gt;"",IF(AND(B1162&gt;=_TM1,B1162&lt;=_TM2,OR(TH!L1162="1111",TH!M1162="1111")),TH!D1162,""),"")</f>
        <v/>
      </c>
      <c r="B1162" s="585">
        <f t="shared" si="62"/>
        <v>7</v>
      </c>
      <c r="C1162" s="586">
        <f t="shared" si="63"/>
        <v>42574</v>
      </c>
      <c r="D1162" s="569" t="s">
        <v>1022</v>
      </c>
      <c r="E1162" s="613">
        <v>42574</v>
      </c>
      <c r="F1162" s="614" t="s">
        <v>513</v>
      </c>
      <c r="G1162" s="615" t="s">
        <v>711</v>
      </c>
      <c r="H1162" s="572" t="s">
        <v>1075</v>
      </c>
      <c r="I1162" s="137">
        <v>350</v>
      </c>
      <c r="J1162" s="137">
        <v>9067.7914117340006</v>
      </c>
      <c r="K1162" s="21">
        <f t="shared" si="58"/>
        <v>3173727</v>
      </c>
      <c r="L1162" s="567" t="s">
        <v>167</v>
      </c>
      <c r="M1162" s="567" t="s">
        <v>162</v>
      </c>
      <c r="N1162" s="22" t="str">
        <f>IF(AND('331-CT'!$E$7=TH!H1162,OR(L1162="331",M1162="331")),"331",IF(AND(OR(L1162="131",M1162="131"),H1162='131-CT'!$E$7),"131",""))</f>
        <v/>
      </c>
      <c r="O1162" s="22" t="str">
        <f>IF(AND($B1162&gt;='111'!$N$11,$B1162&lt;='111'!$O$11,OR($L1162=$O$7,$M1162=$O$7)),"x","")</f>
        <v/>
      </c>
      <c r="P1162" s="22" t="str">
        <f>IF(AND($L1162=$O$7,$B1162&lt;'111'!$N$11),"x","")</f>
        <v/>
      </c>
      <c r="Q1162" s="22" t="str">
        <f>IF(AND($M1162=$O$7,$B1162&lt;'111'!$N$11),"x","")</f>
        <v/>
      </c>
      <c r="R1162" s="22" t="str">
        <f>IF(ISERROR(FIND('112'!$M$9,G1162,1)),"",IF((AND(FIND('112'!$M$9,G1162,1)&gt;=1,$B1162&gt;='112'!$N$8,$B1162&lt;='112'!$O$8,OR($L1162='112'!$I$6,$M1162='112'!$I$6))),"x",""))</f>
        <v/>
      </c>
      <c r="S1162" s="22" t="str">
        <f>IF(ISERROR(FIND('112'!$M$9,G1162,1)),"",IF((AND(LEFT(G1162,2)=LEFT('112'!$M$9,2),B1162&lt;'112'!$N$8,$L1162='112'!$I$6)),"x",""))</f>
        <v/>
      </c>
      <c r="T1162" s="22" t="str">
        <f>IF(ISERROR(FIND('112'!$M$9,G1162,1)),"",IF((AND(RIGHT(G1162,2)=RIGHT('112'!$M$9,2),B1162&lt;'112'!$N$8,$M1162='112'!$I$6)),"x",""))</f>
        <v/>
      </c>
      <c r="U1162" s="22" t="str">
        <f>IF(AND(B1162&gt;='IN-NX'!$P$3,B1162&lt;='IN-NX'!$Q$3,'IN-NX'!$D$7=D1162,OR(LEFT(L1162,2)="15",AND(LEFT(M1162,2)&lt;&gt;"15",LEFT(M1162,2)&lt;&gt;"33"))),"x","")</f>
        <v/>
      </c>
      <c r="V1162" s="22" t="str">
        <f>IF(AND(OR(LEFT(TH!L1162,2)="15",LEFT(TH!M1162,2)="15"),'152-CT'!$J$8=TH!F1162),"x","")</f>
        <v/>
      </c>
      <c r="W1162" s="22" t="str">
        <f>IF(AND(OR(LEFT(TH!L1162,2)="15",LEFT(TH!M1162,2)="15"),TK!$E$7=TH!F1162),"x","")</f>
        <v/>
      </c>
      <c r="X1162" s="22" t="str">
        <f>IF(OR(TH!L1162=TH!$X$7,M1162=TH!$X$7),"x","")</f>
        <v/>
      </c>
      <c r="Y1162" s="22" t="str">
        <f>IF(AND(B1162&lt;=NKC!$N$8,B1162&gt;=NKC!$M$8),"x","")</f>
        <v>x</v>
      </c>
      <c r="Z1162" s="580"/>
      <c r="AA1162" s="588"/>
      <c r="AB1162" s="588"/>
    </row>
    <row r="1163" spans="1:28" s="589" customFormat="1" ht="15.75" customHeight="1">
      <c r="A1163" s="607" t="str">
        <f>IF(B1163&lt;&gt;"",IF(AND(B1163&gt;=_TM1,B1163&lt;=_TM2,OR(TH!L1163="1111",TH!M1163="1111")),TH!D1163,""),"")</f>
        <v/>
      </c>
      <c r="B1163" s="585">
        <f t="shared" si="62"/>
        <v>7</v>
      </c>
      <c r="C1163" s="586">
        <f t="shared" si="63"/>
        <v>42577</v>
      </c>
      <c r="D1163" s="569" t="s">
        <v>1022</v>
      </c>
      <c r="E1163" s="613">
        <v>42577</v>
      </c>
      <c r="F1163" s="614" t="s">
        <v>514</v>
      </c>
      <c r="G1163" s="615" t="s">
        <v>712</v>
      </c>
      <c r="H1163" s="572" t="s">
        <v>1075</v>
      </c>
      <c r="I1163" s="137">
        <v>473</v>
      </c>
      <c r="J1163" s="137">
        <v>6677.1918577314</v>
      </c>
      <c r="K1163" s="21">
        <f t="shared" si="58"/>
        <v>3158312</v>
      </c>
      <c r="L1163" s="567" t="s">
        <v>167</v>
      </c>
      <c r="M1163" s="567" t="s">
        <v>162</v>
      </c>
      <c r="N1163" s="22" t="str">
        <f>IF(AND('331-CT'!$E$7=TH!H1163,OR(L1163="331",M1163="331")),"331",IF(AND(OR(L1163="131",M1163="131"),H1163='131-CT'!$E$7),"131",""))</f>
        <v/>
      </c>
      <c r="O1163" s="22" t="str">
        <f>IF(AND($B1163&gt;='111'!$N$11,$B1163&lt;='111'!$O$11,OR($L1163=$O$7,$M1163=$O$7)),"x","")</f>
        <v/>
      </c>
      <c r="P1163" s="22" t="str">
        <f>IF(AND($L1163=$O$7,$B1163&lt;'111'!$N$11),"x","")</f>
        <v/>
      </c>
      <c r="Q1163" s="22" t="str">
        <f>IF(AND($M1163=$O$7,$B1163&lt;'111'!$N$11),"x","")</f>
        <v/>
      </c>
      <c r="R1163" s="22" t="str">
        <f>IF(ISERROR(FIND('112'!$M$9,G1163,1)),"",IF((AND(FIND('112'!$M$9,G1163,1)&gt;=1,$B1163&gt;='112'!$N$8,$B1163&lt;='112'!$O$8,OR($L1163='112'!$I$6,$M1163='112'!$I$6))),"x",""))</f>
        <v/>
      </c>
      <c r="S1163" s="22" t="str">
        <f>IF(ISERROR(FIND('112'!$M$9,G1163,1)),"",IF((AND(LEFT(G1163,2)=LEFT('112'!$M$9,2),B1163&lt;'112'!$N$8,$L1163='112'!$I$6)),"x",""))</f>
        <v/>
      </c>
      <c r="T1163" s="22" t="str">
        <f>IF(ISERROR(FIND('112'!$M$9,G1163,1)),"",IF((AND(RIGHT(G1163,2)=RIGHT('112'!$M$9,2),B1163&lt;'112'!$N$8,$M1163='112'!$I$6)),"x",""))</f>
        <v/>
      </c>
      <c r="U1163" s="22" t="str">
        <f>IF(AND(B1163&gt;='IN-NX'!$P$3,B1163&lt;='IN-NX'!$Q$3,'IN-NX'!$D$7=D1163,OR(LEFT(L1163,2)="15",AND(LEFT(M1163,2)&lt;&gt;"15",LEFT(M1163,2)&lt;&gt;"33"))),"x","")</f>
        <v/>
      </c>
      <c r="V1163" s="22" t="str">
        <f>IF(AND(OR(LEFT(TH!L1163,2)="15",LEFT(TH!M1163,2)="15"),'152-CT'!$J$8=TH!F1163),"x","")</f>
        <v/>
      </c>
      <c r="W1163" s="22" t="str">
        <f>IF(AND(OR(LEFT(TH!L1163,2)="15",LEFT(TH!M1163,2)="15"),TK!$E$7=TH!F1163),"x","")</f>
        <v/>
      </c>
      <c r="X1163" s="22" t="str">
        <f>IF(OR(TH!L1163=TH!$X$7,M1163=TH!$X$7),"x","")</f>
        <v/>
      </c>
      <c r="Y1163" s="22" t="str">
        <f>IF(AND(B1163&lt;=NKC!$N$8,B1163&gt;=NKC!$M$8),"x","")</f>
        <v>x</v>
      </c>
      <c r="Z1163" s="580"/>
      <c r="AA1163" s="588"/>
      <c r="AB1163" s="588"/>
    </row>
    <row r="1164" spans="1:28" s="589" customFormat="1" ht="15.75" customHeight="1">
      <c r="A1164" s="607" t="str">
        <f>IF(B1164&lt;&gt;"",IF(AND(B1164&gt;=_TM1,B1164&lt;=_TM2,OR(TH!L1164="1111",TH!M1164="1111")),TH!D1164,""),"")</f>
        <v/>
      </c>
      <c r="B1164" s="585">
        <f t="shared" si="62"/>
        <v>7</v>
      </c>
      <c r="C1164" s="586">
        <f t="shared" si="63"/>
        <v>42580</v>
      </c>
      <c r="D1164" s="569" t="s">
        <v>1022</v>
      </c>
      <c r="E1164" s="613">
        <v>42580</v>
      </c>
      <c r="F1164" s="614" t="s">
        <v>515</v>
      </c>
      <c r="G1164" s="615" t="s">
        <v>713</v>
      </c>
      <c r="H1164" s="572" t="s">
        <v>1075</v>
      </c>
      <c r="I1164" s="137">
        <v>302</v>
      </c>
      <c r="J1164" s="137">
        <v>7831.2744010429988</v>
      </c>
      <c r="K1164" s="21">
        <f t="shared" si="58"/>
        <v>2365045</v>
      </c>
      <c r="L1164" s="567" t="s">
        <v>167</v>
      </c>
      <c r="M1164" s="567" t="s">
        <v>162</v>
      </c>
      <c r="N1164" s="22" t="str">
        <f>IF(AND('331-CT'!$E$7=TH!H1164,OR(L1164="331",M1164="331")),"331",IF(AND(OR(L1164="131",M1164="131"),H1164='131-CT'!$E$7),"131",""))</f>
        <v/>
      </c>
      <c r="O1164" s="22" t="str">
        <f>IF(AND($B1164&gt;='111'!$N$11,$B1164&lt;='111'!$O$11,OR($L1164=$O$7,$M1164=$O$7)),"x","")</f>
        <v/>
      </c>
      <c r="P1164" s="22" t="str">
        <f>IF(AND($L1164=$O$7,$B1164&lt;'111'!$N$11),"x","")</f>
        <v/>
      </c>
      <c r="Q1164" s="22" t="str">
        <f>IF(AND($M1164=$O$7,$B1164&lt;'111'!$N$11),"x","")</f>
        <v/>
      </c>
      <c r="R1164" s="22" t="str">
        <f>IF(ISERROR(FIND('112'!$M$9,G1164,1)),"",IF((AND(FIND('112'!$M$9,G1164,1)&gt;=1,$B1164&gt;='112'!$N$8,$B1164&lt;='112'!$O$8,OR($L1164='112'!$I$6,$M1164='112'!$I$6))),"x",""))</f>
        <v/>
      </c>
      <c r="S1164" s="22" t="str">
        <f>IF(ISERROR(FIND('112'!$M$9,G1164,1)),"",IF((AND(LEFT(G1164,2)=LEFT('112'!$M$9,2),B1164&lt;'112'!$N$8,$L1164='112'!$I$6)),"x",""))</f>
        <v/>
      </c>
      <c r="T1164" s="22" t="str">
        <f>IF(ISERROR(FIND('112'!$M$9,G1164,1)),"",IF((AND(RIGHT(G1164,2)=RIGHT('112'!$M$9,2),B1164&lt;'112'!$N$8,$M1164='112'!$I$6)),"x",""))</f>
        <v/>
      </c>
      <c r="U1164" s="22" t="str">
        <f>IF(AND(B1164&gt;='IN-NX'!$P$3,B1164&lt;='IN-NX'!$Q$3,'IN-NX'!$D$7=D1164,OR(LEFT(L1164,2)="15",AND(LEFT(M1164,2)&lt;&gt;"15",LEFT(M1164,2)&lt;&gt;"33"))),"x","")</f>
        <v/>
      </c>
      <c r="V1164" s="22" t="str">
        <f>IF(AND(OR(LEFT(TH!L1164,2)="15",LEFT(TH!M1164,2)="15"),'152-CT'!$J$8=TH!F1164),"x","")</f>
        <v/>
      </c>
      <c r="W1164" s="22" t="str">
        <f>IF(AND(OR(LEFT(TH!L1164,2)="15",LEFT(TH!M1164,2)="15"),TK!$E$7=TH!F1164),"x","")</f>
        <v/>
      </c>
      <c r="X1164" s="22" t="str">
        <f>IF(OR(TH!L1164=TH!$X$7,M1164=TH!$X$7),"x","")</f>
        <v/>
      </c>
      <c r="Y1164" s="22" t="str">
        <f>IF(AND(B1164&lt;=NKC!$N$8,B1164&gt;=NKC!$M$8),"x","")</f>
        <v>x</v>
      </c>
      <c r="Z1164" s="580"/>
      <c r="AA1164" s="588"/>
    </row>
    <row r="1165" spans="1:28" s="589" customFormat="1" ht="15.75" customHeight="1">
      <c r="A1165" s="607" t="str">
        <f>IF(B1165&lt;&gt;"",IF(AND(B1165&gt;=_TM1,B1165&lt;=_TM2,OR(TH!L1165="1111",TH!M1165="1111")),TH!D1165,""),"")</f>
        <v/>
      </c>
      <c r="B1165" s="585">
        <f t="shared" si="62"/>
        <v>7</v>
      </c>
      <c r="C1165" s="586">
        <f t="shared" si="63"/>
        <v>42580</v>
      </c>
      <c r="D1165" s="569" t="s">
        <v>1022</v>
      </c>
      <c r="E1165" s="613">
        <v>42580</v>
      </c>
      <c r="F1165" s="614" t="s">
        <v>516</v>
      </c>
      <c r="G1165" s="615" t="s">
        <v>713</v>
      </c>
      <c r="H1165" s="572" t="s">
        <v>1075</v>
      </c>
      <c r="I1165" s="137">
        <v>527</v>
      </c>
      <c r="J1165" s="137">
        <v>7996.1433358017994</v>
      </c>
      <c r="K1165" s="21">
        <f t="shared" si="58"/>
        <v>4213968</v>
      </c>
      <c r="L1165" s="567" t="s">
        <v>167</v>
      </c>
      <c r="M1165" s="567" t="s">
        <v>162</v>
      </c>
      <c r="N1165" s="22" t="str">
        <f>IF(AND('331-CT'!$E$7=TH!H1165,OR(L1165="331",M1165="331")),"331",IF(AND(OR(L1165="131",M1165="131"),H1165='131-CT'!$E$7),"131",""))</f>
        <v/>
      </c>
      <c r="O1165" s="22" t="str">
        <f>IF(AND($B1165&gt;='111'!$N$11,$B1165&lt;='111'!$O$11,OR($L1165=$O$7,$M1165=$O$7)),"x","")</f>
        <v/>
      </c>
      <c r="P1165" s="22" t="str">
        <f>IF(AND($L1165=$O$7,$B1165&lt;'111'!$N$11),"x","")</f>
        <v/>
      </c>
      <c r="Q1165" s="22" t="str">
        <f>IF(AND($M1165=$O$7,$B1165&lt;'111'!$N$11),"x","")</f>
        <v/>
      </c>
      <c r="R1165" s="22" t="str">
        <f>IF(ISERROR(FIND('112'!$M$9,G1165,1)),"",IF((AND(FIND('112'!$M$9,G1165,1)&gt;=1,$B1165&gt;='112'!$N$8,$B1165&lt;='112'!$O$8,OR($L1165='112'!$I$6,$M1165='112'!$I$6))),"x",""))</f>
        <v/>
      </c>
      <c r="S1165" s="22" t="str">
        <f>IF(ISERROR(FIND('112'!$M$9,G1165,1)),"",IF((AND(LEFT(G1165,2)=LEFT('112'!$M$9,2),B1165&lt;'112'!$N$8,$L1165='112'!$I$6)),"x",""))</f>
        <v/>
      </c>
      <c r="T1165" s="22" t="str">
        <f>IF(ISERROR(FIND('112'!$M$9,G1165,1)),"",IF((AND(RIGHT(G1165,2)=RIGHT('112'!$M$9,2),B1165&lt;'112'!$N$8,$M1165='112'!$I$6)),"x",""))</f>
        <v/>
      </c>
      <c r="U1165" s="22" t="str">
        <f>IF(AND(B1165&gt;='IN-NX'!$P$3,B1165&lt;='IN-NX'!$Q$3,'IN-NX'!$D$7=D1165,OR(LEFT(L1165,2)="15",AND(LEFT(M1165,2)&lt;&gt;"15",LEFT(M1165,2)&lt;&gt;"33"))),"x","")</f>
        <v/>
      </c>
      <c r="V1165" s="22" t="str">
        <f>IF(AND(OR(LEFT(TH!L1165,2)="15",LEFT(TH!M1165,2)="15"),'152-CT'!$J$8=TH!F1165),"x","")</f>
        <v/>
      </c>
      <c r="W1165" s="22" t="str">
        <f>IF(AND(OR(LEFT(TH!L1165,2)="15",LEFT(TH!M1165,2)="15"),TK!$E$7=TH!F1165),"x","")</f>
        <v/>
      </c>
      <c r="X1165" s="22" t="str">
        <f>IF(OR(TH!L1165=TH!$X$7,M1165=TH!$X$7),"x","")</f>
        <v/>
      </c>
      <c r="Y1165" s="22" t="str">
        <f>IF(AND(B1165&lt;=NKC!$N$8,B1165&gt;=NKC!$M$8),"x","")</f>
        <v>x</v>
      </c>
      <c r="Z1165" s="580"/>
      <c r="AA1165" s="588"/>
      <c r="AB1165" s="588"/>
    </row>
    <row r="1166" spans="1:28" s="589" customFormat="1" ht="15.75" customHeight="1">
      <c r="A1166" s="607" t="str">
        <f>IF(B1166&lt;&gt;"",IF(AND(B1166&gt;=_TM1,B1166&lt;=_TM2,OR(TH!L1166="1111",TH!M1166="1111")),TH!D1166,""),"")</f>
        <v/>
      </c>
      <c r="B1166" s="585">
        <f t="shared" si="62"/>
        <v>7</v>
      </c>
      <c r="C1166" s="586">
        <f t="shared" si="63"/>
        <v>42580</v>
      </c>
      <c r="D1166" s="569" t="s">
        <v>1022</v>
      </c>
      <c r="E1166" s="613">
        <v>42580</v>
      </c>
      <c r="F1166" s="614" t="s">
        <v>649</v>
      </c>
      <c r="G1166" s="615" t="s">
        <v>714</v>
      </c>
      <c r="H1166" s="572" t="s">
        <v>1075</v>
      </c>
      <c r="I1166" s="137">
        <v>100</v>
      </c>
      <c r="J1166" s="137">
        <v>10963.7841614602</v>
      </c>
      <c r="K1166" s="21">
        <f t="shared" si="58"/>
        <v>1096378</v>
      </c>
      <c r="L1166" s="567" t="s">
        <v>167</v>
      </c>
      <c r="M1166" s="567" t="s">
        <v>162</v>
      </c>
      <c r="N1166" s="22" t="str">
        <f>IF(AND('331-CT'!$E$7=TH!H1166,OR(L1166="331",M1166="331")),"331",IF(AND(OR(L1166="131",M1166="131"),H1166='131-CT'!$E$7),"131",""))</f>
        <v/>
      </c>
      <c r="O1166" s="22" t="str">
        <f>IF(AND($B1166&gt;='111'!$N$11,$B1166&lt;='111'!$O$11,OR($L1166=$O$7,$M1166=$O$7)),"x","")</f>
        <v/>
      </c>
      <c r="P1166" s="22" t="str">
        <f>IF(AND($L1166=$O$7,$B1166&lt;'111'!$N$11),"x","")</f>
        <v/>
      </c>
      <c r="Q1166" s="22" t="str">
        <f>IF(AND($M1166=$O$7,$B1166&lt;'111'!$N$11),"x","")</f>
        <v/>
      </c>
      <c r="R1166" s="22" t="str">
        <f>IF(ISERROR(FIND('112'!$M$9,G1166,1)),"",IF((AND(FIND('112'!$M$9,G1166,1)&gt;=1,$B1166&gt;='112'!$N$8,$B1166&lt;='112'!$O$8,OR($L1166='112'!$I$6,$M1166='112'!$I$6))),"x",""))</f>
        <v/>
      </c>
      <c r="S1166" s="22" t="str">
        <f>IF(ISERROR(FIND('112'!$M$9,G1166,1)),"",IF((AND(LEFT(G1166,2)=LEFT('112'!$M$9,2),B1166&lt;'112'!$N$8,$L1166='112'!$I$6)),"x",""))</f>
        <v/>
      </c>
      <c r="T1166" s="22" t="str">
        <f>IF(ISERROR(FIND('112'!$M$9,G1166,1)),"",IF((AND(RIGHT(G1166,2)=RIGHT('112'!$M$9,2),B1166&lt;'112'!$N$8,$M1166='112'!$I$6)),"x",""))</f>
        <v/>
      </c>
      <c r="U1166" s="22" t="str">
        <f>IF(AND(B1166&gt;='IN-NX'!$P$3,B1166&lt;='IN-NX'!$Q$3,'IN-NX'!$D$7=D1166,OR(LEFT(L1166,2)="15",AND(LEFT(M1166,2)&lt;&gt;"15",LEFT(M1166,2)&lt;&gt;"33"))),"x","")</f>
        <v/>
      </c>
      <c r="V1166" s="22" t="str">
        <f>IF(AND(OR(LEFT(TH!L1166,2)="15",LEFT(TH!M1166,2)="15"),'152-CT'!$J$8=TH!F1166),"x","")</f>
        <v/>
      </c>
      <c r="W1166" s="22" t="str">
        <f>IF(AND(OR(LEFT(TH!L1166,2)="15",LEFT(TH!M1166,2)="15"),TK!$E$7=TH!F1166),"x","")</f>
        <v/>
      </c>
      <c r="X1166" s="22" t="str">
        <f>IF(OR(TH!L1166=TH!$X$7,M1166=TH!$X$7),"x","")</f>
        <v/>
      </c>
      <c r="Y1166" s="22" t="str">
        <f>IF(AND(B1166&lt;=NKC!$N$8,B1166&gt;=NKC!$M$8),"x","")</f>
        <v>x</v>
      </c>
      <c r="Z1166" s="580"/>
      <c r="AA1166" s="588"/>
    </row>
    <row r="1167" spans="1:28" s="589" customFormat="1" ht="15.75" customHeight="1">
      <c r="A1167" s="607" t="str">
        <f>IF(B1167&lt;&gt;"",IF(AND(B1167&gt;=_TM1,B1167&lt;=_TM2,OR(TH!L1167="1111",TH!M1167="1111")),TH!D1167,""),"")</f>
        <v/>
      </c>
      <c r="B1167" s="585">
        <f t="shared" si="62"/>
        <v>7</v>
      </c>
      <c r="C1167" s="586">
        <f t="shared" si="63"/>
        <v>42580</v>
      </c>
      <c r="D1167" s="569" t="s">
        <v>1022</v>
      </c>
      <c r="E1167" s="613">
        <v>42580</v>
      </c>
      <c r="F1167" s="614" t="s">
        <v>819</v>
      </c>
      <c r="G1167" s="615" t="s">
        <v>714</v>
      </c>
      <c r="H1167" s="572" t="s">
        <v>1075</v>
      </c>
      <c r="I1167" s="137">
        <v>100</v>
      </c>
      <c r="J1167" s="137">
        <v>17228.803682294598</v>
      </c>
      <c r="K1167" s="21">
        <f t="shared" si="58"/>
        <v>1722880</v>
      </c>
      <c r="L1167" s="567" t="s">
        <v>167</v>
      </c>
      <c r="M1167" s="567" t="s">
        <v>162</v>
      </c>
      <c r="N1167" s="22" t="str">
        <f>IF(AND('331-CT'!$E$7=TH!H1167,OR(L1167="331",M1167="331")),"331",IF(AND(OR(L1167="131",M1167="131"),H1167='131-CT'!$E$7),"131",""))</f>
        <v/>
      </c>
      <c r="O1167" s="22" t="str">
        <f>IF(AND($B1167&gt;='111'!$N$11,$B1167&lt;='111'!$O$11,OR($L1167=$O$7,$M1167=$O$7)),"x","")</f>
        <v/>
      </c>
      <c r="P1167" s="22" t="str">
        <f>IF(AND($L1167=$O$7,$B1167&lt;'111'!$N$11),"x","")</f>
        <v/>
      </c>
      <c r="Q1167" s="22" t="str">
        <f>IF(AND($M1167=$O$7,$B1167&lt;'111'!$N$11),"x","")</f>
        <v/>
      </c>
      <c r="R1167" s="22" t="str">
        <f>IF(ISERROR(FIND('112'!$M$9,G1167,1)),"",IF((AND(FIND('112'!$M$9,G1167,1)&gt;=1,$B1167&gt;='112'!$N$8,$B1167&lt;='112'!$O$8,OR($L1167='112'!$I$6,$M1167='112'!$I$6))),"x",""))</f>
        <v/>
      </c>
      <c r="S1167" s="22" t="str">
        <f>IF(ISERROR(FIND('112'!$M$9,G1167,1)),"",IF((AND(LEFT(G1167,2)=LEFT('112'!$M$9,2),B1167&lt;'112'!$N$8,$L1167='112'!$I$6)),"x",""))</f>
        <v/>
      </c>
      <c r="T1167" s="22" t="str">
        <f>IF(ISERROR(FIND('112'!$M$9,G1167,1)),"",IF((AND(RIGHT(G1167,2)=RIGHT('112'!$M$9,2),B1167&lt;'112'!$N$8,$M1167='112'!$I$6)),"x",""))</f>
        <v/>
      </c>
      <c r="U1167" s="22" t="str">
        <f>IF(AND(B1167&gt;='IN-NX'!$P$3,B1167&lt;='IN-NX'!$Q$3,'IN-NX'!$D$7=D1167,OR(LEFT(L1167,2)="15",AND(LEFT(M1167,2)&lt;&gt;"15",LEFT(M1167,2)&lt;&gt;"33"))),"x","")</f>
        <v/>
      </c>
      <c r="V1167" s="22" t="str">
        <f>IF(AND(OR(LEFT(TH!L1167,2)="15",LEFT(TH!M1167,2)="15"),'152-CT'!$J$8=TH!F1167),"x","")</f>
        <v/>
      </c>
      <c r="W1167" s="22" t="str">
        <f>IF(AND(OR(LEFT(TH!L1167,2)="15",LEFT(TH!M1167,2)="15"),TK!$E$7=TH!F1167),"x","")</f>
        <v/>
      </c>
      <c r="X1167" s="22" t="str">
        <f>IF(OR(TH!L1167=TH!$X$7,M1167=TH!$X$7),"x","")</f>
        <v/>
      </c>
      <c r="Y1167" s="22" t="str">
        <f>IF(AND(B1167&lt;=NKC!$N$8,B1167&gt;=NKC!$M$8),"x","")</f>
        <v>x</v>
      </c>
      <c r="Z1167" s="580"/>
      <c r="AA1167" s="588"/>
      <c r="AB1167" s="588"/>
    </row>
    <row r="1168" spans="1:28" s="589" customFormat="1" ht="15.75" customHeight="1">
      <c r="A1168" s="607" t="str">
        <f>IF(B1168&lt;&gt;"",IF(AND(B1168&gt;=_TM1,B1168&lt;=_TM2,OR(TH!L1168="1111",TH!M1168="1111")),TH!D1168,""),"")</f>
        <v/>
      </c>
      <c r="B1168" s="585">
        <f t="shared" si="62"/>
        <v>8</v>
      </c>
      <c r="C1168" s="586">
        <f t="shared" si="63"/>
        <v>42583</v>
      </c>
      <c r="D1168" s="569" t="s">
        <v>1022</v>
      </c>
      <c r="E1168" s="613">
        <v>42583</v>
      </c>
      <c r="F1168" s="614" t="s">
        <v>510</v>
      </c>
      <c r="G1168" s="615" t="s">
        <v>715</v>
      </c>
      <c r="H1168" s="572" t="s">
        <v>1075</v>
      </c>
      <c r="I1168" s="137">
        <v>500</v>
      </c>
      <c r="J1168" s="137">
        <v>5687.9782491785991</v>
      </c>
      <c r="K1168" s="21">
        <f t="shared" si="58"/>
        <v>2843989</v>
      </c>
      <c r="L1168" s="567" t="s">
        <v>167</v>
      </c>
      <c r="M1168" s="567" t="s">
        <v>162</v>
      </c>
      <c r="N1168" s="22" t="str">
        <f>IF(AND('331-CT'!$E$7=TH!H1168,OR(L1168="331",M1168="331")),"331",IF(AND(OR(L1168="131",M1168="131"),H1168='131-CT'!$E$7),"131",""))</f>
        <v/>
      </c>
      <c r="O1168" s="22" t="str">
        <f>IF(AND($B1168&gt;='111'!$N$11,$B1168&lt;='111'!$O$11,OR($L1168=$O$7,$M1168=$O$7)),"x","")</f>
        <v/>
      </c>
      <c r="P1168" s="22" t="str">
        <f>IF(AND($L1168=$O$7,$B1168&lt;'111'!$N$11),"x","")</f>
        <v/>
      </c>
      <c r="Q1168" s="22" t="str">
        <f>IF(AND($M1168=$O$7,$B1168&lt;'111'!$N$11),"x","")</f>
        <v/>
      </c>
      <c r="R1168" s="22" t="str">
        <f>IF(ISERROR(FIND('112'!$M$9,G1168,1)),"",IF((AND(FIND('112'!$M$9,G1168,1)&gt;=1,$B1168&gt;='112'!$N$8,$B1168&lt;='112'!$O$8,OR($L1168='112'!$I$6,$M1168='112'!$I$6))),"x",""))</f>
        <v/>
      </c>
      <c r="S1168" s="22" t="str">
        <f>IF(ISERROR(FIND('112'!$M$9,G1168,1)),"",IF((AND(LEFT(G1168,2)=LEFT('112'!$M$9,2),B1168&lt;'112'!$N$8,$L1168='112'!$I$6)),"x",""))</f>
        <v/>
      </c>
      <c r="T1168" s="22" t="str">
        <f>IF(ISERROR(FIND('112'!$M$9,G1168,1)),"",IF((AND(RIGHT(G1168,2)=RIGHT('112'!$M$9,2),B1168&lt;'112'!$N$8,$M1168='112'!$I$6)),"x",""))</f>
        <v/>
      </c>
      <c r="U1168" s="22" t="str">
        <f>IF(AND(B1168&gt;='IN-NX'!$P$3,B1168&lt;='IN-NX'!$Q$3,'IN-NX'!$D$7=D1168,OR(LEFT(L1168,2)="15",AND(LEFT(M1168,2)&lt;&gt;"15",LEFT(M1168,2)&lt;&gt;"33"))),"x","")</f>
        <v/>
      </c>
      <c r="V1168" s="22" t="str">
        <f>IF(AND(OR(LEFT(TH!L1168,2)="15",LEFT(TH!M1168,2)="15"),'152-CT'!$J$8=TH!F1168),"x","")</f>
        <v/>
      </c>
      <c r="W1168" s="22" t="str">
        <f>IF(AND(OR(LEFT(TH!L1168,2)="15",LEFT(TH!M1168,2)="15"),TK!$E$7=TH!F1168),"x","")</f>
        <v/>
      </c>
      <c r="X1168" s="22" t="str">
        <f>IF(OR(TH!L1168=TH!$X$7,M1168=TH!$X$7),"x","")</f>
        <v/>
      </c>
      <c r="Y1168" s="22" t="str">
        <f>IF(AND(B1168&lt;=NKC!$N$8,B1168&gt;=NKC!$M$8),"x","")</f>
        <v>x</v>
      </c>
      <c r="Z1168" s="580"/>
      <c r="AA1168" s="588"/>
      <c r="AB1168" s="588"/>
    </row>
    <row r="1169" spans="1:28" s="589" customFormat="1" ht="15.75" customHeight="1">
      <c r="A1169" s="607" t="str">
        <f>IF(B1169&lt;&gt;"",IF(AND(B1169&gt;=_TM1,B1169&lt;=_TM2,OR(TH!L1169="1111",TH!M1169="1111")),TH!D1169,""),"")</f>
        <v/>
      </c>
      <c r="B1169" s="585">
        <f t="shared" si="62"/>
        <v>8</v>
      </c>
      <c r="C1169" s="586">
        <f t="shared" si="63"/>
        <v>42584</v>
      </c>
      <c r="D1169" s="569" t="s">
        <v>1022</v>
      </c>
      <c r="E1169" s="613">
        <v>42584</v>
      </c>
      <c r="F1169" s="614" t="s">
        <v>517</v>
      </c>
      <c r="G1169" s="615" t="s">
        <v>716</v>
      </c>
      <c r="H1169" s="572" t="s">
        <v>1075</v>
      </c>
      <c r="I1169" s="137">
        <v>606</v>
      </c>
      <c r="J1169" s="137">
        <v>5852.8471839373997</v>
      </c>
      <c r="K1169" s="21">
        <f t="shared" si="58"/>
        <v>3546825</v>
      </c>
      <c r="L1169" s="567" t="s">
        <v>167</v>
      </c>
      <c r="M1169" s="567" t="s">
        <v>162</v>
      </c>
      <c r="N1169" s="22" t="str">
        <f>IF(AND('331-CT'!$E$7=TH!H1169,OR(L1169="331",M1169="331")),"331",IF(AND(OR(L1169="131",M1169="131"),H1169='131-CT'!$E$7),"131",""))</f>
        <v/>
      </c>
      <c r="O1169" s="22" t="str">
        <f>IF(AND($B1169&gt;='111'!$N$11,$B1169&lt;='111'!$O$11,OR($L1169=$O$7,$M1169=$O$7)),"x","")</f>
        <v/>
      </c>
      <c r="P1169" s="22" t="str">
        <f>IF(AND($L1169=$O$7,$B1169&lt;'111'!$N$11),"x","")</f>
        <v/>
      </c>
      <c r="Q1169" s="22" t="str">
        <f>IF(AND($M1169=$O$7,$B1169&lt;'111'!$N$11),"x","")</f>
        <v/>
      </c>
      <c r="R1169" s="22" t="str">
        <f>IF(ISERROR(FIND('112'!$M$9,G1169,1)),"",IF((AND(FIND('112'!$M$9,G1169,1)&gt;=1,$B1169&gt;='112'!$N$8,$B1169&lt;='112'!$O$8,OR($L1169='112'!$I$6,$M1169='112'!$I$6))),"x",""))</f>
        <v/>
      </c>
      <c r="S1169" s="22" t="str">
        <f>IF(ISERROR(FIND('112'!$M$9,G1169,1)),"",IF((AND(LEFT(G1169,2)=LEFT('112'!$M$9,2),B1169&lt;'112'!$N$8,$L1169='112'!$I$6)),"x",""))</f>
        <v/>
      </c>
      <c r="T1169" s="22" t="str">
        <f>IF(ISERROR(FIND('112'!$M$9,G1169,1)),"",IF((AND(RIGHT(G1169,2)=RIGHT('112'!$M$9,2),B1169&lt;'112'!$N$8,$M1169='112'!$I$6)),"x",""))</f>
        <v/>
      </c>
      <c r="U1169" s="22" t="str">
        <f>IF(AND(B1169&gt;='IN-NX'!$P$3,B1169&lt;='IN-NX'!$Q$3,'IN-NX'!$D$7=D1169,OR(LEFT(L1169,2)="15",AND(LEFT(M1169,2)&lt;&gt;"15",LEFT(M1169,2)&lt;&gt;"33"))),"x","")</f>
        <v/>
      </c>
      <c r="V1169" s="22" t="str">
        <f>IF(AND(OR(LEFT(TH!L1169,2)="15",LEFT(TH!M1169,2)="15"),'152-CT'!$J$8=TH!F1169),"x","")</f>
        <v/>
      </c>
      <c r="W1169" s="22" t="str">
        <f>IF(AND(OR(LEFT(TH!L1169,2)="15",LEFT(TH!M1169,2)="15"),TK!$E$7=TH!F1169),"x","")</f>
        <v/>
      </c>
      <c r="X1169" s="22" t="str">
        <f>IF(OR(TH!L1169=TH!$X$7,M1169=TH!$X$7),"x","")</f>
        <v/>
      </c>
      <c r="Y1169" s="22" t="str">
        <f>IF(AND(B1169&lt;=NKC!$N$8,B1169&gt;=NKC!$M$8),"x","")</f>
        <v>x</v>
      </c>
      <c r="Z1169" s="580"/>
      <c r="AA1169" s="588"/>
      <c r="AB1169" s="588"/>
    </row>
    <row r="1170" spans="1:28" s="589" customFormat="1" ht="15.75" customHeight="1">
      <c r="A1170" s="607" t="str">
        <f>IF(B1170&lt;&gt;"",IF(AND(B1170&gt;=_TM1,B1170&lt;=_TM2,OR(TH!L1170="1111",TH!M1170="1111")),TH!D1170,""),"")</f>
        <v/>
      </c>
      <c r="B1170" s="585">
        <f t="shared" si="62"/>
        <v>8</v>
      </c>
      <c r="C1170" s="586">
        <f t="shared" si="63"/>
        <v>42584</v>
      </c>
      <c r="D1170" s="569" t="s">
        <v>1022</v>
      </c>
      <c r="E1170" s="613">
        <v>42584</v>
      </c>
      <c r="F1170" s="614" t="s">
        <v>518</v>
      </c>
      <c r="G1170" s="615" t="s">
        <v>716</v>
      </c>
      <c r="H1170" s="572" t="s">
        <v>1075</v>
      </c>
      <c r="I1170" s="137">
        <v>404</v>
      </c>
      <c r="J1170" s="137">
        <v>8985.3569443546003</v>
      </c>
      <c r="K1170" s="21">
        <f t="shared" si="58"/>
        <v>3630084</v>
      </c>
      <c r="L1170" s="567" t="s">
        <v>167</v>
      </c>
      <c r="M1170" s="567" t="s">
        <v>162</v>
      </c>
      <c r="N1170" s="22" t="str">
        <f>IF(AND('331-CT'!$E$7=TH!H1170,OR(L1170="331",M1170="331")),"331",IF(AND(OR(L1170="131",M1170="131"),H1170='131-CT'!$E$7),"131",""))</f>
        <v/>
      </c>
      <c r="O1170" s="22" t="str">
        <f>IF(AND($B1170&gt;='111'!$N$11,$B1170&lt;='111'!$O$11,OR($L1170=$O$7,$M1170=$O$7)),"x","")</f>
        <v/>
      </c>
      <c r="P1170" s="22" t="str">
        <f>IF(AND($L1170=$O$7,$B1170&lt;'111'!$N$11),"x","")</f>
        <v/>
      </c>
      <c r="Q1170" s="22" t="str">
        <f>IF(AND($M1170=$O$7,$B1170&lt;'111'!$N$11),"x","")</f>
        <v/>
      </c>
      <c r="R1170" s="22" t="str">
        <f>IF(ISERROR(FIND('112'!$M$9,G1170,1)),"",IF((AND(FIND('112'!$M$9,G1170,1)&gt;=1,$B1170&gt;='112'!$N$8,$B1170&lt;='112'!$O$8,OR($L1170='112'!$I$6,$M1170='112'!$I$6))),"x",""))</f>
        <v/>
      </c>
      <c r="S1170" s="22" t="str">
        <f>IF(ISERROR(FIND('112'!$M$9,G1170,1)),"",IF((AND(LEFT(G1170,2)=LEFT('112'!$M$9,2),B1170&lt;'112'!$N$8,$L1170='112'!$I$6)),"x",""))</f>
        <v/>
      </c>
      <c r="T1170" s="22" t="str">
        <f>IF(ISERROR(FIND('112'!$M$9,G1170,1)),"",IF((AND(RIGHT(G1170,2)=RIGHT('112'!$M$9,2),B1170&lt;'112'!$N$8,$M1170='112'!$I$6)),"x",""))</f>
        <v/>
      </c>
      <c r="U1170" s="22" t="str">
        <f>IF(AND(B1170&gt;='IN-NX'!$P$3,B1170&lt;='IN-NX'!$Q$3,'IN-NX'!$D$7=D1170,OR(LEFT(L1170,2)="15",AND(LEFT(M1170,2)&lt;&gt;"15",LEFT(M1170,2)&lt;&gt;"33"))),"x","")</f>
        <v/>
      </c>
      <c r="V1170" s="22" t="str">
        <f>IF(AND(OR(LEFT(TH!L1170,2)="15",LEFT(TH!M1170,2)="15"),'152-CT'!$J$8=TH!F1170),"x","")</f>
        <v/>
      </c>
      <c r="W1170" s="22" t="str">
        <f>IF(AND(OR(LEFT(TH!L1170,2)="15",LEFT(TH!M1170,2)="15"),TK!$E$7=TH!F1170),"x","")</f>
        <v/>
      </c>
      <c r="X1170" s="22" t="str">
        <f>IF(OR(TH!L1170=TH!$X$7,M1170=TH!$X$7),"x","")</f>
        <v/>
      </c>
      <c r="Y1170" s="22" t="str">
        <f>IF(AND(B1170&lt;=NKC!$N$8,B1170&gt;=NKC!$M$8),"x","")</f>
        <v>x</v>
      </c>
      <c r="Z1170" s="580"/>
      <c r="AA1170" s="588"/>
      <c r="AB1170" s="588"/>
    </row>
    <row r="1171" spans="1:28" s="589" customFormat="1" ht="15.75" customHeight="1">
      <c r="A1171" s="607" t="str">
        <f>IF(B1171&lt;&gt;"",IF(AND(B1171&gt;=_TM1,B1171&lt;=_TM2,OR(TH!L1171="1111",TH!M1171="1111")),TH!D1171,""),"")</f>
        <v/>
      </c>
      <c r="B1171" s="585">
        <f t="shared" si="62"/>
        <v>8</v>
      </c>
      <c r="C1171" s="586">
        <f t="shared" si="63"/>
        <v>42584</v>
      </c>
      <c r="D1171" s="569" t="s">
        <v>1022</v>
      </c>
      <c r="E1171" s="613">
        <v>42584</v>
      </c>
      <c r="F1171" s="614" t="s">
        <v>519</v>
      </c>
      <c r="G1171" s="615" t="s">
        <v>716</v>
      </c>
      <c r="H1171" s="572" t="s">
        <v>1075</v>
      </c>
      <c r="I1171" s="137">
        <v>304</v>
      </c>
      <c r="J1171" s="137">
        <v>10881.3496940808</v>
      </c>
      <c r="K1171" s="21">
        <f t="shared" si="58"/>
        <v>3307930</v>
      </c>
      <c r="L1171" s="567" t="s">
        <v>167</v>
      </c>
      <c r="M1171" s="567" t="s">
        <v>162</v>
      </c>
      <c r="N1171" s="22" t="str">
        <f>IF(AND('331-CT'!$E$7=TH!H1171,OR(L1171="331",M1171="331")),"331",IF(AND(OR(L1171="131",M1171="131"),H1171='131-CT'!$E$7),"131",""))</f>
        <v/>
      </c>
      <c r="O1171" s="22" t="str">
        <f>IF(AND($B1171&gt;='111'!$N$11,$B1171&lt;='111'!$O$11,OR($L1171=$O$7,$M1171=$O$7)),"x","")</f>
        <v/>
      </c>
      <c r="P1171" s="22" t="str">
        <f>IF(AND($L1171=$O$7,$B1171&lt;'111'!$N$11),"x","")</f>
        <v/>
      </c>
      <c r="Q1171" s="22" t="str">
        <f>IF(AND($M1171=$O$7,$B1171&lt;'111'!$N$11),"x","")</f>
        <v/>
      </c>
      <c r="R1171" s="22" t="str">
        <f>IF(ISERROR(FIND('112'!$M$9,G1171,1)),"",IF((AND(FIND('112'!$M$9,G1171,1)&gt;=1,$B1171&gt;='112'!$N$8,$B1171&lt;='112'!$O$8,OR($L1171='112'!$I$6,$M1171='112'!$I$6))),"x",""))</f>
        <v/>
      </c>
      <c r="S1171" s="22" t="str">
        <f>IF(ISERROR(FIND('112'!$M$9,G1171,1)),"",IF((AND(LEFT(G1171,2)=LEFT('112'!$M$9,2),B1171&lt;'112'!$N$8,$L1171='112'!$I$6)),"x",""))</f>
        <v/>
      </c>
      <c r="T1171" s="22" t="str">
        <f>IF(ISERROR(FIND('112'!$M$9,G1171,1)),"",IF((AND(RIGHT(G1171,2)=RIGHT('112'!$M$9,2),B1171&lt;'112'!$N$8,$M1171='112'!$I$6)),"x",""))</f>
        <v/>
      </c>
      <c r="U1171" s="22" t="str">
        <f>IF(AND(B1171&gt;='IN-NX'!$P$3,B1171&lt;='IN-NX'!$Q$3,'IN-NX'!$D$7=D1171,OR(LEFT(L1171,2)="15",AND(LEFT(M1171,2)&lt;&gt;"15",LEFT(M1171,2)&lt;&gt;"33"))),"x","")</f>
        <v/>
      </c>
      <c r="V1171" s="22" t="str">
        <f>IF(AND(OR(LEFT(TH!L1171,2)="15",LEFT(TH!M1171,2)="15"),'152-CT'!$J$8=TH!F1171),"x","")</f>
        <v/>
      </c>
      <c r="W1171" s="22" t="str">
        <f>IF(AND(OR(LEFT(TH!L1171,2)="15",LEFT(TH!M1171,2)="15"),TK!$E$7=TH!F1171),"x","")</f>
        <v/>
      </c>
      <c r="X1171" s="22" t="str">
        <f>IF(OR(TH!L1171=TH!$X$7,M1171=TH!$X$7),"x","")</f>
        <v/>
      </c>
      <c r="Y1171" s="22" t="str">
        <f>IF(AND(B1171&lt;=NKC!$N$8,B1171&gt;=NKC!$M$8),"x","")</f>
        <v>x</v>
      </c>
      <c r="Z1171" s="580"/>
      <c r="AA1171" s="588"/>
      <c r="AB1171" s="588"/>
    </row>
    <row r="1172" spans="1:28" s="589" customFormat="1" ht="15.75" customHeight="1">
      <c r="A1172" s="607" t="str">
        <f>IF(B1172&lt;&gt;"",IF(AND(B1172&gt;=_TM1,B1172&lt;=_TM2,OR(TH!L1172="1111",TH!M1172="1111")),TH!D1172,""),"")</f>
        <v/>
      </c>
      <c r="B1172" s="585">
        <f t="shared" si="62"/>
        <v>8</v>
      </c>
      <c r="C1172" s="586">
        <f t="shared" si="63"/>
        <v>42584</v>
      </c>
      <c r="D1172" s="569" t="s">
        <v>1022</v>
      </c>
      <c r="E1172" s="613">
        <v>42584</v>
      </c>
      <c r="F1172" s="614" t="s">
        <v>520</v>
      </c>
      <c r="G1172" s="615" t="s">
        <v>717</v>
      </c>
      <c r="H1172" s="572" t="s">
        <v>1075</v>
      </c>
      <c r="I1172" s="137">
        <v>1335</v>
      </c>
      <c r="J1172" s="137">
        <v>6759.6263251107994</v>
      </c>
      <c r="K1172" s="21">
        <f t="shared" si="58"/>
        <v>9024101</v>
      </c>
      <c r="L1172" s="567" t="s">
        <v>167</v>
      </c>
      <c r="M1172" s="567" t="s">
        <v>162</v>
      </c>
      <c r="N1172" s="22" t="str">
        <f>IF(AND('331-CT'!$E$7=TH!H1172,OR(L1172="331",M1172="331")),"331",IF(AND(OR(L1172="131",M1172="131"),H1172='131-CT'!$E$7),"131",""))</f>
        <v/>
      </c>
      <c r="O1172" s="22" t="str">
        <f>IF(AND($B1172&gt;='111'!$N$11,$B1172&lt;='111'!$O$11,OR($L1172=$O$7,$M1172=$O$7)),"x","")</f>
        <v/>
      </c>
      <c r="P1172" s="22" t="str">
        <f>IF(AND($L1172=$O$7,$B1172&lt;'111'!$N$11),"x","")</f>
        <v/>
      </c>
      <c r="Q1172" s="22" t="str">
        <f>IF(AND($M1172=$O$7,$B1172&lt;'111'!$N$11),"x","")</f>
        <v/>
      </c>
      <c r="R1172" s="22" t="str">
        <f>IF(ISERROR(FIND('112'!$M$9,G1172,1)),"",IF((AND(FIND('112'!$M$9,G1172,1)&gt;=1,$B1172&gt;='112'!$N$8,$B1172&lt;='112'!$O$8,OR($L1172='112'!$I$6,$M1172='112'!$I$6))),"x",""))</f>
        <v/>
      </c>
      <c r="S1172" s="22" t="str">
        <f>IF(ISERROR(FIND('112'!$M$9,G1172,1)),"",IF((AND(LEFT(G1172,2)=LEFT('112'!$M$9,2),B1172&lt;'112'!$N$8,$L1172='112'!$I$6)),"x",""))</f>
        <v/>
      </c>
      <c r="T1172" s="22" t="str">
        <f>IF(ISERROR(FIND('112'!$M$9,G1172,1)),"",IF((AND(RIGHT(G1172,2)=RIGHT('112'!$M$9,2),B1172&lt;'112'!$N$8,$M1172='112'!$I$6)),"x",""))</f>
        <v/>
      </c>
      <c r="U1172" s="22" t="str">
        <f>IF(AND(B1172&gt;='IN-NX'!$P$3,B1172&lt;='IN-NX'!$Q$3,'IN-NX'!$D$7=D1172,OR(LEFT(L1172,2)="15",AND(LEFT(M1172,2)&lt;&gt;"15",LEFT(M1172,2)&lt;&gt;"33"))),"x","")</f>
        <v/>
      </c>
      <c r="V1172" s="22" t="str">
        <f>IF(AND(OR(LEFT(TH!L1172,2)="15",LEFT(TH!M1172,2)="15"),'152-CT'!$J$8=TH!F1172),"x","")</f>
        <v/>
      </c>
      <c r="W1172" s="22" t="str">
        <f>IF(AND(OR(LEFT(TH!L1172,2)="15",LEFT(TH!M1172,2)="15"),TK!$E$7=TH!F1172),"x","")</f>
        <v/>
      </c>
      <c r="X1172" s="22" t="str">
        <f>IF(OR(TH!L1172=TH!$X$7,M1172=TH!$X$7),"x","")</f>
        <v/>
      </c>
      <c r="Y1172" s="22" t="str">
        <f>IF(AND(B1172&lt;=NKC!$N$8,B1172&gt;=NKC!$M$8),"x","")</f>
        <v>x</v>
      </c>
      <c r="Z1172" s="580"/>
      <c r="AA1172" s="588"/>
      <c r="AB1172" s="588"/>
    </row>
    <row r="1173" spans="1:28" s="589" customFormat="1" ht="15.75" customHeight="1">
      <c r="A1173" s="607" t="str">
        <f>IF(B1173&lt;&gt;"",IF(AND(B1173&gt;=_TM1,B1173&lt;=_TM2,OR(TH!L1173="1111",TH!M1173="1111")),TH!D1173,""),"")</f>
        <v/>
      </c>
      <c r="B1173" s="585">
        <f t="shared" si="62"/>
        <v>8</v>
      </c>
      <c r="C1173" s="586">
        <f t="shared" si="63"/>
        <v>42584</v>
      </c>
      <c r="D1173" s="569" t="s">
        <v>1022</v>
      </c>
      <c r="E1173" s="613">
        <v>42584</v>
      </c>
      <c r="F1173" s="614" t="s">
        <v>521</v>
      </c>
      <c r="G1173" s="615" t="s">
        <v>717</v>
      </c>
      <c r="H1173" s="572" t="s">
        <v>1075</v>
      </c>
      <c r="I1173" s="137">
        <v>302</v>
      </c>
      <c r="J1173" s="137">
        <v>6100.1505860755997</v>
      </c>
      <c r="K1173" s="21">
        <f t="shared" si="58"/>
        <v>1842245</v>
      </c>
      <c r="L1173" s="567" t="s">
        <v>167</v>
      </c>
      <c r="M1173" s="567" t="s">
        <v>162</v>
      </c>
      <c r="N1173" s="22" t="str">
        <f>IF(AND('331-CT'!$E$7=TH!H1173,OR(L1173="331",M1173="331")),"331",IF(AND(OR(L1173="131",M1173="131"),H1173='131-CT'!$E$7),"131",""))</f>
        <v/>
      </c>
      <c r="O1173" s="22" t="str">
        <f>IF(AND($B1173&gt;='111'!$N$11,$B1173&lt;='111'!$O$11,OR($L1173=$O$7,$M1173=$O$7)),"x","")</f>
        <v/>
      </c>
      <c r="P1173" s="22" t="str">
        <f>IF(AND($L1173=$O$7,$B1173&lt;'111'!$N$11),"x","")</f>
        <v/>
      </c>
      <c r="Q1173" s="22" t="str">
        <f>IF(AND($M1173=$O$7,$B1173&lt;'111'!$N$11),"x","")</f>
        <v/>
      </c>
      <c r="R1173" s="22" t="str">
        <f>IF(ISERROR(FIND('112'!$M$9,G1173,1)),"",IF((AND(FIND('112'!$M$9,G1173,1)&gt;=1,$B1173&gt;='112'!$N$8,$B1173&lt;='112'!$O$8,OR($L1173='112'!$I$6,$M1173='112'!$I$6))),"x",""))</f>
        <v/>
      </c>
      <c r="S1173" s="22" t="str">
        <f>IF(ISERROR(FIND('112'!$M$9,G1173,1)),"",IF((AND(LEFT(G1173,2)=LEFT('112'!$M$9,2),B1173&lt;'112'!$N$8,$L1173='112'!$I$6)),"x",""))</f>
        <v/>
      </c>
      <c r="T1173" s="22" t="str">
        <f>IF(ISERROR(FIND('112'!$M$9,G1173,1)),"",IF((AND(RIGHT(G1173,2)=RIGHT('112'!$M$9,2),B1173&lt;'112'!$N$8,$M1173='112'!$I$6)),"x",""))</f>
        <v/>
      </c>
      <c r="U1173" s="22" t="str">
        <f>IF(AND(B1173&gt;='IN-NX'!$P$3,B1173&lt;='IN-NX'!$Q$3,'IN-NX'!$D$7=D1173,OR(LEFT(L1173,2)="15",AND(LEFT(M1173,2)&lt;&gt;"15",LEFT(M1173,2)&lt;&gt;"33"))),"x","")</f>
        <v/>
      </c>
      <c r="V1173" s="22" t="str">
        <f>IF(AND(OR(LEFT(TH!L1173,2)="15",LEFT(TH!M1173,2)="15"),'152-CT'!$J$8=TH!F1173),"x","")</f>
        <v/>
      </c>
      <c r="W1173" s="22" t="str">
        <f>IF(AND(OR(LEFT(TH!L1173,2)="15",LEFT(TH!M1173,2)="15"),TK!$E$7=TH!F1173),"x","")</f>
        <v/>
      </c>
      <c r="X1173" s="22" t="str">
        <f>IF(OR(TH!L1173=TH!$X$7,M1173=TH!$X$7),"x","")</f>
        <v/>
      </c>
      <c r="Y1173" s="22" t="str">
        <f>IF(AND(B1173&lt;=NKC!$N$8,B1173&gt;=NKC!$M$8),"x","")</f>
        <v>x</v>
      </c>
      <c r="Z1173" s="580"/>
      <c r="AA1173" s="588"/>
      <c r="AB1173" s="588"/>
    </row>
    <row r="1174" spans="1:28" s="589" customFormat="1" ht="15.75" customHeight="1">
      <c r="A1174" s="607" t="str">
        <f>IF(B1174&lt;&gt;"",IF(AND(B1174&gt;=_TM1,B1174&lt;=_TM2,OR(TH!L1174="1111",TH!M1174="1111")),TH!D1174,""),"")</f>
        <v/>
      </c>
      <c r="B1174" s="585">
        <f t="shared" si="62"/>
        <v>8</v>
      </c>
      <c r="C1174" s="586">
        <f t="shared" si="63"/>
        <v>42584</v>
      </c>
      <c r="D1174" s="569" t="s">
        <v>1022</v>
      </c>
      <c r="E1174" s="613">
        <v>42584</v>
      </c>
      <c r="F1174" s="614" t="s">
        <v>522</v>
      </c>
      <c r="G1174" s="615" t="s">
        <v>717</v>
      </c>
      <c r="H1174" s="572" t="s">
        <v>1075</v>
      </c>
      <c r="I1174" s="137">
        <v>420</v>
      </c>
      <c r="J1174" s="137">
        <v>13024.645845945199</v>
      </c>
      <c r="K1174" s="21">
        <f t="shared" si="58"/>
        <v>5470351</v>
      </c>
      <c r="L1174" s="567" t="s">
        <v>167</v>
      </c>
      <c r="M1174" s="567" t="s">
        <v>162</v>
      </c>
      <c r="N1174" s="22" t="str">
        <f>IF(AND('331-CT'!$E$7=TH!H1174,OR(L1174="331",M1174="331")),"331",IF(AND(OR(L1174="131",M1174="131"),H1174='131-CT'!$E$7),"131",""))</f>
        <v/>
      </c>
      <c r="O1174" s="22" t="str">
        <f>IF(AND($B1174&gt;='111'!$N$11,$B1174&lt;='111'!$O$11,OR($L1174=$O$7,$M1174=$O$7)),"x","")</f>
        <v/>
      </c>
      <c r="P1174" s="22" t="str">
        <f>IF(AND($L1174=$O$7,$B1174&lt;'111'!$N$11),"x","")</f>
        <v/>
      </c>
      <c r="Q1174" s="22" t="str">
        <f>IF(AND($M1174=$O$7,$B1174&lt;'111'!$N$11),"x","")</f>
        <v/>
      </c>
      <c r="R1174" s="22" t="str">
        <f>IF(ISERROR(FIND('112'!$M$9,G1174,1)),"",IF((AND(FIND('112'!$M$9,G1174,1)&gt;=1,$B1174&gt;='112'!$N$8,$B1174&lt;='112'!$O$8,OR($L1174='112'!$I$6,$M1174='112'!$I$6))),"x",""))</f>
        <v/>
      </c>
      <c r="S1174" s="22" t="str">
        <f>IF(ISERROR(FIND('112'!$M$9,G1174,1)),"",IF((AND(LEFT(G1174,2)=LEFT('112'!$M$9,2),B1174&lt;'112'!$N$8,$L1174='112'!$I$6)),"x",""))</f>
        <v/>
      </c>
      <c r="T1174" s="22" t="str">
        <f>IF(ISERROR(FIND('112'!$M$9,G1174,1)),"",IF((AND(RIGHT(G1174,2)=RIGHT('112'!$M$9,2),B1174&lt;'112'!$N$8,$M1174='112'!$I$6)),"x",""))</f>
        <v/>
      </c>
      <c r="U1174" s="22" t="str">
        <f>IF(AND(B1174&gt;='IN-NX'!$P$3,B1174&lt;='IN-NX'!$Q$3,'IN-NX'!$D$7=D1174,OR(LEFT(L1174,2)="15",AND(LEFT(M1174,2)&lt;&gt;"15",LEFT(M1174,2)&lt;&gt;"33"))),"x","")</f>
        <v/>
      </c>
      <c r="V1174" s="22" t="str">
        <f>IF(AND(OR(LEFT(TH!L1174,2)="15",LEFT(TH!M1174,2)="15"),'152-CT'!$J$8=TH!F1174),"x","")</f>
        <v/>
      </c>
      <c r="W1174" s="22" t="str">
        <f>IF(AND(OR(LEFT(TH!L1174,2)="15",LEFT(TH!M1174,2)="15"),TK!$E$7=TH!F1174),"x","")</f>
        <v/>
      </c>
      <c r="X1174" s="22" t="str">
        <f>IF(OR(TH!L1174=TH!$X$7,M1174=TH!$X$7),"x","")</f>
        <v/>
      </c>
      <c r="Y1174" s="22" t="str">
        <f>IF(AND(B1174&lt;=NKC!$N$8,B1174&gt;=NKC!$M$8),"x","")</f>
        <v>x</v>
      </c>
      <c r="Z1174" s="580"/>
      <c r="AA1174" s="588"/>
      <c r="AB1174" s="588"/>
    </row>
    <row r="1175" spans="1:28" s="589" customFormat="1" ht="15.75" customHeight="1">
      <c r="A1175" s="607" t="str">
        <f>IF(B1175&lt;&gt;"",IF(AND(B1175&gt;=_TM1,B1175&lt;=_TM2,OR(TH!L1175="1111",TH!M1175="1111")),TH!D1175,""),"")</f>
        <v/>
      </c>
      <c r="B1175" s="585">
        <f t="shared" si="62"/>
        <v>8</v>
      </c>
      <c r="C1175" s="586">
        <f t="shared" si="63"/>
        <v>42585</v>
      </c>
      <c r="D1175" s="569" t="s">
        <v>1022</v>
      </c>
      <c r="E1175" s="613">
        <v>42585</v>
      </c>
      <c r="F1175" s="614" t="s">
        <v>523</v>
      </c>
      <c r="G1175" s="615" t="s">
        <v>718</v>
      </c>
      <c r="H1175" s="572" t="s">
        <v>1075</v>
      </c>
      <c r="I1175" s="137">
        <v>427</v>
      </c>
      <c r="J1175" s="137">
        <v>7913.7088684223991</v>
      </c>
      <c r="K1175" s="21">
        <f t="shared" si="58"/>
        <v>3379154</v>
      </c>
      <c r="L1175" s="567" t="s">
        <v>167</v>
      </c>
      <c r="M1175" s="567" t="s">
        <v>162</v>
      </c>
      <c r="N1175" s="22" t="str">
        <f>IF(AND('331-CT'!$E$7=TH!H1175,OR(L1175="331",M1175="331")),"331",IF(AND(OR(L1175="131",M1175="131"),H1175='131-CT'!$E$7),"131",""))</f>
        <v/>
      </c>
      <c r="O1175" s="22" t="str">
        <f>IF(AND($B1175&gt;='111'!$N$11,$B1175&lt;='111'!$O$11,OR($L1175=$O$7,$M1175=$O$7)),"x","")</f>
        <v/>
      </c>
      <c r="P1175" s="22" t="str">
        <f>IF(AND($L1175=$O$7,$B1175&lt;'111'!$N$11),"x","")</f>
        <v/>
      </c>
      <c r="Q1175" s="22" t="str">
        <f>IF(AND($M1175=$O$7,$B1175&lt;'111'!$N$11),"x","")</f>
        <v/>
      </c>
      <c r="R1175" s="22" t="str">
        <f>IF(ISERROR(FIND('112'!$M$9,G1175,1)),"",IF((AND(FIND('112'!$M$9,G1175,1)&gt;=1,$B1175&gt;='112'!$N$8,$B1175&lt;='112'!$O$8,OR($L1175='112'!$I$6,$M1175='112'!$I$6))),"x",""))</f>
        <v/>
      </c>
      <c r="S1175" s="22" t="str">
        <f>IF(ISERROR(FIND('112'!$M$9,G1175,1)),"",IF((AND(LEFT(G1175,2)=LEFT('112'!$M$9,2),B1175&lt;'112'!$N$8,$L1175='112'!$I$6)),"x",""))</f>
        <v/>
      </c>
      <c r="T1175" s="22" t="str">
        <f>IF(ISERROR(FIND('112'!$M$9,G1175,1)),"",IF((AND(RIGHT(G1175,2)=RIGHT('112'!$M$9,2),B1175&lt;'112'!$N$8,$M1175='112'!$I$6)),"x",""))</f>
        <v/>
      </c>
      <c r="U1175" s="22" t="str">
        <f>IF(AND(B1175&gt;='IN-NX'!$P$3,B1175&lt;='IN-NX'!$Q$3,'IN-NX'!$D$7=D1175,OR(LEFT(L1175,2)="15",AND(LEFT(M1175,2)&lt;&gt;"15",LEFT(M1175,2)&lt;&gt;"33"))),"x","")</f>
        <v/>
      </c>
      <c r="V1175" s="22" t="str">
        <f>IF(AND(OR(LEFT(TH!L1175,2)="15",LEFT(TH!M1175,2)="15"),'152-CT'!$J$8=TH!F1175),"x","")</f>
        <v/>
      </c>
      <c r="W1175" s="22" t="str">
        <f>IF(AND(OR(LEFT(TH!L1175,2)="15",LEFT(TH!M1175,2)="15"),TK!$E$7=TH!F1175),"x","")</f>
        <v/>
      </c>
      <c r="X1175" s="22" t="str">
        <f>IF(OR(TH!L1175=TH!$X$7,M1175=TH!$X$7),"x","")</f>
        <v/>
      </c>
      <c r="Y1175" s="22" t="str">
        <f>IF(AND(B1175&lt;=NKC!$N$8,B1175&gt;=NKC!$M$8),"x","")</f>
        <v>x</v>
      </c>
      <c r="Z1175" s="580"/>
      <c r="AA1175" s="588"/>
    </row>
    <row r="1176" spans="1:28" s="589" customFormat="1" ht="15.75" customHeight="1">
      <c r="A1176" s="607" t="str">
        <f>IF(B1176&lt;&gt;"",IF(AND(B1176&gt;=_TM1,B1176&lt;=_TM2,OR(TH!L1176="1111",TH!M1176="1111")),TH!D1176,""),"")</f>
        <v/>
      </c>
      <c r="B1176" s="585">
        <f t="shared" si="62"/>
        <v>8</v>
      </c>
      <c r="C1176" s="586">
        <f t="shared" si="63"/>
        <v>42588</v>
      </c>
      <c r="D1176" s="569" t="s">
        <v>1022</v>
      </c>
      <c r="E1176" s="613">
        <v>42588</v>
      </c>
      <c r="F1176" s="614" t="s">
        <v>538</v>
      </c>
      <c r="G1176" s="615" t="s">
        <v>719</v>
      </c>
      <c r="H1176" s="572" t="s">
        <v>1075</v>
      </c>
      <c r="I1176" s="137">
        <v>108</v>
      </c>
      <c r="J1176" s="137">
        <v>6429.8884555932</v>
      </c>
      <c r="K1176" s="21">
        <f t="shared" si="58"/>
        <v>694428</v>
      </c>
      <c r="L1176" s="567" t="s">
        <v>167</v>
      </c>
      <c r="M1176" s="567" t="s">
        <v>162</v>
      </c>
      <c r="N1176" s="22" t="str">
        <f>IF(AND('331-CT'!$E$7=TH!H1176,OR(L1176="331",M1176="331")),"331",IF(AND(OR(L1176="131",M1176="131"),H1176='131-CT'!$E$7),"131",""))</f>
        <v/>
      </c>
      <c r="O1176" s="22" t="str">
        <f>IF(AND($B1176&gt;='111'!$N$11,$B1176&lt;='111'!$O$11,OR($L1176=$O$7,$M1176=$O$7)),"x","")</f>
        <v/>
      </c>
      <c r="P1176" s="22" t="str">
        <f>IF(AND($L1176=$O$7,$B1176&lt;'111'!$N$11),"x","")</f>
        <v/>
      </c>
      <c r="Q1176" s="22" t="str">
        <f>IF(AND($M1176=$O$7,$B1176&lt;'111'!$N$11),"x","")</f>
        <v/>
      </c>
      <c r="R1176" s="22" t="str">
        <f>IF(ISERROR(FIND('112'!$M$9,G1176,1)),"",IF((AND(FIND('112'!$M$9,G1176,1)&gt;=1,$B1176&gt;='112'!$N$8,$B1176&lt;='112'!$O$8,OR($L1176='112'!$I$6,$M1176='112'!$I$6))),"x",""))</f>
        <v/>
      </c>
      <c r="S1176" s="22" t="str">
        <f>IF(ISERROR(FIND('112'!$M$9,G1176,1)),"",IF((AND(LEFT(G1176,2)=LEFT('112'!$M$9,2),B1176&lt;'112'!$N$8,$L1176='112'!$I$6)),"x",""))</f>
        <v/>
      </c>
      <c r="T1176" s="22" t="str">
        <f>IF(ISERROR(FIND('112'!$M$9,G1176,1)),"",IF((AND(RIGHT(G1176,2)=RIGHT('112'!$M$9,2),B1176&lt;'112'!$N$8,$M1176='112'!$I$6)),"x",""))</f>
        <v/>
      </c>
      <c r="U1176" s="22" t="str">
        <f>IF(AND(B1176&gt;='IN-NX'!$P$3,B1176&lt;='IN-NX'!$Q$3,'IN-NX'!$D$7=D1176,OR(LEFT(L1176,2)="15",AND(LEFT(M1176,2)&lt;&gt;"15",LEFT(M1176,2)&lt;&gt;"33"))),"x","")</f>
        <v/>
      </c>
      <c r="V1176" s="22" t="str">
        <f>IF(AND(OR(LEFT(TH!L1176,2)="15",LEFT(TH!M1176,2)="15"),'152-CT'!$J$8=TH!F1176),"x","")</f>
        <v/>
      </c>
      <c r="W1176" s="22" t="str">
        <f>IF(AND(OR(LEFT(TH!L1176,2)="15",LEFT(TH!M1176,2)="15"),TK!$E$7=TH!F1176),"x","")</f>
        <v/>
      </c>
      <c r="X1176" s="22" t="str">
        <f>IF(OR(TH!L1176=TH!$X$7,M1176=TH!$X$7),"x","")</f>
        <v/>
      </c>
      <c r="Y1176" s="22" t="str">
        <f>IF(AND(B1176&lt;=NKC!$N$8,B1176&gt;=NKC!$M$8),"x","")</f>
        <v>x</v>
      </c>
      <c r="Z1176" s="580"/>
      <c r="AA1176" s="588"/>
      <c r="AB1176" s="588"/>
    </row>
    <row r="1177" spans="1:28" s="589" customFormat="1" ht="15.75" customHeight="1">
      <c r="A1177" s="607" t="str">
        <f>IF(B1177&lt;&gt;"",IF(AND(B1177&gt;=_TM1,B1177&lt;=_TM2,OR(TH!L1177="1111",TH!M1177="1111")),TH!D1177,""),"")</f>
        <v/>
      </c>
      <c r="B1177" s="585">
        <f t="shared" si="62"/>
        <v>8</v>
      </c>
      <c r="C1177" s="586">
        <f t="shared" si="63"/>
        <v>42588</v>
      </c>
      <c r="D1177" s="569" t="s">
        <v>1022</v>
      </c>
      <c r="E1177" s="613">
        <v>42588</v>
      </c>
      <c r="F1177" s="614" t="s">
        <v>664</v>
      </c>
      <c r="G1177" s="615" t="s">
        <v>719</v>
      </c>
      <c r="H1177" s="572" t="s">
        <v>1075</v>
      </c>
      <c r="I1177" s="137">
        <v>103</v>
      </c>
      <c r="J1177" s="137">
        <v>7748.8399336635994</v>
      </c>
      <c r="K1177" s="21">
        <f t="shared" si="58"/>
        <v>798131</v>
      </c>
      <c r="L1177" s="567" t="s">
        <v>167</v>
      </c>
      <c r="M1177" s="567" t="s">
        <v>162</v>
      </c>
      <c r="N1177" s="22" t="str">
        <f>IF(AND('331-CT'!$E$7=TH!H1177,OR(L1177="331",M1177="331")),"331",IF(AND(OR(L1177="131",M1177="131"),H1177='131-CT'!$E$7),"131",""))</f>
        <v/>
      </c>
      <c r="O1177" s="22" t="str">
        <f>IF(AND($B1177&gt;='111'!$N$11,$B1177&lt;='111'!$O$11,OR($L1177=$O$7,$M1177=$O$7)),"x","")</f>
        <v/>
      </c>
      <c r="P1177" s="22" t="str">
        <f>IF(AND($L1177=$O$7,$B1177&lt;'111'!$N$11),"x","")</f>
        <v/>
      </c>
      <c r="Q1177" s="22" t="str">
        <f>IF(AND($M1177=$O$7,$B1177&lt;'111'!$N$11),"x","")</f>
        <v/>
      </c>
      <c r="R1177" s="22" t="str">
        <f>IF(ISERROR(FIND('112'!$M$9,G1177,1)),"",IF((AND(FIND('112'!$M$9,G1177,1)&gt;=1,$B1177&gt;='112'!$N$8,$B1177&lt;='112'!$O$8,OR($L1177='112'!$I$6,$M1177='112'!$I$6))),"x",""))</f>
        <v/>
      </c>
      <c r="S1177" s="22" t="str">
        <f>IF(ISERROR(FIND('112'!$M$9,G1177,1)),"",IF((AND(LEFT(G1177,2)=LEFT('112'!$M$9,2),B1177&lt;'112'!$N$8,$L1177='112'!$I$6)),"x",""))</f>
        <v/>
      </c>
      <c r="T1177" s="22" t="str">
        <f>IF(ISERROR(FIND('112'!$M$9,G1177,1)),"",IF((AND(RIGHT(G1177,2)=RIGHT('112'!$M$9,2),B1177&lt;'112'!$N$8,$M1177='112'!$I$6)),"x",""))</f>
        <v/>
      </c>
      <c r="U1177" s="22" t="str">
        <f>IF(AND(B1177&gt;='IN-NX'!$P$3,B1177&lt;='IN-NX'!$Q$3,'IN-NX'!$D$7=D1177,OR(LEFT(L1177,2)="15",AND(LEFT(M1177,2)&lt;&gt;"15",LEFT(M1177,2)&lt;&gt;"33"))),"x","")</f>
        <v/>
      </c>
      <c r="V1177" s="22" t="str">
        <f>IF(AND(OR(LEFT(TH!L1177,2)="15",LEFT(TH!M1177,2)="15"),'152-CT'!$J$8=TH!F1177),"x","")</f>
        <v/>
      </c>
      <c r="W1177" s="22" t="str">
        <f>IF(AND(OR(LEFT(TH!L1177,2)="15",LEFT(TH!M1177,2)="15"),TK!$E$7=TH!F1177),"x","")</f>
        <v/>
      </c>
      <c r="X1177" s="22" t="str">
        <f>IF(OR(TH!L1177=TH!$X$7,M1177=TH!$X$7),"x","")</f>
        <v/>
      </c>
      <c r="Y1177" s="22" t="str">
        <f>IF(AND(B1177&lt;=NKC!$N$8,B1177&gt;=NKC!$M$8),"x","")</f>
        <v>x</v>
      </c>
      <c r="Z1177" s="580"/>
      <c r="AA1177" s="588"/>
      <c r="AB1177" s="588"/>
    </row>
    <row r="1178" spans="1:28" s="589" customFormat="1" ht="15.75" customHeight="1">
      <c r="A1178" s="607" t="str">
        <f>IF(B1178&lt;&gt;"",IF(AND(B1178&gt;=_TM1,B1178&lt;=_TM2,OR(TH!L1178="1111",TH!M1178="1111")),TH!D1178,""),"")</f>
        <v/>
      </c>
      <c r="B1178" s="585">
        <f t="shared" si="62"/>
        <v>8</v>
      </c>
      <c r="C1178" s="586">
        <f t="shared" si="63"/>
        <v>42591</v>
      </c>
      <c r="D1178" s="569" t="s">
        <v>1022</v>
      </c>
      <c r="E1178" s="613">
        <v>42591</v>
      </c>
      <c r="F1178" s="614" t="s">
        <v>524</v>
      </c>
      <c r="G1178" s="615" t="s">
        <v>720</v>
      </c>
      <c r="H1178" s="572" t="s">
        <v>1075</v>
      </c>
      <c r="I1178" s="137">
        <v>490</v>
      </c>
      <c r="J1178" s="137">
        <v>6017.7161186961994</v>
      </c>
      <c r="K1178" s="21">
        <f t="shared" si="58"/>
        <v>2948681</v>
      </c>
      <c r="L1178" s="567" t="s">
        <v>167</v>
      </c>
      <c r="M1178" s="567" t="s">
        <v>162</v>
      </c>
      <c r="N1178" s="22" t="str">
        <f>IF(AND('331-CT'!$E$7=TH!H1178,OR(L1178="331",M1178="331")),"331",IF(AND(OR(L1178="131",M1178="131"),H1178='131-CT'!$E$7),"131",""))</f>
        <v/>
      </c>
      <c r="O1178" s="22" t="str">
        <f>IF(AND($B1178&gt;='111'!$N$11,$B1178&lt;='111'!$O$11,OR($L1178=$O$7,$M1178=$O$7)),"x","")</f>
        <v/>
      </c>
      <c r="P1178" s="22" t="str">
        <f>IF(AND($L1178=$O$7,$B1178&lt;'111'!$N$11),"x","")</f>
        <v/>
      </c>
      <c r="Q1178" s="22" t="str">
        <f>IF(AND($M1178=$O$7,$B1178&lt;'111'!$N$11),"x","")</f>
        <v/>
      </c>
      <c r="R1178" s="22" t="str">
        <f>IF(ISERROR(FIND('112'!$M$9,G1178,1)),"",IF((AND(FIND('112'!$M$9,G1178,1)&gt;=1,$B1178&gt;='112'!$N$8,$B1178&lt;='112'!$O$8,OR($L1178='112'!$I$6,$M1178='112'!$I$6))),"x",""))</f>
        <v/>
      </c>
      <c r="S1178" s="22" t="str">
        <f>IF(ISERROR(FIND('112'!$M$9,G1178,1)),"",IF((AND(LEFT(G1178,2)=LEFT('112'!$M$9,2),B1178&lt;'112'!$N$8,$L1178='112'!$I$6)),"x",""))</f>
        <v/>
      </c>
      <c r="T1178" s="22" t="str">
        <f>IF(ISERROR(FIND('112'!$M$9,G1178,1)),"",IF((AND(RIGHT(G1178,2)=RIGHT('112'!$M$9,2),B1178&lt;'112'!$N$8,$M1178='112'!$I$6)),"x",""))</f>
        <v/>
      </c>
      <c r="U1178" s="22" t="str">
        <f>IF(AND(B1178&gt;='IN-NX'!$P$3,B1178&lt;='IN-NX'!$Q$3,'IN-NX'!$D$7=D1178,OR(LEFT(L1178,2)="15",AND(LEFT(M1178,2)&lt;&gt;"15",LEFT(M1178,2)&lt;&gt;"33"))),"x","")</f>
        <v/>
      </c>
      <c r="V1178" s="22" t="str">
        <f>IF(AND(OR(LEFT(TH!L1178,2)="15",LEFT(TH!M1178,2)="15"),'152-CT'!$J$8=TH!F1178),"x","")</f>
        <v/>
      </c>
      <c r="W1178" s="22" t="str">
        <f>IF(AND(OR(LEFT(TH!L1178,2)="15",LEFT(TH!M1178,2)="15"),TK!$E$7=TH!F1178),"x","")</f>
        <v/>
      </c>
      <c r="X1178" s="22" t="str">
        <f>IF(OR(TH!L1178=TH!$X$7,M1178=TH!$X$7),"x","")</f>
        <v/>
      </c>
      <c r="Y1178" s="22" t="str">
        <f>IF(AND(B1178&lt;=NKC!$N$8,B1178&gt;=NKC!$M$8),"x","")</f>
        <v>x</v>
      </c>
      <c r="Z1178" s="580"/>
      <c r="AA1178" s="588"/>
    </row>
    <row r="1179" spans="1:28" s="589" customFormat="1" ht="15.75" customHeight="1">
      <c r="A1179" s="607" t="str">
        <f>IF(B1179&lt;&gt;"",IF(AND(B1179&gt;=_TM1,B1179&lt;=_TM2,OR(TH!L1179="1111",TH!M1179="1111")),TH!D1179,""),"")</f>
        <v/>
      </c>
      <c r="B1179" s="585">
        <f t="shared" si="62"/>
        <v>8</v>
      </c>
      <c r="C1179" s="586">
        <f t="shared" si="63"/>
        <v>42592</v>
      </c>
      <c r="D1179" s="569" t="s">
        <v>1022</v>
      </c>
      <c r="E1179" s="613">
        <v>42592</v>
      </c>
      <c r="F1179" s="614" t="s">
        <v>526</v>
      </c>
      <c r="G1179" s="615" t="s">
        <v>721</v>
      </c>
      <c r="H1179" s="572" t="s">
        <v>1075</v>
      </c>
      <c r="I1179" s="137">
        <v>403</v>
      </c>
      <c r="J1179" s="137">
        <v>15497.679867327199</v>
      </c>
      <c r="K1179" s="21">
        <f t="shared" si="58"/>
        <v>6245565</v>
      </c>
      <c r="L1179" s="567" t="s">
        <v>167</v>
      </c>
      <c r="M1179" s="567" t="s">
        <v>162</v>
      </c>
      <c r="N1179" s="22" t="str">
        <f>IF(AND('331-CT'!$E$7=TH!H1179,OR(L1179="331",M1179="331")),"331",IF(AND(OR(L1179="131",M1179="131"),H1179='131-CT'!$E$7),"131",""))</f>
        <v/>
      </c>
      <c r="O1179" s="22" t="str">
        <f>IF(AND($B1179&gt;='111'!$N$11,$B1179&lt;='111'!$O$11,OR($L1179=$O$7,$M1179=$O$7)),"x","")</f>
        <v/>
      </c>
      <c r="P1179" s="22" t="str">
        <f>IF(AND($L1179=$O$7,$B1179&lt;'111'!$N$11),"x","")</f>
        <v/>
      </c>
      <c r="Q1179" s="22" t="str">
        <f>IF(AND($M1179=$O$7,$B1179&lt;'111'!$N$11),"x","")</f>
        <v/>
      </c>
      <c r="R1179" s="22" t="str">
        <f>IF(ISERROR(FIND('112'!$M$9,G1179,1)),"",IF((AND(FIND('112'!$M$9,G1179,1)&gt;=1,$B1179&gt;='112'!$N$8,$B1179&lt;='112'!$O$8,OR($L1179='112'!$I$6,$M1179='112'!$I$6))),"x",""))</f>
        <v/>
      </c>
      <c r="S1179" s="22" t="str">
        <f>IF(ISERROR(FIND('112'!$M$9,G1179,1)),"",IF((AND(LEFT(G1179,2)=LEFT('112'!$M$9,2),B1179&lt;'112'!$N$8,$L1179='112'!$I$6)),"x",""))</f>
        <v/>
      </c>
      <c r="T1179" s="22" t="str">
        <f>IF(ISERROR(FIND('112'!$M$9,G1179,1)),"",IF((AND(RIGHT(G1179,2)=RIGHT('112'!$M$9,2),B1179&lt;'112'!$N$8,$M1179='112'!$I$6)),"x",""))</f>
        <v/>
      </c>
      <c r="U1179" s="22" t="str">
        <f>IF(AND(B1179&gt;='IN-NX'!$P$3,B1179&lt;='IN-NX'!$Q$3,'IN-NX'!$D$7=D1179,OR(LEFT(L1179,2)="15",AND(LEFT(M1179,2)&lt;&gt;"15",LEFT(M1179,2)&lt;&gt;"33"))),"x","")</f>
        <v/>
      </c>
      <c r="V1179" s="22" t="str">
        <f>IF(AND(OR(LEFT(TH!L1179,2)="15",LEFT(TH!M1179,2)="15"),'152-CT'!$J$8=TH!F1179),"x","")</f>
        <v/>
      </c>
      <c r="W1179" s="22" t="str">
        <f>IF(AND(OR(LEFT(TH!L1179,2)="15",LEFT(TH!M1179,2)="15"),TK!$E$7=TH!F1179),"x","")</f>
        <v/>
      </c>
      <c r="X1179" s="22" t="str">
        <f>IF(OR(TH!L1179=TH!$X$7,M1179=TH!$X$7),"x","")</f>
        <v/>
      </c>
      <c r="Y1179" s="22" t="str">
        <f>IF(AND(B1179&lt;=NKC!$N$8,B1179&gt;=NKC!$M$8),"x","")</f>
        <v>x</v>
      </c>
      <c r="Z1179" s="580"/>
      <c r="AA1179" s="588"/>
      <c r="AB1179" s="588"/>
    </row>
    <row r="1180" spans="1:28" s="589" customFormat="1" ht="15.75" customHeight="1">
      <c r="A1180" s="607" t="str">
        <f>IF(B1180&lt;&gt;"",IF(AND(B1180&gt;=_TM1,B1180&lt;=_TM2,OR(TH!L1180="1111",TH!M1180="1111")),TH!D1180,""),"")</f>
        <v/>
      </c>
      <c r="B1180" s="585">
        <f t="shared" si="62"/>
        <v>8</v>
      </c>
      <c r="C1180" s="586">
        <f t="shared" si="63"/>
        <v>42592</v>
      </c>
      <c r="D1180" s="569" t="s">
        <v>1022</v>
      </c>
      <c r="E1180" s="613">
        <v>42592</v>
      </c>
      <c r="F1180" s="614" t="s">
        <v>647</v>
      </c>
      <c r="G1180" s="615" t="s">
        <v>722</v>
      </c>
      <c r="H1180" s="572" t="s">
        <v>1075</v>
      </c>
      <c r="I1180" s="137">
        <v>30</v>
      </c>
      <c r="J1180" s="137">
        <v>12530.039041668799</v>
      </c>
      <c r="K1180" s="21">
        <f t="shared" si="58"/>
        <v>375901</v>
      </c>
      <c r="L1180" s="567" t="s">
        <v>167</v>
      </c>
      <c r="M1180" s="567" t="s">
        <v>162</v>
      </c>
      <c r="N1180" s="22" t="str">
        <f>IF(AND('331-CT'!$E$7=TH!H1180,OR(L1180="331",M1180="331")),"331",IF(AND(OR(L1180="131",M1180="131"),H1180='131-CT'!$E$7),"131",""))</f>
        <v/>
      </c>
      <c r="O1180" s="22" t="str">
        <f>IF(AND($B1180&gt;='111'!$N$11,$B1180&lt;='111'!$O$11,OR($L1180=$O$7,$M1180=$O$7)),"x","")</f>
        <v/>
      </c>
      <c r="P1180" s="22" t="str">
        <f>IF(AND($L1180=$O$7,$B1180&lt;'111'!$N$11),"x","")</f>
        <v/>
      </c>
      <c r="Q1180" s="22" t="str">
        <f>IF(AND($M1180=$O$7,$B1180&lt;'111'!$N$11),"x","")</f>
        <v/>
      </c>
      <c r="R1180" s="22" t="str">
        <f>IF(ISERROR(FIND('112'!$M$9,G1180,1)),"",IF((AND(FIND('112'!$M$9,G1180,1)&gt;=1,$B1180&gt;='112'!$N$8,$B1180&lt;='112'!$O$8,OR($L1180='112'!$I$6,$M1180='112'!$I$6))),"x",""))</f>
        <v/>
      </c>
      <c r="S1180" s="22" t="str">
        <f>IF(ISERROR(FIND('112'!$M$9,G1180,1)),"",IF((AND(LEFT(G1180,2)=LEFT('112'!$M$9,2),B1180&lt;'112'!$N$8,$L1180='112'!$I$6)),"x",""))</f>
        <v/>
      </c>
      <c r="T1180" s="22" t="str">
        <f>IF(ISERROR(FIND('112'!$M$9,G1180,1)),"",IF((AND(RIGHT(G1180,2)=RIGHT('112'!$M$9,2),B1180&lt;'112'!$N$8,$M1180='112'!$I$6)),"x",""))</f>
        <v/>
      </c>
      <c r="U1180" s="22" t="str">
        <f>IF(AND(B1180&gt;='IN-NX'!$P$3,B1180&lt;='IN-NX'!$Q$3,'IN-NX'!$D$7=D1180,OR(LEFT(L1180,2)="15",AND(LEFT(M1180,2)&lt;&gt;"15",LEFT(M1180,2)&lt;&gt;"33"))),"x","")</f>
        <v/>
      </c>
      <c r="V1180" s="22" t="str">
        <f>IF(AND(OR(LEFT(TH!L1180,2)="15",LEFT(TH!M1180,2)="15"),'152-CT'!$J$8=TH!F1180),"x","")</f>
        <v/>
      </c>
      <c r="W1180" s="22" t="str">
        <f>IF(AND(OR(LEFT(TH!L1180,2)="15",LEFT(TH!M1180,2)="15"),TK!$E$7=TH!F1180),"x","")</f>
        <v/>
      </c>
      <c r="X1180" s="22" t="str">
        <f>IF(OR(TH!L1180=TH!$X$7,M1180=TH!$X$7),"x","")</f>
        <v/>
      </c>
      <c r="Y1180" s="22" t="str">
        <f>IF(AND(B1180&lt;=NKC!$N$8,B1180&gt;=NKC!$M$8),"x","")</f>
        <v>x</v>
      </c>
      <c r="Z1180" s="580"/>
      <c r="AA1180" s="588"/>
    </row>
    <row r="1181" spans="1:28" s="589" customFormat="1" ht="15.75" customHeight="1">
      <c r="A1181" s="607" t="str">
        <f>IF(B1181&lt;&gt;"",IF(AND(B1181&gt;=_TM1,B1181&lt;=_TM2,OR(TH!L1181="1111",TH!M1181="1111")),TH!D1181,""),"")</f>
        <v/>
      </c>
      <c r="B1181" s="585">
        <f t="shared" si="62"/>
        <v>8</v>
      </c>
      <c r="C1181" s="586">
        <f t="shared" si="63"/>
        <v>42592</v>
      </c>
      <c r="D1181" s="569" t="s">
        <v>1022</v>
      </c>
      <c r="E1181" s="613">
        <v>42592</v>
      </c>
      <c r="F1181" s="614" t="s">
        <v>650</v>
      </c>
      <c r="G1181" s="615" t="s">
        <v>722</v>
      </c>
      <c r="H1181" s="572" t="s">
        <v>1075</v>
      </c>
      <c r="I1181" s="591">
        <v>30</v>
      </c>
      <c r="J1181" s="591">
        <v>8985.3569443546003</v>
      </c>
      <c r="K1181" s="21">
        <f t="shared" si="58"/>
        <v>269561</v>
      </c>
      <c r="L1181" s="567" t="s">
        <v>167</v>
      </c>
      <c r="M1181" s="567" t="s">
        <v>162</v>
      </c>
      <c r="N1181" s="22" t="str">
        <f>IF(AND('331-CT'!$E$7=TH!H1181,OR(L1181="331",M1181="331")),"331",IF(AND(OR(L1181="131",M1181="131"),H1181='131-CT'!$E$7),"131",""))</f>
        <v/>
      </c>
      <c r="O1181" s="22" t="str">
        <f>IF(AND($B1181&gt;='111'!$N$11,$B1181&lt;='111'!$O$11,OR($L1181=$O$7,$M1181=$O$7)),"x","")</f>
        <v/>
      </c>
      <c r="P1181" s="22" t="str">
        <f>IF(AND($L1181=$O$7,$B1181&lt;'111'!$N$11),"x","")</f>
        <v/>
      </c>
      <c r="Q1181" s="22" t="str">
        <f>IF(AND($M1181=$O$7,$B1181&lt;'111'!$N$11),"x","")</f>
        <v/>
      </c>
      <c r="R1181" s="22" t="str">
        <f>IF(ISERROR(FIND('112'!$M$9,G1181,1)),"",IF((AND(FIND('112'!$M$9,G1181,1)&gt;=1,$B1181&gt;='112'!$N$8,$B1181&lt;='112'!$O$8,OR($L1181='112'!$I$6,$M1181='112'!$I$6))),"x",""))</f>
        <v/>
      </c>
      <c r="S1181" s="22" t="str">
        <f>IF(ISERROR(FIND('112'!$M$9,G1181,1)),"",IF((AND(LEFT(G1181,2)=LEFT('112'!$M$9,2),B1181&lt;'112'!$N$8,$L1181='112'!$I$6)),"x",""))</f>
        <v/>
      </c>
      <c r="T1181" s="22" t="str">
        <f>IF(ISERROR(FIND('112'!$M$9,G1181,1)),"",IF((AND(RIGHT(G1181,2)=RIGHT('112'!$M$9,2),B1181&lt;'112'!$N$8,$M1181='112'!$I$6)),"x",""))</f>
        <v/>
      </c>
      <c r="U1181" s="22" t="str">
        <f>IF(AND(B1181&gt;='IN-NX'!$P$3,B1181&lt;='IN-NX'!$Q$3,'IN-NX'!$D$7=D1181,OR(LEFT(L1181,2)="15",AND(LEFT(M1181,2)&lt;&gt;"15",LEFT(M1181,2)&lt;&gt;"33"))),"x","")</f>
        <v/>
      </c>
      <c r="V1181" s="22" t="str">
        <f>IF(AND(OR(LEFT(TH!L1181,2)="15",LEFT(TH!M1181,2)="15"),'152-CT'!$J$8=TH!F1181),"x","")</f>
        <v/>
      </c>
      <c r="W1181" s="22" t="str">
        <f>IF(AND(OR(LEFT(TH!L1181,2)="15",LEFT(TH!M1181,2)="15"),TK!$E$7=TH!F1181),"x","")</f>
        <v/>
      </c>
      <c r="X1181" s="22" t="str">
        <f>IF(OR(TH!L1181=TH!$X$7,M1181=TH!$X$7),"x","")</f>
        <v/>
      </c>
      <c r="Y1181" s="22" t="str">
        <f>IF(AND(B1181&lt;=NKC!$N$8,B1181&gt;=NKC!$M$8),"x","")</f>
        <v>x</v>
      </c>
      <c r="Z1181" s="580"/>
      <c r="AA1181" s="588"/>
      <c r="AB1181" s="588"/>
    </row>
    <row r="1182" spans="1:28" s="589" customFormat="1" ht="15.75" customHeight="1">
      <c r="A1182" s="607" t="str">
        <f>IF(B1182&lt;&gt;"",IF(AND(B1182&gt;=_TM1,B1182&lt;=_TM2,OR(TH!L1182="1111",TH!M1182="1111")),TH!D1182,""),"")</f>
        <v/>
      </c>
      <c r="B1182" s="585">
        <f t="shared" si="62"/>
        <v>8</v>
      </c>
      <c r="C1182" s="586">
        <f t="shared" si="63"/>
        <v>42592</v>
      </c>
      <c r="D1182" s="569" t="s">
        <v>1022</v>
      </c>
      <c r="E1182" s="613">
        <v>42592</v>
      </c>
      <c r="F1182" s="614" t="s">
        <v>648</v>
      </c>
      <c r="G1182" s="615" t="s">
        <v>722</v>
      </c>
      <c r="H1182" s="572" t="s">
        <v>1075</v>
      </c>
      <c r="I1182" s="137">
        <v>30</v>
      </c>
      <c r="J1182" s="137">
        <v>9974.5705529073985</v>
      </c>
      <c r="K1182" s="21">
        <f t="shared" si="58"/>
        <v>299237</v>
      </c>
      <c r="L1182" s="567" t="s">
        <v>167</v>
      </c>
      <c r="M1182" s="567" t="s">
        <v>162</v>
      </c>
      <c r="N1182" s="22" t="str">
        <f>IF(AND('331-CT'!$E$7=TH!H1182,OR(L1182="331",M1182="331")),"331",IF(AND(OR(L1182="131",M1182="131"),H1182='131-CT'!$E$7),"131",""))</f>
        <v/>
      </c>
      <c r="O1182" s="22" t="str">
        <f>IF(AND($B1182&gt;='111'!$N$11,$B1182&lt;='111'!$O$11,OR($L1182=$O$7,$M1182=$O$7)),"x","")</f>
        <v/>
      </c>
      <c r="P1182" s="22" t="str">
        <f>IF(AND($L1182=$O$7,$B1182&lt;'111'!$N$11),"x","")</f>
        <v/>
      </c>
      <c r="Q1182" s="22" t="str">
        <f>IF(AND($M1182=$O$7,$B1182&lt;'111'!$N$11),"x","")</f>
        <v/>
      </c>
      <c r="R1182" s="22" t="str">
        <f>IF(ISERROR(FIND('112'!$M$9,G1182,1)),"",IF((AND(FIND('112'!$M$9,G1182,1)&gt;=1,$B1182&gt;='112'!$N$8,$B1182&lt;='112'!$O$8,OR($L1182='112'!$I$6,$M1182='112'!$I$6))),"x",""))</f>
        <v/>
      </c>
      <c r="S1182" s="22" t="str">
        <f>IF(ISERROR(FIND('112'!$M$9,G1182,1)),"",IF((AND(LEFT(G1182,2)=LEFT('112'!$M$9,2),B1182&lt;'112'!$N$8,$L1182='112'!$I$6)),"x",""))</f>
        <v/>
      </c>
      <c r="T1182" s="22" t="str">
        <f>IF(ISERROR(FIND('112'!$M$9,G1182,1)),"",IF((AND(RIGHT(G1182,2)=RIGHT('112'!$M$9,2),B1182&lt;'112'!$N$8,$M1182='112'!$I$6)),"x",""))</f>
        <v/>
      </c>
      <c r="U1182" s="22" t="str">
        <f>IF(AND(B1182&gt;='IN-NX'!$P$3,B1182&lt;='IN-NX'!$Q$3,'IN-NX'!$D$7=D1182,OR(LEFT(L1182,2)="15",AND(LEFT(M1182,2)&lt;&gt;"15",LEFT(M1182,2)&lt;&gt;"33"))),"x","")</f>
        <v/>
      </c>
      <c r="V1182" s="22" t="str">
        <f>IF(AND(OR(LEFT(TH!L1182,2)="15",LEFT(TH!M1182,2)="15"),'152-CT'!$J$8=TH!F1182),"x","")</f>
        <v/>
      </c>
      <c r="W1182" s="22" t="str">
        <f>IF(AND(OR(LEFT(TH!L1182,2)="15",LEFT(TH!M1182,2)="15"),TK!$E$7=TH!F1182),"x","")</f>
        <v/>
      </c>
      <c r="X1182" s="22" t="str">
        <f>IF(OR(TH!L1182=TH!$X$7,M1182=TH!$X$7),"x","")</f>
        <v/>
      </c>
      <c r="Y1182" s="22" t="str">
        <f>IF(AND(B1182&lt;=NKC!$N$8,B1182&gt;=NKC!$M$8),"x","")</f>
        <v>x</v>
      </c>
      <c r="Z1182" s="580"/>
      <c r="AA1182" s="588"/>
      <c r="AB1182" s="588"/>
    </row>
    <row r="1183" spans="1:28" s="589" customFormat="1" ht="15.75" customHeight="1">
      <c r="A1183" s="607" t="str">
        <f>IF(B1183&lt;&gt;"",IF(AND(B1183&gt;=_TM1,B1183&lt;=_TM2,OR(TH!L1183="1111",TH!M1183="1111")),TH!D1183,""),"")</f>
        <v/>
      </c>
      <c r="B1183" s="585">
        <f t="shared" si="62"/>
        <v>8</v>
      </c>
      <c r="C1183" s="586">
        <f t="shared" si="63"/>
        <v>42592</v>
      </c>
      <c r="D1183" s="569" t="s">
        <v>1022</v>
      </c>
      <c r="E1183" s="613">
        <v>42592</v>
      </c>
      <c r="F1183" s="614" t="s">
        <v>649</v>
      </c>
      <c r="G1183" s="615" t="s">
        <v>722</v>
      </c>
      <c r="H1183" s="572" t="s">
        <v>1075</v>
      </c>
      <c r="I1183" s="137">
        <v>100</v>
      </c>
      <c r="J1183" s="137">
        <v>10963.7841614602</v>
      </c>
      <c r="K1183" s="21">
        <f t="shared" si="58"/>
        <v>1096378</v>
      </c>
      <c r="L1183" s="567" t="s">
        <v>167</v>
      </c>
      <c r="M1183" s="567" t="s">
        <v>162</v>
      </c>
      <c r="N1183" s="22" t="str">
        <f>IF(AND('331-CT'!$E$7=TH!H1183,OR(L1183="331",M1183="331")),"331",IF(AND(OR(L1183="131",M1183="131"),H1183='131-CT'!$E$7),"131",""))</f>
        <v/>
      </c>
      <c r="O1183" s="22" t="str">
        <f>IF(AND($B1183&gt;='111'!$N$11,$B1183&lt;='111'!$O$11,OR($L1183=$O$7,$M1183=$O$7)),"x","")</f>
        <v/>
      </c>
      <c r="P1183" s="22" t="str">
        <f>IF(AND($L1183=$O$7,$B1183&lt;'111'!$N$11),"x","")</f>
        <v/>
      </c>
      <c r="Q1183" s="22" t="str">
        <f>IF(AND($M1183=$O$7,$B1183&lt;'111'!$N$11),"x","")</f>
        <v/>
      </c>
      <c r="R1183" s="22" t="str">
        <f>IF(ISERROR(FIND('112'!$M$9,G1183,1)),"",IF((AND(FIND('112'!$M$9,G1183,1)&gt;=1,$B1183&gt;='112'!$N$8,$B1183&lt;='112'!$O$8,OR($L1183='112'!$I$6,$M1183='112'!$I$6))),"x",""))</f>
        <v/>
      </c>
      <c r="S1183" s="22" t="str">
        <f>IF(ISERROR(FIND('112'!$M$9,G1183,1)),"",IF((AND(LEFT(G1183,2)=LEFT('112'!$M$9,2),B1183&lt;'112'!$N$8,$L1183='112'!$I$6)),"x",""))</f>
        <v/>
      </c>
      <c r="T1183" s="22" t="str">
        <f>IF(ISERROR(FIND('112'!$M$9,G1183,1)),"",IF((AND(RIGHT(G1183,2)=RIGHT('112'!$M$9,2),B1183&lt;'112'!$N$8,$M1183='112'!$I$6)),"x",""))</f>
        <v/>
      </c>
      <c r="U1183" s="22" t="str">
        <f>IF(AND(B1183&gt;='IN-NX'!$P$3,B1183&lt;='IN-NX'!$Q$3,'IN-NX'!$D$7=D1183,OR(LEFT(L1183,2)="15",AND(LEFT(M1183,2)&lt;&gt;"15",LEFT(M1183,2)&lt;&gt;"33"))),"x","")</f>
        <v/>
      </c>
      <c r="V1183" s="22" t="str">
        <f>IF(AND(OR(LEFT(TH!L1183,2)="15",LEFT(TH!M1183,2)="15"),'152-CT'!$J$8=TH!F1183),"x","")</f>
        <v/>
      </c>
      <c r="W1183" s="22" t="str">
        <f>IF(AND(OR(LEFT(TH!L1183,2)="15",LEFT(TH!M1183,2)="15"),TK!$E$7=TH!F1183),"x","")</f>
        <v/>
      </c>
      <c r="X1183" s="22" t="str">
        <f>IF(OR(TH!L1183=TH!$X$7,M1183=TH!$X$7),"x","")</f>
        <v/>
      </c>
      <c r="Y1183" s="22" t="str">
        <f>IF(AND(B1183&lt;=NKC!$N$8,B1183&gt;=NKC!$M$8),"x","")</f>
        <v>x</v>
      </c>
      <c r="Z1183" s="580"/>
      <c r="AA1183" s="588"/>
      <c r="AB1183" s="588"/>
    </row>
    <row r="1184" spans="1:28" s="589" customFormat="1" ht="15.75" customHeight="1">
      <c r="A1184" s="607" t="str">
        <f>IF(B1184&lt;&gt;"",IF(AND(B1184&gt;=_TM1,B1184&lt;=_TM2,OR(TH!L1184="1111",TH!M1184="1111")),TH!D1184,""),"")</f>
        <v/>
      </c>
      <c r="B1184" s="585">
        <f t="shared" si="62"/>
        <v>8</v>
      </c>
      <c r="C1184" s="586">
        <f t="shared" si="63"/>
        <v>42592</v>
      </c>
      <c r="D1184" s="569" t="s">
        <v>1022</v>
      </c>
      <c r="E1184" s="613">
        <v>42592</v>
      </c>
      <c r="F1184" s="614" t="s">
        <v>819</v>
      </c>
      <c r="G1184" s="615" t="s">
        <v>722</v>
      </c>
      <c r="H1184" s="572" t="s">
        <v>1075</v>
      </c>
      <c r="I1184" s="137">
        <v>60</v>
      </c>
      <c r="J1184" s="137">
        <v>17228.803682294598</v>
      </c>
      <c r="K1184" s="21">
        <f t="shared" si="58"/>
        <v>1033728</v>
      </c>
      <c r="L1184" s="567" t="s">
        <v>167</v>
      </c>
      <c r="M1184" s="567" t="s">
        <v>162</v>
      </c>
      <c r="N1184" s="22" t="str">
        <f>IF(AND('331-CT'!$E$7=TH!H1184,OR(L1184="331",M1184="331")),"331",IF(AND(OR(L1184="131",M1184="131"),H1184='131-CT'!$E$7),"131",""))</f>
        <v/>
      </c>
      <c r="O1184" s="22" t="str">
        <f>IF(AND($B1184&gt;='111'!$N$11,$B1184&lt;='111'!$O$11,OR($L1184=$O$7,$M1184=$O$7)),"x","")</f>
        <v/>
      </c>
      <c r="P1184" s="22" t="str">
        <f>IF(AND($L1184=$O$7,$B1184&lt;'111'!$N$11),"x","")</f>
        <v/>
      </c>
      <c r="Q1184" s="22" t="str">
        <f>IF(AND($M1184=$O$7,$B1184&lt;'111'!$N$11),"x","")</f>
        <v/>
      </c>
      <c r="R1184" s="22" t="str">
        <f>IF(ISERROR(FIND('112'!$M$9,G1184,1)),"",IF((AND(FIND('112'!$M$9,G1184,1)&gt;=1,$B1184&gt;='112'!$N$8,$B1184&lt;='112'!$O$8,OR($L1184='112'!$I$6,$M1184='112'!$I$6))),"x",""))</f>
        <v/>
      </c>
      <c r="S1184" s="22" t="str">
        <f>IF(ISERROR(FIND('112'!$M$9,G1184,1)),"",IF((AND(LEFT(G1184,2)=LEFT('112'!$M$9,2),B1184&lt;'112'!$N$8,$L1184='112'!$I$6)),"x",""))</f>
        <v/>
      </c>
      <c r="T1184" s="22" t="str">
        <f>IF(ISERROR(FIND('112'!$M$9,G1184,1)),"",IF((AND(RIGHT(G1184,2)=RIGHT('112'!$M$9,2),B1184&lt;'112'!$N$8,$M1184='112'!$I$6)),"x",""))</f>
        <v/>
      </c>
      <c r="U1184" s="22" t="str">
        <f>IF(AND(B1184&gt;='IN-NX'!$P$3,B1184&lt;='IN-NX'!$Q$3,'IN-NX'!$D$7=D1184,OR(LEFT(L1184,2)="15",AND(LEFT(M1184,2)&lt;&gt;"15",LEFT(M1184,2)&lt;&gt;"33"))),"x","")</f>
        <v/>
      </c>
      <c r="V1184" s="22" t="str">
        <f>IF(AND(OR(LEFT(TH!L1184,2)="15",LEFT(TH!M1184,2)="15"),'152-CT'!$J$8=TH!F1184),"x","")</f>
        <v/>
      </c>
      <c r="W1184" s="22" t="str">
        <f>IF(AND(OR(LEFT(TH!L1184,2)="15",LEFT(TH!M1184,2)="15"),TK!$E$7=TH!F1184),"x","")</f>
        <v/>
      </c>
      <c r="X1184" s="22" t="str">
        <f>IF(OR(TH!L1184=TH!$X$7,M1184=TH!$X$7),"x","")</f>
        <v/>
      </c>
      <c r="Y1184" s="22" t="str">
        <f>IF(AND(B1184&lt;=NKC!$N$8,B1184&gt;=NKC!$M$8),"x","")</f>
        <v>x</v>
      </c>
      <c r="Z1184" s="580"/>
      <c r="AA1184" s="588"/>
    </row>
    <row r="1185" spans="1:31" s="589" customFormat="1" ht="15.75" customHeight="1">
      <c r="A1185" s="607" t="str">
        <f>IF(B1185&lt;&gt;"",IF(AND(B1185&gt;=_TM1,B1185&lt;=_TM2,OR(TH!L1185="1111",TH!M1185="1111")),TH!D1185,""),"")</f>
        <v/>
      </c>
      <c r="B1185" s="585">
        <f t="shared" si="62"/>
        <v>8</v>
      </c>
      <c r="C1185" s="586">
        <f t="shared" si="63"/>
        <v>42592</v>
      </c>
      <c r="D1185" s="569" t="s">
        <v>1022</v>
      </c>
      <c r="E1185" s="613">
        <v>42592</v>
      </c>
      <c r="F1185" s="614" t="s">
        <v>526</v>
      </c>
      <c r="G1185" s="615" t="s">
        <v>723</v>
      </c>
      <c r="H1185" s="572" t="s">
        <v>1075</v>
      </c>
      <c r="I1185" s="137">
        <v>403</v>
      </c>
      <c r="J1185" s="137">
        <v>15497.679867327199</v>
      </c>
      <c r="K1185" s="21">
        <f t="shared" si="58"/>
        <v>6245565</v>
      </c>
      <c r="L1185" s="567" t="s">
        <v>167</v>
      </c>
      <c r="M1185" s="567" t="s">
        <v>162</v>
      </c>
      <c r="N1185" s="22" t="str">
        <f>IF(AND('331-CT'!$E$7=TH!H1185,OR(L1185="331",M1185="331")),"331",IF(AND(OR(L1185="131",M1185="131"),H1185='131-CT'!$E$7),"131",""))</f>
        <v/>
      </c>
      <c r="O1185" s="22" t="str">
        <f>IF(AND($B1185&gt;='111'!$N$11,$B1185&lt;='111'!$O$11,OR($L1185=$O$7,$M1185=$O$7)),"x","")</f>
        <v/>
      </c>
      <c r="P1185" s="22" t="str">
        <f>IF(AND($L1185=$O$7,$B1185&lt;'111'!$N$11),"x","")</f>
        <v/>
      </c>
      <c r="Q1185" s="22" t="str">
        <f>IF(AND($M1185=$O$7,$B1185&lt;'111'!$N$11),"x","")</f>
        <v/>
      </c>
      <c r="R1185" s="22" t="str">
        <f>IF(ISERROR(FIND('112'!$M$9,G1185,1)),"",IF((AND(FIND('112'!$M$9,G1185,1)&gt;=1,$B1185&gt;='112'!$N$8,$B1185&lt;='112'!$O$8,OR($L1185='112'!$I$6,$M1185='112'!$I$6))),"x",""))</f>
        <v/>
      </c>
      <c r="S1185" s="22" t="str">
        <f>IF(ISERROR(FIND('112'!$M$9,G1185,1)),"",IF((AND(LEFT(G1185,2)=LEFT('112'!$M$9,2),B1185&lt;'112'!$N$8,$L1185='112'!$I$6)),"x",""))</f>
        <v/>
      </c>
      <c r="T1185" s="22" t="str">
        <f>IF(ISERROR(FIND('112'!$M$9,G1185,1)),"",IF((AND(RIGHT(G1185,2)=RIGHT('112'!$M$9,2),B1185&lt;'112'!$N$8,$M1185='112'!$I$6)),"x",""))</f>
        <v/>
      </c>
      <c r="U1185" s="22" t="str">
        <f>IF(AND(B1185&gt;='IN-NX'!$P$3,B1185&lt;='IN-NX'!$Q$3,'IN-NX'!$D$7=D1185,OR(LEFT(L1185,2)="15",AND(LEFT(M1185,2)&lt;&gt;"15",LEFT(M1185,2)&lt;&gt;"33"))),"x","")</f>
        <v/>
      </c>
      <c r="V1185" s="22" t="str">
        <f>IF(AND(OR(LEFT(TH!L1185,2)="15",LEFT(TH!M1185,2)="15"),'152-CT'!$J$8=TH!F1185),"x","")</f>
        <v/>
      </c>
      <c r="W1185" s="22" t="str">
        <f>IF(AND(OR(LEFT(TH!L1185,2)="15",LEFT(TH!M1185,2)="15"),TK!$E$7=TH!F1185),"x","")</f>
        <v/>
      </c>
      <c r="X1185" s="22" t="str">
        <f>IF(OR(TH!L1185=TH!$X$7,M1185=TH!$X$7),"x","")</f>
        <v/>
      </c>
      <c r="Y1185" s="22" t="str">
        <f>IF(AND(B1185&lt;=NKC!$N$8,B1185&gt;=NKC!$M$8),"x","")</f>
        <v>x</v>
      </c>
      <c r="Z1185" s="580"/>
      <c r="AA1185" s="588"/>
      <c r="AB1185" s="588"/>
    </row>
    <row r="1186" spans="1:31" s="589" customFormat="1" ht="15.75" customHeight="1">
      <c r="A1186" s="607" t="str">
        <f>IF(B1186&lt;&gt;"",IF(AND(B1186&gt;=_TM1,B1186&lt;=_TM2,OR(TH!L1186="1111",TH!M1186="1111")),TH!D1186,""),"")</f>
        <v/>
      </c>
      <c r="B1186" s="585">
        <f t="shared" si="62"/>
        <v>8</v>
      </c>
      <c r="C1186" s="586">
        <f t="shared" si="63"/>
        <v>42594</v>
      </c>
      <c r="D1186" s="569" t="s">
        <v>1022</v>
      </c>
      <c r="E1186" s="613">
        <v>42594</v>
      </c>
      <c r="F1186" s="614" t="s">
        <v>657</v>
      </c>
      <c r="G1186" s="615" t="s">
        <v>724</v>
      </c>
      <c r="H1186" s="572" t="s">
        <v>1075</v>
      </c>
      <c r="I1186" s="137">
        <v>1330</v>
      </c>
      <c r="J1186" s="137">
        <v>10469.177357183798</v>
      </c>
      <c r="K1186" s="21">
        <f t="shared" si="58"/>
        <v>13924006</v>
      </c>
      <c r="L1186" s="567" t="s">
        <v>167</v>
      </c>
      <c r="M1186" s="567" t="s">
        <v>162</v>
      </c>
      <c r="N1186" s="22" t="str">
        <f>IF(AND('331-CT'!$E$7=TH!H1186,OR(L1186="331",M1186="331")),"331",IF(AND(OR(L1186="131",M1186="131"),H1186='131-CT'!$E$7),"131",""))</f>
        <v/>
      </c>
      <c r="O1186" s="22" t="str">
        <f>IF(AND($B1186&gt;='111'!$N$11,$B1186&lt;='111'!$O$11,OR($L1186=$O$7,$M1186=$O$7)),"x","")</f>
        <v/>
      </c>
      <c r="P1186" s="22" t="str">
        <f>IF(AND($L1186=$O$7,$B1186&lt;'111'!$N$11),"x","")</f>
        <v/>
      </c>
      <c r="Q1186" s="22" t="str">
        <f>IF(AND($M1186=$O$7,$B1186&lt;'111'!$N$11),"x","")</f>
        <v/>
      </c>
      <c r="R1186" s="22" t="str">
        <f>IF(ISERROR(FIND('112'!$M$9,G1186,1)),"",IF((AND(FIND('112'!$M$9,G1186,1)&gt;=1,$B1186&gt;='112'!$N$8,$B1186&lt;='112'!$O$8,OR($L1186='112'!$I$6,$M1186='112'!$I$6))),"x",""))</f>
        <v/>
      </c>
      <c r="S1186" s="22" t="str">
        <f>IF(ISERROR(FIND('112'!$M$9,G1186,1)),"",IF((AND(LEFT(G1186,2)=LEFT('112'!$M$9,2),B1186&lt;'112'!$N$8,$L1186='112'!$I$6)),"x",""))</f>
        <v/>
      </c>
      <c r="T1186" s="22" t="str">
        <f>IF(ISERROR(FIND('112'!$M$9,G1186,1)),"",IF((AND(RIGHT(G1186,2)=RIGHT('112'!$M$9,2),B1186&lt;'112'!$N$8,$M1186='112'!$I$6)),"x",""))</f>
        <v/>
      </c>
      <c r="U1186" s="22" t="str">
        <f>IF(AND(B1186&gt;='IN-NX'!$P$3,B1186&lt;='IN-NX'!$Q$3,'IN-NX'!$D$7=D1186,OR(LEFT(L1186,2)="15",AND(LEFT(M1186,2)&lt;&gt;"15",LEFT(M1186,2)&lt;&gt;"33"))),"x","")</f>
        <v/>
      </c>
      <c r="V1186" s="22" t="str">
        <f>IF(AND(OR(LEFT(TH!L1186,2)="15",LEFT(TH!M1186,2)="15"),'152-CT'!$J$8=TH!F1186),"x","")</f>
        <v/>
      </c>
      <c r="W1186" s="22" t="str">
        <f>IF(AND(OR(LEFT(TH!L1186,2)="15",LEFT(TH!M1186,2)="15"),TK!$E$7=TH!F1186),"x","")</f>
        <v/>
      </c>
      <c r="X1186" s="22" t="str">
        <f>IF(OR(TH!L1186=TH!$X$7,M1186=TH!$X$7),"x","")</f>
        <v/>
      </c>
      <c r="Y1186" s="22" t="str">
        <f>IF(AND(B1186&lt;=NKC!$N$8,B1186&gt;=NKC!$M$8),"x","")</f>
        <v>x</v>
      </c>
      <c r="Z1186" s="580"/>
      <c r="AA1186" s="588"/>
    </row>
    <row r="1187" spans="1:31" s="589" customFormat="1" ht="15.75" customHeight="1">
      <c r="A1187" s="607" t="str">
        <f>IF(B1187&lt;&gt;"",IF(AND(B1187&gt;=_TM1,B1187&lt;=_TM2,OR(TH!L1187="1111",TH!M1187="1111")),TH!D1187,""),"")</f>
        <v/>
      </c>
      <c r="B1187" s="585">
        <f t="shared" si="62"/>
        <v>8</v>
      </c>
      <c r="C1187" s="586">
        <f t="shared" si="63"/>
        <v>42594</v>
      </c>
      <c r="D1187" s="569" t="s">
        <v>1022</v>
      </c>
      <c r="E1187" s="613">
        <v>42594</v>
      </c>
      <c r="F1187" s="614" t="s">
        <v>657</v>
      </c>
      <c r="G1187" s="615" t="s">
        <v>724</v>
      </c>
      <c r="H1187" s="572" t="s">
        <v>1075</v>
      </c>
      <c r="I1187" s="137">
        <v>80</v>
      </c>
      <c r="J1187" s="137">
        <v>10469.177357183798</v>
      </c>
      <c r="K1187" s="21">
        <f t="shared" si="58"/>
        <v>837534</v>
      </c>
      <c r="L1187" s="567" t="s">
        <v>167</v>
      </c>
      <c r="M1187" s="567" t="s">
        <v>162</v>
      </c>
      <c r="N1187" s="22" t="str">
        <f>IF(AND('331-CT'!$E$7=TH!H1187,OR(L1187="331",M1187="331")),"331",IF(AND(OR(L1187="131",M1187="131"),H1187='131-CT'!$E$7),"131",""))</f>
        <v/>
      </c>
      <c r="O1187" s="22" t="str">
        <f>IF(AND($B1187&gt;='111'!$N$11,$B1187&lt;='111'!$O$11,OR($L1187=$O$7,$M1187=$O$7)),"x","")</f>
        <v/>
      </c>
      <c r="P1187" s="22" t="str">
        <f>IF(AND($L1187=$O$7,$B1187&lt;'111'!$N$11),"x","")</f>
        <v/>
      </c>
      <c r="Q1187" s="22" t="str">
        <f>IF(AND($M1187=$O$7,$B1187&lt;'111'!$N$11),"x","")</f>
        <v/>
      </c>
      <c r="R1187" s="22" t="str">
        <f>IF(ISERROR(FIND('112'!$M$9,G1187,1)),"",IF((AND(FIND('112'!$M$9,G1187,1)&gt;=1,$B1187&gt;='112'!$N$8,$B1187&lt;='112'!$O$8,OR($L1187='112'!$I$6,$M1187='112'!$I$6))),"x",""))</f>
        <v/>
      </c>
      <c r="S1187" s="22" t="str">
        <f>IF(ISERROR(FIND('112'!$M$9,G1187,1)),"",IF((AND(LEFT(G1187,2)=LEFT('112'!$M$9,2),B1187&lt;'112'!$N$8,$L1187='112'!$I$6)),"x",""))</f>
        <v/>
      </c>
      <c r="T1187" s="22" t="str">
        <f>IF(ISERROR(FIND('112'!$M$9,G1187,1)),"",IF((AND(RIGHT(G1187,2)=RIGHT('112'!$M$9,2),B1187&lt;'112'!$N$8,$M1187='112'!$I$6)),"x",""))</f>
        <v/>
      </c>
      <c r="U1187" s="22" t="str">
        <f>IF(AND(B1187&gt;='IN-NX'!$P$3,B1187&lt;='IN-NX'!$Q$3,'IN-NX'!$D$7=D1187,OR(LEFT(L1187,2)="15",AND(LEFT(M1187,2)&lt;&gt;"15",LEFT(M1187,2)&lt;&gt;"33"))),"x","")</f>
        <v/>
      </c>
      <c r="V1187" s="22" t="str">
        <f>IF(AND(OR(LEFT(TH!L1187,2)="15",LEFT(TH!M1187,2)="15"),'152-CT'!$J$8=TH!F1187),"x","")</f>
        <v/>
      </c>
      <c r="W1187" s="22" t="str">
        <f>IF(AND(OR(LEFT(TH!L1187,2)="15",LEFT(TH!M1187,2)="15"),TK!$E$7=TH!F1187),"x","")</f>
        <v/>
      </c>
      <c r="X1187" s="22" t="str">
        <f>IF(OR(TH!L1187=TH!$X$7,M1187=TH!$X$7),"x","")</f>
        <v/>
      </c>
      <c r="Y1187" s="22" t="str">
        <f>IF(AND(B1187&lt;=NKC!$N$8,B1187&gt;=NKC!$M$8),"x","")</f>
        <v>x</v>
      </c>
      <c r="Z1187" s="580"/>
      <c r="AA1187" s="588"/>
    </row>
    <row r="1188" spans="1:31" s="589" customFormat="1" ht="15.75" customHeight="1">
      <c r="A1188" s="607" t="str">
        <f>IF(B1188&lt;&gt;"",IF(AND(B1188&gt;=_TM1,B1188&lt;=_TM2,OR(TH!L1188="1111",TH!M1188="1111")),TH!D1188,""),"")</f>
        <v/>
      </c>
      <c r="B1188" s="585">
        <f t="shared" si="62"/>
        <v>8</v>
      </c>
      <c r="C1188" s="586">
        <f t="shared" si="63"/>
        <v>42594</v>
      </c>
      <c r="D1188" s="569" t="s">
        <v>1022</v>
      </c>
      <c r="E1188" s="613">
        <v>42594</v>
      </c>
      <c r="F1188" s="614" t="s">
        <v>658</v>
      </c>
      <c r="G1188" s="615" t="s">
        <v>724</v>
      </c>
      <c r="H1188" s="572" t="s">
        <v>1075</v>
      </c>
      <c r="I1188" s="137">
        <v>35</v>
      </c>
      <c r="J1188" s="137">
        <v>10634.046291942599</v>
      </c>
      <c r="K1188" s="21">
        <f t="shared" si="58"/>
        <v>372192</v>
      </c>
      <c r="L1188" s="567" t="s">
        <v>167</v>
      </c>
      <c r="M1188" s="567" t="s">
        <v>162</v>
      </c>
      <c r="N1188" s="22" t="str">
        <f>IF(AND('331-CT'!$E$7=TH!H1188,OR(L1188="331",M1188="331")),"331",IF(AND(OR(L1188="131",M1188="131"),H1188='131-CT'!$E$7),"131",""))</f>
        <v/>
      </c>
      <c r="O1188" s="22" t="str">
        <f>IF(AND($B1188&gt;='111'!$N$11,$B1188&lt;='111'!$O$11,OR($L1188=$O$7,$M1188=$O$7)),"x","")</f>
        <v/>
      </c>
      <c r="P1188" s="22" t="str">
        <f>IF(AND($L1188=$O$7,$B1188&lt;'111'!$N$11),"x","")</f>
        <v/>
      </c>
      <c r="Q1188" s="22" t="str">
        <f>IF(AND($M1188=$O$7,$B1188&lt;'111'!$N$11),"x","")</f>
        <v/>
      </c>
      <c r="R1188" s="22" t="str">
        <f>IF(ISERROR(FIND('112'!$M$9,G1188,1)),"",IF((AND(FIND('112'!$M$9,G1188,1)&gt;=1,$B1188&gt;='112'!$N$8,$B1188&lt;='112'!$O$8,OR($L1188='112'!$I$6,$M1188='112'!$I$6))),"x",""))</f>
        <v/>
      </c>
      <c r="S1188" s="22" t="str">
        <f>IF(ISERROR(FIND('112'!$M$9,G1188,1)),"",IF((AND(LEFT(G1188,2)=LEFT('112'!$M$9,2),B1188&lt;'112'!$N$8,$L1188='112'!$I$6)),"x",""))</f>
        <v/>
      </c>
      <c r="T1188" s="22" t="str">
        <f>IF(ISERROR(FIND('112'!$M$9,G1188,1)),"",IF((AND(RIGHT(G1188,2)=RIGHT('112'!$M$9,2),B1188&lt;'112'!$N$8,$M1188='112'!$I$6)),"x",""))</f>
        <v/>
      </c>
      <c r="U1188" s="22" t="str">
        <f>IF(AND(B1188&gt;='IN-NX'!$P$3,B1188&lt;='IN-NX'!$Q$3,'IN-NX'!$D$7=D1188,OR(LEFT(L1188,2)="15",AND(LEFT(M1188,2)&lt;&gt;"15",LEFT(M1188,2)&lt;&gt;"33"))),"x","")</f>
        <v/>
      </c>
      <c r="V1188" s="22" t="str">
        <f>IF(AND(OR(LEFT(TH!L1188,2)="15",LEFT(TH!M1188,2)="15"),'152-CT'!$J$8=TH!F1188),"x","")</f>
        <v/>
      </c>
      <c r="W1188" s="22" t="str">
        <f>IF(AND(OR(LEFT(TH!L1188,2)="15",LEFT(TH!M1188,2)="15"),TK!$E$7=TH!F1188),"x","")</f>
        <v/>
      </c>
      <c r="X1188" s="22" t="str">
        <f>IF(OR(TH!L1188=TH!$X$7,M1188=TH!$X$7),"x","")</f>
        <v/>
      </c>
      <c r="Y1188" s="22" t="str">
        <f>IF(AND(B1188&lt;=NKC!$N$8,B1188&gt;=NKC!$M$8),"x","")</f>
        <v>x</v>
      </c>
      <c r="Z1188" s="580"/>
      <c r="AA1188" s="588"/>
    </row>
    <row r="1189" spans="1:31" s="589" customFormat="1" ht="15.75" customHeight="1">
      <c r="A1189" s="607" t="str">
        <f>IF(B1189&lt;&gt;"",IF(AND(B1189&gt;=_TM1,B1189&lt;=_TM2,OR(TH!L1189="1111",TH!M1189="1111")),TH!D1189,""),"")</f>
        <v/>
      </c>
      <c r="B1189" s="585">
        <f t="shared" si="62"/>
        <v>8</v>
      </c>
      <c r="C1189" s="586">
        <f t="shared" si="63"/>
        <v>42594</v>
      </c>
      <c r="D1189" s="569" t="s">
        <v>1022</v>
      </c>
      <c r="E1189" s="613">
        <v>42594</v>
      </c>
      <c r="F1189" s="614" t="s">
        <v>659</v>
      </c>
      <c r="G1189" s="615" t="s">
        <v>724</v>
      </c>
      <c r="H1189" s="572" t="s">
        <v>1075</v>
      </c>
      <c r="I1189" s="137">
        <v>90</v>
      </c>
      <c r="J1189" s="137">
        <v>8738.0535422163994</v>
      </c>
      <c r="K1189" s="21">
        <f t="shared" si="58"/>
        <v>786425</v>
      </c>
      <c r="L1189" s="567" t="s">
        <v>167</v>
      </c>
      <c r="M1189" s="567" t="s">
        <v>162</v>
      </c>
      <c r="N1189" s="22" t="str">
        <f>IF(AND('331-CT'!$E$7=TH!H1189,OR(L1189="331",M1189="331")),"331",IF(AND(OR(L1189="131",M1189="131"),H1189='131-CT'!$E$7),"131",""))</f>
        <v/>
      </c>
      <c r="O1189" s="22" t="str">
        <f>IF(AND($B1189&gt;='111'!$N$11,$B1189&lt;='111'!$O$11,OR($L1189=$O$7,$M1189=$O$7)),"x","")</f>
        <v/>
      </c>
      <c r="P1189" s="22" t="str">
        <f>IF(AND($L1189=$O$7,$B1189&lt;'111'!$N$11),"x","")</f>
        <v/>
      </c>
      <c r="Q1189" s="22" t="str">
        <f>IF(AND($M1189=$O$7,$B1189&lt;'111'!$N$11),"x","")</f>
        <v/>
      </c>
      <c r="R1189" s="22" t="str">
        <f>IF(ISERROR(FIND('112'!$M$9,G1189,1)),"",IF((AND(FIND('112'!$M$9,G1189,1)&gt;=1,$B1189&gt;='112'!$N$8,$B1189&lt;='112'!$O$8,OR($L1189='112'!$I$6,$M1189='112'!$I$6))),"x",""))</f>
        <v/>
      </c>
      <c r="S1189" s="22" t="str">
        <f>IF(ISERROR(FIND('112'!$M$9,G1189,1)),"",IF((AND(LEFT(G1189,2)=LEFT('112'!$M$9,2),B1189&lt;'112'!$N$8,$L1189='112'!$I$6)),"x",""))</f>
        <v/>
      </c>
      <c r="T1189" s="22" t="str">
        <f>IF(ISERROR(FIND('112'!$M$9,G1189,1)),"",IF((AND(RIGHT(G1189,2)=RIGHT('112'!$M$9,2),B1189&lt;'112'!$N$8,$M1189='112'!$I$6)),"x",""))</f>
        <v/>
      </c>
      <c r="U1189" s="22" t="str">
        <f>IF(AND(B1189&gt;='IN-NX'!$P$3,B1189&lt;='IN-NX'!$Q$3,'IN-NX'!$D$7=D1189,OR(LEFT(L1189,2)="15",AND(LEFT(M1189,2)&lt;&gt;"15",LEFT(M1189,2)&lt;&gt;"33"))),"x","")</f>
        <v/>
      </c>
      <c r="V1189" s="22" t="str">
        <f>IF(AND(OR(LEFT(TH!L1189,2)="15",LEFT(TH!M1189,2)="15"),'152-CT'!$J$8=TH!F1189),"x","")</f>
        <v/>
      </c>
      <c r="W1189" s="22" t="str">
        <f>IF(AND(OR(LEFT(TH!L1189,2)="15",LEFT(TH!M1189,2)="15"),TK!$E$7=TH!F1189),"x","")</f>
        <v/>
      </c>
      <c r="X1189" s="22" t="str">
        <f>IF(OR(TH!L1189=TH!$X$7,M1189=TH!$X$7),"x","")</f>
        <v/>
      </c>
      <c r="Y1189" s="22" t="str">
        <f>IF(AND(B1189&lt;=NKC!$N$8,B1189&gt;=NKC!$M$8),"x","")</f>
        <v>x</v>
      </c>
      <c r="Z1189" s="580"/>
      <c r="AA1189" s="588"/>
      <c r="AB1189" s="588"/>
    </row>
    <row r="1190" spans="1:31" s="589" customFormat="1" ht="15.75" customHeight="1">
      <c r="A1190" s="607" t="str">
        <f>IF(B1190&lt;&gt;"",IF(AND(B1190&gt;=_TM1,B1190&lt;=_TM2,OR(TH!L1190="1111",TH!M1190="1111")),TH!D1190,""),"")</f>
        <v/>
      </c>
      <c r="B1190" s="585">
        <f t="shared" si="62"/>
        <v>8</v>
      </c>
      <c r="C1190" s="586">
        <f t="shared" si="63"/>
        <v>42594</v>
      </c>
      <c r="D1190" s="569" t="s">
        <v>1022</v>
      </c>
      <c r="E1190" s="613">
        <v>42594</v>
      </c>
      <c r="F1190" s="614" t="s">
        <v>660</v>
      </c>
      <c r="G1190" s="615" t="s">
        <v>724</v>
      </c>
      <c r="H1190" s="572" t="s">
        <v>1075</v>
      </c>
      <c r="I1190" s="137">
        <v>650</v>
      </c>
      <c r="J1190" s="137">
        <v>6842.0607924901988</v>
      </c>
      <c r="K1190" s="21">
        <f t="shared" si="58"/>
        <v>4447340</v>
      </c>
      <c r="L1190" s="567" t="s">
        <v>167</v>
      </c>
      <c r="M1190" s="567" t="s">
        <v>162</v>
      </c>
      <c r="N1190" s="22" t="str">
        <f>IF(AND('331-CT'!$E$7=TH!H1190,OR(L1190="331",M1190="331")),"331",IF(AND(OR(L1190="131",M1190="131"),H1190='131-CT'!$E$7),"131",""))</f>
        <v/>
      </c>
      <c r="O1190" s="22" t="str">
        <f>IF(AND($B1190&gt;='111'!$N$11,$B1190&lt;='111'!$O$11,OR($L1190=$O$7,$M1190=$O$7)),"x","")</f>
        <v/>
      </c>
      <c r="P1190" s="22" t="str">
        <f>IF(AND($L1190=$O$7,$B1190&lt;'111'!$N$11),"x","")</f>
        <v/>
      </c>
      <c r="Q1190" s="22" t="str">
        <f>IF(AND($M1190=$O$7,$B1190&lt;'111'!$N$11),"x","")</f>
        <v/>
      </c>
      <c r="R1190" s="22" t="str">
        <f>IF(ISERROR(FIND('112'!$M$9,G1190,1)),"",IF((AND(FIND('112'!$M$9,G1190,1)&gt;=1,$B1190&gt;='112'!$N$8,$B1190&lt;='112'!$O$8,OR($L1190='112'!$I$6,$M1190='112'!$I$6))),"x",""))</f>
        <v/>
      </c>
      <c r="S1190" s="22" t="str">
        <f>IF(ISERROR(FIND('112'!$M$9,G1190,1)),"",IF((AND(LEFT(G1190,2)=LEFT('112'!$M$9,2),B1190&lt;'112'!$N$8,$L1190='112'!$I$6)),"x",""))</f>
        <v/>
      </c>
      <c r="T1190" s="22" t="str">
        <f>IF(ISERROR(FIND('112'!$M$9,G1190,1)),"",IF((AND(RIGHT(G1190,2)=RIGHT('112'!$M$9,2),B1190&lt;'112'!$N$8,$M1190='112'!$I$6)),"x",""))</f>
        <v/>
      </c>
      <c r="U1190" s="22" t="str">
        <f>IF(AND(B1190&gt;='IN-NX'!$P$3,B1190&lt;='IN-NX'!$Q$3,'IN-NX'!$D$7=D1190,OR(LEFT(L1190,2)="15",AND(LEFT(M1190,2)&lt;&gt;"15",LEFT(M1190,2)&lt;&gt;"33"))),"x","")</f>
        <v/>
      </c>
      <c r="V1190" s="22" t="str">
        <f>IF(AND(OR(LEFT(TH!L1190,2)="15",LEFT(TH!M1190,2)="15"),'152-CT'!$J$8=TH!F1190),"x","")</f>
        <v/>
      </c>
      <c r="W1190" s="22" t="str">
        <f>IF(AND(OR(LEFT(TH!L1190,2)="15",LEFT(TH!M1190,2)="15"),TK!$E$7=TH!F1190),"x","")</f>
        <v/>
      </c>
      <c r="X1190" s="22" t="str">
        <f>IF(OR(TH!L1190=TH!$X$7,M1190=TH!$X$7),"x","")</f>
        <v/>
      </c>
      <c r="Y1190" s="22" t="str">
        <f>IF(AND(B1190&lt;=NKC!$N$8,B1190&gt;=NKC!$M$8),"x","")</f>
        <v>x</v>
      </c>
      <c r="Z1190" s="580"/>
      <c r="AA1190" s="588"/>
      <c r="AB1190" s="588"/>
      <c r="AD1190" s="588"/>
      <c r="AE1190" s="588"/>
    </row>
    <row r="1191" spans="1:31" s="589" customFormat="1" ht="15.75" customHeight="1">
      <c r="A1191" s="607" t="str">
        <f>IF(B1191&lt;&gt;"",IF(AND(B1191&gt;=_TM1,B1191&lt;=_TM2,OR(TH!L1191="1111",TH!M1191="1111")),TH!D1191,""),"")</f>
        <v/>
      </c>
      <c r="B1191" s="585">
        <f t="shared" si="62"/>
        <v>8</v>
      </c>
      <c r="C1191" s="586">
        <f t="shared" si="63"/>
        <v>42594</v>
      </c>
      <c r="D1191" s="569" t="s">
        <v>1022</v>
      </c>
      <c r="E1191" s="613">
        <v>42594</v>
      </c>
      <c r="F1191" s="614" t="s">
        <v>661</v>
      </c>
      <c r="G1191" s="615" t="s">
        <v>724</v>
      </c>
      <c r="H1191" s="572" t="s">
        <v>1075</v>
      </c>
      <c r="I1191" s="137">
        <v>210</v>
      </c>
      <c r="J1191" s="137">
        <v>10881.3496940808</v>
      </c>
      <c r="K1191" s="21">
        <f t="shared" si="58"/>
        <v>2285083</v>
      </c>
      <c r="L1191" s="567" t="s">
        <v>167</v>
      </c>
      <c r="M1191" s="567" t="s">
        <v>162</v>
      </c>
      <c r="N1191" s="22" t="str">
        <f>IF(AND('331-CT'!$E$7=TH!H1191,OR(L1191="331",M1191="331")),"331",IF(AND(OR(L1191="131",M1191="131"),H1191='131-CT'!$E$7),"131",""))</f>
        <v/>
      </c>
      <c r="O1191" s="22" t="str">
        <f>IF(AND($B1191&gt;='111'!$N$11,$B1191&lt;='111'!$O$11,OR($L1191=$O$7,$M1191=$O$7)),"x","")</f>
        <v/>
      </c>
      <c r="P1191" s="22" t="str">
        <f>IF(AND($L1191=$O$7,$B1191&lt;'111'!$N$11),"x","")</f>
        <v/>
      </c>
      <c r="Q1191" s="22" t="str">
        <f>IF(AND($M1191=$O$7,$B1191&lt;'111'!$N$11),"x","")</f>
        <v/>
      </c>
      <c r="R1191" s="22" t="str">
        <f>IF(ISERROR(FIND('112'!$M$9,G1191,1)),"",IF((AND(FIND('112'!$M$9,G1191,1)&gt;=1,$B1191&gt;='112'!$N$8,$B1191&lt;='112'!$O$8,OR($L1191='112'!$I$6,$M1191='112'!$I$6))),"x",""))</f>
        <v/>
      </c>
      <c r="S1191" s="22" t="str">
        <f>IF(ISERROR(FIND('112'!$M$9,G1191,1)),"",IF((AND(LEFT(G1191,2)=LEFT('112'!$M$9,2),B1191&lt;'112'!$N$8,$L1191='112'!$I$6)),"x",""))</f>
        <v/>
      </c>
      <c r="T1191" s="22" t="str">
        <f>IF(ISERROR(FIND('112'!$M$9,G1191,1)),"",IF((AND(RIGHT(G1191,2)=RIGHT('112'!$M$9,2),B1191&lt;'112'!$N$8,$M1191='112'!$I$6)),"x",""))</f>
        <v/>
      </c>
      <c r="U1191" s="22" t="str">
        <f>IF(AND(B1191&gt;='IN-NX'!$P$3,B1191&lt;='IN-NX'!$Q$3,'IN-NX'!$D$7=D1191,OR(LEFT(L1191,2)="15",AND(LEFT(M1191,2)&lt;&gt;"15",LEFT(M1191,2)&lt;&gt;"33"))),"x","")</f>
        <v/>
      </c>
      <c r="V1191" s="22" t="str">
        <f>IF(AND(OR(LEFT(TH!L1191,2)="15",LEFT(TH!M1191,2)="15"),'152-CT'!$J$8=TH!F1191),"x","")</f>
        <v/>
      </c>
      <c r="W1191" s="22" t="str">
        <f>IF(AND(OR(LEFT(TH!L1191,2)="15",LEFT(TH!M1191,2)="15"),TK!$E$7=TH!F1191),"x","")</f>
        <v/>
      </c>
      <c r="X1191" s="22" t="str">
        <f>IF(OR(TH!L1191=TH!$X$7,M1191=TH!$X$7),"x","")</f>
        <v/>
      </c>
      <c r="Y1191" s="22" t="str">
        <f>IF(AND(B1191&lt;=NKC!$N$8,B1191&gt;=NKC!$M$8),"x","")</f>
        <v>x</v>
      </c>
      <c r="Z1191" s="580"/>
      <c r="AA1191" s="588"/>
      <c r="AD1191" s="588"/>
      <c r="AE1191" s="588"/>
    </row>
    <row r="1192" spans="1:31" s="589" customFormat="1" ht="15.75" customHeight="1">
      <c r="A1192" s="607" t="str">
        <f>IF(B1192&lt;&gt;"",IF(AND(B1192&gt;=_TM1,B1192&lt;=_TM2,OR(TH!L1192="1111",TH!M1192="1111")),TH!D1192,""),"")</f>
        <v/>
      </c>
      <c r="B1192" s="585">
        <f t="shared" si="62"/>
        <v>8</v>
      </c>
      <c r="C1192" s="586">
        <f t="shared" si="63"/>
        <v>42597</v>
      </c>
      <c r="D1192" s="569" t="s">
        <v>1022</v>
      </c>
      <c r="E1192" s="613">
        <v>42597</v>
      </c>
      <c r="F1192" s="614" t="s">
        <v>527</v>
      </c>
      <c r="G1192" s="615" t="s">
        <v>725</v>
      </c>
      <c r="H1192" s="572" t="s">
        <v>1075</v>
      </c>
      <c r="I1192" s="137">
        <v>429</v>
      </c>
      <c r="J1192" s="137">
        <v>6594.7573903519997</v>
      </c>
      <c r="K1192" s="21">
        <f t="shared" si="58"/>
        <v>2829151</v>
      </c>
      <c r="L1192" s="567" t="s">
        <v>167</v>
      </c>
      <c r="M1192" s="567" t="s">
        <v>162</v>
      </c>
      <c r="N1192" s="22" t="str">
        <f>IF(AND('331-CT'!$E$7=TH!H1192,OR(L1192="331",M1192="331")),"331",IF(AND(OR(L1192="131",M1192="131"),H1192='131-CT'!$E$7),"131",""))</f>
        <v/>
      </c>
      <c r="O1192" s="22" t="str">
        <f>IF(AND($B1192&gt;='111'!$N$11,$B1192&lt;='111'!$O$11,OR($L1192=$O$7,$M1192=$O$7)),"x","")</f>
        <v/>
      </c>
      <c r="P1192" s="22" t="str">
        <f>IF(AND($L1192=$O$7,$B1192&lt;'111'!$N$11),"x","")</f>
        <v/>
      </c>
      <c r="Q1192" s="22" t="str">
        <f>IF(AND($M1192=$O$7,$B1192&lt;'111'!$N$11),"x","")</f>
        <v/>
      </c>
      <c r="R1192" s="22" t="str">
        <f>IF(ISERROR(FIND('112'!$M$9,G1192,1)),"",IF((AND(FIND('112'!$M$9,G1192,1)&gt;=1,$B1192&gt;='112'!$N$8,$B1192&lt;='112'!$O$8,OR($L1192='112'!$I$6,$M1192='112'!$I$6))),"x",""))</f>
        <v/>
      </c>
      <c r="S1192" s="22" t="str">
        <f>IF(ISERROR(FIND('112'!$M$9,G1192,1)),"",IF((AND(LEFT(G1192,2)=LEFT('112'!$M$9,2),B1192&lt;'112'!$N$8,$L1192='112'!$I$6)),"x",""))</f>
        <v/>
      </c>
      <c r="T1192" s="22" t="str">
        <f>IF(ISERROR(FIND('112'!$M$9,G1192,1)),"",IF((AND(RIGHT(G1192,2)=RIGHT('112'!$M$9,2),B1192&lt;'112'!$N$8,$M1192='112'!$I$6)),"x",""))</f>
        <v/>
      </c>
      <c r="U1192" s="22" t="str">
        <f>IF(AND(B1192&gt;='IN-NX'!$P$3,B1192&lt;='IN-NX'!$Q$3,'IN-NX'!$D$7=D1192,OR(LEFT(L1192,2)="15",AND(LEFT(M1192,2)&lt;&gt;"15",LEFT(M1192,2)&lt;&gt;"33"))),"x","")</f>
        <v/>
      </c>
      <c r="V1192" s="22" t="str">
        <f>IF(AND(OR(LEFT(TH!L1192,2)="15",LEFT(TH!M1192,2)="15"),'152-CT'!$J$8=TH!F1192),"x","")</f>
        <v/>
      </c>
      <c r="W1192" s="22" t="str">
        <f>IF(AND(OR(LEFT(TH!L1192,2)="15",LEFT(TH!M1192,2)="15"),TK!$E$7=TH!F1192),"x","")</f>
        <v/>
      </c>
      <c r="X1192" s="22" t="str">
        <f>IF(OR(TH!L1192=TH!$X$7,M1192=TH!$X$7),"x","")</f>
        <v/>
      </c>
      <c r="Y1192" s="22" t="str">
        <f>IF(AND(B1192&lt;=NKC!$N$8,B1192&gt;=NKC!$M$8),"x","")</f>
        <v>x</v>
      </c>
      <c r="Z1192" s="580"/>
      <c r="AA1192" s="588"/>
      <c r="AB1192" s="588"/>
    </row>
    <row r="1193" spans="1:31" s="589" customFormat="1" ht="15.75" customHeight="1">
      <c r="A1193" s="607" t="str">
        <f>IF(B1193&lt;&gt;"",IF(AND(B1193&gt;=_TM1,B1193&lt;=_TM2,OR(TH!L1193="1111",TH!M1193="1111")),TH!D1193,""),"")</f>
        <v/>
      </c>
      <c r="B1193" s="585">
        <f t="shared" si="62"/>
        <v>8</v>
      </c>
      <c r="C1193" s="586">
        <f t="shared" si="63"/>
        <v>42597</v>
      </c>
      <c r="D1193" s="569" t="s">
        <v>1022</v>
      </c>
      <c r="E1193" s="613">
        <v>42597</v>
      </c>
      <c r="F1193" s="614" t="s">
        <v>528</v>
      </c>
      <c r="G1193" s="615" t="s">
        <v>725</v>
      </c>
      <c r="H1193" s="572" t="s">
        <v>1075</v>
      </c>
      <c r="I1193" s="137">
        <v>370</v>
      </c>
      <c r="J1193" s="137">
        <v>7666.4054662842</v>
      </c>
      <c r="K1193" s="21">
        <f t="shared" si="58"/>
        <v>2836570</v>
      </c>
      <c r="L1193" s="567" t="s">
        <v>167</v>
      </c>
      <c r="M1193" s="567" t="s">
        <v>162</v>
      </c>
      <c r="N1193" s="22" t="str">
        <f>IF(AND('331-CT'!$E$7=TH!H1193,OR(L1193="331",M1193="331")),"331",IF(AND(OR(L1193="131",M1193="131"),H1193='131-CT'!$E$7),"131",""))</f>
        <v/>
      </c>
      <c r="O1193" s="22" t="str">
        <f>IF(AND($B1193&gt;='111'!$N$11,$B1193&lt;='111'!$O$11,OR($L1193=$O$7,$M1193=$O$7)),"x","")</f>
        <v/>
      </c>
      <c r="P1193" s="22" t="str">
        <f>IF(AND($L1193=$O$7,$B1193&lt;'111'!$N$11),"x","")</f>
        <v/>
      </c>
      <c r="Q1193" s="22" t="str">
        <f>IF(AND($M1193=$O$7,$B1193&lt;'111'!$N$11),"x","")</f>
        <v/>
      </c>
      <c r="R1193" s="22" t="str">
        <f>IF(ISERROR(FIND('112'!$M$9,G1193,1)),"",IF((AND(FIND('112'!$M$9,G1193,1)&gt;=1,$B1193&gt;='112'!$N$8,$B1193&lt;='112'!$O$8,OR($L1193='112'!$I$6,$M1193='112'!$I$6))),"x",""))</f>
        <v/>
      </c>
      <c r="S1193" s="22" t="str">
        <f>IF(ISERROR(FIND('112'!$M$9,G1193,1)),"",IF((AND(LEFT(G1193,2)=LEFT('112'!$M$9,2),B1193&lt;'112'!$N$8,$L1193='112'!$I$6)),"x",""))</f>
        <v/>
      </c>
      <c r="T1193" s="22" t="str">
        <f>IF(ISERROR(FIND('112'!$M$9,G1193,1)),"",IF((AND(RIGHT(G1193,2)=RIGHT('112'!$M$9,2),B1193&lt;'112'!$N$8,$M1193='112'!$I$6)),"x",""))</f>
        <v/>
      </c>
      <c r="U1193" s="22" t="str">
        <f>IF(AND(B1193&gt;='IN-NX'!$P$3,B1193&lt;='IN-NX'!$Q$3,'IN-NX'!$D$7=D1193,OR(LEFT(L1193,2)="15",AND(LEFT(M1193,2)&lt;&gt;"15",LEFT(M1193,2)&lt;&gt;"33"))),"x","")</f>
        <v/>
      </c>
      <c r="V1193" s="22" t="str">
        <f>IF(AND(OR(LEFT(TH!L1193,2)="15",LEFT(TH!M1193,2)="15"),'152-CT'!$J$8=TH!F1193),"x","")</f>
        <v/>
      </c>
      <c r="W1193" s="22" t="str">
        <f>IF(AND(OR(LEFT(TH!L1193,2)="15",LEFT(TH!M1193,2)="15"),TK!$E$7=TH!F1193),"x","")</f>
        <v/>
      </c>
      <c r="X1193" s="22" t="str">
        <f>IF(OR(TH!L1193=TH!$X$7,M1193=TH!$X$7),"x","")</f>
        <v/>
      </c>
      <c r="Y1193" s="22" t="str">
        <f>IF(AND(B1193&lt;=NKC!$N$8,B1193&gt;=NKC!$M$8),"x","")</f>
        <v>x</v>
      </c>
      <c r="Z1193" s="580"/>
      <c r="AA1193" s="588"/>
    </row>
    <row r="1194" spans="1:31" s="589" customFormat="1" ht="15.75" customHeight="1">
      <c r="A1194" s="607" t="str">
        <f>IF(B1194&lt;&gt;"",IF(AND(B1194&gt;=_TM1,B1194&lt;=_TM2,OR(TH!L1194="1111",TH!M1194="1111")),TH!D1194,""),"")</f>
        <v/>
      </c>
      <c r="B1194" s="585">
        <f t="shared" si="62"/>
        <v>8</v>
      </c>
      <c r="C1194" s="586">
        <f t="shared" si="63"/>
        <v>42597</v>
      </c>
      <c r="D1194" s="569" t="s">
        <v>1022</v>
      </c>
      <c r="E1194" s="613">
        <v>42597</v>
      </c>
      <c r="F1194" s="614" t="s">
        <v>529</v>
      </c>
      <c r="G1194" s="615" t="s">
        <v>726</v>
      </c>
      <c r="H1194" s="572" t="s">
        <v>1075</v>
      </c>
      <c r="I1194" s="591">
        <v>130</v>
      </c>
      <c r="J1194" s="591">
        <v>59764.988850064998</v>
      </c>
      <c r="K1194" s="21">
        <f t="shared" si="58"/>
        <v>7769449</v>
      </c>
      <c r="L1194" s="567" t="s">
        <v>167</v>
      </c>
      <c r="M1194" s="567" t="s">
        <v>162</v>
      </c>
      <c r="N1194" s="22" t="str">
        <f>IF(AND('331-CT'!$E$7=TH!H1194,OR(L1194="331",M1194="331")),"331",IF(AND(OR(L1194="131",M1194="131"),H1194='131-CT'!$E$7),"131",""))</f>
        <v/>
      </c>
      <c r="O1194" s="22" t="str">
        <f>IF(AND($B1194&gt;='111'!$N$11,$B1194&lt;='111'!$O$11,OR($L1194=$O$7,$M1194=$O$7)),"x","")</f>
        <v/>
      </c>
      <c r="P1194" s="22" t="str">
        <f>IF(AND($L1194=$O$7,$B1194&lt;'111'!$N$11),"x","")</f>
        <v/>
      </c>
      <c r="Q1194" s="22" t="str">
        <f>IF(AND($M1194=$O$7,$B1194&lt;'111'!$N$11),"x","")</f>
        <v/>
      </c>
      <c r="R1194" s="22" t="str">
        <f>IF(ISERROR(FIND('112'!$M$9,G1194,1)),"",IF((AND(FIND('112'!$M$9,G1194,1)&gt;=1,$B1194&gt;='112'!$N$8,$B1194&lt;='112'!$O$8,OR($L1194='112'!$I$6,$M1194='112'!$I$6))),"x",""))</f>
        <v/>
      </c>
      <c r="S1194" s="22" t="str">
        <f>IF(ISERROR(FIND('112'!$M$9,G1194,1)),"",IF((AND(LEFT(G1194,2)=LEFT('112'!$M$9,2),B1194&lt;'112'!$N$8,$L1194='112'!$I$6)),"x",""))</f>
        <v/>
      </c>
      <c r="T1194" s="22" t="str">
        <f>IF(ISERROR(FIND('112'!$M$9,G1194,1)),"",IF((AND(RIGHT(G1194,2)=RIGHT('112'!$M$9,2),B1194&lt;'112'!$N$8,$M1194='112'!$I$6)),"x",""))</f>
        <v/>
      </c>
      <c r="U1194" s="22" t="str">
        <f>IF(AND(B1194&gt;='IN-NX'!$P$3,B1194&lt;='IN-NX'!$Q$3,'IN-NX'!$D$7=D1194,OR(LEFT(L1194,2)="15",AND(LEFT(M1194,2)&lt;&gt;"15",LEFT(M1194,2)&lt;&gt;"33"))),"x","")</f>
        <v/>
      </c>
      <c r="V1194" s="22" t="str">
        <f>IF(AND(OR(LEFT(TH!L1194,2)="15",LEFT(TH!M1194,2)="15"),'152-CT'!$J$8=TH!F1194),"x","")</f>
        <v/>
      </c>
      <c r="W1194" s="22" t="str">
        <f>IF(AND(OR(LEFT(TH!L1194,2)="15",LEFT(TH!M1194,2)="15"),TK!$E$7=TH!F1194),"x","")</f>
        <v/>
      </c>
      <c r="X1194" s="22" t="str">
        <f>IF(OR(TH!L1194=TH!$X$7,M1194=TH!$X$7),"x","")</f>
        <v/>
      </c>
      <c r="Y1194" s="22" t="str">
        <f>IF(AND(B1194&lt;=NKC!$N$8,B1194&gt;=NKC!$M$8),"x","")</f>
        <v>x</v>
      </c>
      <c r="Z1194" s="580"/>
      <c r="AA1194" s="588"/>
      <c r="AB1194" s="588"/>
    </row>
    <row r="1195" spans="1:31" s="589" customFormat="1" ht="15.75" customHeight="1">
      <c r="A1195" s="607" t="str">
        <f>IF(B1195&lt;&gt;"",IF(AND(B1195&gt;=_TM1,B1195&lt;=_TM2,OR(TH!L1195="1111",TH!M1195="1111")),TH!D1195,""),"")</f>
        <v/>
      </c>
      <c r="B1195" s="585">
        <f t="shared" si="62"/>
        <v>8</v>
      </c>
      <c r="C1195" s="586">
        <f t="shared" si="63"/>
        <v>42599</v>
      </c>
      <c r="D1195" s="569" t="s">
        <v>1022</v>
      </c>
      <c r="E1195" s="613">
        <v>42599</v>
      </c>
      <c r="F1195" s="614" t="s">
        <v>530</v>
      </c>
      <c r="G1195" s="615" t="s">
        <v>727</v>
      </c>
      <c r="H1195" s="572" t="s">
        <v>1075</v>
      </c>
      <c r="I1195" s="591">
        <v>309</v>
      </c>
      <c r="J1195" s="591">
        <v>6100.1505860755997</v>
      </c>
      <c r="K1195" s="21">
        <f t="shared" si="58"/>
        <v>1884947</v>
      </c>
      <c r="L1195" s="567" t="s">
        <v>167</v>
      </c>
      <c r="M1195" s="567" t="s">
        <v>162</v>
      </c>
      <c r="N1195" s="22" t="str">
        <f>IF(AND('331-CT'!$E$7=TH!H1195,OR(L1195="331",M1195="331")),"331",IF(AND(OR(L1195="131",M1195="131"),H1195='131-CT'!$E$7),"131",""))</f>
        <v/>
      </c>
      <c r="O1195" s="22" t="str">
        <f>IF(AND($B1195&gt;='111'!$N$11,$B1195&lt;='111'!$O$11,OR($L1195=$O$7,$M1195=$O$7)),"x","")</f>
        <v/>
      </c>
      <c r="P1195" s="22" t="str">
        <f>IF(AND($L1195=$O$7,$B1195&lt;'111'!$N$11),"x","")</f>
        <v/>
      </c>
      <c r="Q1195" s="22" t="str">
        <f>IF(AND($M1195=$O$7,$B1195&lt;'111'!$N$11),"x","")</f>
        <v/>
      </c>
      <c r="R1195" s="22" t="str">
        <f>IF(ISERROR(FIND('112'!$M$9,G1195,1)),"",IF((AND(FIND('112'!$M$9,G1195,1)&gt;=1,$B1195&gt;='112'!$N$8,$B1195&lt;='112'!$O$8,OR($L1195='112'!$I$6,$M1195='112'!$I$6))),"x",""))</f>
        <v/>
      </c>
      <c r="S1195" s="22" t="str">
        <f>IF(ISERROR(FIND('112'!$M$9,G1195,1)),"",IF((AND(LEFT(G1195,2)=LEFT('112'!$M$9,2),B1195&lt;'112'!$N$8,$L1195='112'!$I$6)),"x",""))</f>
        <v/>
      </c>
      <c r="T1195" s="22" t="str">
        <f>IF(ISERROR(FIND('112'!$M$9,G1195,1)),"",IF((AND(RIGHT(G1195,2)=RIGHT('112'!$M$9,2),B1195&lt;'112'!$N$8,$M1195='112'!$I$6)),"x",""))</f>
        <v/>
      </c>
      <c r="U1195" s="22" t="str">
        <f>IF(AND(B1195&gt;='IN-NX'!$P$3,B1195&lt;='IN-NX'!$Q$3,'IN-NX'!$D$7=D1195,OR(LEFT(L1195,2)="15",AND(LEFT(M1195,2)&lt;&gt;"15",LEFT(M1195,2)&lt;&gt;"33"))),"x","")</f>
        <v/>
      </c>
      <c r="V1195" s="22" t="str">
        <f>IF(AND(OR(LEFT(TH!L1195,2)="15",LEFT(TH!M1195,2)="15"),'152-CT'!$J$8=TH!F1195),"x","")</f>
        <v/>
      </c>
      <c r="W1195" s="22" t="str">
        <f>IF(AND(OR(LEFT(TH!L1195,2)="15",LEFT(TH!M1195,2)="15"),TK!$E$7=TH!F1195),"x","")</f>
        <v/>
      </c>
      <c r="X1195" s="22" t="str">
        <f>IF(OR(TH!L1195=TH!$X$7,M1195=TH!$X$7),"x","")</f>
        <v/>
      </c>
      <c r="Y1195" s="22" t="str">
        <f>IF(AND(B1195&lt;=NKC!$N$8,B1195&gt;=NKC!$M$8),"x","")</f>
        <v>x</v>
      </c>
      <c r="Z1195" s="580"/>
      <c r="AA1195" s="588"/>
    </row>
    <row r="1196" spans="1:31" s="589" customFormat="1" ht="15.75" customHeight="1">
      <c r="A1196" s="607" t="str">
        <f>IF(B1196&lt;&gt;"",IF(AND(B1196&gt;=_TM1,B1196&lt;=_TM2,OR(TH!L1196="1111",TH!M1196="1111")),TH!D1196,""),"")</f>
        <v/>
      </c>
      <c r="B1196" s="585">
        <f t="shared" si="62"/>
        <v>8</v>
      </c>
      <c r="C1196" s="586">
        <f t="shared" si="63"/>
        <v>42599</v>
      </c>
      <c r="D1196" s="569" t="s">
        <v>1022</v>
      </c>
      <c r="E1196" s="613">
        <v>42599</v>
      </c>
      <c r="F1196" s="614" t="s">
        <v>531</v>
      </c>
      <c r="G1196" s="615" t="s">
        <v>728</v>
      </c>
      <c r="H1196" s="572" t="s">
        <v>1075</v>
      </c>
      <c r="I1196" s="137">
        <v>19</v>
      </c>
      <c r="J1196" s="137">
        <v>11293.5220309778</v>
      </c>
      <c r="K1196" s="21">
        <f t="shared" si="58"/>
        <v>214577</v>
      </c>
      <c r="L1196" s="567" t="s">
        <v>167</v>
      </c>
      <c r="M1196" s="567" t="s">
        <v>162</v>
      </c>
      <c r="N1196" s="22" t="str">
        <f>IF(AND('331-CT'!$E$7=TH!H1196,OR(L1196="331",M1196="331")),"331",IF(AND(OR(L1196="131",M1196="131"),H1196='131-CT'!$E$7),"131",""))</f>
        <v/>
      </c>
      <c r="O1196" s="22" t="str">
        <f>IF(AND($B1196&gt;='111'!$N$11,$B1196&lt;='111'!$O$11,OR($L1196=$O$7,$M1196=$O$7)),"x","")</f>
        <v/>
      </c>
      <c r="P1196" s="22" t="str">
        <f>IF(AND($L1196=$O$7,$B1196&lt;'111'!$N$11),"x","")</f>
        <v/>
      </c>
      <c r="Q1196" s="22" t="str">
        <f>IF(AND($M1196=$O$7,$B1196&lt;'111'!$N$11),"x","")</f>
        <v/>
      </c>
      <c r="R1196" s="22" t="str">
        <f>IF(ISERROR(FIND('112'!$M$9,G1196,1)),"",IF((AND(FIND('112'!$M$9,G1196,1)&gt;=1,$B1196&gt;='112'!$N$8,$B1196&lt;='112'!$O$8,OR($L1196='112'!$I$6,$M1196='112'!$I$6))),"x",""))</f>
        <v/>
      </c>
      <c r="S1196" s="22" t="str">
        <f>IF(ISERROR(FIND('112'!$M$9,G1196,1)),"",IF((AND(LEFT(G1196,2)=LEFT('112'!$M$9,2),B1196&lt;'112'!$N$8,$L1196='112'!$I$6)),"x",""))</f>
        <v/>
      </c>
      <c r="T1196" s="22" t="str">
        <f>IF(ISERROR(FIND('112'!$M$9,G1196,1)),"",IF((AND(RIGHT(G1196,2)=RIGHT('112'!$M$9,2),B1196&lt;'112'!$N$8,$M1196='112'!$I$6)),"x",""))</f>
        <v/>
      </c>
      <c r="U1196" s="22" t="str">
        <f>IF(AND(B1196&gt;='IN-NX'!$P$3,B1196&lt;='IN-NX'!$Q$3,'IN-NX'!$D$7=D1196,OR(LEFT(L1196,2)="15",AND(LEFT(M1196,2)&lt;&gt;"15",LEFT(M1196,2)&lt;&gt;"33"))),"x","")</f>
        <v/>
      </c>
      <c r="V1196" s="22" t="str">
        <f>IF(AND(OR(LEFT(TH!L1196,2)="15",LEFT(TH!M1196,2)="15"),'152-CT'!$J$8=TH!F1196),"x","")</f>
        <v/>
      </c>
      <c r="W1196" s="22" t="str">
        <f>IF(AND(OR(LEFT(TH!L1196,2)="15",LEFT(TH!M1196,2)="15"),TK!$E$7=TH!F1196),"x","")</f>
        <v/>
      </c>
      <c r="X1196" s="22" t="str">
        <f>IF(OR(TH!L1196=TH!$X$7,M1196=TH!$X$7),"x","")</f>
        <v/>
      </c>
      <c r="Y1196" s="22" t="str">
        <f>IF(AND(B1196&lt;=NKC!$N$8,B1196&gt;=NKC!$M$8),"x","")</f>
        <v>x</v>
      </c>
      <c r="Z1196" s="580"/>
      <c r="AA1196" s="588"/>
      <c r="AB1196" s="588"/>
    </row>
    <row r="1197" spans="1:31" s="589" customFormat="1" ht="15.75" customHeight="1">
      <c r="A1197" s="607" t="str">
        <f>IF(B1197&lt;&gt;"",IF(AND(B1197&gt;=_TM1,B1197&lt;=_TM2,OR(TH!L1197="1111",TH!M1197="1111")),TH!D1197,""),"")</f>
        <v/>
      </c>
      <c r="B1197" s="585">
        <f t="shared" si="62"/>
        <v>8</v>
      </c>
      <c r="C1197" s="586">
        <f t="shared" si="63"/>
        <v>42602</v>
      </c>
      <c r="D1197" s="569" t="s">
        <v>1022</v>
      </c>
      <c r="E1197" s="613">
        <v>42602</v>
      </c>
      <c r="F1197" s="614" t="s">
        <v>510</v>
      </c>
      <c r="G1197" s="615" t="s">
        <v>730</v>
      </c>
      <c r="H1197" s="572" t="s">
        <v>1075</v>
      </c>
      <c r="I1197" s="137">
        <v>940</v>
      </c>
      <c r="J1197" s="137">
        <v>5687.9782491785991</v>
      </c>
      <c r="K1197" s="21">
        <f t="shared" ref="K1197:K1260" si="64">ROUND(I1197*J1197,0)</f>
        <v>5346700</v>
      </c>
      <c r="L1197" s="567" t="s">
        <v>167</v>
      </c>
      <c r="M1197" s="567" t="s">
        <v>162</v>
      </c>
      <c r="N1197" s="22" t="str">
        <f>IF(AND('331-CT'!$E$7=TH!H1197,OR(L1197="331",M1197="331")),"331",IF(AND(OR(L1197="131",M1197="131"),H1197='131-CT'!$E$7),"131",""))</f>
        <v/>
      </c>
      <c r="O1197" s="22" t="str">
        <f>IF(AND($B1197&gt;='111'!$N$11,$B1197&lt;='111'!$O$11,OR($L1197=$O$7,$M1197=$O$7)),"x","")</f>
        <v/>
      </c>
      <c r="P1197" s="22" t="str">
        <f>IF(AND($L1197=$O$7,$B1197&lt;'111'!$N$11),"x","")</f>
        <v/>
      </c>
      <c r="Q1197" s="22" t="str">
        <f>IF(AND($M1197=$O$7,$B1197&lt;'111'!$N$11),"x","")</f>
        <v/>
      </c>
      <c r="R1197" s="22" t="str">
        <f>IF(ISERROR(FIND('112'!$M$9,G1197,1)),"",IF((AND(FIND('112'!$M$9,G1197,1)&gt;=1,$B1197&gt;='112'!$N$8,$B1197&lt;='112'!$O$8,OR($L1197='112'!$I$6,$M1197='112'!$I$6))),"x",""))</f>
        <v/>
      </c>
      <c r="S1197" s="22" t="str">
        <f>IF(ISERROR(FIND('112'!$M$9,G1197,1)),"",IF((AND(LEFT(G1197,2)=LEFT('112'!$M$9,2),B1197&lt;'112'!$N$8,$L1197='112'!$I$6)),"x",""))</f>
        <v/>
      </c>
      <c r="T1197" s="22" t="str">
        <f>IF(ISERROR(FIND('112'!$M$9,G1197,1)),"",IF((AND(RIGHT(G1197,2)=RIGHT('112'!$M$9,2),B1197&lt;'112'!$N$8,$M1197='112'!$I$6)),"x",""))</f>
        <v/>
      </c>
      <c r="U1197" s="22" t="str">
        <f>IF(AND(B1197&gt;='IN-NX'!$P$3,B1197&lt;='IN-NX'!$Q$3,'IN-NX'!$D$7=D1197,OR(LEFT(L1197,2)="15",AND(LEFT(M1197,2)&lt;&gt;"15",LEFT(M1197,2)&lt;&gt;"33"))),"x","")</f>
        <v/>
      </c>
      <c r="V1197" s="22" t="str">
        <f>IF(AND(OR(LEFT(TH!L1197,2)="15",LEFT(TH!M1197,2)="15"),'152-CT'!$J$8=TH!F1197),"x","")</f>
        <v/>
      </c>
      <c r="W1197" s="22" t="str">
        <f>IF(AND(OR(LEFT(TH!L1197,2)="15",LEFT(TH!M1197,2)="15"),TK!$E$7=TH!F1197),"x","")</f>
        <v/>
      </c>
      <c r="X1197" s="22" t="str">
        <f>IF(OR(TH!L1197=TH!$X$7,M1197=TH!$X$7),"x","")</f>
        <v/>
      </c>
      <c r="Y1197" s="22" t="str">
        <f>IF(AND(B1197&lt;=NKC!$N$8,B1197&gt;=NKC!$M$8),"x","")</f>
        <v>x</v>
      </c>
      <c r="Z1197" s="580"/>
      <c r="AA1197" s="588"/>
    </row>
    <row r="1198" spans="1:31" s="589" customFormat="1" ht="15.75" customHeight="1">
      <c r="A1198" s="607" t="str">
        <f>IF(B1198&lt;&gt;"",IF(AND(B1198&gt;=_TM1,B1198&lt;=_TM2,OR(TH!L1198="1111",TH!M1198="1111")),TH!D1198,""),"")</f>
        <v/>
      </c>
      <c r="B1198" s="585">
        <f t="shared" si="62"/>
        <v>8</v>
      </c>
      <c r="C1198" s="586">
        <f t="shared" si="63"/>
        <v>42605</v>
      </c>
      <c r="D1198" s="569" t="s">
        <v>1022</v>
      </c>
      <c r="E1198" s="613">
        <v>42605</v>
      </c>
      <c r="F1198" s="614" t="s">
        <v>685</v>
      </c>
      <c r="G1198" s="615" t="s">
        <v>731</v>
      </c>
      <c r="H1198" s="572" t="s">
        <v>1075</v>
      </c>
      <c r="I1198" s="591">
        <v>58</v>
      </c>
      <c r="J1198" s="591">
        <v>16239.590073741798</v>
      </c>
      <c r="K1198" s="21">
        <f t="shared" si="64"/>
        <v>941896</v>
      </c>
      <c r="L1198" s="567" t="s">
        <v>167</v>
      </c>
      <c r="M1198" s="567" t="s">
        <v>162</v>
      </c>
      <c r="N1198" s="22" t="str">
        <f>IF(AND('331-CT'!$E$7=TH!H1198,OR(L1198="331",M1198="331")),"331",IF(AND(OR(L1198="131",M1198="131"),H1198='131-CT'!$E$7),"131",""))</f>
        <v/>
      </c>
      <c r="O1198" s="22" t="str">
        <f>IF(AND($B1198&gt;='111'!$N$11,$B1198&lt;='111'!$O$11,OR($L1198=$O$7,$M1198=$O$7)),"x","")</f>
        <v/>
      </c>
      <c r="P1198" s="22" t="str">
        <f>IF(AND($L1198=$O$7,$B1198&lt;'111'!$N$11),"x","")</f>
        <v/>
      </c>
      <c r="Q1198" s="22" t="str">
        <f>IF(AND($M1198=$O$7,$B1198&lt;'111'!$N$11),"x","")</f>
        <v/>
      </c>
      <c r="R1198" s="22" t="str">
        <f>IF(ISERROR(FIND('112'!$M$9,G1198,1)),"",IF((AND(FIND('112'!$M$9,G1198,1)&gt;=1,$B1198&gt;='112'!$N$8,$B1198&lt;='112'!$O$8,OR($L1198='112'!$I$6,$M1198='112'!$I$6))),"x",""))</f>
        <v/>
      </c>
      <c r="S1198" s="22" t="str">
        <f>IF(ISERROR(FIND('112'!$M$9,G1198,1)),"",IF((AND(LEFT(G1198,2)=LEFT('112'!$M$9,2),B1198&lt;'112'!$N$8,$L1198='112'!$I$6)),"x",""))</f>
        <v/>
      </c>
      <c r="T1198" s="22" t="str">
        <f>IF(ISERROR(FIND('112'!$M$9,G1198,1)),"",IF((AND(RIGHT(G1198,2)=RIGHT('112'!$M$9,2),B1198&lt;'112'!$N$8,$M1198='112'!$I$6)),"x",""))</f>
        <v/>
      </c>
      <c r="U1198" s="22" t="str">
        <f>IF(AND(B1198&gt;='IN-NX'!$P$3,B1198&lt;='IN-NX'!$Q$3,'IN-NX'!$D$7=D1198,OR(LEFT(L1198,2)="15",AND(LEFT(M1198,2)&lt;&gt;"15",LEFT(M1198,2)&lt;&gt;"33"))),"x","")</f>
        <v/>
      </c>
      <c r="V1198" s="22" t="str">
        <f>IF(AND(OR(LEFT(TH!L1198,2)="15",LEFT(TH!M1198,2)="15"),'152-CT'!$J$8=TH!F1198),"x","")</f>
        <v/>
      </c>
      <c r="W1198" s="22" t="str">
        <f>IF(AND(OR(LEFT(TH!L1198,2)="15",LEFT(TH!M1198,2)="15"),TK!$E$7=TH!F1198),"x","")</f>
        <v/>
      </c>
      <c r="X1198" s="22" t="str">
        <f>IF(OR(TH!L1198=TH!$X$7,M1198=TH!$X$7),"x","")</f>
        <v/>
      </c>
      <c r="Y1198" s="22" t="str">
        <f>IF(AND(B1198&lt;=NKC!$N$8,B1198&gt;=NKC!$M$8),"x","")</f>
        <v>x</v>
      </c>
      <c r="Z1198" s="580"/>
      <c r="AA1198" s="588"/>
      <c r="AB1198" s="588"/>
    </row>
    <row r="1199" spans="1:31" s="589" customFormat="1" ht="15.75" customHeight="1">
      <c r="A1199" s="607" t="str">
        <f>IF(B1199&lt;&gt;"",IF(AND(B1199&gt;=_TM1,B1199&lt;=_TM2,OR(TH!L1199="1111",TH!M1199="1111")),TH!D1199,""),"")</f>
        <v/>
      </c>
      <c r="B1199" s="585">
        <f t="shared" si="62"/>
        <v>8</v>
      </c>
      <c r="C1199" s="586">
        <f t="shared" si="63"/>
        <v>42605</v>
      </c>
      <c r="D1199" s="569" t="s">
        <v>1022</v>
      </c>
      <c r="E1199" s="613">
        <v>42605</v>
      </c>
      <c r="F1199" s="614" t="s">
        <v>498</v>
      </c>
      <c r="G1199" s="615" t="s">
        <v>731</v>
      </c>
      <c r="H1199" s="572" t="s">
        <v>1075</v>
      </c>
      <c r="I1199" s="137">
        <v>56</v>
      </c>
      <c r="J1199" s="137">
        <v>824.34467379399996</v>
      </c>
      <c r="K1199" s="21">
        <f t="shared" si="64"/>
        <v>46163</v>
      </c>
      <c r="L1199" s="567" t="s">
        <v>167</v>
      </c>
      <c r="M1199" s="567" t="s">
        <v>162</v>
      </c>
      <c r="N1199" s="22" t="str">
        <f>IF(AND('331-CT'!$E$7=TH!H1199,OR(L1199="331",M1199="331")),"331",IF(AND(OR(L1199="131",M1199="131"),H1199='131-CT'!$E$7),"131",""))</f>
        <v/>
      </c>
      <c r="O1199" s="22" t="str">
        <f>IF(AND($B1199&gt;='111'!$N$11,$B1199&lt;='111'!$O$11,OR($L1199=$O$7,$M1199=$O$7)),"x","")</f>
        <v/>
      </c>
      <c r="P1199" s="22" t="str">
        <f>IF(AND($L1199=$O$7,$B1199&lt;'111'!$N$11),"x","")</f>
        <v/>
      </c>
      <c r="Q1199" s="22" t="str">
        <f>IF(AND($M1199=$O$7,$B1199&lt;'111'!$N$11),"x","")</f>
        <v/>
      </c>
      <c r="R1199" s="22" t="str">
        <f>IF(ISERROR(FIND('112'!$M$9,G1199,1)),"",IF((AND(FIND('112'!$M$9,G1199,1)&gt;=1,$B1199&gt;='112'!$N$8,$B1199&lt;='112'!$O$8,OR($L1199='112'!$I$6,$M1199='112'!$I$6))),"x",""))</f>
        <v/>
      </c>
      <c r="S1199" s="22" t="str">
        <f>IF(ISERROR(FIND('112'!$M$9,G1199,1)),"",IF((AND(LEFT(G1199,2)=LEFT('112'!$M$9,2),B1199&lt;'112'!$N$8,$L1199='112'!$I$6)),"x",""))</f>
        <v/>
      </c>
      <c r="T1199" s="22" t="str">
        <f>IF(ISERROR(FIND('112'!$M$9,G1199,1)),"",IF((AND(RIGHT(G1199,2)=RIGHT('112'!$M$9,2),B1199&lt;'112'!$N$8,$M1199='112'!$I$6)),"x",""))</f>
        <v/>
      </c>
      <c r="U1199" s="22" t="str">
        <f>IF(AND(B1199&gt;='IN-NX'!$P$3,B1199&lt;='IN-NX'!$Q$3,'IN-NX'!$D$7=D1199,OR(LEFT(L1199,2)="15",AND(LEFT(M1199,2)&lt;&gt;"15",LEFT(M1199,2)&lt;&gt;"33"))),"x","")</f>
        <v/>
      </c>
      <c r="V1199" s="22" t="str">
        <f>IF(AND(OR(LEFT(TH!L1199,2)="15",LEFT(TH!M1199,2)="15"),'152-CT'!$J$8=TH!F1199),"x","")</f>
        <v/>
      </c>
      <c r="W1199" s="22" t="str">
        <f>IF(AND(OR(LEFT(TH!L1199,2)="15",LEFT(TH!M1199,2)="15"),TK!$E$7=TH!F1199),"x","")</f>
        <v/>
      </c>
      <c r="X1199" s="22" t="str">
        <f>IF(OR(TH!L1199=TH!$X$7,M1199=TH!$X$7),"x","")</f>
        <v/>
      </c>
      <c r="Y1199" s="22" t="str">
        <f>IF(AND(B1199&lt;=NKC!$N$8,B1199&gt;=NKC!$M$8),"x","")</f>
        <v>x</v>
      </c>
      <c r="Z1199" s="580"/>
      <c r="AA1199" s="588"/>
      <c r="AB1199" s="588"/>
      <c r="AD1199" s="588"/>
      <c r="AE1199" s="588"/>
    </row>
    <row r="1200" spans="1:31" s="589" customFormat="1" ht="15.75" customHeight="1">
      <c r="A1200" s="607" t="str">
        <f>IF(B1200&lt;&gt;"",IF(AND(B1200&gt;=_TM1,B1200&lt;=_TM2,OR(TH!L1200="1111",TH!M1200="1111")),TH!D1200,""),"")</f>
        <v/>
      </c>
      <c r="B1200" s="585">
        <f t="shared" si="62"/>
        <v>8</v>
      </c>
      <c r="C1200" s="586">
        <f t="shared" si="63"/>
        <v>42607</v>
      </c>
      <c r="D1200" s="569" t="s">
        <v>1022</v>
      </c>
      <c r="E1200" s="613">
        <v>42607</v>
      </c>
      <c r="F1200" s="614" t="s">
        <v>653</v>
      </c>
      <c r="G1200" s="615" t="s">
        <v>732</v>
      </c>
      <c r="H1200" s="572" t="s">
        <v>1075</v>
      </c>
      <c r="I1200" s="137">
        <v>1040</v>
      </c>
      <c r="J1200" s="137">
        <v>11870.563302633598</v>
      </c>
      <c r="K1200" s="21">
        <f t="shared" si="64"/>
        <v>12345386</v>
      </c>
      <c r="L1200" s="567" t="s">
        <v>167</v>
      </c>
      <c r="M1200" s="567" t="s">
        <v>162</v>
      </c>
      <c r="N1200" s="22" t="str">
        <f>IF(AND('331-CT'!$E$7=TH!H1200,OR(L1200="331",M1200="331")),"331",IF(AND(OR(L1200="131",M1200="131"),H1200='131-CT'!$E$7),"131",""))</f>
        <v/>
      </c>
      <c r="O1200" s="22" t="str">
        <f>IF(AND($B1200&gt;='111'!$N$11,$B1200&lt;='111'!$O$11,OR($L1200=$O$7,$M1200=$O$7)),"x","")</f>
        <v/>
      </c>
      <c r="P1200" s="22" t="str">
        <f>IF(AND($L1200=$O$7,$B1200&lt;'111'!$N$11),"x","")</f>
        <v/>
      </c>
      <c r="Q1200" s="22" t="str">
        <f>IF(AND($M1200=$O$7,$B1200&lt;'111'!$N$11),"x","")</f>
        <v/>
      </c>
      <c r="R1200" s="22" t="str">
        <f>IF(ISERROR(FIND('112'!$M$9,G1200,1)),"",IF((AND(FIND('112'!$M$9,G1200,1)&gt;=1,$B1200&gt;='112'!$N$8,$B1200&lt;='112'!$O$8,OR($L1200='112'!$I$6,$M1200='112'!$I$6))),"x",""))</f>
        <v/>
      </c>
      <c r="S1200" s="22" t="str">
        <f>IF(ISERROR(FIND('112'!$M$9,G1200,1)),"",IF((AND(LEFT(G1200,2)=LEFT('112'!$M$9,2),B1200&lt;'112'!$N$8,$L1200='112'!$I$6)),"x",""))</f>
        <v/>
      </c>
      <c r="T1200" s="22" t="str">
        <f>IF(ISERROR(FIND('112'!$M$9,G1200,1)),"",IF((AND(RIGHT(G1200,2)=RIGHT('112'!$M$9,2),B1200&lt;'112'!$N$8,$M1200='112'!$I$6)),"x",""))</f>
        <v/>
      </c>
      <c r="U1200" s="22" t="str">
        <f>IF(AND(B1200&gt;='IN-NX'!$P$3,B1200&lt;='IN-NX'!$Q$3,'IN-NX'!$D$7=D1200,OR(LEFT(L1200,2)="15",AND(LEFT(M1200,2)&lt;&gt;"15",LEFT(M1200,2)&lt;&gt;"33"))),"x","")</f>
        <v/>
      </c>
      <c r="V1200" s="22" t="str">
        <f>IF(AND(OR(LEFT(TH!L1200,2)="15",LEFT(TH!M1200,2)="15"),'152-CT'!$J$8=TH!F1200),"x","")</f>
        <v/>
      </c>
      <c r="W1200" s="22" t="str">
        <f>IF(AND(OR(LEFT(TH!L1200,2)="15",LEFT(TH!M1200,2)="15"),TK!$E$7=TH!F1200),"x","")</f>
        <v/>
      </c>
      <c r="X1200" s="22" t="str">
        <f>IF(OR(TH!L1200=TH!$X$7,M1200=TH!$X$7),"x","")</f>
        <v/>
      </c>
      <c r="Y1200" s="22" t="str">
        <f>IF(AND(B1200&lt;=NKC!$N$8,B1200&gt;=NKC!$M$8),"x","")</f>
        <v>x</v>
      </c>
      <c r="Z1200" s="580"/>
      <c r="AA1200" s="588"/>
      <c r="AB1200" s="588"/>
      <c r="AD1200" s="588"/>
      <c r="AE1200" s="588"/>
    </row>
    <row r="1201" spans="1:31" s="589" customFormat="1" ht="15.75" customHeight="1">
      <c r="A1201" s="607" t="str">
        <f>IF(B1201&lt;&gt;"",IF(AND(B1201&gt;=_TM1,B1201&lt;=_TM2,OR(TH!L1201="1111",TH!M1201="1111")),TH!D1201,""),"")</f>
        <v/>
      </c>
      <c r="B1201" s="585">
        <f t="shared" si="62"/>
        <v>8</v>
      </c>
      <c r="C1201" s="586">
        <f t="shared" ref="C1201:C1264" si="65">E1201</f>
        <v>42607</v>
      </c>
      <c r="D1201" s="569" t="s">
        <v>1022</v>
      </c>
      <c r="E1201" s="613">
        <v>42607</v>
      </c>
      <c r="F1201" s="614" t="s">
        <v>653</v>
      </c>
      <c r="G1201" s="615" t="s">
        <v>733</v>
      </c>
      <c r="H1201" s="572" t="s">
        <v>1075</v>
      </c>
      <c r="I1201" s="137">
        <v>110</v>
      </c>
      <c r="J1201" s="137">
        <v>11870.563302633598</v>
      </c>
      <c r="K1201" s="21">
        <f t="shared" si="64"/>
        <v>1305762</v>
      </c>
      <c r="L1201" s="567" t="s">
        <v>167</v>
      </c>
      <c r="M1201" s="567" t="s">
        <v>162</v>
      </c>
      <c r="N1201" s="22" t="str">
        <f>IF(AND('331-CT'!$E$7=TH!H1201,OR(L1201="331",M1201="331")),"331",IF(AND(OR(L1201="131",M1201="131"),H1201='131-CT'!$E$7),"131",""))</f>
        <v/>
      </c>
      <c r="O1201" s="22" t="str">
        <f>IF(AND($B1201&gt;='111'!$N$11,$B1201&lt;='111'!$O$11,OR($L1201=$O$7,$M1201=$O$7)),"x","")</f>
        <v/>
      </c>
      <c r="P1201" s="22" t="str">
        <f>IF(AND($L1201=$O$7,$B1201&lt;'111'!$N$11),"x","")</f>
        <v/>
      </c>
      <c r="Q1201" s="22" t="str">
        <f>IF(AND($M1201=$O$7,$B1201&lt;'111'!$N$11),"x","")</f>
        <v/>
      </c>
      <c r="R1201" s="22" t="str">
        <f>IF(ISERROR(FIND('112'!$M$9,G1201,1)),"",IF((AND(FIND('112'!$M$9,G1201,1)&gt;=1,$B1201&gt;='112'!$N$8,$B1201&lt;='112'!$O$8,OR($L1201='112'!$I$6,$M1201='112'!$I$6))),"x",""))</f>
        <v/>
      </c>
      <c r="S1201" s="22" t="str">
        <f>IF(ISERROR(FIND('112'!$M$9,G1201,1)),"",IF((AND(LEFT(G1201,2)=LEFT('112'!$M$9,2),B1201&lt;'112'!$N$8,$L1201='112'!$I$6)),"x",""))</f>
        <v/>
      </c>
      <c r="T1201" s="22" t="str">
        <f>IF(ISERROR(FIND('112'!$M$9,G1201,1)),"",IF((AND(RIGHT(G1201,2)=RIGHT('112'!$M$9,2),B1201&lt;'112'!$N$8,$M1201='112'!$I$6)),"x",""))</f>
        <v/>
      </c>
      <c r="U1201" s="22" t="str">
        <f>IF(AND(B1201&gt;='IN-NX'!$P$3,B1201&lt;='IN-NX'!$Q$3,'IN-NX'!$D$7=D1201,OR(LEFT(L1201,2)="15",AND(LEFT(M1201,2)&lt;&gt;"15",LEFT(M1201,2)&lt;&gt;"33"))),"x","")</f>
        <v/>
      </c>
      <c r="V1201" s="22" t="str">
        <f>IF(AND(OR(LEFT(TH!L1201,2)="15",LEFT(TH!M1201,2)="15"),'152-CT'!$J$8=TH!F1201),"x","")</f>
        <v/>
      </c>
      <c r="W1201" s="22" t="str">
        <f>IF(AND(OR(LEFT(TH!L1201,2)="15",LEFT(TH!M1201,2)="15"),TK!$E$7=TH!F1201),"x","")</f>
        <v/>
      </c>
      <c r="X1201" s="22" t="str">
        <f>IF(OR(TH!L1201=TH!$X$7,M1201=TH!$X$7),"x","")</f>
        <v/>
      </c>
      <c r="Y1201" s="22" t="str">
        <f>IF(AND(B1201&lt;=NKC!$N$8,B1201&gt;=NKC!$M$8),"x","")</f>
        <v>x</v>
      </c>
      <c r="Z1201" s="580"/>
      <c r="AA1201" s="588"/>
      <c r="AD1201" s="588"/>
      <c r="AE1201" s="588"/>
    </row>
    <row r="1202" spans="1:31" s="589" customFormat="1" ht="15.75" customHeight="1">
      <c r="A1202" s="607" t="str">
        <f>IF(B1202&lt;&gt;"",IF(AND(B1202&gt;=_TM1,B1202&lt;=_TM2,OR(TH!L1202="1111",TH!M1202="1111")),TH!D1202,""),"")</f>
        <v/>
      </c>
      <c r="B1202" s="585">
        <f t="shared" si="62"/>
        <v>8</v>
      </c>
      <c r="C1202" s="586">
        <f t="shared" si="65"/>
        <v>42608</v>
      </c>
      <c r="D1202" s="569" t="s">
        <v>1022</v>
      </c>
      <c r="E1202" s="613">
        <v>42608</v>
      </c>
      <c r="F1202" s="614" t="s">
        <v>534</v>
      </c>
      <c r="G1202" s="615" t="s">
        <v>734</v>
      </c>
      <c r="H1202" s="572" t="s">
        <v>1075</v>
      </c>
      <c r="I1202" s="137">
        <v>120</v>
      </c>
      <c r="J1202" s="137">
        <v>12612.473509048199</v>
      </c>
      <c r="K1202" s="21">
        <f t="shared" si="64"/>
        <v>1513497</v>
      </c>
      <c r="L1202" s="567" t="s">
        <v>167</v>
      </c>
      <c r="M1202" s="567" t="s">
        <v>162</v>
      </c>
      <c r="N1202" s="22" t="str">
        <f>IF(AND('331-CT'!$E$7=TH!H1202,OR(L1202="331",M1202="331")),"331",IF(AND(OR(L1202="131",M1202="131"),H1202='131-CT'!$E$7),"131",""))</f>
        <v/>
      </c>
      <c r="O1202" s="22" t="str">
        <f>IF(AND($B1202&gt;='111'!$N$11,$B1202&lt;='111'!$O$11,OR($L1202=$O$7,$M1202=$O$7)),"x","")</f>
        <v/>
      </c>
      <c r="P1202" s="22" t="str">
        <f>IF(AND($L1202=$O$7,$B1202&lt;'111'!$N$11),"x","")</f>
        <v/>
      </c>
      <c r="Q1202" s="22" t="str">
        <f>IF(AND($M1202=$O$7,$B1202&lt;'111'!$N$11),"x","")</f>
        <v/>
      </c>
      <c r="R1202" s="22" t="str">
        <f>IF(ISERROR(FIND('112'!$M$9,G1202,1)),"",IF((AND(FIND('112'!$M$9,G1202,1)&gt;=1,$B1202&gt;='112'!$N$8,$B1202&lt;='112'!$O$8,OR($L1202='112'!$I$6,$M1202='112'!$I$6))),"x",""))</f>
        <v/>
      </c>
      <c r="S1202" s="22" t="str">
        <f>IF(ISERROR(FIND('112'!$M$9,G1202,1)),"",IF((AND(LEFT(G1202,2)=LEFT('112'!$M$9,2),B1202&lt;'112'!$N$8,$L1202='112'!$I$6)),"x",""))</f>
        <v/>
      </c>
      <c r="T1202" s="22" t="str">
        <f>IF(ISERROR(FIND('112'!$M$9,G1202,1)),"",IF((AND(RIGHT(G1202,2)=RIGHT('112'!$M$9,2),B1202&lt;'112'!$N$8,$M1202='112'!$I$6)),"x",""))</f>
        <v/>
      </c>
      <c r="U1202" s="22" t="str">
        <f>IF(AND(B1202&gt;='IN-NX'!$P$3,B1202&lt;='IN-NX'!$Q$3,'IN-NX'!$D$7=D1202,OR(LEFT(L1202,2)="15",AND(LEFT(M1202,2)&lt;&gt;"15",LEFT(M1202,2)&lt;&gt;"33"))),"x","")</f>
        <v/>
      </c>
      <c r="V1202" s="22" t="str">
        <f>IF(AND(OR(LEFT(TH!L1202,2)="15",LEFT(TH!M1202,2)="15"),'152-CT'!$J$8=TH!F1202),"x","")</f>
        <v/>
      </c>
      <c r="W1202" s="22" t="str">
        <f>IF(AND(OR(LEFT(TH!L1202,2)="15",LEFT(TH!M1202,2)="15"),TK!$E$7=TH!F1202),"x","")</f>
        <v/>
      </c>
      <c r="X1202" s="22" t="str">
        <f>IF(OR(TH!L1202=TH!$X$7,M1202=TH!$X$7),"x","")</f>
        <v/>
      </c>
      <c r="Y1202" s="22" t="str">
        <f>IF(AND(B1202&lt;=NKC!$N$8,B1202&gt;=NKC!$M$8),"x","")</f>
        <v>x</v>
      </c>
      <c r="Z1202" s="580"/>
      <c r="AA1202" s="588"/>
      <c r="AB1202" s="588"/>
      <c r="AD1202" s="588"/>
      <c r="AE1202" s="588"/>
    </row>
    <row r="1203" spans="1:31" s="589" customFormat="1" ht="15.75" customHeight="1">
      <c r="A1203" s="607" t="str">
        <f>IF(B1203&lt;&gt;"",IF(AND(B1203&gt;=_TM1,B1203&lt;=_TM2,OR(TH!L1203="1111",TH!M1203="1111")),TH!D1203,""),"")</f>
        <v/>
      </c>
      <c r="B1203" s="585">
        <f t="shared" si="62"/>
        <v>8</v>
      </c>
      <c r="C1203" s="586">
        <f t="shared" si="65"/>
        <v>42608</v>
      </c>
      <c r="D1203" s="569" t="s">
        <v>1022</v>
      </c>
      <c r="E1203" s="613">
        <v>42608</v>
      </c>
      <c r="F1203" s="614" t="s">
        <v>535</v>
      </c>
      <c r="G1203" s="615" t="s">
        <v>734</v>
      </c>
      <c r="H1203" s="572" t="s">
        <v>1075</v>
      </c>
      <c r="I1203" s="137">
        <v>240</v>
      </c>
      <c r="J1203" s="137">
        <v>1566.2548802085998</v>
      </c>
      <c r="K1203" s="21">
        <f t="shared" si="64"/>
        <v>375901</v>
      </c>
      <c r="L1203" s="567" t="s">
        <v>167</v>
      </c>
      <c r="M1203" s="567" t="s">
        <v>162</v>
      </c>
      <c r="N1203" s="22" t="str">
        <f>IF(AND('331-CT'!$E$7=TH!H1203,OR(L1203="331",M1203="331")),"331",IF(AND(OR(L1203="131",M1203="131"),H1203='131-CT'!$E$7),"131",""))</f>
        <v/>
      </c>
      <c r="O1203" s="22" t="str">
        <f>IF(AND($B1203&gt;='111'!$N$11,$B1203&lt;='111'!$O$11,OR($L1203=$O$7,$M1203=$O$7)),"x","")</f>
        <v/>
      </c>
      <c r="P1203" s="22" t="str">
        <f>IF(AND($L1203=$O$7,$B1203&lt;'111'!$N$11),"x","")</f>
        <v/>
      </c>
      <c r="Q1203" s="22" t="str">
        <f>IF(AND($M1203=$O$7,$B1203&lt;'111'!$N$11),"x","")</f>
        <v/>
      </c>
      <c r="R1203" s="22" t="str">
        <f>IF(ISERROR(FIND('112'!$M$9,G1203,1)),"",IF((AND(FIND('112'!$M$9,G1203,1)&gt;=1,$B1203&gt;='112'!$N$8,$B1203&lt;='112'!$O$8,OR($L1203='112'!$I$6,$M1203='112'!$I$6))),"x",""))</f>
        <v/>
      </c>
      <c r="S1203" s="22" t="str">
        <f>IF(ISERROR(FIND('112'!$M$9,G1203,1)),"",IF((AND(LEFT(G1203,2)=LEFT('112'!$M$9,2),B1203&lt;'112'!$N$8,$L1203='112'!$I$6)),"x",""))</f>
        <v/>
      </c>
      <c r="T1203" s="22" t="str">
        <f>IF(ISERROR(FIND('112'!$M$9,G1203,1)),"",IF((AND(RIGHT(G1203,2)=RIGHT('112'!$M$9,2),B1203&lt;'112'!$N$8,$M1203='112'!$I$6)),"x",""))</f>
        <v/>
      </c>
      <c r="U1203" s="22" t="str">
        <f>IF(AND(B1203&gt;='IN-NX'!$P$3,B1203&lt;='IN-NX'!$Q$3,'IN-NX'!$D$7=D1203,OR(LEFT(L1203,2)="15",AND(LEFT(M1203,2)&lt;&gt;"15",LEFT(M1203,2)&lt;&gt;"33"))),"x","")</f>
        <v/>
      </c>
      <c r="V1203" s="22" t="str">
        <f>IF(AND(OR(LEFT(TH!L1203,2)="15",LEFT(TH!M1203,2)="15"),'152-CT'!$J$8=TH!F1203),"x","")</f>
        <v/>
      </c>
      <c r="W1203" s="22" t="str">
        <f>IF(AND(OR(LEFT(TH!L1203,2)="15",LEFT(TH!M1203,2)="15"),TK!$E$7=TH!F1203),"x","")</f>
        <v/>
      </c>
      <c r="X1203" s="22" t="str">
        <f>IF(OR(TH!L1203=TH!$X$7,M1203=TH!$X$7),"x","")</f>
        <v/>
      </c>
      <c r="Y1203" s="22" t="str">
        <f>IF(AND(B1203&lt;=NKC!$N$8,B1203&gt;=NKC!$M$8),"x","")</f>
        <v>x</v>
      </c>
      <c r="Z1203" s="580"/>
      <c r="AA1203" s="588"/>
      <c r="AB1203" s="588"/>
    </row>
    <row r="1204" spans="1:31" s="589" customFormat="1" ht="15.75" customHeight="1">
      <c r="A1204" s="607" t="str">
        <f>IF(B1204&lt;&gt;"",IF(AND(B1204&gt;=_TM1,B1204&lt;=_TM2,OR(TH!L1204="1111",TH!M1204="1111")),TH!D1204,""),"")</f>
        <v/>
      </c>
      <c r="B1204" s="585">
        <f t="shared" si="62"/>
        <v>8</v>
      </c>
      <c r="C1204" s="586">
        <f t="shared" si="65"/>
        <v>42608</v>
      </c>
      <c r="D1204" s="569" t="s">
        <v>1022</v>
      </c>
      <c r="E1204" s="613">
        <v>42608</v>
      </c>
      <c r="F1204" s="614" t="s">
        <v>515</v>
      </c>
      <c r="G1204" s="615" t="s">
        <v>735</v>
      </c>
      <c r="H1204" s="572" t="s">
        <v>1075</v>
      </c>
      <c r="I1204" s="137">
        <v>513</v>
      </c>
      <c r="J1204" s="137">
        <v>7831.2744010429988</v>
      </c>
      <c r="K1204" s="21">
        <f t="shared" si="64"/>
        <v>4017444</v>
      </c>
      <c r="L1204" s="567" t="s">
        <v>167</v>
      </c>
      <c r="M1204" s="567" t="s">
        <v>162</v>
      </c>
      <c r="N1204" s="22" t="str">
        <f>IF(AND('331-CT'!$E$7=TH!H1204,OR(L1204="331",M1204="331")),"331",IF(AND(OR(L1204="131",M1204="131"),H1204='131-CT'!$E$7),"131",""))</f>
        <v/>
      </c>
      <c r="O1204" s="22" t="str">
        <f>IF(AND($B1204&gt;='111'!$N$11,$B1204&lt;='111'!$O$11,OR($L1204=$O$7,$M1204=$O$7)),"x","")</f>
        <v/>
      </c>
      <c r="P1204" s="22" t="str">
        <f>IF(AND($L1204=$O$7,$B1204&lt;'111'!$N$11),"x","")</f>
        <v/>
      </c>
      <c r="Q1204" s="22" t="str">
        <f>IF(AND($M1204=$O$7,$B1204&lt;'111'!$N$11),"x","")</f>
        <v/>
      </c>
      <c r="R1204" s="22" t="str">
        <f>IF(ISERROR(FIND('112'!$M$9,G1204,1)),"",IF((AND(FIND('112'!$M$9,G1204,1)&gt;=1,$B1204&gt;='112'!$N$8,$B1204&lt;='112'!$O$8,OR($L1204='112'!$I$6,$M1204='112'!$I$6))),"x",""))</f>
        <v/>
      </c>
      <c r="S1204" s="22" t="str">
        <f>IF(ISERROR(FIND('112'!$M$9,G1204,1)),"",IF((AND(LEFT(G1204,2)=LEFT('112'!$M$9,2),B1204&lt;'112'!$N$8,$L1204='112'!$I$6)),"x",""))</f>
        <v/>
      </c>
      <c r="T1204" s="22" t="str">
        <f>IF(ISERROR(FIND('112'!$M$9,G1204,1)),"",IF((AND(RIGHT(G1204,2)=RIGHT('112'!$M$9,2),B1204&lt;'112'!$N$8,$M1204='112'!$I$6)),"x",""))</f>
        <v/>
      </c>
      <c r="U1204" s="22" t="str">
        <f>IF(AND(B1204&gt;='IN-NX'!$P$3,B1204&lt;='IN-NX'!$Q$3,'IN-NX'!$D$7=D1204,OR(LEFT(L1204,2)="15",AND(LEFT(M1204,2)&lt;&gt;"15",LEFT(M1204,2)&lt;&gt;"33"))),"x","")</f>
        <v/>
      </c>
      <c r="V1204" s="22" t="str">
        <f>IF(AND(OR(LEFT(TH!L1204,2)="15",LEFT(TH!M1204,2)="15"),'152-CT'!$J$8=TH!F1204),"x","")</f>
        <v/>
      </c>
      <c r="W1204" s="22" t="str">
        <f>IF(AND(OR(LEFT(TH!L1204,2)="15",LEFT(TH!M1204,2)="15"),TK!$E$7=TH!F1204),"x","")</f>
        <v/>
      </c>
      <c r="X1204" s="22" t="str">
        <f>IF(OR(TH!L1204=TH!$X$7,M1204=TH!$X$7),"x","")</f>
        <v/>
      </c>
      <c r="Y1204" s="22" t="str">
        <f>IF(AND(B1204&lt;=NKC!$N$8,B1204&gt;=NKC!$M$8),"x","")</f>
        <v>x</v>
      </c>
      <c r="Z1204" s="580"/>
      <c r="AA1204" s="588"/>
    </row>
    <row r="1205" spans="1:31" s="589" customFormat="1" ht="15.75" customHeight="1">
      <c r="A1205" s="607" t="str">
        <f>IF(B1205&lt;&gt;"",IF(AND(B1205&gt;=_TM1,B1205&lt;=_TM2,OR(TH!L1205="1111",TH!M1205="1111")),TH!D1205,""),"")</f>
        <v/>
      </c>
      <c r="B1205" s="585">
        <f t="shared" si="62"/>
        <v>8</v>
      </c>
      <c r="C1205" s="586">
        <f t="shared" si="65"/>
        <v>42608</v>
      </c>
      <c r="D1205" s="569" t="s">
        <v>1022</v>
      </c>
      <c r="E1205" s="613">
        <v>42608</v>
      </c>
      <c r="F1205" s="614" t="s">
        <v>536</v>
      </c>
      <c r="G1205" s="615" t="s">
        <v>736</v>
      </c>
      <c r="H1205" s="572" t="s">
        <v>1075</v>
      </c>
      <c r="I1205" s="137">
        <v>1000</v>
      </c>
      <c r="J1205" s="137">
        <v>5935.2816513167991</v>
      </c>
      <c r="K1205" s="21">
        <f t="shared" si="64"/>
        <v>5935282</v>
      </c>
      <c r="L1205" s="567" t="s">
        <v>167</v>
      </c>
      <c r="M1205" s="567" t="s">
        <v>162</v>
      </c>
      <c r="N1205" s="22" t="str">
        <f>IF(AND('331-CT'!$E$7=TH!H1205,OR(L1205="331",M1205="331")),"331",IF(AND(OR(L1205="131",M1205="131"),H1205='131-CT'!$E$7),"131",""))</f>
        <v/>
      </c>
      <c r="O1205" s="22" t="str">
        <f>IF(AND($B1205&gt;='111'!$N$11,$B1205&lt;='111'!$O$11,OR($L1205=$O$7,$M1205=$O$7)),"x","")</f>
        <v/>
      </c>
      <c r="P1205" s="22" t="str">
        <f>IF(AND($L1205=$O$7,$B1205&lt;'111'!$N$11),"x","")</f>
        <v/>
      </c>
      <c r="Q1205" s="22" t="str">
        <f>IF(AND($M1205=$O$7,$B1205&lt;'111'!$N$11),"x","")</f>
        <v/>
      </c>
      <c r="R1205" s="22" t="str">
        <f>IF(ISERROR(FIND('112'!$M$9,G1205,1)),"",IF((AND(FIND('112'!$M$9,G1205,1)&gt;=1,$B1205&gt;='112'!$N$8,$B1205&lt;='112'!$O$8,OR($L1205='112'!$I$6,$M1205='112'!$I$6))),"x",""))</f>
        <v/>
      </c>
      <c r="S1205" s="22" t="str">
        <f>IF(ISERROR(FIND('112'!$M$9,G1205,1)),"",IF((AND(LEFT(G1205,2)=LEFT('112'!$M$9,2),B1205&lt;'112'!$N$8,$L1205='112'!$I$6)),"x",""))</f>
        <v/>
      </c>
      <c r="T1205" s="22" t="str">
        <f>IF(ISERROR(FIND('112'!$M$9,G1205,1)),"",IF((AND(RIGHT(G1205,2)=RIGHT('112'!$M$9,2),B1205&lt;'112'!$N$8,$M1205='112'!$I$6)),"x",""))</f>
        <v/>
      </c>
      <c r="U1205" s="22" t="str">
        <f>IF(AND(B1205&gt;='IN-NX'!$P$3,B1205&lt;='IN-NX'!$Q$3,'IN-NX'!$D$7=D1205,OR(LEFT(L1205,2)="15",AND(LEFT(M1205,2)&lt;&gt;"15",LEFT(M1205,2)&lt;&gt;"33"))),"x","")</f>
        <v/>
      </c>
      <c r="V1205" s="22" t="str">
        <f>IF(AND(OR(LEFT(TH!L1205,2)="15",LEFT(TH!M1205,2)="15"),'152-CT'!$J$8=TH!F1205),"x","")</f>
        <v/>
      </c>
      <c r="W1205" s="22" t="str">
        <f>IF(AND(OR(LEFT(TH!L1205,2)="15",LEFT(TH!M1205,2)="15"),TK!$E$7=TH!F1205),"x","")</f>
        <v/>
      </c>
      <c r="X1205" s="22" t="str">
        <f>IF(OR(TH!L1205=TH!$X$7,M1205=TH!$X$7),"x","")</f>
        <v/>
      </c>
      <c r="Y1205" s="22" t="str">
        <f>IF(AND(B1205&lt;=NKC!$N$8,B1205&gt;=NKC!$M$8),"x","")</f>
        <v>x</v>
      </c>
      <c r="Z1205" s="580"/>
      <c r="AA1205" s="588"/>
      <c r="AB1205" s="588"/>
    </row>
    <row r="1206" spans="1:31" s="589" customFormat="1" ht="15.75" customHeight="1">
      <c r="A1206" s="607" t="str">
        <f>IF(B1206&lt;&gt;"",IF(AND(B1206&gt;=_TM1,B1206&lt;=_TM2,OR(TH!L1206="1111",TH!M1206="1111")),TH!D1206,""),"")</f>
        <v/>
      </c>
      <c r="B1206" s="585">
        <f t="shared" si="62"/>
        <v>8</v>
      </c>
      <c r="C1206" s="586">
        <f t="shared" si="65"/>
        <v>42608</v>
      </c>
      <c r="D1206" s="569" t="s">
        <v>1022</v>
      </c>
      <c r="E1206" s="613">
        <v>42608</v>
      </c>
      <c r="F1206" s="614" t="s">
        <v>537</v>
      </c>
      <c r="G1206" s="615" t="s">
        <v>736</v>
      </c>
      <c r="H1206" s="572" t="s">
        <v>1075</v>
      </c>
      <c r="I1206" s="591">
        <v>970</v>
      </c>
      <c r="J1206" s="591">
        <v>6182.5850534549991</v>
      </c>
      <c r="K1206" s="21">
        <f t="shared" si="64"/>
        <v>5997108</v>
      </c>
      <c r="L1206" s="567" t="s">
        <v>167</v>
      </c>
      <c r="M1206" s="567" t="s">
        <v>162</v>
      </c>
      <c r="N1206" s="22" t="str">
        <f>IF(AND('331-CT'!$E$7=TH!H1206,OR(L1206="331",M1206="331")),"331",IF(AND(OR(L1206="131",M1206="131"),H1206='131-CT'!$E$7),"131",""))</f>
        <v/>
      </c>
      <c r="O1206" s="22" t="str">
        <f>IF(AND($B1206&gt;='111'!$N$11,$B1206&lt;='111'!$O$11,OR($L1206=$O$7,$M1206=$O$7)),"x","")</f>
        <v/>
      </c>
      <c r="P1206" s="22" t="str">
        <f>IF(AND($L1206=$O$7,$B1206&lt;'111'!$N$11),"x","")</f>
        <v/>
      </c>
      <c r="Q1206" s="22" t="str">
        <f>IF(AND($M1206=$O$7,$B1206&lt;'111'!$N$11),"x","")</f>
        <v/>
      </c>
      <c r="R1206" s="22" t="str">
        <f>IF(ISERROR(FIND('112'!$M$9,G1206,1)),"",IF((AND(FIND('112'!$M$9,G1206,1)&gt;=1,$B1206&gt;='112'!$N$8,$B1206&lt;='112'!$O$8,OR($L1206='112'!$I$6,$M1206='112'!$I$6))),"x",""))</f>
        <v/>
      </c>
      <c r="S1206" s="22" t="str">
        <f>IF(ISERROR(FIND('112'!$M$9,G1206,1)),"",IF((AND(LEFT(G1206,2)=LEFT('112'!$M$9,2),B1206&lt;'112'!$N$8,$L1206='112'!$I$6)),"x",""))</f>
        <v/>
      </c>
      <c r="T1206" s="22" t="str">
        <f>IF(ISERROR(FIND('112'!$M$9,G1206,1)),"",IF((AND(RIGHT(G1206,2)=RIGHT('112'!$M$9,2),B1206&lt;'112'!$N$8,$M1206='112'!$I$6)),"x",""))</f>
        <v/>
      </c>
      <c r="U1206" s="22" t="str">
        <f>IF(AND(B1206&gt;='IN-NX'!$P$3,B1206&lt;='IN-NX'!$Q$3,'IN-NX'!$D$7=D1206,OR(LEFT(L1206,2)="15",AND(LEFT(M1206,2)&lt;&gt;"15",LEFT(M1206,2)&lt;&gt;"33"))),"x","")</f>
        <v/>
      </c>
      <c r="V1206" s="22" t="str">
        <f>IF(AND(OR(LEFT(TH!L1206,2)="15",LEFT(TH!M1206,2)="15"),'152-CT'!$J$8=TH!F1206),"x","")</f>
        <v/>
      </c>
      <c r="W1206" s="22" t="str">
        <f>IF(AND(OR(LEFT(TH!L1206,2)="15",LEFT(TH!M1206,2)="15"),TK!$E$7=TH!F1206),"x","")</f>
        <v/>
      </c>
      <c r="X1206" s="22" t="str">
        <f>IF(OR(TH!L1206=TH!$X$7,M1206=TH!$X$7),"x","")</f>
        <v/>
      </c>
      <c r="Y1206" s="22" t="str">
        <f>IF(AND(B1206&lt;=NKC!$N$8,B1206&gt;=NKC!$M$8),"x","")</f>
        <v>x</v>
      </c>
      <c r="Z1206" s="580"/>
      <c r="AA1206" s="588"/>
      <c r="AB1206" s="588"/>
    </row>
    <row r="1207" spans="1:31" s="589" customFormat="1" ht="15.75" customHeight="1">
      <c r="A1207" s="607" t="str">
        <f>IF(B1207&lt;&gt;"",IF(AND(B1207&gt;=_TM1,B1207&lt;=_TM2,OR(TH!L1207="1111",TH!M1207="1111")),TH!D1207,""),"")</f>
        <v/>
      </c>
      <c r="B1207" s="585">
        <f t="shared" si="62"/>
        <v>8</v>
      </c>
      <c r="C1207" s="586">
        <f t="shared" si="65"/>
        <v>42609</v>
      </c>
      <c r="D1207" s="569" t="s">
        <v>1022</v>
      </c>
      <c r="E1207" s="613">
        <v>42609</v>
      </c>
      <c r="F1207" s="614" t="s">
        <v>538</v>
      </c>
      <c r="G1207" s="615" t="s">
        <v>737</v>
      </c>
      <c r="H1207" s="572" t="s">
        <v>1075</v>
      </c>
      <c r="I1207" s="137">
        <v>203</v>
      </c>
      <c r="J1207" s="137">
        <v>6429.8884555932</v>
      </c>
      <c r="K1207" s="21">
        <f t="shared" si="64"/>
        <v>1305267</v>
      </c>
      <c r="L1207" s="567" t="s">
        <v>167</v>
      </c>
      <c r="M1207" s="567" t="s">
        <v>162</v>
      </c>
      <c r="N1207" s="22" t="str">
        <f>IF(AND('331-CT'!$E$7=TH!H1207,OR(L1207="331",M1207="331")),"331",IF(AND(OR(L1207="131",M1207="131"),H1207='131-CT'!$E$7),"131",""))</f>
        <v/>
      </c>
      <c r="O1207" s="22" t="str">
        <f>IF(AND($B1207&gt;='111'!$N$11,$B1207&lt;='111'!$O$11,OR($L1207=$O$7,$M1207=$O$7)),"x","")</f>
        <v/>
      </c>
      <c r="P1207" s="22" t="str">
        <f>IF(AND($L1207=$O$7,$B1207&lt;'111'!$N$11),"x","")</f>
        <v/>
      </c>
      <c r="Q1207" s="22" t="str">
        <f>IF(AND($M1207=$O$7,$B1207&lt;'111'!$N$11),"x","")</f>
        <v/>
      </c>
      <c r="R1207" s="22" t="str">
        <f>IF(ISERROR(FIND('112'!$M$9,G1207,1)),"",IF((AND(FIND('112'!$M$9,G1207,1)&gt;=1,$B1207&gt;='112'!$N$8,$B1207&lt;='112'!$O$8,OR($L1207='112'!$I$6,$M1207='112'!$I$6))),"x",""))</f>
        <v/>
      </c>
      <c r="S1207" s="22" t="str">
        <f>IF(ISERROR(FIND('112'!$M$9,G1207,1)),"",IF((AND(LEFT(G1207,2)=LEFT('112'!$M$9,2),B1207&lt;'112'!$N$8,$L1207='112'!$I$6)),"x",""))</f>
        <v/>
      </c>
      <c r="T1207" s="22" t="str">
        <f>IF(ISERROR(FIND('112'!$M$9,G1207,1)),"",IF((AND(RIGHT(G1207,2)=RIGHT('112'!$M$9,2),B1207&lt;'112'!$N$8,$M1207='112'!$I$6)),"x",""))</f>
        <v/>
      </c>
      <c r="U1207" s="22" t="str">
        <f>IF(AND(B1207&gt;='IN-NX'!$P$3,B1207&lt;='IN-NX'!$Q$3,'IN-NX'!$D$7=D1207,OR(LEFT(L1207,2)="15",AND(LEFT(M1207,2)&lt;&gt;"15",LEFT(M1207,2)&lt;&gt;"33"))),"x","")</f>
        <v/>
      </c>
      <c r="V1207" s="22" t="str">
        <f>IF(AND(OR(LEFT(TH!L1207,2)="15",LEFT(TH!M1207,2)="15"),'152-CT'!$J$8=TH!F1207),"x","")</f>
        <v/>
      </c>
      <c r="W1207" s="22" t="str">
        <f>IF(AND(OR(LEFT(TH!L1207,2)="15",LEFT(TH!M1207,2)="15"),TK!$E$7=TH!F1207),"x","")</f>
        <v/>
      </c>
      <c r="X1207" s="22" t="str">
        <f>IF(OR(TH!L1207=TH!$X$7,M1207=TH!$X$7),"x","")</f>
        <v/>
      </c>
      <c r="Y1207" s="22" t="str">
        <f>IF(AND(B1207&lt;=NKC!$N$8,B1207&gt;=NKC!$M$8),"x","")</f>
        <v>x</v>
      </c>
      <c r="Z1207" s="580"/>
      <c r="AA1207" s="588"/>
    </row>
    <row r="1208" spans="1:31" s="589" customFormat="1" ht="15.75" customHeight="1">
      <c r="A1208" s="607" t="str">
        <f>IF(B1208&lt;&gt;"",IF(AND(B1208&gt;=_TM1,B1208&lt;=_TM2,OR(TH!L1208="1111",TH!M1208="1111")),TH!D1208,""),"")</f>
        <v/>
      </c>
      <c r="B1208" s="585">
        <f t="shared" si="62"/>
        <v>8</v>
      </c>
      <c r="C1208" s="586">
        <f t="shared" si="65"/>
        <v>42611</v>
      </c>
      <c r="D1208" s="569" t="s">
        <v>1022</v>
      </c>
      <c r="E1208" s="613">
        <v>42611</v>
      </c>
      <c r="F1208" s="614" t="s">
        <v>529</v>
      </c>
      <c r="G1208" s="615" t="s">
        <v>738</v>
      </c>
      <c r="H1208" s="572" t="s">
        <v>1075</v>
      </c>
      <c r="I1208" s="137">
        <v>160</v>
      </c>
      <c r="J1208" s="137">
        <v>59764.988850064998</v>
      </c>
      <c r="K1208" s="21">
        <f t="shared" si="64"/>
        <v>9562398</v>
      </c>
      <c r="L1208" s="567" t="s">
        <v>167</v>
      </c>
      <c r="M1208" s="567" t="s">
        <v>162</v>
      </c>
      <c r="N1208" s="22" t="str">
        <f>IF(AND('331-CT'!$E$7=TH!H1208,OR(L1208="331",M1208="331")),"331",IF(AND(OR(L1208="131",M1208="131"),H1208='131-CT'!$E$7),"131",""))</f>
        <v/>
      </c>
      <c r="O1208" s="22" t="str">
        <f>IF(AND($B1208&gt;='111'!$N$11,$B1208&lt;='111'!$O$11,OR($L1208=$O$7,$M1208=$O$7)),"x","")</f>
        <v/>
      </c>
      <c r="P1208" s="22" t="str">
        <f>IF(AND($L1208=$O$7,$B1208&lt;'111'!$N$11),"x","")</f>
        <v/>
      </c>
      <c r="Q1208" s="22" t="str">
        <f>IF(AND($M1208=$O$7,$B1208&lt;'111'!$N$11),"x","")</f>
        <v/>
      </c>
      <c r="R1208" s="22" t="str">
        <f>IF(ISERROR(FIND('112'!$M$9,G1208,1)),"",IF((AND(FIND('112'!$M$9,G1208,1)&gt;=1,$B1208&gt;='112'!$N$8,$B1208&lt;='112'!$O$8,OR($L1208='112'!$I$6,$M1208='112'!$I$6))),"x",""))</f>
        <v/>
      </c>
      <c r="S1208" s="22" t="str">
        <f>IF(ISERROR(FIND('112'!$M$9,G1208,1)),"",IF((AND(LEFT(G1208,2)=LEFT('112'!$M$9,2),B1208&lt;'112'!$N$8,$L1208='112'!$I$6)),"x",""))</f>
        <v/>
      </c>
      <c r="T1208" s="22" t="str">
        <f>IF(ISERROR(FIND('112'!$M$9,G1208,1)),"",IF((AND(RIGHT(G1208,2)=RIGHT('112'!$M$9,2),B1208&lt;'112'!$N$8,$M1208='112'!$I$6)),"x",""))</f>
        <v/>
      </c>
      <c r="U1208" s="22" t="str">
        <f>IF(AND(B1208&gt;='IN-NX'!$P$3,B1208&lt;='IN-NX'!$Q$3,'IN-NX'!$D$7=D1208,OR(LEFT(L1208,2)="15",AND(LEFT(M1208,2)&lt;&gt;"15",LEFT(M1208,2)&lt;&gt;"33"))),"x","")</f>
        <v/>
      </c>
      <c r="V1208" s="22" t="str">
        <f>IF(AND(OR(LEFT(TH!L1208,2)="15",LEFT(TH!M1208,2)="15"),'152-CT'!$J$8=TH!F1208),"x","")</f>
        <v/>
      </c>
      <c r="W1208" s="22" t="str">
        <f>IF(AND(OR(LEFT(TH!L1208,2)="15",LEFT(TH!M1208,2)="15"),TK!$E$7=TH!F1208),"x","")</f>
        <v/>
      </c>
      <c r="X1208" s="22" t="str">
        <f>IF(OR(TH!L1208=TH!$X$7,M1208=TH!$X$7),"x","")</f>
        <v/>
      </c>
      <c r="Y1208" s="22" t="str">
        <f>IF(AND(B1208&lt;=NKC!$N$8,B1208&gt;=NKC!$M$8),"x","")</f>
        <v>x</v>
      </c>
      <c r="Z1208" s="580"/>
      <c r="AA1208" s="588"/>
      <c r="AB1208" s="588"/>
    </row>
    <row r="1209" spans="1:31" s="589" customFormat="1" ht="15.75" customHeight="1">
      <c r="A1209" s="607" t="str">
        <f>IF(B1209&lt;&gt;"",IF(AND(B1209&gt;=_TM1,B1209&lt;=_TM2,OR(TH!L1209="1111",TH!M1209="1111")),TH!D1209,""),"")</f>
        <v/>
      </c>
      <c r="B1209" s="585">
        <f t="shared" si="62"/>
        <v>8</v>
      </c>
      <c r="C1209" s="586">
        <f t="shared" si="65"/>
        <v>42612</v>
      </c>
      <c r="D1209" s="569" t="s">
        <v>1022</v>
      </c>
      <c r="E1209" s="613">
        <v>42612</v>
      </c>
      <c r="F1209" s="614" t="s">
        <v>370</v>
      </c>
      <c r="G1209" s="615" t="s">
        <v>739</v>
      </c>
      <c r="H1209" s="572" t="s">
        <v>1075</v>
      </c>
      <c r="I1209" s="137">
        <v>500</v>
      </c>
      <c r="J1209" s="137">
        <v>19042.361964641397</v>
      </c>
      <c r="K1209" s="21">
        <f t="shared" si="64"/>
        <v>9521181</v>
      </c>
      <c r="L1209" s="567" t="s">
        <v>167</v>
      </c>
      <c r="M1209" s="567" t="s">
        <v>162</v>
      </c>
      <c r="N1209" s="22" t="str">
        <f>IF(AND('331-CT'!$E$7=TH!H1209,OR(L1209="331",M1209="331")),"331",IF(AND(OR(L1209="131",M1209="131"),H1209='131-CT'!$E$7),"131",""))</f>
        <v/>
      </c>
      <c r="O1209" s="22" t="str">
        <f>IF(AND($B1209&gt;='111'!$N$11,$B1209&lt;='111'!$O$11,OR($L1209=$O$7,$M1209=$O$7)),"x","")</f>
        <v/>
      </c>
      <c r="P1209" s="22" t="str">
        <f>IF(AND($L1209=$O$7,$B1209&lt;'111'!$N$11),"x","")</f>
        <v/>
      </c>
      <c r="Q1209" s="22" t="str">
        <f>IF(AND($M1209=$O$7,$B1209&lt;'111'!$N$11),"x","")</f>
        <v/>
      </c>
      <c r="R1209" s="22" t="str">
        <f>IF(ISERROR(FIND('112'!$M$9,G1209,1)),"",IF((AND(FIND('112'!$M$9,G1209,1)&gt;=1,$B1209&gt;='112'!$N$8,$B1209&lt;='112'!$O$8,OR($L1209='112'!$I$6,$M1209='112'!$I$6))),"x",""))</f>
        <v/>
      </c>
      <c r="S1209" s="22" t="str">
        <f>IF(ISERROR(FIND('112'!$M$9,G1209,1)),"",IF((AND(LEFT(G1209,2)=LEFT('112'!$M$9,2),B1209&lt;'112'!$N$8,$L1209='112'!$I$6)),"x",""))</f>
        <v/>
      </c>
      <c r="T1209" s="22" t="str">
        <f>IF(ISERROR(FIND('112'!$M$9,G1209,1)),"",IF((AND(RIGHT(G1209,2)=RIGHT('112'!$M$9,2),B1209&lt;'112'!$N$8,$M1209='112'!$I$6)),"x",""))</f>
        <v/>
      </c>
      <c r="U1209" s="22" t="str">
        <f>IF(AND(B1209&gt;='IN-NX'!$P$3,B1209&lt;='IN-NX'!$Q$3,'IN-NX'!$D$7=D1209,OR(LEFT(L1209,2)="15",AND(LEFT(M1209,2)&lt;&gt;"15",LEFT(M1209,2)&lt;&gt;"33"))),"x","")</f>
        <v/>
      </c>
      <c r="V1209" s="22" t="str">
        <f>IF(AND(OR(LEFT(TH!L1209,2)="15",LEFT(TH!M1209,2)="15"),'152-CT'!$J$8=TH!F1209),"x","")</f>
        <v/>
      </c>
      <c r="W1209" s="22" t="str">
        <f>IF(AND(OR(LEFT(TH!L1209,2)="15",LEFT(TH!M1209,2)="15"),TK!$E$7=TH!F1209),"x","")</f>
        <v/>
      </c>
      <c r="X1209" s="22" t="str">
        <f>IF(OR(TH!L1209=TH!$X$7,M1209=TH!$X$7),"x","")</f>
        <v/>
      </c>
      <c r="Y1209" s="22" t="str">
        <f>IF(AND(B1209&lt;=NKC!$N$8,B1209&gt;=NKC!$M$8),"x","")</f>
        <v>x</v>
      </c>
      <c r="Z1209" s="580"/>
      <c r="AA1209" s="588"/>
      <c r="AB1209" s="588"/>
    </row>
    <row r="1210" spans="1:31" s="589" customFormat="1" ht="15.75" customHeight="1">
      <c r="A1210" s="607" t="str">
        <f>IF(B1210&lt;&gt;"",IF(AND(B1210&gt;=_TM1,B1210&lt;=_TM2,OR(TH!L1210="1111",TH!M1210="1111")),TH!D1210,""),"")</f>
        <v/>
      </c>
      <c r="B1210" s="585">
        <f t="shared" si="62"/>
        <v>8</v>
      </c>
      <c r="C1210" s="586">
        <f t="shared" si="65"/>
        <v>42613</v>
      </c>
      <c r="D1210" s="569" t="s">
        <v>1022</v>
      </c>
      <c r="E1210" s="613">
        <v>42613</v>
      </c>
      <c r="F1210" s="614" t="s">
        <v>502</v>
      </c>
      <c r="G1210" s="615" t="s">
        <v>740</v>
      </c>
      <c r="H1210" s="572" t="s">
        <v>1075</v>
      </c>
      <c r="I1210" s="137">
        <v>1500</v>
      </c>
      <c r="J1210" s="137">
        <v>9397.5292812515981</v>
      </c>
      <c r="K1210" s="21">
        <f t="shared" si="64"/>
        <v>14096294</v>
      </c>
      <c r="L1210" s="567" t="s">
        <v>167</v>
      </c>
      <c r="M1210" s="567" t="s">
        <v>162</v>
      </c>
      <c r="N1210" s="22" t="str">
        <f>IF(AND('331-CT'!$E$7=TH!H1210,OR(L1210="331",M1210="331")),"331",IF(AND(OR(L1210="131",M1210="131"),H1210='131-CT'!$E$7),"131",""))</f>
        <v/>
      </c>
      <c r="O1210" s="22" t="str">
        <f>IF(AND($B1210&gt;='111'!$N$11,$B1210&lt;='111'!$O$11,OR($L1210=$O$7,$M1210=$O$7)),"x","")</f>
        <v/>
      </c>
      <c r="P1210" s="22" t="str">
        <f>IF(AND($L1210=$O$7,$B1210&lt;'111'!$N$11),"x","")</f>
        <v/>
      </c>
      <c r="Q1210" s="22" t="str">
        <f>IF(AND($M1210=$O$7,$B1210&lt;'111'!$N$11),"x","")</f>
        <v/>
      </c>
      <c r="R1210" s="22" t="str">
        <f>IF(ISERROR(FIND('112'!$M$9,G1210,1)),"",IF((AND(FIND('112'!$M$9,G1210,1)&gt;=1,$B1210&gt;='112'!$N$8,$B1210&lt;='112'!$O$8,OR($L1210='112'!$I$6,$M1210='112'!$I$6))),"x",""))</f>
        <v/>
      </c>
      <c r="S1210" s="22" t="str">
        <f>IF(ISERROR(FIND('112'!$M$9,G1210,1)),"",IF((AND(LEFT(G1210,2)=LEFT('112'!$M$9,2),B1210&lt;'112'!$N$8,$L1210='112'!$I$6)),"x",""))</f>
        <v/>
      </c>
      <c r="T1210" s="22" t="str">
        <f>IF(ISERROR(FIND('112'!$M$9,G1210,1)),"",IF((AND(RIGHT(G1210,2)=RIGHT('112'!$M$9,2),B1210&lt;'112'!$N$8,$M1210='112'!$I$6)),"x",""))</f>
        <v/>
      </c>
      <c r="U1210" s="22" t="str">
        <f>IF(AND(B1210&gt;='IN-NX'!$P$3,B1210&lt;='IN-NX'!$Q$3,'IN-NX'!$D$7=D1210,OR(LEFT(L1210,2)="15",AND(LEFT(M1210,2)&lt;&gt;"15",LEFT(M1210,2)&lt;&gt;"33"))),"x","")</f>
        <v/>
      </c>
      <c r="V1210" s="22" t="str">
        <f>IF(AND(OR(LEFT(TH!L1210,2)="15",LEFT(TH!M1210,2)="15"),'152-CT'!$J$8=TH!F1210),"x","")</f>
        <v/>
      </c>
      <c r="W1210" s="22" t="str">
        <f>IF(AND(OR(LEFT(TH!L1210,2)="15",LEFT(TH!M1210,2)="15"),TK!$E$7=TH!F1210),"x","")</f>
        <v/>
      </c>
      <c r="X1210" s="22" t="str">
        <f>IF(OR(TH!L1210=TH!$X$7,M1210=TH!$X$7),"x","")</f>
        <v/>
      </c>
      <c r="Y1210" s="22" t="str">
        <f>IF(AND(B1210&lt;=NKC!$N$8,B1210&gt;=NKC!$M$8),"x","")</f>
        <v>x</v>
      </c>
      <c r="Z1210" s="580"/>
      <c r="AA1210" s="588"/>
      <c r="AB1210" s="588"/>
    </row>
    <row r="1211" spans="1:31" s="589" customFormat="1" ht="15.75" customHeight="1">
      <c r="A1211" s="607" t="str">
        <f>IF(B1211&lt;&gt;"",IF(AND(B1211&gt;=_TM1,B1211&lt;=_TM2,OR(TH!L1211="1111",TH!M1211="1111")),TH!D1211,""),"")</f>
        <v/>
      </c>
      <c r="B1211" s="585">
        <f t="shared" si="62"/>
        <v>8</v>
      </c>
      <c r="C1211" s="586">
        <f t="shared" si="65"/>
        <v>42613</v>
      </c>
      <c r="D1211" s="569" t="s">
        <v>1022</v>
      </c>
      <c r="E1211" s="613">
        <v>42613</v>
      </c>
      <c r="F1211" s="614" t="s">
        <v>502</v>
      </c>
      <c r="G1211" s="615" t="s">
        <v>740</v>
      </c>
      <c r="H1211" s="572" t="s">
        <v>1075</v>
      </c>
      <c r="I1211" s="137">
        <v>400</v>
      </c>
      <c r="J1211" s="137">
        <v>9397.5292812515981</v>
      </c>
      <c r="K1211" s="21">
        <f t="shared" si="64"/>
        <v>3759012</v>
      </c>
      <c r="L1211" s="567" t="s">
        <v>167</v>
      </c>
      <c r="M1211" s="567" t="s">
        <v>162</v>
      </c>
      <c r="N1211" s="22" t="str">
        <f>IF(AND('331-CT'!$E$7=TH!H1211,OR(L1211="331",M1211="331")),"331",IF(AND(OR(L1211="131",M1211="131"),H1211='131-CT'!$E$7),"131",""))</f>
        <v/>
      </c>
      <c r="O1211" s="22" t="str">
        <f>IF(AND($B1211&gt;='111'!$N$11,$B1211&lt;='111'!$O$11,OR($L1211=$O$7,$M1211=$O$7)),"x","")</f>
        <v/>
      </c>
      <c r="P1211" s="22" t="str">
        <f>IF(AND($L1211=$O$7,$B1211&lt;'111'!$N$11),"x","")</f>
        <v/>
      </c>
      <c r="Q1211" s="22" t="str">
        <f>IF(AND($M1211=$O$7,$B1211&lt;'111'!$N$11),"x","")</f>
        <v/>
      </c>
      <c r="R1211" s="22" t="str">
        <f>IF(ISERROR(FIND('112'!$M$9,G1211,1)),"",IF((AND(FIND('112'!$M$9,G1211,1)&gt;=1,$B1211&gt;='112'!$N$8,$B1211&lt;='112'!$O$8,OR($L1211='112'!$I$6,$M1211='112'!$I$6))),"x",""))</f>
        <v/>
      </c>
      <c r="S1211" s="22" t="str">
        <f>IF(ISERROR(FIND('112'!$M$9,G1211,1)),"",IF((AND(LEFT(G1211,2)=LEFT('112'!$M$9,2),B1211&lt;'112'!$N$8,$L1211='112'!$I$6)),"x",""))</f>
        <v/>
      </c>
      <c r="T1211" s="22" t="str">
        <f>IF(ISERROR(FIND('112'!$M$9,G1211,1)),"",IF((AND(RIGHT(G1211,2)=RIGHT('112'!$M$9,2),B1211&lt;'112'!$N$8,$M1211='112'!$I$6)),"x",""))</f>
        <v/>
      </c>
      <c r="U1211" s="22" t="str">
        <f>IF(AND(B1211&gt;='IN-NX'!$P$3,B1211&lt;='IN-NX'!$Q$3,'IN-NX'!$D$7=D1211,OR(LEFT(L1211,2)="15",AND(LEFT(M1211,2)&lt;&gt;"15",LEFT(M1211,2)&lt;&gt;"33"))),"x","")</f>
        <v/>
      </c>
      <c r="V1211" s="22" t="str">
        <f>IF(AND(OR(LEFT(TH!L1211,2)="15",LEFT(TH!M1211,2)="15"),'152-CT'!$J$8=TH!F1211),"x","")</f>
        <v/>
      </c>
      <c r="W1211" s="22" t="str">
        <f>IF(AND(OR(LEFT(TH!L1211,2)="15",LEFT(TH!M1211,2)="15"),TK!$E$7=TH!F1211),"x","")</f>
        <v/>
      </c>
      <c r="X1211" s="22" t="str">
        <f>IF(OR(TH!L1211=TH!$X$7,M1211=TH!$X$7),"x","")</f>
        <v/>
      </c>
      <c r="Y1211" s="22" t="str">
        <f>IF(AND(B1211&lt;=NKC!$N$8,B1211&gt;=NKC!$M$8),"x","")</f>
        <v>x</v>
      </c>
      <c r="Z1211" s="580"/>
      <c r="AA1211" s="588"/>
      <c r="AB1211" s="588"/>
    </row>
    <row r="1212" spans="1:31" s="589" customFormat="1" ht="15.75" customHeight="1">
      <c r="A1212" s="607" t="str">
        <f>IF(B1212&lt;&gt;"",IF(AND(B1212&gt;=_TM1,B1212&lt;=_TM2,OR(TH!L1212="1111",TH!M1212="1111")),TH!D1212,""),"")</f>
        <v/>
      </c>
      <c r="B1212" s="585">
        <f t="shared" si="62"/>
        <v>8</v>
      </c>
      <c r="C1212" s="586">
        <f t="shared" si="65"/>
        <v>42613</v>
      </c>
      <c r="D1212" s="569" t="s">
        <v>1022</v>
      </c>
      <c r="E1212" s="613">
        <v>42613</v>
      </c>
      <c r="F1212" s="614" t="s">
        <v>377</v>
      </c>
      <c r="G1212" s="615" t="s">
        <v>740</v>
      </c>
      <c r="H1212" s="572" t="s">
        <v>1075</v>
      </c>
      <c r="I1212" s="137">
        <v>3800</v>
      </c>
      <c r="J1212" s="137">
        <v>741.91020641459988</v>
      </c>
      <c r="K1212" s="21">
        <f t="shared" si="64"/>
        <v>2819259</v>
      </c>
      <c r="L1212" s="567" t="s">
        <v>167</v>
      </c>
      <c r="M1212" s="567" t="s">
        <v>162</v>
      </c>
      <c r="N1212" s="22" t="str">
        <f>IF(AND('331-CT'!$E$7=TH!H1212,OR(L1212="331",M1212="331")),"331",IF(AND(OR(L1212="131",M1212="131"),H1212='131-CT'!$E$7),"131",""))</f>
        <v/>
      </c>
      <c r="O1212" s="22" t="str">
        <f>IF(AND($B1212&gt;='111'!$N$11,$B1212&lt;='111'!$O$11,OR($L1212=$O$7,$M1212=$O$7)),"x","")</f>
        <v/>
      </c>
      <c r="P1212" s="22" t="str">
        <f>IF(AND($L1212=$O$7,$B1212&lt;'111'!$N$11),"x","")</f>
        <v/>
      </c>
      <c r="Q1212" s="22" t="str">
        <f>IF(AND($M1212=$O$7,$B1212&lt;'111'!$N$11),"x","")</f>
        <v/>
      </c>
      <c r="R1212" s="22" t="str">
        <f>IF(ISERROR(FIND('112'!$M$9,G1212,1)),"",IF((AND(FIND('112'!$M$9,G1212,1)&gt;=1,$B1212&gt;='112'!$N$8,$B1212&lt;='112'!$O$8,OR($L1212='112'!$I$6,$M1212='112'!$I$6))),"x",""))</f>
        <v/>
      </c>
      <c r="S1212" s="22" t="str">
        <f>IF(ISERROR(FIND('112'!$M$9,G1212,1)),"",IF((AND(LEFT(G1212,2)=LEFT('112'!$M$9,2),B1212&lt;'112'!$N$8,$L1212='112'!$I$6)),"x",""))</f>
        <v/>
      </c>
      <c r="T1212" s="22" t="str">
        <f>IF(ISERROR(FIND('112'!$M$9,G1212,1)),"",IF((AND(RIGHT(G1212,2)=RIGHT('112'!$M$9,2),B1212&lt;'112'!$N$8,$M1212='112'!$I$6)),"x",""))</f>
        <v/>
      </c>
      <c r="U1212" s="22" t="str">
        <f>IF(AND(B1212&gt;='IN-NX'!$P$3,B1212&lt;='IN-NX'!$Q$3,'IN-NX'!$D$7=D1212,OR(LEFT(L1212,2)="15",AND(LEFT(M1212,2)&lt;&gt;"15",LEFT(M1212,2)&lt;&gt;"33"))),"x","")</f>
        <v/>
      </c>
      <c r="V1212" s="22" t="str">
        <f>IF(AND(OR(LEFT(TH!L1212,2)="15",LEFT(TH!M1212,2)="15"),'152-CT'!$J$8=TH!F1212),"x","")</f>
        <v/>
      </c>
      <c r="W1212" s="22" t="str">
        <f>IF(AND(OR(LEFT(TH!L1212,2)="15",LEFT(TH!M1212,2)="15"),TK!$E$7=TH!F1212),"x","")</f>
        <v/>
      </c>
      <c r="X1212" s="22" t="str">
        <f>IF(OR(TH!L1212=TH!$X$7,M1212=TH!$X$7),"x","")</f>
        <v/>
      </c>
      <c r="Y1212" s="22" t="str">
        <f>IF(AND(B1212&lt;=NKC!$N$8,B1212&gt;=NKC!$M$8),"x","")</f>
        <v>x</v>
      </c>
      <c r="Z1212" s="580"/>
      <c r="AA1212" s="588"/>
      <c r="AB1212" s="588"/>
    </row>
    <row r="1213" spans="1:31" s="589" customFormat="1" ht="15.75" customHeight="1">
      <c r="A1213" s="607" t="str">
        <f>IF(B1213&lt;&gt;"",IF(AND(B1213&gt;=_TM1,B1213&lt;=_TM2,OR(TH!L1213="1111",TH!M1213="1111")),TH!D1213,""),"")</f>
        <v/>
      </c>
      <c r="B1213" s="585">
        <f t="shared" si="62"/>
        <v>8</v>
      </c>
      <c r="C1213" s="586">
        <f t="shared" si="65"/>
        <v>42613</v>
      </c>
      <c r="D1213" s="569" t="s">
        <v>1022</v>
      </c>
      <c r="E1213" s="613">
        <v>42613</v>
      </c>
      <c r="F1213" s="614" t="s">
        <v>520</v>
      </c>
      <c r="G1213" s="615" t="s">
        <v>741</v>
      </c>
      <c r="H1213" s="572" t="s">
        <v>1075</v>
      </c>
      <c r="I1213" s="137">
        <v>819</v>
      </c>
      <c r="J1213" s="137">
        <v>6759.6263251107994</v>
      </c>
      <c r="K1213" s="21">
        <f t="shared" si="64"/>
        <v>5536134</v>
      </c>
      <c r="L1213" s="567" t="s">
        <v>167</v>
      </c>
      <c r="M1213" s="567" t="s">
        <v>162</v>
      </c>
      <c r="N1213" s="22" t="str">
        <f>IF(AND('331-CT'!$E$7=TH!H1213,OR(L1213="331",M1213="331")),"331",IF(AND(OR(L1213="131",M1213="131"),H1213='131-CT'!$E$7),"131",""))</f>
        <v/>
      </c>
      <c r="O1213" s="22" t="str">
        <f>IF(AND($B1213&gt;='111'!$N$11,$B1213&lt;='111'!$O$11,OR($L1213=$O$7,$M1213=$O$7)),"x","")</f>
        <v/>
      </c>
      <c r="P1213" s="22" t="str">
        <f>IF(AND($L1213=$O$7,$B1213&lt;'111'!$N$11),"x","")</f>
        <v/>
      </c>
      <c r="Q1213" s="22" t="str">
        <f>IF(AND($M1213=$O$7,$B1213&lt;'111'!$N$11),"x","")</f>
        <v/>
      </c>
      <c r="R1213" s="22" t="str">
        <f>IF(ISERROR(FIND('112'!$M$9,G1213,1)),"",IF((AND(FIND('112'!$M$9,G1213,1)&gt;=1,$B1213&gt;='112'!$N$8,$B1213&lt;='112'!$O$8,OR($L1213='112'!$I$6,$M1213='112'!$I$6))),"x",""))</f>
        <v/>
      </c>
      <c r="S1213" s="22" t="str">
        <f>IF(ISERROR(FIND('112'!$M$9,G1213,1)),"",IF((AND(LEFT(G1213,2)=LEFT('112'!$M$9,2),B1213&lt;'112'!$N$8,$L1213='112'!$I$6)),"x",""))</f>
        <v/>
      </c>
      <c r="T1213" s="22" t="str">
        <f>IF(ISERROR(FIND('112'!$M$9,G1213,1)),"",IF((AND(RIGHT(G1213,2)=RIGHT('112'!$M$9,2),B1213&lt;'112'!$N$8,$M1213='112'!$I$6)),"x",""))</f>
        <v/>
      </c>
      <c r="U1213" s="22" t="str">
        <f>IF(AND(B1213&gt;='IN-NX'!$P$3,B1213&lt;='IN-NX'!$Q$3,'IN-NX'!$D$7=D1213,OR(LEFT(L1213,2)="15",AND(LEFT(M1213,2)&lt;&gt;"15",LEFT(M1213,2)&lt;&gt;"33"))),"x","")</f>
        <v/>
      </c>
      <c r="V1213" s="22" t="str">
        <f>IF(AND(OR(LEFT(TH!L1213,2)="15",LEFT(TH!M1213,2)="15"),'152-CT'!$J$8=TH!F1213),"x","")</f>
        <v/>
      </c>
      <c r="W1213" s="22" t="str">
        <f>IF(AND(OR(LEFT(TH!L1213,2)="15",LEFT(TH!M1213,2)="15"),TK!$E$7=TH!F1213),"x","")</f>
        <v/>
      </c>
      <c r="X1213" s="22" t="str">
        <f>IF(OR(TH!L1213=TH!$X$7,M1213=TH!$X$7),"x","")</f>
        <v/>
      </c>
      <c r="Y1213" s="22" t="str">
        <f>IF(AND(B1213&lt;=NKC!$N$8,B1213&gt;=NKC!$M$8),"x","")</f>
        <v>x</v>
      </c>
      <c r="Z1213" s="580"/>
      <c r="AA1213" s="588"/>
      <c r="AB1213" s="588"/>
    </row>
    <row r="1214" spans="1:31" s="589" customFormat="1" ht="15.75" customHeight="1">
      <c r="A1214" s="607" t="str">
        <f>IF(B1214&lt;&gt;"",IF(AND(B1214&gt;=_TM1,B1214&lt;=_TM2,OR(TH!L1214="1111",TH!M1214="1111")),TH!D1214,""),"")</f>
        <v/>
      </c>
      <c r="B1214" s="585">
        <f t="shared" si="62"/>
        <v>8</v>
      </c>
      <c r="C1214" s="586">
        <f t="shared" si="65"/>
        <v>42613</v>
      </c>
      <c r="D1214" s="569" t="s">
        <v>1022</v>
      </c>
      <c r="E1214" s="613">
        <v>42613</v>
      </c>
      <c r="F1214" s="614" t="s">
        <v>546</v>
      </c>
      <c r="G1214" s="615" t="s">
        <v>741</v>
      </c>
      <c r="H1214" s="572" t="s">
        <v>1075</v>
      </c>
      <c r="I1214" s="137">
        <v>610</v>
      </c>
      <c r="J1214" s="137">
        <v>7501.5365315253994</v>
      </c>
      <c r="K1214" s="21">
        <f t="shared" si="64"/>
        <v>4575937</v>
      </c>
      <c r="L1214" s="567" t="s">
        <v>167</v>
      </c>
      <c r="M1214" s="567" t="s">
        <v>162</v>
      </c>
      <c r="N1214" s="22" t="str">
        <f>IF(AND('331-CT'!$E$7=TH!H1214,OR(L1214="331",M1214="331")),"331",IF(AND(OR(L1214="131",M1214="131"),H1214='131-CT'!$E$7),"131",""))</f>
        <v/>
      </c>
      <c r="O1214" s="22" t="str">
        <f>IF(AND($B1214&gt;='111'!$N$11,$B1214&lt;='111'!$O$11,OR($L1214=$O$7,$M1214=$O$7)),"x","")</f>
        <v/>
      </c>
      <c r="P1214" s="22" t="str">
        <f>IF(AND($L1214=$O$7,$B1214&lt;'111'!$N$11),"x","")</f>
        <v/>
      </c>
      <c r="Q1214" s="22" t="str">
        <f>IF(AND($M1214=$O$7,$B1214&lt;'111'!$N$11),"x","")</f>
        <v/>
      </c>
      <c r="R1214" s="22" t="str">
        <f>IF(ISERROR(FIND('112'!$M$9,G1214,1)),"",IF((AND(FIND('112'!$M$9,G1214,1)&gt;=1,$B1214&gt;='112'!$N$8,$B1214&lt;='112'!$O$8,OR($L1214='112'!$I$6,$M1214='112'!$I$6))),"x",""))</f>
        <v/>
      </c>
      <c r="S1214" s="22" t="str">
        <f>IF(ISERROR(FIND('112'!$M$9,G1214,1)),"",IF((AND(LEFT(G1214,2)=LEFT('112'!$M$9,2),B1214&lt;'112'!$N$8,$L1214='112'!$I$6)),"x",""))</f>
        <v/>
      </c>
      <c r="T1214" s="22" t="str">
        <f>IF(ISERROR(FIND('112'!$M$9,G1214,1)),"",IF((AND(RIGHT(G1214,2)=RIGHT('112'!$M$9,2),B1214&lt;'112'!$N$8,$M1214='112'!$I$6)),"x",""))</f>
        <v/>
      </c>
      <c r="U1214" s="22" t="str">
        <f>IF(AND(B1214&gt;='IN-NX'!$P$3,B1214&lt;='IN-NX'!$Q$3,'IN-NX'!$D$7=D1214,OR(LEFT(L1214,2)="15",AND(LEFT(M1214,2)&lt;&gt;"15",LEFT(M1214,2)&lt;&gt;"33"))),"x","")</f>
        <v/>
      </c>
      <c r="V1214" s="22" t="str">
        <f>IF(AND(OR(LEFT(TH!L1214,2)="15",LEFT(TH!M1214,2)="15"),'152-CT'!$J$8=TH!F1214),"x","")</f>
        <v/>
      </c>
      <c r="W1214" s="22" t="str">
        <f>IF(AND(OR(LEFT(TH!L1214,2)="15",LEFT(TH!M1214,2)="15"),TK!$E$7=TH!F1214),"x","")</f>
        <v/>
      </c>
      <c r="X1214" s="22" t="str">
        <f>IF(OR(TH!L1214=TH!$X$7,M1214=TH!$X$7),"x","")</f>
        <v/>
      </c>
      <c r="Y1214" s="22" t="str">
        <f>IF(AND(B1214&lt;=NKC!$N$8,B1214&gt;=NKC!$M$8),"x","")</f>
        <v>x</v>
      </c>
      <c r="Z1214" s="580"/>
      <c r="AA1214" s="588"/>
    </row>
    <row r="1215" spans="1:31" s="589" customFormat="1" ht="15.75" customHeight="1">
      <c r="A1215" s="607" t="str">
        <f>IF(B1215&lt;&gt;"",IF(AND(B1215&gt;=_TM1,B1215&lt;=_TM2,OR(TH!L1215="1111",TH!M1215="1111")),TH!D1215,""),"")</f>
        <v/>
      </c>
      <c r="B1215" s="585">
        <f t="shared" si="62"/>
        <v>8</v>
      </c>
      <c r="C1215" s="586">
        <f t="shared" si="65"/>
        <v>42613</v>
      </c>
      <c r="D1215" s="569" t="s">
        <v>1022</v>
      </c>
      <c r="E1215" s="613">
        <v>42613</v>
      </c>
      <c r="F1215" s="614" t="s">
        <v>522</v>
      </c>
      <c r="G1215" s="615" t="s">
        <v>741</v>
      </c>
      <c r="H1215" s="572" t="s">
        <v>1075</v>
      </c>
      <c r="I1215" s="591">
        <v>599</v>
      </c>
      <c r="J1215" s="591">
        <v>13024.645845945199</v>
      </c>
      <c r="K1215" s="21">
        <f t="shared" si="64"/>
        <v>7801763</v>
      </c>
      <c r="L1215" s="567" t="s">
        <v>167</v>
      </c>
      <c r="M1215" s="567" t="s">
        <v>162</v>
      </c>
      <c r="N1215" s="22" t="str">
        <f>IF(AND('331-CT'!$E$7=TH!H1215,OR(L1215="331",M1215="331")),"331",IF(AND(OR(L1215="131",M1215="131"),H1215='131-CT'!$E$7),"131",""))</f>
        <v/>
      </c>
      <c r="O1215" s="22" t="str">
        <f>IF(AND($B1215&gt;='111'!$N$11,$B1215&lt;='111'!$O$11,OR($L1215=$O$7,$M1215=$O$7)),"x","")</f>
        <v/>
      </c>
      <c r="P1215" s="22" t="str">
        <f>IF(AND($L1215=$O$7,$B1215&lt;'111'!$N$11),"x","")</f>
        <v/>
      </c>
      <c r="Q1215" s="22" t="str">
        <f>IF(AND($M1215=$O$7,$B1215&lt;'111'!$N$11),"x","")</f>
        <v/>
      </c>
      <c r="R1215" s="22" t="str">
        <f>IF(ISERROR(FIND('112'!$M$9,G1215,1)),"",IF((AND(FIND('112'!$M$9,G1215,1)&gt;=1,$B1215&gt;='112'!$N$8,$B1215&lt;='112'!$O$8,OR($L1215='112'!$I$6,$M1215='112'!$I$6))),"x",""))</f>
        <v/>
      </c>
      <c r="S1215" s="22" t="str">
        <f>IF(ISERROR(FIND('112'!$M$9,G1215,1)),"",IF((AND(LEFT(G1215,2)=LEFT('112'!$M$9,2),B1215&lt;'112'!$N$8,$L1215='112'!$I$6)),"x",""))</f>
        <v/>
      </c>
      <c r="T1215" s="22" t="str">
        <f>IF(ISERROR(FIND('112'!$M$9,G1215,1)),"",IF((AND(RIGHT(G1215,2)=RIGHT('112'!$M$9,2),B1215&lt;'112'!$N$8,$M1215='112'!$I$6)),"x",""))</f>
        <v/>
      </c>
      <c r="U1215" s="22" t="str">
        <f>IF(AND(B1215&gt;='IN-NX'!$P$3,B1215&lt;='IN-NX'!$Q$3,'IN-NX'!$D$7=D1215,OR(LEFT(L1215,2)="15",AND(LEFT(M1215,2)&lt;&gt;"15",LEFT(M1215,2)&lt;&gt;"33"))),"x","")</f>
        <v/>
      </c>
      <c r="V1215" s="22" t="str">
        <f>IF(AND(OR(LEFT(TH!L1215,2)="15",LEFT(TH!M1215,2)="15"),'152-CT'!$J$8=TH!F1215),"x","")</f>
        <v/>
      </c>
      <c r="W1215" s="22" t="str">
        <f>IF(AND(OR(LEFT(TH!L1215,2)="15",LEFT(TH!M1215,2)="15"),TK!$E$7=TH!F1215),"x","")</f>
        <v/>
      </c>
      <c r="X1215" s="22" t="str">
        <f>IF(OR(TH!L1215=TH!$X$7,M1215=TH!$X$7),"x","")</f>
        <v/>
      </c>
      <c r="Y1215" s="22" t="str">
        <f>IF(AND(B1215&lt;=NKC!$N$8,B1215&gt;=NKC!$M$8),"x","")</f>
        <v>x</v>
      </c>
      <c r="Z1215" s="580"/>
      <c r="AA1215" s="588"/>
      <c r="AB1215" s="588"/>
    </row>
    <row r="1216" spans="1:31" s="589" customFormat="1" ht="15.75" customHeight="1">
      <c r="A1216" s="607" t="str">
        <f>IF(B1216&lt;&gt;"",IF(AND(B1216&gt;=_TM1,B1216&lt;=_TM2,OR(TH!L1216="1111",TH!M1216="1111")),TH!D1216,""),"")</f>
        <v/>
      </c>
      <c r="B1216" s="585">
        <f t="shared" si="62"/>
        <v>8</v>
      </c>
      <c r="C1216" s="586">
        <f t="shared" si="65"/>
        <v>42613</v>
      </c>
      <c r="D1216" s="569" t="s">
        <v>1022</v>
      </c>
      <c r="E1216" s="613">
        <v>42613</v>
      </c>
      <c r="F1216" s="614" t="s">
        <v>625</v>
      </c>
      <c r="G1216" s="615" t="s">
        <v>741</v>
      </c>
      <c r="H1216" s="572" t="s">
        <v>1075</v>
      </c>
      <c r="I1216" s="591">
        <v>305</v>
      </c>
      <c r="J1216" s="591">
        <v>15827.417736844798</v>
      </c>
      <c r="K1216" s="21">
        <f t="shared" si="64"/>
        <v>4827362</v>
      </c>
      <c r="L1216" s="567" t="s">
        <v>167</v>
      </c>
      <c r="M1216" s="567" t="s">
        <v>162</v>
      </c>
      <c r="N1216" s="22" t="str">
        <f>IF(AND('331-CT'!$E$7=TH!H1216,OR(L1216="331",M1216="331")),"331",IF(AND(OR(L1216="131",M1216="131"),H1216='131-CT'!$E$7),"131",""))</f>
        <v/>
      </c>
      <c r="O1216" s="22" t="str">
        <f>IF(AND($B1216&gt;='111'!$N$11,$B1216&lt;='111'!$O$11,OR($L1216=$O$7,$M1216=$O$7)),"x","")</f>
        <v/>
      </c>
      <c r="P1216" s="22" t="str">
        <f>IF(AND($L1216=$O$7,$B1216&lt;'111'!$N$11),"x","")</f>
        <v/>
      </c>
      <c r="Q1216" s="22" t="str">
        <f>IF(AND($M1216=$O$7,$B1216&lt;'111'!$N$11),"x","")</f>
        <v/>
      </c>
      <c r="R1216" s="22" t="str">
        <f>IF(ISERROR(FIND('112'!$M$9,G1216,1)),"",IF((AND(FIND('112'!$M$9,G1216,1)&gt;=1,$B1216&gt;='112'!$N$8,$B1216&lt;='112'!$O$8,OR($L1216='112'!$I$6,$M1216='112'!$I$6))),"x",""))</f>
        <v/>
      </c>
      <c r="S1216" s="22" t="str">
        <f>IF(ISERROR(FIND('112'!$M$9,G1216,1)),"",IF((AND(LEFT(G1216,2)=LEFT('112'!$M$9,2),B1216&lt;'112'!$N$8,$L1216='112'!$I$6)),"x",""))</f>
        <v/>
      </c>
      <c r="T1216" s="22" t="str">
        <f>IF(ISERROR(FIND('112'!$M$9,G1216,1)),"",IF((AND(RIGHT(G1216,2)=RIGHT('112'!$M$9,2),B1216&lt;'112'!$N$8,$M1216='112'!$I$6)),"x",""))</f>
        <v/>
      </c>
      <c r="U1216" s="22" t="str">
        <f>IF(AND(B1216&gt;='IN-NX'!$P$3,B1216&lt;='IN-NX'!$Q$3,'IN-NX'!$D$7=D1216,OR(LEFT(L1216,2)="15",AND(LEFT(M1216,2)&lt;&gt;"15",LEFT(M1216,2)&lt;&gt;"33"))),"x","")</f>
        <v/>
      </c>
      <c r="V1216" s="22" t="str">
        <f>IF(AND(OR(LEFT(TH!L1216,2)="15",LEFT(TH!M1216,2)="15"),'152-CT'!$J$8=TH!F1216),"x","")</f>
        <v/>
      </c>
      <c r="W1216" s="22" t="str">
        <f>IF(AND(OR(LEFT(TH!L1216,2)="15",LEFT(TH!M1216,2)="15"),TK!$E$7=TH!F1216),"x","")</f>
        <v/>
      </c>
      <c r="X1216" s="22" t="str">
        <f>IF(OR(TH!L1216=TH!$X$7,M1216=TH!$X$7),"x","")</f>
        <v/>
      </c>
      <c r="Y1216" s="22" t="str">
        <f>IF(AND(B1216&lt;=NKC!$N$8,B1216&gt;=NKC!$M$8),"x","")</f>
        <v>x</v>
      </c>
      <c r="Z1216" s="580"/>
      <c r="AA1216" s="588"/>
      <c r="AB1216" s="588"/>
    </row>
    <row r="1217" spans="1:31" s="589" customFormat="1" ht="15.75" customHeight="1">
      <c r="A1217" s="607" t="str">
        <f>IF(B1217&lt;&gt;"",IF(AND(B1217&gt;=_TM1,B1217&lt;=_TM2,OR(TH!L1217="1111",TH!M1217="1111")),TH!D1217,""),"")</f>
        <v/>
      </c>
      <c r="B1217" s="585">
        <f t="shared" si="62"/>
        <v>9</v>
      </c>
      <c r="C1217" s="586">
        <f t="shared" si="65"/>
        <v>42614</v>
      </c>
      <c r="D1217" s="569" t="s">
        <v>1022</v>
      </c>
      <c r="E1217" s="613">
        <v>42614</v>
      </c>
      <c r="F1217" s="614" t="s">
        <v>540</v>
      </c>
      <c r="G1217" s="615" t="s">
        <v>742</v>
      </c>
      <c r="H1217" s="572" t="s">
        <v>1075</v>
      </c>
      <c r="I1217" s="137">
        <v>504</v>
      </c>
      <c r="J1217" s="137">
        <v>7996.1433358017994</v>
      </c>
      <c r="K1217" s="21">
        <f t="shared" si="64"/>
        <v>4030056</v>
      </c>
      <c r="L1217" s="567" t="s">
        <v>167</v>
      </c>
      <c r="M1217" s="567" t="s">
        <v>162</v>
      </c>
      <c r="N1217" s="22" t="str">
        <f>IF(AND('331-CT'!$E$7=TH!H1217,OR(L1217="331",M1217="331")),"331",IF(AND(OR(L1217="131",M1217="131"),H1217='131-CT'!$E$7),"131",""))</f>
        <v/>
      </c>
      <c r="O1217" s="22" t="str">
        <f>IF(AND($B1217&gt;='111'!$N$11,$B1217&lt;='111'!$O$11,OR($L1217=$O$7,$M1217=$O$7)),"x","")</f>
        <v/>
      </c>
      <c r="P1217" s="22" t="str">
        <f>IF(AND($L1217=$O$7,$B1217&lt;'111'!$N$11),"x","")</f>
        <v/>
      </c>
      <c r="Q1217" s="22" t="str">
        <f>IF(AND($M1217=$O$7,$B1217&lt;'111'!$N$11),"x","")</f>
        <v/>
      </c>
      <c r="R1217" s="22" t="str">
        <f>IF(ISERROR(FIND('112'!$M$9,G1217,1)),"",IF((AND(FIND('112'!$M$9,G1217,1)&gt;=1,$B1217&gt;='112'!$N$8,$B1217&lt;='112'!$O$8,OR($L1217='112'!$I$6,$M1217='112'!$I$6))),"x",""))</f>
        <v/>
      </c>
      <c r="S1217" s="22" t="str">
        <f>IF(ISERROR(FIND('112'!$M$9,G1217,1)),"",IF((AND(LEFT(G1217,2)=LEFT('112'!$M$9,2),B1217&lt;'112'!$N$8,$L1217='112'!$I$6)),"x",""))</f>
        <v/>
      </c>
      <c r="T1217" s="22" t="str">
        <f>IF(ISERROR(FIND('112'!$M$9,G1217,1)),"",IF((AND(RIGHT(G1217,2)=RIGHT('112'!$M$9,2),B1217&lt;'112'!$N$8,$M1217='112'!$I$6)),"x",""))</f>
        <v/>
      </c>
      <c r="U1217" s="22" t="str">
        <f>IF(AND(B1217&gt;='IN-NX'!$P$3,B1217&lt;='IN-NX'!$Q$3,'IN-NX'!$D$7=D1217,OR(LEFT(L1217,2)="15",AND(LEFT(M1217,2)&lt;&gt;"15",LEFT(M1217,2)&lt;&gt;"33"))),"x","")</f>
        <v/>
      </c>
      <c r="V1217" s="22" t="str">
        <f>IF(AND(OR(LEFT(TH!L1217,2)="15",LEFT(TH!M1217,2)="15"),'152-CT'!$J$8=TH!F1217),"x","")</f>
        <v/>
      </c>
      <c r="W1217" s="22" t="str">
        <f>IF(AND(OR(LEFT(TH!L1217,2)="15",LEFT(TH!M1217,2)="15"),TK!$E$7=TH!F1217),"x","")</f>
        <v/>
      </c>
      <c r="X1217" s="22" t="str">
        <f>IF(OR(TH!L1217=TH!$X$7,M1217=TH!$X$7),"x","")</f>
        <v/>
      </c>
      <c r="Y1217" s="22" t="str">
        <f>IF(AND(B1217&lt;=NKC!$N$8,B1217&gt;=NKC!$M$8),"x","")</f>
        <v>x</v>
      </c>
      <c r="Z1217" s="580"/>
      <c r="AA1217" s="588"/>
    </row>
    <row r="1218" spans="1:31" s="589" customFormat="1" ht="15.75" customHeight="1">
      <c r="A1218" s="607" t="str">
        <f>IF(B1218&lt;&gt;"",IF(AND(B1218&gt;=_TM1,B1218&lt;=_TM2,OR(TH!L1218="1111",TH!M1218="1111")),TH!D1218,""),"")</f>
        <v/>
      </c>
      <c r="B1218" s="585">
        <f t="shared" si="62"/>
        <v>9</v>
      </c>
      <c r="C1218" s="586">
        <f t="shared" si="65"/>
        <v>42614</v>
      </c>
      <c r="D1218" s="569" t="s">
        <v>1022</v>
      </c>
      <c r="E1218" s="613">
        <v>42614</v>
      </c>
      <c r="F1218" s="614" t="s">
        <v>541</v>
      </c>
      <c r="G1218" s="615" t="s">
        <v>743</v>
      </c>
      <c r="H1218" s="572" t="s">
        <v>1075</v>
      </c>
      <c r="I1218" s="137">
        <v>2660</v>
      </c>
      <c r="J1218" s="137">
        <v>5358.2403796609997</v>
      </c>
      <c r="K1218" s="21">
        <f t="shared" si="64"/>
        <v>14252919</v>
      </c>
      <c r="L1218" s="567" t="s">
        <v>167</v>
      </c>
      <c r="M1218" s="567" t="s">
        <v>162</v>
      </c>
      <c r="N1218" s="22" t="str">
        <f>IF(AND('331-CT'!$E$7=TH!H1218,OR(L1218="331",M1218="331")),"331",IF(AND(OR(L1218="131",M1218="131"),H1218='131-CT'!$E$7),"131",""))</f>
        <v/>
      </c>
      <c r="O1218" s="22" t="str">
        <f>IF(AND($B1218&gt;='111'!$N$11,$B1218&lt;='111'!$O$11,OR($L1218=$O$7,$M1218=$O$7)),"x","")</f>
        <v/>
      </c>
      <c r="P1218" s="22" t="str">
        <f>IF(AND($L1218=$O$7,$B1218&lt;'111'!$N$11),"x","")</f>
        <v/>
      </c>
      <c r="Q1218" s="22" t="str">
        <f>IF(AND($M1218=$O$7,$B1218&lt;'111'!$N$11),"x","")</f>
        <v/>
      </c>
      <c r="R1218" s="22" t="str">
        <f>IF(ISERROR(FIND('112'!$M$9,G1218,1)),"",IF((AND(FIND('112'!$M$9,G1218,1)&gt;=1,$B1218&gt;='112'!$N$8,$B1218&lt;='112'!$O$8,OR($L1218='112'!$I$6,$M1218='112'!$I$6))),"x",""))</f>
        <v/>
      </c>
      <c r="S1218" s="22" t="str">
        <f>IF(ISERROR(FIND('112'!$M$9,G1218,1)),"",IF((AND(LEFT(G1218,2)=LEFT('112'!$M$9,2),B1218&lt;'112'!$N$8,$L1218='112'!$I$6)),"x",""))</f>
        <v/>
      </c>
      <c r="T1218" s="22" t="str">
        <f>IF(ISERROR(FIND('112'!$M$9,G1218,1)),"",IF((AND(RIGHT(G1218,2)=RIGHT('112'!$M$9,2),B1218&lt;'112'!$N$8,$M1218='112'!$I$6)),"x",""))</f>
        <v/>
      </c>
      <c r="U1218" s="22" t="str">
        <f>IF(AND(B1218&gt;='IN-NX'!$P$3,B1218&lt;='IN-NX'!$Q$3,'IN-NX'!$D$7=D1218,OR(LEFT(L1218,2)="15",AND(LEFT(M1218,2)&lt;&gt;"15",LEFT(M1218,2)&lt;&gt;"33"))),"x","")</f>
        <v/>
      </c>
      <c r="V1218" s="22" t="str">
        <f>IF(AND(OR(LEFT(TH!L1218,2)="15",LEFT(TH!M1218,2)="15"),'152-CT'!$J$8=TH!F1218),"x","")</f>
        <v/>
      </c>
      <c r="W1218" s="22" t="str">
        <f>IF(AND(OR(LEFT(TH!L1218,2)="15",LEFT(TH!M1218,2)="15"),TK!$E$7=TH!F1218),"x","")</f>
        <v/>
      </c>
      <c r="X1218" s="22" t="str">
        <f>IF(OR(TH!L1218=TH!$X$7,M1218=TH!$X$7),"x","")</f>
        <v/>
      </c>
      <c r="Y1218" s="22" t="str">
        <f>IF(AND(B1218&lt;=NKC!$N$8,B1218&gt;=NKC!$M$8),"x","")</f>
        <v>x</v>
      </c>
      <c r="Z1218" s="580"/>
      <c r="AA1218" s="588"/>
      <c r="AB1218" s="588"/>
    </row>
    <row r="1219" spans="1:31" s="589" customFormat="1" ht="15.75" customHeight="1">
      <c r="A1219" s="607" t="str">
        <f>IF(B1219&lt;&gt;"",IF(AND(B1219&gt;=_TM1,B1219&lt;=_TM2,OR(TH!L1219="1111",TH!M1219="1111")),TH!D1219,""),"")</f>
        <v/>
      </c>
      <c r="B1219" s="585">
        <f t="shared" si="62"/>
        <v>9</v>
      </c>
      <c r="C1219" s="586">
        <f t="shared" si="65"/>
        <v>42618</v>
      </c>
      <c r="D1219" s="569" t="s">
        <v>1022</v>
      </c>
      <c r="E1219" s="613">
        <v>42618</v>
      </c>
      <c r="F1219" s="614" t="s">
        <v>651</v>
      </c>
      <c r="G1219" s="615" t="s">
        <v>744</v>
      </c>
      <c r="H1219" s="572" t="s">
        <v>1075</v>
      </c>
      <c r="I1219" s="137">
        <v>412</v>
      </c>
      <c r="J1219" s="137">
        <v>8573.1846074575988</v>
      </c>
      <c r="K1219" s="21">
        <f t="shared" si="64"/>
        <v>3532152</v>
      </c>
      <c r="L1219" s="567" t="s">
        <v>167</v>
      </c>
      <c r="M1219" s="567" t="s">
        <v>162</v>
      </c>
      <c r="N1219" s="22" t="str">
        <f>IF(AND('331-CT'!$E$7=TH!H1219,OR(L1219="331",M1219="331")),"331",IF(AND(OR(L1219="131",M1219="131"),H1219='131-CT'!$E$7),"131",""))</f>
        <v/>
      </c>
      <c r="O1219" s="22" t="str">
        <f>IF(AND($B1219&gt;='111'!$N$11,$B1219&lt;='111'!$O$11,OR($L1219=$O$7,$M1219=$O$7)),"x","")</f>
        <v/>
      </c>
      <c r="P1219" s="22" t="str">
        <f>IF(AND($L1219=$O$7,$B1219&lt;'111'!$N$11),"x","")</f>
        <v/>
      </c>
      <c r="Q1219" s="22" t="str">
        <f>IF(AND($M1219=$O$7,$B1219&lt;'111'!$N$11),"x","")</f>
        <v/>
      </c>
      <c r="R1219" s="22" t="str">
        <f>IF(ISERROR(FIND('112'!$M$9,G1219,1)),"",IF((AND(FIND('112'!$M$9,G1219,1)&gt;=1,$B1219&gt;='112'!$N$8,$B1219&lt;='112'!$O$8,OR($L1219='112'!$I$6,$M1219='112'!$I$6))),"x",""))</f>
        <v/>
      </c>
      <c r="S1219" s="22" t="str">
        <f>IF(ISERROR(FIND('112'!$M$9,G1219,1)),"",IF((AND(LEFT(G1219,2)=LEFT('112'!$M$9,2),B1219&lt;'112'!$N$8,$L1219='112'!$I$6)),"x",""))</f>
        <v/>
      </c>
      <c r="T1219" s="22" t="str">
        <f>IF(ISERROR(FIND('112'!$M$9,G1219,1)),"",IF((AND(RIGHT(G1219,2)=RIGHT('112'!$M$9,2),B1219&lt;'112'!$N$8,$M1219='112'!$I$6)),"x",""))</f>
        <v/>
      </c>
      <c r="U1219" s="22" t="str">
        <f>IF(AND(B1219&gt;='IN-NX'!$P$3,B1219&lt;='IN-NX'!$Q$3,'IN-NX'!$D$7=D1219,OR(LEFT(L1219,2)="15",AND(LEFT(M1219,2)&lt;&gt;"15",LEFT(M1219,2)&lt;&gt;"33"))),"x","")</f>
        <v/>
      </c>
      <c r="V1219" s="22" t="str">
        <f>IF(AND(OR(LEFT(TH!L1219,2)="15",LEFT(TH!M1219,2)="15"),'152-CT'!$J$8=TH!F1219),"x","")</f>
        <v/>
      </c>
      <c r="W1219" s="22" t="str">
        <f>IF(AND(OR(LEFT(TH!L1219,2)="15",LEFT(TH!M1219,2)="15"),TK!$E$7=TH!F1219),"x","")</f>
        <v/>
      </c>
      <c r="X1219" s="22" t="str">
        <f>IF(OR(TH!L1219=TH!$X$7,M1219=TH!$X$7),"x","")</f>
        <v/>
      </c>
      <c r="Y1219" s="22" t="str">
        <f>IF(AND(B1219&lt;=NKC!$N$8,B1219&gt;=NKC!$M$8),"x","")</f>
        <v>x</v>
      </c>
      <c r="Z1219" s="580"/>
      <c r="AA1219" s="588"/>
    </row>
    <row r="1220" spans="1:31" s="589" customFormat="1" ht="15.75" customHeight="1">
      <c r="A1220" s="607" t="str">
        <f>IF(B1220&lt;&gt;"",IF(AND(B1220&gt;=_TM1,B1220&lt;=_TM2,OR(TH!L1220="1111",TH!M1220="1111")),TH!D1220,""),"")</f>
        <v/>
      </c>
      <c r="B1220" s="585">
        <f t="shared" si="62"/>
        <v>9</v>
      </c>
      <c r="C1220" s="586">
        <f t="shared" si="65"/>
        <v>42618</v>
      </c>
      <c r="D1220" s="569" t="s">
        <v>1022</v>
      </c>
      <c r="E1220" s="613">
        <v>42618</v>
      </c>
      <c r="F1220" s="614" t="s">
        <v>500</v>
      </c>
      <c r="G1220" s="615" t="s">
        <v>744</v>
      </c>
      <c r="H1220" s="572" t="s">
        <v>1075</v>
      </c>
      <c r="I1220" s="137">
        <v>382</v>
      </c>
      <c r="J1220" s="137">
        <v>10551.611824563199</v>
      </c>
      <c r="K1220" s="21">
        <f t="shared" si="64"/>
        <v>4030716</v>
      </c>
      <c r="L1220" s="567" t="s">
        <v>167</v>
      </c>
      <c r="M1220" s="567" t="s">
        <v>162</v>
      </c>
      <c r="N1220" s="22" t="str">
        <f>IF(AND('331-CT'!$E$7=TH!H1220,OR(L1220="331",M1220="331")),"331",IF(AND(OR(L1220="131",M1220="131"),H1220='131-CT'!$E$7),"131",""))</f>
        <v/>
      </c>
      <c r="O1220" s="22" t="str">
        <f>IF(AND($B1220&gt;='111'!$N$11,$B1220&lt;='111'!$O$11,OR($L1220=$O$7,$M1220=$O$7)),"x","")</f>
        <v/>
      </c>
      <c r="P1220" s="22" t="str">
        <f>IF(AND($L1220=$O$7,$B1220&lt;'111'!$N$11),"x","")</f>
        <v/>
      </c>
      <c r="Q1220" s="22" t="str">
        <f>IF(AND($M1220=$O$7,$B1220&lt;'111'!$N$11),"x","")</f>
        <v/>
      </c>
      <c r="R1220" s="22" t="str">
        <f>IF(ISERROR(FIND('112'!$M$9,G1220,1)),"",IF((AND(FIND('112'!$M$9,G1220,1)&gt;=1,$B1220&gt;='112'!$N$8,$B1220&lt;='112'!$O$8,OR($L1220='112'!$I$6,$M1220='112'!$I$6))),"x",""))</f>
        <v/>
      </c>
      <c r="S1220" s="22" t="str">
        <f>IF(ISERROR(FIND('112'!$M$9,G1220,1)),"",IF((AND(LEFT(G1220,2)=LEFT('112'!$M$9,2),B1220&lt;'112'!$N$8,$L1220='112'!$I$6)),"x",""))</f>
        <v/>
      </c>
      <c r="T1220" s="22" t="str">
        <f>IF(ISERROR(FIND('112'!$M$9,G1220,1)),"",IF((AND(RIGHT(G1220,2)=RIGHT('112'!$M$9,2),B1220&lt;'112'!$N$8,$M1220='112'!$I$6)),"x",""))</f>
        <v/>
      </c>
      <c r="U1220" s="22" t="str">
        <f>IF(AND(B1220&gt;='IN-NX'!$P$3,B1220&lt;='IN-NX'!$Q$3,'IN-NX'!$D$7=D1220,OR(LEFT(L1220,2)="15",AND(LEFT(M1220,2)&lt;&gt;"15",LEFT(M1220,2)&lt;&gt;"33"))),"x","")</f>
        <v/>
      </c>
      <c r="V1220" s="22" t="str">
        <f>IF(AND(OR(LEFT(TH!L1220,2)="15",LEFT(TH!M1220,2)="15"),'152-CT'!$J$8=TH!F1220),"x","")</f>
        <v/>
      </c>
      <c r="W1220" s="22" t="str">
        <f>IF(AND(OR(LEFT(TH!L1220,2)="15",LEFT(TH!M1220,2)="15"),TK!$E$7=TH!F1220),"x","")</f>
        <v/>
      </c>
      <c r="X1220" s="22" t="str">
        <f>IF(OR(TH!L1220=TH!$X$7,M1220=TH!$X$7),"x","")</f>
        <v/>
      </c>
      <c r="Y1220" s="22" t="str">
        <f>IF(AND(B1220&lt;=NKC!$N$8,B1220&gt;=NKC!$M$8),"x","")</f>
        <v>x</v>
      </c>
      <c r="Z1220" s="580"/>
      <c r="AA1220" s="588"/>
      <c r="AB1220" s="588"/>
    </row>
    <row r="1221" spans="1:31" s="589" customFormat="1" ht="15.75" customHeight="1">
      <c r="A1221" s="607" t="str">
        <f>IF(B1221&lt;&gt;"",IF(AND(B1221&gt;=_TM1,B1221&lt;=_TM2,OR(TH!L1221="1111",TH!M1221="1111")),TH!D1221,""),"")</f>
        <v/>
      </c>
      <c r="B1221" s="585">
        <f t="shared" si="62"/>
        <v>9</v>
      </c>
      <c r="C1221" s="586">
        <f t="shared" si="65"/>
        <v>42618</v>
      </c>
      <c r="D1221" s="569" t="s">
        <v>1022</v>
      </c>
      <c r="E1221" s="613">
        <v>42618</v>
      </c>
      <c r="F1221" s="614" t="s">
        <v>500</v>
      </c>
      <c r="G1221" s="615" t="s">
        <v>744</v>
      </c>
      <c r="H1221" s="572" t="s">
        <v>1075</v>
      </c>
      <c r="I1221" s="137">
        <v>110</v>
      </c>
      <c r="J1221" s="137">
        <v>10551.611824563199</v>
      </c>
      <c r="K1221" s="21">
        <f t="shared" si="64"/>
        <v>1160677</v>
      </c>
      <c r="L1221" s="567" t="s">
        <v>167</v>
      </c>
      <c r="M1221" s="567" t="s">
        <v>162</v>
      </c>
      <c r="N1221" s="22" t="str">
        <f>IF(AND('331-CT'!$E$7=TH!H1221,OR(L1221="331",M1221="331")),"331",IF(AND(OR(L1221="131",M1221="131"),H1221='131-CT'!$E$7),"131",""))</f>
        <v/>
      </c>
      <c r="O1221" s="22" t="str">
        <f>IF(AND($B1221&gt;='111'!$N$11,$B1221&lt;='111'!$O$11,OR($L1221=$O$7,$M1221=$O$7)),"x","")</f>
        <v/>
      </c>
      <c r="P1221" s="22" t="str">
        <f>IF(AND($L1221=$O$7,$B1221&lt;'111'!$N$11),"x","")</f>
        <v/>
      </c>
      <c r="Q1221" s="22" t="str">
        <f>IF(AND($M1221=$O$7,$B1221&lt;'111'!$N$11),"x","")</f>
        <v/>
      </c>
      <c r="R1221" s="22" t="str">
        <f>IF(ISERROR(FIND('112'!$M$9,G1221,1)),"",IF((AND(FIND('112'!$M$9,G1221,1)&gt;=1,$B1221&gt;='112'!$N$8,$B1221&lt;='112'!$O$8,OR($L1221='112'!$I$6,$M1221='112'!$I$6))),"x",""))</f>
        <v/>
      </c>
      <c r="S1221" s="22" t="str">
        <f>IF(ISERROR(FIND('112'!$M$9,G1221,1)),"",IF((AND(LEFT(G1221,2)=LEFT('112'!$M$9,2),B1221&lt;'112'!$N$8,$L1221='112'!$I$6)),"x",""))</f>
        <v/>
      </c>
      <c r="T1221" s="22" t="str">
        <f>IF(ISERROR(FIND('112'!$M$9,G1221,1)),"",IF((AND(RIGHT(G1221,2)=RIGHT('112'!$M$9,2),B1221&lt;'112'!$N$8,$M1221='112'!$I$6)),"x",""))</f>
        <v/>
      </c>
      <c r="U1221" s="22" t="str">
        <f>IF(AND(B1221&gt;='IN-NX'!$P$3,B1221&lt;='IN-NX'!$Q$3,'IN-NX'!$D$7=D1221,OR(LEFT(L1221,2)="15",AND(LEFT(M1221,2)&lt;&gt;"15",LEFT(M1221,2)&lt;&gt;"33"))),"x","")</f>
        <v/>
      </c>
      <c r="V1221" s="22" t="str">
        <f>IF(AND(OR(LEFT(TH!L1221,2)="15",LEFT(TH!M1221,2)="15"),'152-CT'!$J$8=TH!F1221),"x","")</f>
        <v/>
      </c>
      <c r="W1221" s="22" t="str">
        <f>IF(AND(OR(LEFT(TH!L1221,2)="15",LEFT(TH!M1221,2)="15"),TK!$E$7=TH!F1221),"x","")</f>
        <v/>
      </c>
      <c r="X1221" s="22" t="str">
        <f>IF(OR(TH!L1221=TH!$X$7,M1221=TH!$X$7),"x","")</f>
        <v/>
      </c>
      <c r="Y1221" s="22" t="str">
        <f>IF(AND(B1221&lt;=NKC!$N$8,B1221&gt;=NKC!$M$8),"x","")</f>
        <v>x</v>
      </c>
      <c r="Z1221" s="580"/>
      <c r="AA1221" s="588"/>
      <c r="AB1221" s="588"/>
    </row>
    <row r="1222" spans="1:31" s="589" customFormat="1" ht="15.75" customHeight="1">
      <c r="A1222" s="607" t="str">
        <f>IF(B1222&lt;&gt;"",IF(AND(B1222&gt;=_TM1,B1222&lt;=_TM2,OR(TH!L1222="1111",TH!M1222="1111")),TH!D1222,""),"")</f>
        <v/>
      </c>
      <c r="B1222" s="585">
        <f t="shared" si="62"/>
        <v>9</v>
      </c>
      <c r="C1222" s="586">
        <f t="shared" si="65"/>
        <v>42618</v>
      </c>
      <c r="D1222" s="569" t="s">
        <v>1022</v>
      </c>
      <c r="E1222" s="613">
        <v>42618</v>
      </c>
      <c r="F1222" s="614" t="s">
        <v>652</v>
      </c>
      <c r="G1222" s="615" t="s">
        <v>744</v>
      </c>
      <c r="H1222" s="572" t="s">
        <v>1075</v>
      </c>
      <c r="I1222" s="137">
        <v>110</v>
      </c>
      <c r="J1222" s="137">
        <v>7006.9297272489994</v>
      </c>
      <c r="K1222" s="21">
        <f t="shared" si="64"/>
        <v>770762</v>
      </c>
      <c r="L1222" s="567" t="s">
        <v>167</v>
      </c>
      <c r="M1222" s="567" t="s">
        <v>162</v>
      </c>
      <c r="N1222" s="22" t="str">
        <f>IF(AND('331-CT'!$E$7=TH!H1222,OR(L1222="331",M1222="331")),"331",IF(AND(OR(L1222="131",M1222="131"),H1222='131-CT'!$E$7),"131",""))</f>
        <v/>
      </c>
      <c r="O1222" s="22" t="str">
        <f>IF(AND($B1222&gt;='111'!$N$11,$B1222&lt;='111'!$O$11,OR($L1222=$O$7,$M1222=$O$7)),"x","")</f>
        <v/>
      </c>
      <c r="P1222" s="22" t="str">
        <f>IF(AND($L1222=$O$7,$B1222&lt;'111'!$N$11),"x","")</f>
        <v/>
      </c>
      <c r="Q1222" s="22" t="str">
        <f>IF(AND($M1222=$O$7,$B1222&lt;'111'!$N$11),"x","")</f>
        <v/>
      </c>
      <c r="R1222" s="22" t="str">
        <f>IF(ISERROR(FIND('112'!$M$9,G1222,1)),"",IF((AND(FIND('112'!$M$9,G1222,1)&gt;=1,$B1222&gt;='112'!$N$8,$B1222&lt;='112'!$O$8,OR($L1222='112'!$I$6,$M1222='112'!$I$6))),"x",""))</f>
        <v/>
      </c>
      <c r="S1222" s="22" t="str">
        <f>IF(ISERROR(FIND('112'!$M$9,G1222,1)),"",IF((AND(LEFT(G1222,2)=LEFT('112'!$M$9,2),B1222&lt;'112'!$N$8,$L1222='112'!$I$6)),"x",""))</f>
        <v/>
      </c>
      <c r="T1222" s="22" t="str">
        <f>IF(ISERROR(FIND('112'!$M$9,G1222,1)),"",IF((AND(RIGHT(G1222,2)=RIGHT('112'!$M$9,2),B1222&lt;'112'!$N$8,$M1222='112'!$I$6)),"x",""))</f>
        <v/>
      </c>
      <c r="U1222" s="22" t="str">
        <f>IF(AND(B1222&gt;='IN-NX'!$P$3,B1222&lt;='IN-NX'!$Q$3,'IN-NX'!$D$7=D1222,OR(LEFT(L1222,2)="15",AND(LEFT(M1222,2)&lt;&gt;"15",LEFT(M1222,2)&lt;&gt;"33"))),"x","")</f>
        <v/>
      </c>
      <c r="V1222" s="22" t="str">
        <f>IF(AND(OR(LEFT(TH!L1222,2)="15",LEFT(TH!M1222,2)="15"),'152-CT'!$J$8=TH!F1222),"x","")</f>
        <v/>
      </c>
      <c r="W1222" s="22" t="str">
        <f>IF(AND(OR(LEFT(TH!L1222,2)="15",LEFT(TH!M1222,2)="15"),TK!$E$7=TH!F1222),"x","")</f>
        <v/>
      </c>
      <c r="X1222" s="22" t="str">
        <f>IF(OR(TH!L1222=TH!$X$7,M1222=TH!$X$7),"x","")</f>
        <v/>
      </c>
      <c r="Y1222" s="22" t="str">
        <f>IF(AND(B1222&lt;=NKC!$N$8,B1222&gt;=NKC!$M$8),"x","")</f>
        <v>x</v>
      </c>
      <c r="Z1222" s="580"/>
      <c r="AA1222" s="588"/>
    </row>
    <row r="1223" spans="1:31" s="589" customFormat="1" ht="15.75" customHeight="1">
      <c r="A1223" s="607" t="str">
        <f>IF(B1223&lt;&gt;"",IF(AND(B1223&gt;=_TM1,B1223&lt;=_TM2,OR(TH!L1223="1111",TH!M1223="1111")),TH!D1223,""),"")</f>
        <v/>
      </c>
      <c r="B1223" s="585">
        <f t="shared" si="62"/>
        <v>9</v>
      </c>
      <c r="C1223" s="586">
        <f t="shared" si="65"/>
        <v>42618</v>
      </c>
      <c r="D1223" s="569" t="s">
        <v>1022</v>
      </c>
      <c r="E1223" s="613">
        <v>42618</v>
      </c>
      <c r="F1223" s="614" t="s">
        <v>653</v>
      </c>
      <c r="G1223" s="615" t="s">
        <v>745</v>
      </c>
      <c r="H1223" s="572" t="s">
        <v>1075</v>
      </c>
      <c r="I1223" s="137">
        <v>65</v>
      </c>
      <c r="J1223" s="137">
        <v>11870.563302633598</v>
      </c>
      <c r="K1223" s="21">
        <f t="shared" si="64"/>
        <v>771587</v>
      </c>
      <c r="L1223" s="567" t="s">
        <v>167</v>
      </c>
      <c r="M1223" s="567" t="s">
        <v>162</v>
      </c>
      <c r="N1223" s="22" t="str">
        <f>IF(AND('331-CT'!$E$7=TH!H1223,OR(L1223="331",M1223="331")),"331",IF(AND(OR(L1223="131",M1223="131"),H1223='131-CT'!$E$7),"131",""))</f>
        <v/>
      </c>
      <c r="O1223" s="22" t="str">
        <f>IF(AND($B1223&gt;='111'!$N$11,$B1223&lt;='111'!$O$11,OR($L1223=$O$7,$M1223=$O$7)),"x","")</f>
        <v/>
      </c>
      <c r="P1223" s="22" t="str">
        <f>IF(AND($L1223=$O$7,$B1223&lt;'111'!$N$11),"x","")</f>
        <v/>
      </c>
      <c r="Q1223" s="22" t="str">
        <f>IF(AND($M1223=$O$7,$B1223&lt;'111'!$N$11),"x","")</f>
        <v/>
      </c>
      <c r="R1223" s="22" t="str">
        <f>IF(ISERROR(FIND('112'!$M$9,G1223,1)),"",IF((AND(FIND('112'!$M$9,G1223,1)&gt;=1,$B1223&gt;='112'!$N$8,$B1223&lt;='112'!$O$8,OR($L1223='112'!$I$6,$M1223='112'!$I$6))),"x",""))</f>
        <v/>
      </c>
      <c r="S1223" s="22" t="str">
        <f>IF(ISERROR(FIND('112'!$M$9,G1223,1)),"",IF((AND(LEFT(G1223,2)=LEFT('112'!$M$9,2),B1223&lt;'112'!$N$8,$L1223='112'!$I$6)),"x",""))</f>
        <v/>
      </c>
      <c r="T1223" s="22" t="str">
        <f>IF(ISERROR(FIND('112'!$M$9,G1223,1)),"",IF((AND(RIGHT(G1223,2)=RIGHT('112'!$M$9,2),B1223&lt;'112'!$N$8,$M1223='112'!$I$6)),"x",""))</f>
        <v/>
      </c>
      <c r="U1223" s="22" t="str">
        <f>IF(AND(B1223&gt;='IN-NX'!$P$3,B1223&lt;='IN-NX'!$Q$3,'IN-NX'!$D$7=D1223,OR(LEFT(L1223,2)="15",AND(LEFT(M1223,2)&lt;&gt;"15",LEFT(M1223,2)&lt;&gt;"33"))),"x","")</f>
        <v/>
      </c>
      <c r="V1223" s="22" t="str">
        <f>IF(AND(OR(LEFT(TH!L1223,2)="15",LEFT(TH!M1223,2)="15"),'152-CT'!$J$8=TH!F1223),"x","")</f>
        <v/>
      </c>
      <c r="W1223" s="22" t="str">
        <f>IF(AND(OR(LEFT(TH!L1223,2)="15",LEFT(TH!M1223,2)="15"),TK!$E$7=TH!F1223),"x","")</f>
        <v/>
      </c>
      <c r="X1223" s="22" t="str">
        <f>IF(OR(TH!L1223=TH!$X$7,M1223=TH!$X$7),"x","")</f>
        <v/>
      </c>
      <c r="Y1223" s="22" t="str">
        <f>IF(AND(B1223&lt;=NKC!$N$8,B1223&gt;=NKC!$M$8),"x","")</f>
        <v>x</v>
      </c>
      <c r="Z1223" s="580"/>
      <c r="AA1223" s="588"/>
      <c r="AB1223" s="588"/>
    </row>
    <row r="1224" spans="1:31" s="589" customFormat="1" ht="15.75" customHeight="1">
      <c r="A1224" s="607" t="str">
        <f>IF(B1224&lt;&gt;"",IF(AND(B1224&gt;=_TM1,B1224&lt;=_TM2,OR(TH!L1224="1111",TH!M1224="1111")),TH!D1224,""),"")</f>
        <v/>
      </c>
      <c r="B1224" s="585">
        <f t="shared" si="62"/>
        <v>9</v>
      </c>
      <c r="C1224" s="586">
        <f t="shared" si="65"/>
        <v>42618</v>
      </c>
      <c r="D1224" s="569" t="s">
        <v>1022</v>
      </c>
      <c r="E1224" s="613">
        <v>42618</v>
      </c>
      <c r="F1224" s="614" t="s">
        <v>654</v>
      </c>
      <c r="G1224" s="615" t="s">
        <v>745</v>
      </c>
      <c r="H1224" s="572" t="s">
        <v>1075</v>
      </c>
      <c r="I1224" s="137">
        <v>917</v>
      </c>
      <c r="J1224" s="137">
        <v>8820.4880095957997</v>
      </c>
      <c r="K1224" s="21">
        <f t="shared" si="64"/>
        <v>8088388</v>
      </c>
      <c r="L1224" s="567" t="s">
        <v>167</v>
      </c>
      <c r="M1224" s="567" t="s">
        <v>162</v>
      </c>
      <c r="N1224" s="22" t="str">
        <f>IF(AND('331-CT'!$E$7=TH!H1224,OR(L1224="331",M1224="331")),"331",IF(AND(OR(L1224="131",M1224="131"),H1224='131-CT'!$E$7),"131",""))</f>
        <v/>
      </c>
      <c r="O1224" s="22" t="str">
        <f>IF(AND($B1224&gt;='111'!$N$11,$B1224&lt;='111'!$O$11,OR($L1224=$O$7,$M1224=$O$7)),"x","")</f>
        <v/>
      </c>
      <c r="P1224" s="22" t="str">
        <f>IF(AND($L1224=$O$7,$B1224&lt;'111'!$N$11),"x","")</f>
        <v/>
      </c>
      <c r="Q1224" s="22" t="str">
        <f>IF(AND($M1224=$O$7,$B1224&lt;'111'!$N$11),"x","")</f>
        <v/>
      </c>
      <c r="R1224" s="22" t="str">
        <f>IF(ISERROR(FIND('112'!$M$9,G1224,1)),"",IF((AND(FIND('112'!$M$9,G1224,1)&gt;=1,$B1224&gt;='112'!$N$8,$B1224&lt;='112'!$O$8,OR($L1224='112'!$I$6,$M1224='112'!$I$6))),"x",""))</f>
        <v/>
      </c>
      <c r="S1224" s="22" t="str">
        <f>IF(ISERROR(FIND('112'!$M$9,G1224,1)),"",IF((AND(LEFT(G1224,2)=LEFT('112'!$M$9,2),B1224&lt;'112'!$N$8,$L1224='112'!$I$6)),"x",""))</f>
        <v/>
      </c>
      <c r="T1224" s="22" t="str">
        <f>IF(ISERROR(FIND('112'!$M$9,G1224,1)),"",IF((AND(RIGHT(G1224,2)=RIGHT('112'!$M$9,2),B1224&lt;'112'!$N$8,$M1224='112'!$I$6)),"x",""))</f>
        <v/>
      </c>
      <c r="U1224" s="22" t="str">
        <f>IF(AND(B1224&gt;='IN-NX'!$P$3,B1224&lt;='IN-NX'!$Q$3,'IN-NX'!$D$7=D1224,OR(LEFT(L1224,2)="15",AND(LEFT(M1224,2)&lt;&gt;"15",LEFT(M1224,2)&lt;&gt;"33"))),"x","")</f>
        <v/>
      </c>
      <c r="V1224" s="22" t="str">
        <f>IF(AND(OR(LEFT(TH!L1224,2)="15",LEFT(TH!M1224,2)="15"),'152-CT'!$J$8=TH!F1224),"x","")</f>
        <v/>
      </c>
      <c r="W1224" s="22" t="str">
        <f>IF(AND(OR(LEFT(TH!L1224,2)="15",LEFT(TH!M1224,2)="15"),TK!$E$7=TH!F1224),"x","")</f>
        <v/>
      </c>
      <c r="X1224" s="22" t="str">
        <f>IF(OR(TH!L1224=TH!$X$7,M1224=TH!$X$7),"x","")</f>
        <v/>
      </c>
      <c r="Y1224" s="22" t="str">
        <f>IF(AND(B1224&lt;=NKC!$N$8,B1224&gt;=NKC!$M$8),"x","")</f>
        <v>x</v>
      </c>
      <c r="Z1224" s="580"/>
      <c r="AA1224" s="588"/>
    </row>
    <row r="1225" spans="1:31" s="589" customFormat="1" ht="15.75" customHeight="1">
      <c r="A1225" s="607" t="str">
        <f>IF(B1225&lt;&gt;"",IF(AND(B1225&gt;=_TM1,B1225&lt;=_TM2,OR(TH!L1225="1111",TH!M1225="1111")),TH!D1225,""),"")</f>
        <v/>
      </c>
      <c r="B1225" s="585">
        <f t="shared" si="62"/>
        <v>9</v>
      </c>
      <c r="C1225" s="586">
        <f t="shared" si="65"/>
        <v>42618</v>
      </c>
      <c r="D1225" s="569" t="s">
        <v>1022</v>
      </c>
      <c r="E1225" s="613">
        <v>42618</v>
      </c>
      <c r="F1225" s="614" t="s">
        <v>500</v>
      </c>
      <c r="G1225" s="615" t="s">
        <v>745</v>
      </c>
      <c r="H1225" s="572" t="s">
        <v>1075</v>
      </c>
      <c r="I1225" s="137">
        <v>72</v>
      </c>
      <c r="J1225" s="137">
        <v>10551.611824563199</v>
      </c>
      <c r="K1225" s="21">
        <f t="shared" si="64"/>
        <v>759716</v>
      </c>
      <c r="L1225" s="567" t="s">
        <v>167</v>
      </c>
      <c r="M1225" s="567" t="s">
        <v>162</v>
      </c>
      <c r="N1225" s="22" t="str">
        <f>IF(AND('331-CT'!$E$7=TH!H1225,OR(L1225="331",M1225="331")),"331",IF(AND(OR(L1225="131",M1225="131"),H1225='131-CT'!$E$7),"131",""))</f>
        <v/>
      </c>
      <c r="O1225" s="22" t="str">
        <f>IF(AND($B1225&gt;='111'!$N$11,$B1225&lt;='111'!$O$11,OR($L1225=$O$7,$M1225=$O$7)),"x","")</f>
        <v/>
      </c>
      <c r="P1225" s="22" t="str">
        <f>IF(AND($L1225=$O$7,$B1225&lt;'111'!$N$11),"x","")</f>
        <v/>
      </c>
      <c r="Q1225" s="22" t="str">
        <f>IF(AND($M1225=$O$7,$B1225&lt;'111'!$N$11),"x","")</f>
        <v/>
      </c>
      <c r="R1225" s="22" t="str">
        <f>IF(ISERROR(FIND('112'!$M$9,G1225,1)),"",IF((AND(FIND('112'!$M$9,G1225,1)&gt;=1,$B1225&gt;='112'!$N$8,$B1225&lt;='112'!$O$8,OR($L1225='112'!$I$6,$M1225='112'!$I$6))),"x",""))</f>
        <v/>
      </c>
      <c r="S1225" s="22" t="str">
        <f>IF(ISERROR(FIND('112'!$M$9,G1225,1)),"",IF((AND(LEFT(G1225,2)=LEFT('112'!$M$9,2),B1225&lt;'112'!$N$8,$L1225='112'!$I$6)),"x",""))</f>
        <v/>
      </c>
      <c r="T1225" s="22" t="str">
        <f>IF(ISERROR(FIND('112'!$M$9,G1225,1)),"",IF((AND(RIGHT(G1225,2)=RIGHT('112'!$M$9,2),B1225&lt;'112'!$N$8,$M1225='112'!$I$6)),"x",""))</f>
        <v/>
      </c>
      <c r="U1225" s="22" t="str">
        <f>IF(AND(B1225&gt;='IN-NX'!$P$3,B1225&lt;='IN-NX'!$Q$3,'IN-NX'!$D$7=D1225,OR(LEFT(L1225,2)="15",AND(LEFT(M1225,2)&lt;&gt;"15",LEFT(M1225,2)&lt;&gt;"33"))),"x","")</f>
        <v/>
      </c>
      <c r="V1225" s="22" t="str">
        <f>IF(AND(OR(LEFT(TH!L1225,2)="15",LEFT(TH!M1225,2)="15"),'152-CT'!$J$8=TH!F1225),"x","")</f>
        <v/>
      </c>
      <c r="W1225" s="22" t="str">
        <f>IF(AND(OR(LEFT(TH!L1225,2)="15",LEFT(TH!M1225,2)="15"),TK!$E$7=TH!F1225),"x","")</f>
        <v/>
      </c>
      <c r="X1225" s="22" t="str">
        <f>IF(OR(TH!L1225=TH!$X$7,M1225=TH!$X$7),"x","")</f>
        <v/>
      </c>
      <c r="Y1225" s="22" t="str">
        <f>IF(AND(B1225&lt;=NKC!$N$8,B1225&gt;=NKC!$M$8),"x","")</f>
        <v>x</v>
      </c>
      <c r="Z1225" s="580"/>
      <c r="AA1225" s="588"/>
      <c r="AB1225" s="588"/>
    </row>
    <row r="1226" spans="1:31" s="589" customFormat="1" ht="15.75" customHeight="1">
      <c r="A1226" s="607" t="str">
        <f>IF(B1226&lt;&gt;"",IF(AND(B1226&gt;=_TM1,B1226&lt;=_TM2,OR(TH!L1226="1111",TH!M1226="1111")),TH!D1226,""),"")</f>
        <v/>
      </c>
      <c r="B1226" s="585">
        <f t="shared" si="62"/>
        <v>9</v>
      </c>
      <c r="C1226" s="586">
        <f t="shared" si="65"/>
        <v>42619</v>
      </c>
      <c r="D1226" s="569" t="s">
        <v>1022</v>
      </c>
      <c r="E1226" s="613">
        <v>42619</v>
      </c>
      <c r="F1226" s="614" t="s">
        <v>510</v>
      </c>
      <c r="G1226" s="615" t="s">
        <v>746</v>
      </c>
      <c r="H1226" s="572" t="s">
        <v>1075</v>
      </c>
      <c r="I1226" s="137">
        <v>1036</v>
      </c>
      <c r="J1226" s="137">
        <v>5687.9782491785991</v>
      </c>
      <c r="K1226" s="21">
        <f t="shared" si="64"/>
        <v>5892745</v>
      </c>
      <c r="L1226" s="567" t="s">
        <v>167</v>
      </c>
      <c r="M1226" s="567" t="s">
        <v>162</v>
      </c>
      <c r="N1226" s="22" t="str">
        <f>IF(AND('331-CT'!$E$7=TH!H1226,OR(L1226="331",M1226="331")),"331",IF(AND(OR(L1226="131",M1226="131"),H1226='131-CT'!$E$7),"131",""))</f>
        <v/>
      </c>
      <c r="O1226" s="22" t="str">
        <f>IF(AND($B1226&gt;='111'!$N$11,$B1226&lt;='111'!$O$11,OR($L1226=$O$7,$M1226=$O$7)),"x","")</f>
        <v/>
      </c>
      <c r="P1226" s="22" t="str">
        <f>IF(AND($L1226=$O$7,$B1226&lt;'111'!$N$11),"x","")</f>
        <v/>
      </c>
      <c r="Q1226" s="22" t="str">
        <f>IF(AND($M1226=$O$7,$B1226&lt;'111'!$N$11),"x","")</f>
        <v/>
      </c>
      <c r="R1226" s="22" t="str">
        <f>IF(ISERROR(FIND('112'!$M$9,G1226,1)),"",IF((AND(FIND('112'!$M$9,G1226,1)&gt;=1,$B1226&gt;='112'!$N$8,$B1226&lt;='112'!$O$8,OR($L1226='112'!$I$6,$M1226='112'!$I$6))),"x",""))</f>
        <v/>
      </c>
      <c r="S1226" s="22" t="str">
        <f>IF(ISERROR(FIND('112'!$M$9,G1226,1)),"",IF((AND(LEFT(G1226,2)=LEFT('112'!$M$9,2),B1226&lt;'112'!$N$8,$L1226='112'!$I$6)),"x",""))</f>
        <v/>
      </c>
      <c r="T1226" s="22" t="str">
        <f>IF(ISERROR(FIND('112'!$M$9,G1226,1)),"",IF((AND(RIGHT(G1226,2)=RIGHT('112'!$M$9,2),B1226&lt;'112'!$N$8,$M1226='112'!$I$6)),"x",""))</f>
        <v/>
      </c>
      <c r="U1226" s="22" t="str">
        <f>IF(AND(B1226&gt;='IN-NX'!$P$3,B1226&lt;='IN-NX'!$Q$3,'IN-NX'!$D$7=D1226,OR(LEFT(L1226,2)="15",AND(LEFT(M1226,2)&lt;&gt;"15",LEFT(M1226,2)&lt;&gt;"33"))),"x","")</f>
        <v/>
      </c>
      <c r="V1226" s="22" t="str">
        <f>IF(AND(OR(LEFT(TH!L1226,2)="15",LEFT(TH!M1226,2)="15"),'152-CT'!$J$8=TH!F1226),"x","")</f>
        <v/>
      </c>
      <c r="W1226" s="22" t="str">
        <f>IF(AND(OR(LEFT(TH!L1226,2)="15",LEFT(TH!M1226,2)="15"),TK!$E$7=TH!F1226),"x","")</f>
        <v/>
      </c>
      <c r="X1226" s="22" t="str">
        <f>IF(OR(TH!L1226=TH!$X$7,M1226=TH!$X$7),"x","")</f>
        <v/>
      </c>
      <c r="Y1226" s="22" t="str">
        <f>IF(AND(B1226&lt;=NKC!$N$8,B1226&gt;=NKC!$M$8),"x","")</f>
        <v>x</v>
      </c>
      <c r="Z1226" s="580"/>
      <c r="AA1226" s="588"/>
      <c r="AB1226" s="588"/>
    </row>
    <row r="1227" spans="1:31" s="589" customFormat="1" ht="15.75" customHeight="1">
      <c r="A1227" s="607" t="str">
        <f>IF(B1227&lt;&gt;"",IF(AND(B1227&gt;=_TM1,B1227&lt;=_TM2,OR(TH!L1227="1111",TH!M1227="1111")),TH!D1227,""),"")</f>
        <v/>
      </c>
      <c r="B1227" s="585">
        <f t="shared" si="62"/>
        <v>9</v>
      </c>
      <c r="C1227" s="586">
        <f t="shared" si="65"/>
        <v>42619</v>
      </c>
      <c r="D1227" s="569" t="s">
        <v>1022</v>
      </c>
      <c r="E1227" s="613">
        <v>42619</v>
      </c>
      <c r="F1227" s="614" t="s">
        <v>664</v>
      </c>
      <c r="G1227" s="615" t="s">
        <v>748</v>
      </c>
      <c r="H1227" s="572" t="s">
        <v>1075</v>
      </c>
      <c r="I1227" s="137">
        <v>212</v>
      </c>
      <c r="J1227" s="137">
        <v>7748.8399336635994</v>
      </c>
      <c r="K1227" s="21">
        <f t="shared" si="64"/>
        <v>1642754</v>
      </c>
      <c r="L1227" s="567" t="s">
        <v>167</v>
      </c>
      <c r="M1227" s="567" t="s">
        <v>162</v>
      </c>
      <c r="N1227" s="22" t="str">
        <f>IF(AND('331-CT'!$E$7=TH!H1227,OR(L1227="331",M1227="331")),"331",IF(AND(OR(L1227="131",M1227="131"),H1227='131-CT'!$E$7),"131",""))</f>
        <v/>
      </c>
      <c r="O1227" s="22" t="str">
        <f>IF(AND($B1227&gt;='111'!$N$11,$B1227&lt;='111'!$O$11,OR($L1227=$O$7,$M1227=$O$7)),"x","")</f>
        <v/>
      </c>
      <c r="P1227" s="22" t="str">
        <f>IF(AND($L1227=$O$7,$B1227&lt;'111'!$N$11),"x","")</f>
        <v/>
      </c>
      <c r="Q1227" s="22" t="str">
        <f>IF(AND($M1227=$O$7,$B1227&lt;'111'!$N$11),"x","")</f>
        <v/>
      </c>
      <c r="R1227" s="22" t="str">
        <f>IF(ISERROR(FIND('112'!$M$9,G1227,1)),"",IF((AND(FIND('112'!$M$9,G1227,1)&gt;=1,$B1227&gt;='112'!$N$8,$B1227&lt;='112'!$O$8,OR($L1227='112'!$I$6,$M1227='112'!$I$6))),"x",""))</f>
        <v/>
      </c>
      <c r="S1227" s="22" t="str">
        <f>IF(ISERROR(FIND('112'!$M$9,G1227,1)),"",IF((AND(LEFT(G1227,2)=LEFT('112'!$M$9,2),B1227&lt;'112'!$N$8,$L1227='112'!$I$6)),"x",""))</f>
        <v/>
      </c>
      <c r="T1227" s="22" t="str">
        <f>IF(ISERROR(FIND('112'!$M$9,G1227,1)),"",IF((AND(RIGHT(G1227,2)=RIGHT('112'!$M$9,2),B1227&lt;'112'!$N$8,$M1227='112'!$I$6)),"x",""))</f>
        <v/>
      </c>
      <c r="U1227" s="22" t="str">
        <f>IF(AND(B1227&gt;='IN-NX'!$P$3,B1227&lt;='IN-NX'!$Q$3,'IN-NX'!$D$7=D1227,OR(LEFT(L1227,2)="15",AND(LEFT(M1227,2)&lt;&gt;"15",LEFT(M1227,2)&lt;&gt;"33"))),"x","")</f>
        <v/>
      </c>
      <c r="V1227" s="22" t="str">
        <f>IF(AND(OR(LEFT(TH!L1227,2)="15",LEFT(TH!M1227,2)="15"),'152-CT'!$J$8=TH!F1227),"x","")</f>
        <v/>
      </c>
      <c r="W1227" s="22" t="str">
        <f>IF(AND(OR(LEFT(TH!L1227,2)="15",LEFT(TH!M1227,2)="15"),TK!$E$7=TH!F1227),"x","")</f>
        <v/>
      </c>
      <c r="X1227" s="22" t="str">
        <f>IF(OR(TH!L1227=TH!$X$7,M1227=TH!$X$7),"x","")</f>
        <v/>
      </c>
      <c r="Y1227" s="22" t="str">
        <f>IF(AND(B1227&lt;=NKC!$N$8,B1227&gt;=NKC!$M$8),"x","")</f>
        <v>x</v>
      </c>
      <c r="Z1227" s="580"/>
      <c r="AA1227" s="588"/>
      <c r="AB1227" s="588"/>
    </row>
    <row r="1228" spans="1:31" s="589" customFormat="1" ht="15.75" customHeight="1">
      <c r="A1228" s="607" t="str">
        <f>IF(B1228&lt;&gt;"",IF(AND(B1228&gt;=_TM1,B1228&lt;=_TM2,OR(TH!L1228="1111",TH!M1228="1111")),TH!D1228,""),"")</f>
        <v/>
      </c>
      <c r="B1228" s="585">
        <f t="shared" si="62"/>
        <v>9</v>
      </c>
      <c r="C1228" s="586">
        <f t="shared" si="65"/>
        <v>42620</v>
      </c>
      <c r="D1228" s="569" t="s">
        <v>1022</v>
      </c>
      <c r="E1228" s="613">
        <v>42620</v>
      </c>
      <c r="F1228" s="614" t="s">
        <v>529</v>
      </c>
      <c r="G1228" s="615" t="s">
        <v>750</v>
      </c>
      <c r="H1228" s="572" t="s">
        <v>1075</v>
      </c>
      <c r="I1228" s="137">
        <v>60</v>
      </c>
      <c r="J1228" s="137">
        <v>59764.988850064998</v>
      </c>
      <c r="K1228" s="21">
        <f t="shared" si="64"/>
        <v>3585899</v>
      </c>
      <c r="L1228" s="567" t="s">
        <v>167</v>
      </c>
      <c r="M1228" s="567" t="s">
        <v>162</v>
      </c>
      <c r="N1228" s="22" t="str">
        <f>IF(AND('331-CT'!$E$7=TH!H1228,OR(L1228="331",M1228="331")),"331",IF(AND(OR(L1228="131",M1228="131"),H1228='131-CT'!$E$7),"131",""))</f>
        <v/>
      </c>
      <c r="O1228" s="22" t="str">
        <f>IF(AND($B1228&gt;='111'!$N$11,$B1228&lt;='111'!$O$11,OR($L1228=$O$7,$M1228=$O$7)),"x","")</f>
        <v/>
      </c>
      <c r="P1228" s="22" t="str">
        <f>IF(AND($L1228=$O$7,$B1228&lt;'111'!$N$11),"x","")</f>
        <v/>
      </c>
      <c r="Q1228" s="22" t="str">
        <f>IF(AND($M1228=$O$7,$B1228&lt;'111'!$N$11),"x","")</f>
        <v/>
      </c>
      <c r="R1228" s="22" t="str">
        <f>IF(ISERROR(FIND('112'!$M$9,G1228,1)),"",IF((AND(FIND('112'!$M$9,G1228,1)&gt;=1,$B1228&gt;='112'!$N$8,$B1228&lt;='112'!$O$8,OR($L1228='112'!$I$6,$M1228='112'!$I$6))),"x",""))</f>
        <v/>
      </c>
      <c r="S1228" s="22" t="str">
        <f>IF(ISERROR(FIND('112'!$M$9,G1228,1)),"",IF((AND(LEFT(G1228,2)=LEFT('112'!$M$9,2),B1228&lt;'112'!$N$8,$L1228='112'!$I$6)),"x",""))</f>
        <v/>
      </c>
      <c r="T1228" s="22" t="str">
        <f>IF(ISERROR(FIND('112'!$M$9,G1228,1)),"",IF((AND(RIGHT(G1228,2)=RIGHT('112'!$M$9,2),B1228&lt;'112'!$N$8,$M1228='112'!$I$6)),"x",""))</f>
        <v/>
      </c>
      <c r="U1228" s="22" t="str">
        <f>IF(AND(B1228&gt;='IN-NX'!$P$3,B1228&lt;='IN-NX'!$Q$3,'IN-NX'!$D$7=D1228,OR(LEFT(L1228,2)="15",AND(LEFT(M1228,2)&lt;&gt;"15",LEFT(M1228,2)&lt;&gt;"33"))),"x","")</f>
        <v/>
      </c>
      <c r="V1228" s="22" t="str">
        <f>IF(AND(OR(LEFT(TH!L1228,2)="15",LEFT(TH!M1228,2)="15"),'152-CT'!$J$8=TH!F1228),"x","")</f>
        <v/>
      </c>
      <c r="W1228" s="22" t="str">
        <f>IF(AND(OR(LEFT(TH!L1228,2)="15",LEFT(TH!M1228,2)="15"),TK!$E$7=TH!F1228),"x","")</f>
        <v/>
      </c>
      <c r="X1228" s="22" t="str">
        <f>IF(OR(TH!L1228=TH!$X$7,M1228=TH!$X$7),"x","")</f>
        <v/>
      </c>
      <c r="Y1228" s="22" t="str">
        <f>IF(AND(B1228&lt;=NKC!$N$8,B1228&gt;=NKC!$M$8),"x","")</f>
        <v>x</v>
      </c>
      <c r="Z1228" s="580"/>
      <c r="AA1228" s="588"/>
      <c r="AB1228" s="588"/>
    </row>
    <row r="1229" spans="1:31" s="589" customFormat="1" ht="15.75" customHeight="1">
      <c r="A1229" s="607" t="str">
        <f>IF(B1229&lt;&gt;"",IF(AND(B1229&gt;=_TM1,B1229&lt;=_TM2,OR(TH!L1229="1111",TH!M1229="1111")),TH!D1229,""),"")</f>
        <v/>
      </c>
      <c r="B1229" s="585">
        <f t="shared" si="62"/>
        <v>9</v>
      </c>
      <c r="C1229" s="586">
        <f t="shared" si="65"/>
        <v>42620</v>
      </c>
      <c r="D1229" s="569" t="s">
        <v>1022</v>
      </c>
      <c r="E1229" s="613">
        <v>42620</v>
      </c>
      <c r="F1229" s="614" t="s">
        <v>666</v>
      </c>
      <c r="G1229" s="615" t="s">
        <v>750</v>
      </c>
      <c r="H1229" s="572" t="s">
        <v>1075</v>
      </c>
      <c r="I1229" s="137">
        <v>20</v>
      </c>
      <c r="J1229" s="137">
        <v>69739.559402972402</v>
      </c>
      <c r="K1229" s="21">
        <f t="shared" si="64"/>
        <v>1394791</v>
      </c>
      <c r="L1229" s="567" t="s">
        <v>167</v>
      </c>
      <c r="M1229" s="567" t="s">
        <v>162</v>
      </c>
      <c r="N1229" s="22" t="str">
        <f>IF(AND('331-CT'!$E$7=TH!H1229,OR(L1229="331",M1229="331")),"331",IF(AND(OR(L1229="131",M1229="131"),H1229='131-CT'!$E$7),"131",""))</f>
        <v/>
      </c>
      <c r="O1229" s="22" t="str">
        <f>IF(AND($B1229&gt;='111'!$N$11,$B1229&lt;='111'!$O$11,OR($L1229=$O$7,$M1229=$O$7)),"x","")</f>
        <v/>
      </c>
      <c r="P1229" s="22" t="str">
        <f>IF(AND($L1229=$O$7,$B1229&lt;'111'!$N$11),"x","")</f>
        <v/>
      </c>
      <c r="Q1229" s="22" t="str">
        <f>IF(AND($M1229=$O$7,$B1229&lt;'111'!$N$11),"x","")</f>
        <v/>
      </c>
      <c r="R1229" s="22" t="str">
        <f>IF(ISERROR(FIND('112'!$M$9,G1229,1)),"",IF((AND(FIND('112'!$M$9,G1229,1)&gt;=1,$B1229&gt;='112'!$N$8,$B1229&lt;='112'!$O$8,OR($L1229='112'!$I$6,$M1229='112'!$I$6))),"x",""))</f>
        <v/>
      </c>
      <c r="S1229" s="22" t="str">
        <f>IF(ISERROR(FIND('112'!$M$9,G1229,1)),"",IF((AND(LEFT(G1229,2)=LEFT('112'!$M$9,2),B1229&lt;'112'!$N$8,$L1229='112'!$I$6)),"x",""))</f>
        <v/>
      </c>
      <c r="T1229" s="22" t="str">
        <f>IF(ISERROR(FIND('112'!$M$9,G1229,1)),"",IF((AND(RIGHT(G1229,2)=RIGHT('112'!$M$9,2),B1229&lt;'112'!$N$8,$M1229='112'!$I$6)),"x",""))</f>
        <v/>
      </c>
      <c r="U1229" s="22" t="str">
        <f>IF(AND(B1229&gt;='IN-NX'!$P$3,B1229&lt;='IN-NX'!$Q$3,'IN-NX'!$D$7=D1229,OR(LEFT(L1229,2)="15",AND(LEFT(M1229,2)&lt;&gt;"15",LEFT(M1229,2)&lt;&gt;"33"))),"x","")</f>
        <v/>
      </c>
      <c r="V1229" s="22" t="str">
        <f>IF(AND(OR(LEFT(TH!L1229,2)="15",LEFT(TH!M1229,2)="15"),'152-CT'!$J$8=TH!F1229),"x","")</f>
        <v/>
      </c>
      <c r="W1229" s="22" t="str">
        <f>IF(AND(OR(LEFT(TH!L1229,2)="15",LEFT(TH!M1229,2)="15"),TK!$E$7=TH!F1229),"x","")</f>
        <v/>
      </c>
      <c r="X1229" s="22" t="str">
        <f>IF(OR(TH!L1229=TH!$X$7,M1229=TH!$X$7),"x","")</f>
        <v/>
      </c>
      <c r="Y1229" s="22" t="str">
        <f>IF(AND(B1229&lt;=NKC!$N$8,B1229&gt;=NKC!$M$8),"x","")</f>
        <v>x</v>
      </c>
      <c r="Z1229" s="580"/>
      <c r="AA1229" s="588"/>
      <c r="AB1229" s="588"/>
    </row>
    <row r="1230" spans="1:31" s="589" customFormat="1" ht="15.75" customHeight="1">
      <c r="A1230" s="607" t="str">
        <f>IF(B1230&lt;&gt;"",IF(AND(B1230&gt;=_TM1,B1230&lt;=_TM2,OR(TH!L1230="1111",TH!M1230="1111")),TH!D1230,""),"")</f>
        <v/>
      </c>
      <c r="B1230" s="585">
        <f t="shared" si="62"/>
        <v>9</v>
      </c>
      <c r="C1230" s="586">
        <f t="shared" si="65"/>
        <v>42621</v>
      </c>
      <c r="D1230" s="569" t="s">
        <v>1022</v>
      </c>
      <c r="E1230" s="613">
        <v>42621</v>
      </c>
      <c r="F1230" s="614" t="s">
        <v>543</v>
      </c>
      <c r="G1230" s="615" t="s">
        <v>751</v>
      </c>
      <c r="H1230" s="572" t="s">
        <v>1075</v>
      </c>
      <c r="I1230" s="137">
        <v>1027</v>
      </c>
      <c r="J1230" s="137">
        <v>4616.3301732463997</v>
      </c>
      <c r="K1230" s="21">
        <f t="shared" si="64"/>
        <v>4740971</v>
      </c>
      <c r="L1230" s="567" t="s">
        <v>167</v>
      </c>
      <c r="M1230" s="567" t="s">
        <v>162</v>
      </c>
      <c r="N1230" s="22" t="str">
        <f>IF(AND('331-CT'!$E$7=TH!H1230,OR(L1230="331",M1230="331")),"331",IF(AND(OR(L1230="131",M1230="131"),H1230='131-CT'!$E$7),"131",""))</f>
        <v/>
      </c>
      <c r="O1230" s="22" t="str">
        <f>IF(AND($B1230&gt;='111'!$N$11,$B1230&lt;='111'!$O$11,OR($L1230=$O$7,$M1230=$O$7)),"x","")</f>
        <v/>
      </c>
      <c r="P1230" s="22" t="str">
        <f>IF(AND($L1230=$O$7,$B1230&lt;'111'!$N$11),"x","")</f>
        <v/>
      </c>
      <c r="Q1230" s="22" t="str">
        <f>IF(AND($M1230=$O$7,$B1230&lt;'111'!$N$11),"x","")</f>
        <v/>
      </c>
      <c r="R1230" s="22" t="str">
        <f>IF(ISERROR(FIND('112'!$M$9,G1230,1)),"",IF((AND(FIND('112'!$M$9,G1230,1)&gt;=1,$B1230&gt;='112'!$N$8,$B1230&lt;='112'!$O$8,OR($L1230='112'!$I$6,$M1230='112'!$I$6))),"x",""))</f>
        <v/>
      </c>
      <c r="S1230" s="22" t="str">
        <f>IF(ISERROR(FIND('112'!$M$9,G1230,1)),"",IF((AND(LEFT(G1230,2)=LEFT('112'!$M$9,2),B1230&lt;'112'!$N$8,$L1230='112'!$I$6)),"x",""))</f>
        <v/>
      </c>
      <c r="T1230" s="22" t="str">
        <f>IF(ISERROR(FIND('112'!$M$9,G1230,1)),"",IF((AND(RIGHT(G1230,2)=RIGHT('112'!$M$9,2),B1230&lt;'112'!$N$8,$M1230='112'!$I$6)),"x",""))</f>
        <v/>
      </c>
      <c r="U1230" s="22" t="str">
        <f>IF(AND(B1230&gt;='IN-NX'!$P$3,B1230&lt;='IN-NX'!$Q$3,'IN-NX'!$D$7=D1230,OR(LEFT(L1230,2)="15",AND(LEFT(M1230,2)&lt;&gt;"15",LEFT(M1230,2)&lt;&gt;"33"))),"x","")</f>
        <v/>
      </c>
      <c r="V1230" s="22" t="str">
        <f>IF(AND(OR(LEFT(TH!L1230,2)="15",LEFT(TH!M1230,2)="15"),'152-CT'!$J$8=TH!F1230),"x","")</f>
        <v/>
      </c>
      <c r="W1230" s="22" t="str">
        <f>IF(AND(OR(LEFT(TH!L1230,2)="15",LEFT(TH!M1230,2)="15"),TK!$E$7=TH!F1230),"x","")</f>
        <v/>
      </c>
      <c r="X1230" s="22" t="str">
        <f>IF(OR(TH!L1230=TH!$X$7,M1230=TH!$X$7),"x","")</f>
        <v/>
      </c>
      <c r="Y1230" s="22" t="str">
        <f>IF(AND(B1230&lt;=NKC!$N$8,B1230&gt;=NKC!$M$8),"x","")</f>
        <v>x</v>
      </c>
      <c r="Z1230" s="580"/>
      <c r="AA1230" s="588"/>
      <c r="AB1230" s="588"/>
    </row>
    <row r="1231" spans="1:31" s="589" customFormat="1" ht="15.75" customHeight="1">
      <c r="A1231" s="607" t="str">
        <f>IF(B1231&lt;&gt;"",IF(AND(B1231&gt;=_TM1,B1231&lt;=_TM2,OR(TH!L1231="1111",TH!M1231="1111")),TH!D1231,""),"")</f>
        <v/>
      </c>
      <c r="B1231" s="585">
        <f t="shared" si="62"/>
        <v>9</v>
      </c>
      <c r="C1231" s="586">
        <f t="shared" si="65"/>
        <v>42621</v>
      </c>
      <c r="D1231" s="569" t="s">
        <v>1022</v>
      </c>
      <c r="E1231" s="613">
        <v>42621</v>
      </c>
      <c r="F1231" s="614" t="s">
        <v>646</v>
      </c>
      <c r="G1231" s="615" t="s">
        <v>752</v>
      </c>
      <c r="H1231" s="572" t="s">
        <v>1075</v>
      </c>
      <c r="I1231" s="137">
        <v>300</v>
      </c>
      <c r="J1231" s="137">
        <v>10221.873955045599</v>
      </c>
      <c r="K1231" s="21">
        <f t="shared" si="64"/>
        <v>3066562</v>
      </c>
      <c r="L1231" s="567" t="s">
        <v>167</v>
      </c>
      <c r="M1231" s="567" t="s">
        <v>162</v>
      </c>
      <c r="N1231" s="22" t="str">
        <f>IF(AND('331-CT'!$E$7=TH!H1231,OR(L1231="331",M1231="331")),"331",IF(AND(OR(L1231="131",M1231="131"),H1231='131-CT'!$E$7),"131",""))</f>
        <v/>
      </c>
      <c r="O1231" s="22" t="str">
        <f>IF(AND($B1231&gt;='111'!$N$11,$B1231&lt;='111'!$O$11,OR($L1231=$O$7,$M1231=$O$7)),"x","")</f>
        <v/>
      </c>
      <c r="P1231" s="22" t="str">
        <f>IF(AND($L1231=$O$7,$B1231&lt;'111'!$N$11),"x","")</f>
        <v/>
      </c>
      <c r="Q1231" s="22" t="str">
        <f>IF(AND($M1231=$O$7,$B1231&lt;'111'!$N$11),"x","")</f>
        <v/>
      </c>
      <c r="R1231" s="22" t="str">
        <f>IF(ISERROR(FIND('112'!$M$9,G1231,1)),"",IF((AND(FIND('112'!$M$9,G1231,1)&gt;=1,$B1231&gt;='112'!$N$8,$B1231&lt;='112'!$O$8,OR($L1231='112'!$I$6,$M1231='112'!$I$6))),"x",""))</f>
        <v/>
      </c>
      <c r="S1231" s="22" t="str">
        <f>IF(ISERROR(FIND('112'!$M$9,G1231,1)),"",IF((AND(LEFT(G1231,2)=LEFT('112'!$M$9,2),B1231&lt;'112'!$N$8,$L1231='112'!$I$6)),"x",""))</f>
        <v/>
      </c>
      <c r="T1231" s="22" t="str">
        <f>IF(ISERROR(FIND('112'!$M$9,G1231,1)),"",IF((AND(RIGHT(G1231,2)=RIGHT('112'!$M$9,2),B1231&lt;'112'!$N$8,$M1231='112'!$I$6)),"x",""))</f>
        <v/>
      </c>
      <c r="U1231" s="22" t="str">
        <f>IF(AND(B1231&gt;='IN-NX'!$P$3,B1231&lt;='IN-NX'!$Q$3,'IN-NX'!$D$7=D1231,OR(LEFT(L1231,2)="15",AND(LEFT(M1231,2)&lt;&gt;"15",LEFT(M1231,2)&lt;&gt;"33"))),"x","")</f>
        <v/>
      </c>
      <c r="V1231" s="22" t="str">
        <f>IF(AND(OR(LEFT(TH!L1231,2)="15",LEFT(TH!M1231,2)="15"),'152-CT'!$J$8=TH!F1231),"x","")</f>
        <v/>
      </c>
      <c r="W1231" s="22" t="str">
        <f>IF(AND(OR(LEFT(TH!L1231,2)="15",LEFT(TH!M1231,2)="15"),TK!$E$7=TH!F1231),"x","")</f>
        <v/>
      </c>
      <c r="X1231" s="22" t="str">
        <f>IF(OR(TH!L1231=TH!$X$7,M1231=TH!$X$7),"x","")</f>
        <v/>
      </c>
      <c r="Y1231" s="22" t="str">
        <f>IF(AND(B1231&lt;=NKC!$N$8,B1231&gt;=NKC!$M$8),"x","")</f>
        <v>x</v>
      </c>
      <c r="Z1231" s="580"/>
      <c r="AA1231" s="588"/>
      <c r="AD1231" s="588"/>
      <c r="AE1231" s="588"/>
    </row>
    <row r="1232" spans="1:31" s="589" customFormat="1" ht="15.75" customHeight="1">
      <c r="A1232" s="607" t="str">
        <f>IF(B1232&lt;&gt;"",IF(AND(B1232&gt;=_TM1,B1232&lt;=_TM2,OR(TH!L1232="1111",TH!M1232="1111")),TH!D1232,""),"")</f>
        <v/>
      </c>
      <c r="B1232" s="585">
        <f t="shared" si="62"/>
        <v>9</v>
      </c>
      <c r="C1232" s="586">
        <f t="shared" si="65"/>
        <v>42621</v>
      </c>
      <c r="D1232" s="569" t="s">
        <v>1022</v>
      </c>
      <c r="E1232" s="613">
        <v>42621</v>
      </c>
      <c r="F1232" s="614" t="s">
        <v>647</v>
      </c>
      <c r="G1232" s="615" t="s">
        <v>752</v>
      </c>
      <c r="H1232" s="572" t="s">
        <v>1075</v>
      </c>
      <c r="I1232" s="137">
        <v>300</v>
      </c>
      <c r="J1232" s="137">
        <v>12530.039041668799</v>
      </c>
      <c r="K1232" s="21">
        <f t="shared" si="64"/>
        <v>3759012</v>
      </c>
      <c r="L1232" s="567" t="s">
        <v>167</v>
      </c>
      <c r="M1232" s="567" t="s">
        <v>162</v>
      </c>
      <c r="N1232" s="22" t="str">
        <f>IF(AND('331-CT'!$E$7=TH!H1232,OR(L1232="331",M1232="331")),"331",IF(AND(OR(L1232="131",M1232="131"),H1232='131-CT'!$E$7),"131",""))</f>
        <v/>
      </c>
      <c r="O1232" s="22" t="str">
        <f>IF(AND($B1232&gt;='111'!$N$11,$B1232&lt;='111'!$O$11,OR($L1232=$O$7,$M1232=$O$7)),"x","")</f>
        <v/>
      </c>
      <c r="P1232" s="22" t="str">
        <f>IF(AND($L1232=$O$7,$B1232&lt;'111'!$N$11),"x","")</f>
        <v/>
      </c>
      <c r="Q1232" s="22" t="str">
        <f>IF(AND($M1232=$O$7,$B1232&lt;'111'!$N$11),"x","")</f>
        <v/>
      </c>
      <c r="R1232" s="22" t="str">
        <f>IF(ISERROR(FIND('112'!$M$9,G1232,1)),"",IF((AND(FIND('112'!$M$9,G1232,1)&gt;=1,$B1232&gt;='112'!$N$8,$B1232&lt;='112'!$O$8,OR($L1232='112'!$I$6,$M1232='112'!$I$6))),"x",""))</f>
        <v/>
      </c>
      <c r="S1232" s="22" t="str">
        <f>IF(ISERROR(FIND('112'!$M$9,G1232,1)),"",IF((AND(LEFT(G1232,2)=LEFT('112'!$M$9,2),B1232&lt;'112'!$N$8,$L1232='112'!$I$6)),"x",""))</f>
        <v/>
      </c>
      <c r="T1232" s="22" t="str">
        <f>IF(ISERROR(FIND('112'!$M$9,G1232,1)),"",IF((AND(RIGHT(G1232,2)=RIGHT('112'!$M$9,2),B1232&lt;'112'!$N$8,$M1232='112'!$I$6)),"x",""))</f>
        <v/>
      </c>
      <c r="U1232" s="22" t="str">
        <f>IF(AND(B1232&gt;='IN-NX'!$P$3,B1232&lt;='IN-NX'!$Q$3,'IN-NX'!$D$7=D1232,OR(LEFT(L1232,2)="15",AND(LEFT(M1232,2)&lt;&gt;"15",LEFT(M1232,2)&lt;&gt;"33"))),"x","")</f>
        <v/>
      </c>
      <c r="V1232" s="22" t="str">
        <f>IF(AND(OR(LEFT(TH!L1232,2)="15",LEFT(TH!M1232,2)="15"),'152-CT'!$J$8=TH!F1232),"x","")</f>
        <v/>
      </c>
      <c r="W1232" s="22" t="str">
        <f>IF(AND(OR(LEFT(TH!L1232,2)="15",LEFT(TH!M1232,2)="15"),TK!$E$7=TH!F1232),"x","")</f>
        <v/>
      </c>
      <c r="X1232" s="22" t="str">
        <f>IF(OR(TH!L1232=TH!$X$7,M1232=TH!$X$7),"x","")</f>
        <v/>
      </c>
      <c r="Y1232" s="22" t="str">
        <f>IF(AND(B1232&lt;=NKC!$N$8,B1232&gt;=NKC!$M$8),"x","")</f>
        <v>x</v>
      </c>
      <c r="Z1232" s="580"/>
      <c r="AA1232" s="588"/>
      <c r="AB1232" s="588"/>
      <c r="AD1232" s="588"/>
      <c r="AE1232" s="588"/>
    </row>
    <row r="1233" spans="1:31" s="589" customFormat="1" ht="15.75" customHeight="1">
      <c r="A1233" s="607" t="str">
        <f>IF(B1233&lt;&gt;"",IF(AND(B1233&gt;=_TM1,B1233&lt;=_TM2,OR(TH!L1233="1111",TH!M1233="1111")),TH!D1233,""),"")</f>
        <v/>
      </c>
      <c r="B1233" s="585">
        <f t="shared" si="62"/>
        <v>9</v>
      </c>
      <c r="C1233" s="586">
        <f t="shared" si="65"/>
        <v>42621</v>
      </c>
      <c r="D1233" s="569" t="s">
        <v>1022</v>
      </c>
      <c r="E1233" s="613">
        <v>42621</v>
      </c>
      <c r="F1233" s="614" t="s">
        <v>650</v>
      </c>
      <c r="G1233" s="615" t="s">
        <v>752</v>
      </c>
      <c r="H1233" s="572" t="s">
        <v>1075</v>
      </c>
      <c r="I1233" s="137">
        <v>300</v>
      </c>
      <c r="J1233" s="137">
        <v>8985.3569443546003</v>
      </c>
      <c r="K1233" s="21">
        <f t="shared" si="64"/>
        <v>2695607</v>
      </c>
      <c r="L1233" s="567" t="s">
        <v>167</v>
      </c>
      <c r="M1233" s="567" t="s">
        <v>162</v>
      </c>
      <c r="N1233" s="22" t="str">
        <f>IF(AND('331-CT'!$E$7=TH!H1233,OR(L1233="331",M1233="331")),"331",IF(AND(OR(L1233="131",M1233="131"),H1233='131-CT'!$E$7),"131",""))</f>
        <v/>
      </c>
      <c r="O1233" s="22" t="str">
        <f>IF(AND($B1233&gt;='111'!$N$11,$B1233&lt;='111'!$O$11,OR($L1233=$O$7,$M1233=$O$7)),"x","")</f>
        <v/>
      </c>
      <c r="P1233" s="22" t="str">
        <f>IF(AND($L1233=$O$7,$B1233&lt;'111'!$N$11),"x","")</f>
        <v/>
      </c>
      <c r="Q1233" s="22" t="str">
        <f>IF(AND($M1233=$O$7,$B1233&lt;'111'!$N$11),"x","")</f>
        <v/>
      </c>
      <c r="R1233" s="22" t="str">
        <f>IF(ISERROR(FIND('112'!$M$9,G1233,1)),"",IF((AND(FIND('112'!$M$9,G1233,1)&gt;=1,$B1233&gt;='112'!$N$8,$B1233&lt;='112'!$O$8,OR($L1233='112'!$I$6,$M1233='112'!$I$6))),"x",""))</f>
        <v/>
      </c>
      <c r="S1233" s="22" t="str">
        <f>IF(ISERROR(FIND('112'!$M$9,G1233,1)),"",IF((AND(LEFT(G1233,2)=LEFT('112'!$M$9,2),B1233&lt;'112'!$N$8,$L1233='112'!$I$6)),"x",""))</f>
        <v/>
      </c>
      <c r="T1233" s="22" t="str">
        <f>IF(ISERROR(FIND('112'!$M$9,G1233,1)),"",IF((AND(RIGHT(G1233,2)=RIGHT('112'!$M$9,2),B1233&lt;'112'!$N$8,$M1233='112'!$I$6)),"x",""))</f>
        <v/>
      </c>
      <c r="U1233" s="22" t="str">
        <f>IF(AND(B1233&gt;='IN-NX'!$P$3,B1233&lt;='IN-NX'!$Q$3,'IN-NX'!$D$7=D1233,OR(LEFT(L1233,2)="15",AND(LEFT(M1233,2)&lt;&gt;"15",LEFT(M1233,2)&lt;&gt;"33"))),"x","")</f>
        <v/>
      </c>
      <c r="V1233" s="22" t="str">
        <f>IF(AND(OR(LEFT(TH!L1233,2)="15",LEFT(TH!M1233,2)="15"),'152-CT'!$J$8=TH!F1233),"x","")</f>
        <v/>
      </c>
      <c r="W1233" s="22" t="str">
        <f>IF(AND(OR(LEFT(TH!L1233,2)="15",LEFT(TH!M1233,2)="15"),TK!$E$7=TH!F1233),"x","")</f>
        <v/>
      </c>
      <c r="X1233" s="22" t="str">
        <f>IF(OR(TH!L1233=TH!$X$7,M1233=TH!$X$7),"x","")</f>
        <v/>
      </c>
      <c r="Y1233" s="22" t="str">
        <f>IF(AND(B1233&lt;=NKC!$N$8,B1233&gt;=NKC!$M$8),"x","")</f>
        <v>x</v>
      </c>
      <c r="Z1233" s="580"/>
      <c r="AA1233" s="588"/>
      <c r="AB1233" s="588"/>
    </row>
    <row r="1234" spans="1:31" s="589" customFormat="1" ht="15.75" customHeight="1">
      <c r="A1234" s="607" t="str">
        <f>IF(B1234&lt;&gt;"",IF(AND(B1234&gt;=_TM1,B1234&lt;=_TM2,OR(TH!L1234="1111",TH!M1234="1111")),TH!D1234,""),"")</f>
        <v/>
      </c>
      <c r="B1234" s="585">
        <f t="shared" si="62"/>
        <v>9</v>
      </c>
      <c r="C1234" s="586">
        <f t="shared" si="65"/>
        <v>42621</v>
      </c>
      <c r="D1234" s="569" t="s">
        <v>1022</v>
      </c>
      <c r="E1234" s="613">
        <v>42621</v>
      </c>
      <c r="F1234" s="614" t="s">
        <v>648</v>
      </c>
      <c r="G1234" s="615" t="s">
        <v>752</v>
      </c>
      <c r="H1234" s="572" t="s">
        <v>1075</v>
      </c>
      <c r="I1234" s="137">
        <v>300</v>
      </c>
      <c r="J1234" s="137">
        <v>9974.5705529073985</v>
      </c>
      <c r="K1234" s="21">
        <f t="shared" si="64"/>
        <v>2992371</v>
      </c>
      <c r="L1234" s="567" t="s">
        <v>167</v>
      </c>
      <c r="M1234" s="567" t="s">
        <v>162</v>
      </c>
      <c r="N1234" s="22" t="str">
        <f>IF(AND('331-CT'!$E$7=TH!H1234,OR(L1234="331",M1234="331")),"331",IF(AND(OR(L1234="131",M1234="131"),H1234='131-CT'!$E$7),"131",""))</f>
        <v/>
      </c>
      <c r="O1234" s="22" t="str">
        <f>IF(AND($B1234&gt;='111'!$N$11,$B1234&lt;='111'!$O$11,OR($L1234=$O$7,$M1234=$O$7)),"x","")</f>
        <v/>
      </c>
      <c r="P1234" s="22" t="str">
        <f>IF(AND($L1234=$O$7,$B1234&lt;'111'!$N$11),"x","")</f>
        <v/>
      </c>
      <c r="Q1234" s="22" t="str">
        <f>IF(AND($M1234=$O$7,$B1234&lt;'111'!$N$11),"x","")</f>
        <v/>
      </c>
      <c r="R1234" s="22" t="str">
        <f>IF(ISERROR(FIND('112'!$M$9,G1234,1)),"",IF((AND(FIND('112'!$M$9,G1234,1)&gt;=1,$B1234&gt;='112'!$N$8,$B1234&lt;='112'!$O$8,OR($L1234='112'!$I$6,$M1234='112'!$I$6))),"x",""))</f>
        <v/>
      </c>
      <c r="S1234" s="22" t="str">
        <f>IF(ISERROR(FIND('112'!$M$9,G1234,1)),"",IF((AND(LEFT(G1234,2)=LEFT('112'!$M$9,2),B1234&lt;'112'!$N$8,$L1234='112'!$I$6)),"x",""))</f>
        <v/>
      </c>
      <c r="T1234" s="22" t="str">
        <f>IF(ISERROR(FIND('112'!$M$9,G1234,1)),"",IF((AND(RIGHT(G1234,2)=RIGHT('112'!$M$9,2),B1234&lt;'112'!$N$8,$M1234='112'!$I$6)),"x",""))</f>
        <v/>
      </c>
      <c r="U1234" s="22" t="str">
        <f>IF(AND(B1234&gt;='IN-NX'!$P$3,B1234&lt;='IN-NX'!$Q$3,'IN-NX'!$D$7=D1234,OR(LEFT(L1234,2)="15",AND(LEFT(M1234,2)&lt;&gt;"15",LEFT(M1234,2)&lt;&gt;"33"))),"x","")</f>
        <v/>
      </c>
      <c r="V1234" s="22" t="str">
        <f>IF(AND(OR(LEFT(TH!L1234,2)="15",LEFT(TH!M1234,2)="15"),'152-CT'!$J$8=TH!F1234),"x","")</f>
        <v/>
      </c>
      <c r="W1234" s="22" t="str">
        <f>IF(AND(OR(LEFT(TH!L1234,2)="15",LEFT(TH!M1234,2)="15"),TK!$E$7=TH!F1234),"x","")</f>
        <v/>
      </c>
      <c r="X1234" s="22" t="str">
        <f>IF(OR(TH!L1234=TH!$X$7,M1234=TH!$X$7),"x","")</f>
        <v/>
      </c>
      <c r="Y1234" s="22" t="str">
        <f>IF(AND(B1234&lt;=NKC!$N$8,B1234&gt;=NKC!$M$8),"x","")</f>
        <v>x</v>
      </c>
      <c r="Z1234" s="580"/>
      <c r="AA1234" s="588"/>
      <c r="AB1234" s="588"/>
    </row>
    <row r="1235" spans="1:31" s="589" customFormat="1" ht="15.75" customHeight="1">
      <c r="A1235" s="607" t="str">
        <f>IF(B1235&lt;&gt;"",IF(AND(B1235&gt;=_TM1,B1235&lt;=_TM2,OR(TH!L1235="1111",TH!M1235="1111")),TH!D1235,""),"")</f>
        <v/>
      </c>
      <c r="B1235" s="585">
        <f t="shared" si="62"/>
        <v>9</v>
      </c>
      <c r="C1235" s="586">
        <f t="shared" si="65"/>
        <v>42621</v>
      </c>
      <c r="D1235" s="569" t="s">
        <v>1022</v>
      </c>
      <c r="E1235" s="613">
        <v>42621</v>
      </c>
      <c r="F1235" s="614" t="s">
        <v>649</v>
      </c>
      <c r="G1235" s="615" t="s">
        <v>752</v>
      </c>
      <c r="H1235" s="572" t="s">
        <v>1075</v>
      </c>
      <c r="I1235" s="137">
        <v>300</v>
      </c>
      <c r="J1235" s="137">
        <v>10963.7841614602</v>
      </c>
      <c r="K1235" s="21">
        <f t="shared" si="64"/>
        <v>3289135</v>
      </c>
      <c r="L1235" s="567" t="s">
        <v>167</v>
      </c>
      <c r="M1235" s="567" t="s">
        <v>162</v>
      </c>
      <c r="N1235" s="22" t="str">
        <f>IF(AND('331-CT'!$E$7=TH!H1235,OR(L1235="331",M1235="331")),"331",IF(AND(OR(L1235="131",M1235="131"),H1235='131-CT'!$E$7),"131",""))</f>
        <v/>
      </c>
      <c r="O1235" s="22" t="str">
        <f>IF(AND($B1235&gt;='111'!$N$11,$B1235&lt;='111'!$O$11,OR($L1235=$O$7,$M1235=$O$7)),"x","")</f>
        <v/>
      </c>
      <c r="P1235" s="22" t="str">
        <f>IF(AND($L1235=$O$7,$B1235&lt;'111'!$N$11),"x","")</f>
        <v/>
      </c>
      <c r="Q1235" s="22" t="str">
        <f>IF(AND($M1235=$O$7,$B1235&lt;'111'!$N$11),"x","")</f>
        <v/>
      </c>
      <c r="R1235" s="22" t="str">
        <f>IF(ISERROR(FIND('112'!$M$9,G1235,1)),"",IF((AND(FIND('112'!$M$9,G1235,1)&gt;=1,$B1235&gt;='112'!$N$8,$B1235&lt;='112'!$O$8,OR($L1235='112'!$I$6,$M1235='112'!$I$6))),"x",""))</f>
        <v/>
      </c>
      <c r="S1235" s="22" t="str">
        <f>IF(ISERROR(FIND('112'!$M$9,G1235,1)),"",IF((AND(LEFT(G1235,2)=LEFT('112'!$M$9,2),B1235&lt;'112'!$N$8,$L1235='112'!$I$6)),"x",""))</f>
        <v/>
      </c>
      <c r="T1235" s="22" t="str">
        <f>IF(ISERROR(FIND('112'!$M$9,G1235,1)),"",IF((AND(RIGHT(G1235,2)=RIGHT('112'!$M$9,2),B1235&lt;'112'!$N$8,$M1235='112'!$I$6)),"x",""))</f>
        <v/>
      </c>
      <c r="U1235" s="22" t="str">
        <f>IF(AND(B1235&gt;='IN-NX'!$P$3,B1235&lt;='IN-NX'!$Q$3,'IN-NX'!$D$7=D1235,OR(LEFT(L1235,2)="15",AND(LEFT(M1235,2)&lt;&gt;"15",LEFT(M1235,2)&lt;&gt;"33"))),"x","")</f>
        <v/>
      </c>
      <c r="V1235" s="22" t="str">
        <f>IF(AND(OR(LEFT(TH!L1235,2)="15",LEFT(TH!M1235,2)="15"),'152-CT'!$J$8=TH!F1235),"x","")</f>
        <v/>
      </c>
      <c r="W1235" s="22" t="str">
        <f>IF(AND(OR(LEFT(TH!L1235,2)="15",LEFT(TH!M1235,2)="15"),TK!$E$7=TH!F1235),"x","")</f>
        <v/>
      </c>
      <c r="X1235" s="22" t="str">
        <f>IF(OR(TH!L1235=TH!$X$7,M1235=TH!$X$7),"x","")</f>
        <v/>
      </c>
      <c r="Y1235" s="22" t="str">
        <f>IF(AND(B1235&lt;=NKC!$N$8,B1235&gt;=NKC!$M$8),"x","")</f>
        <v>x</v>
      </c>
      <c r="Z1235" s="580"/>
      <c r="AA1235" s="588"/>
      <c r="AB1235" s="588"/>
    </row>
    <row r="1236" spans="1:31" s="589" customFormat="1" ht="15.75" customHeight="1">
      <c r="A1236" s="607" t="str">
        <f>IF(B1236&lt;&gt;"",IF(AND(B1236&gt;=_TM1,B1236&lt;=_TM2,OR(TH!L1236="1111",TH!M1236="1111")),TH!D1236,""),"")</f>
        <v/>
      </c>
      <c r="B1236" s="585">
        <f t="shared" si="62"/>
        <v>9</v>
      </c>
      <c r="C1236" s="586">
        <f t="shared" si="65"/>
        <v>42624</v>
      </c>
      <c r="D1236" s="569" t="s">
        <v>1022</v>
      </c>
      <c r="E1236" s="613">
        <v>42624</v>
      </c>
      <c r="F1236" s="614" t="s">
        <v>545</v>
      </c>
      <c r="G1236" s="615" t="s">
        <v>753</v>
      </c>
      <c r="H1236" s="572" t="s">
        <v>1075</v>
      </c>
      <c r="I1236" s="137">
        <v>10520</v>
      </c>
      <c r="J1236" s="137">
        <v>6759.6263251107994</v>
      </c>
      <c r="K1236" s="21">
        <f t="shared" si="64"/>
        <v>71111269</v>
      </c>
      <c r="L1236" s="567" t="s">
        <v>167</v>
      </c>
      <c r="M1236" s="567" t="s">
        <v>162</v>
      </c>
      <c r="N1236" s="22" t="str">
        <f>IF(AND('331-CT'!$E$7=TH!H1236,OR(L1236="331",M1236="331")),"331",IF(AND(OR(L1236="131",M1236="131"),H1236='131-CT'!$E$7),"131",""))</f>
        <v/>
      </c>
      <c r="O1236" s="22" t="str">
        <f>IF(AND($B1236&gt;='111'!$N$11,$B1236&lt;='111'!$O$11,OR($L1236=$O$7,$M1236=$O$7)),"x","")</f>
        <v/>
      </c>
      <c r="P1236" s="22" t="str">
        <f>IF(AND($L1236=$O$7,$B1236&lt;'111'!$N$11),"x","")</f>
        <v/>
      </c>
      <c r="Q1236" s="22" t="str">
        <f>IF(AND($M1236=$O$7,$B1236&lt;'111'!$N$11),"x","")</f>
        <v/>
      </c>
      <c r="R1236" s="22" t="str">
        <f>IF(ISERROR(FIND('112'!$M$9,G1236,1)),"",IF((AND(FIND('112'!$M$9,G1236,1)&gt;=1,$B1236&gt;='112'!$N$8,$B1236&lt;='112'!$O$8,OR($L1236='112'!$I$6,$M1236='112'!$I$6))),"x",""))</f>
        <v/>
      </c>
      <c r="S1236" s="22" t="str">
        <f>IF(ISERROR(FIND('112'!$M$9,G1236,1)),"",IF((AND(LEFT(G1236,2)=LEFT('112'!$M$9,2),B1236&lt;'112'!$N$8,$L1236='112'!$I$6)),"x",""))</f>
        <v/>
      </c>
      <c r="T1236" s="22" t="str">
        <f>IF(ISERROR(FIND('112'!$M$9,G1236,1)),"",IF((AND(RIGHT(G1236,2)=RIGHT('112'!$M$9,2),B1236&lt;'112'!$N$8,$M1236='112'!$I$6)),"x",""))</f>
        <v/>
      </c>
      <c r="U1236" s="22" t="str">
        <f>IF(AND(B1236&gt;='IN-NX'!$P$3,B1236&lt;='IN-NX'!$Q$3,'IN-NX'!$D$7=D1236,OR(LEFT(L1236,2)="15",AND(LEFT(M1236,2)&lt;&gt;"15",LEFT(M1236,2)&lt;&gt;"33"))),"x","")</f>
        <v/>
      </c>
      <c r="V1236" s="22" t="str">
        <f>IF(AND(OR(LEFT(TH!L1236,2)="15",LEFT(TH!M1236,2)="15"),'152-CT'!$J$8=TH!F1236),"x","")</f>
        <v/>
      </c>
      <c r="W1236" s="22" t="str">
        <f>IF(AND(OR(LEFT(TH!L1236,2)="15",LEFT(TH!M1236,2)="15"),TK!$E$7=TH!F1236),"x","")</f>
        <v/>
      </c>
      <c r="X1236" s="22" t="str">
        <f>IF(OR(TH!L1236=TH!$X$7,M1236=TH!$X$7),"x","")</f>
        <v/>
      </c>
      <c r="Y1236" s="22" t="str">
        <f>IF(AND(B1236&lt;=NKC!$N$8,B1236&gt;=NKC!$M$8),"x","")</f>
        <v>x</v>
      </c>
      <c r="Z1236" s="580"/>
      <c r="AA1236" s="588"/>
      <c r="AB1236" s="588"/>
    </row>
    <row r="1237" spans="1:31" s="589" customFormat="1" ht="15.75" customHeight="1">
      <c r="A1237" s="607" t="str">
        <f>IF(B1237&lt;&gt;"",IF(AND(B1237&gt;=_TM1,B1237&lt;=_TM2,OR(TH!L1237="1111",TH!M1237="1111")),TH!D1237,""),"")</f>
        <v/>
      </c>
      <c r="B1237" s="585">
        <f t="shared" si="62"/>
        <v>9</v>
      </c>
      <c r="C1237" s="586">
        <f t="shared" si="65"/>
        <v>42626</v>
      </c>
      <c r="D1237" s="569" t="s">
        <v>1022</v>
      </c>
      <c r="E1237" s="613">
        <v>42626</v>
      </c>
      <c r="F1237" s="614" t="s">
        <v>664</v>
      </c>
      <c r="G1237" s="615" t="s">
        <v>754</v>
      </c>
      <c r="H1237" s="572" t="s">
        <v>1075</v>
      </c>
      <c r="I1237" s="137">
        <v>210</v>
      </c>
      <c r="J1237" s="137">
        <v>7748.8399336635994</v>
      </c>
      <c r="K1237" s="21">
        <f t="shared" si="64"/>
        <v>1627256</v>
      </c>
      <c r="L1237" s="567" t="s">
        <v>167</v>
      </c>
      <c r="M1237" s="567" t="s">
        <v>162</v>
      </c>
      <c r="N1237" s="22" t="str">
        <f>IF(AND('331-CT'!$E$7=TH!H1237,OR(L1237="331",M1237="331")),"331",IF(AND(OR(L1237="131",M1237="131"),H1237='131-CT'!$E$7),"131",""))</f>
        <v/>
      </c>
      <c r="O1237" s="22" t="str">
        <f>IF(AND($B1237&gt;='111'!$N$11,$B1237&lt;='111'!$O$11,OR($L1237=$O$7,$M1237=$O$7)),"x","")</f>
        <v/>
      </c>
      <c r="P1237" s="22" t="str">
        <f>IF(AND($L1237=$O$7,$B1237&lt;'111'!$N$11),"x","")</f>
        <v/>
      </c>
      <c r="Q1237" s="22" t="str">
        <f>IF(AND($M1237=$O$7,$B1237&lt;'111'!$N$11),"x","")</f>
        <v/>
      </c>
      <c r="R1237" s="22" t="str">
        <f>IF(ISERROR(FIND('112'!$M$9,G1237,1)),"",IF((AND(FIND('112'!$M$9,G1237,1)&gt;=1,$B1237&gt;='112'!$N$8,$B1237&lt;='112'!$O$8,OR($L1237='112'!$I$6,$M1237='112'!$I$6))),"x",""))</f>
        <v/>
      </c>
      <c r="S1237" s="22" t="str">
        <f>IF(ISERROR(FIND('112'!$M$9,G1237,1)),"",IF((AND(LEFT(G1237,2)=LEFT('112'!$M$9,2),B1237&lt;'112'!$N$8,$L1237='112'!$I$6)),"x",""))</f>
        <v/>
      </c>
      <c r="T1237" s="22" t="str">
        <f>IF(ISERROR(FIND('112'!$M$9,G1237,1)),"",IF((AND(RIGHT(G1237,2)=RIGHT('112'!$M$9,2),B1237&lt;'112'!$N$8,$M1237='112'!$I$6)),"x",""))</f>
        <v/>
      </c>
      <c r="U1237" s="22" t="str">
        <f>IF(AND(B1237&gt;='IN-NX'!$P$3,B1237&lt;='IN-NX'!$Q$3,'IN-NX'!$D$7=D1237,OR(LEFT(L1237,2)="15",AND(LEFT(M1237,2)&lt;&gt;"15",LEFT(M1237,2)&lt;&gt;"33"))),"x","")</f>
        <v/>
      </c>
      <c r="V1237" s="22" t="str">
        <f>IF(AND(OR(LEFT(TH!L1237,2)="15",LEFT(TH!M1237,2)="15"),'152-CT'!$J$8=TH!F1237),"x","")</f>
        <v/>
      </c>
      <c r="W1237" s="22" t="str">
        <f>IF(AND(OR(LEFT(TH!L1237,2)="15",LEFT(TH!M1237,2)="15"),TK!$E$7=TH!F1237),"x","")</f>
        <v/>
      </c>
      <c r="X1237" s="22" t="str">
        <f>IF(OR(TH!L1237=TH!$X$7,M1237=TH!$X$7),"x","")</f>
        <v/>
      </c>
      <c r="Y1237" s="22" t="str">
        <f>IF(AND(B1237&lt;=NKC!$N$8,B1237&gt;=NKC!$M$8),"x","")</f>
        <v>x</v>
      </c>
      <c r="Z1237" s="580"/>
      <c r="AA1237" s="588"/>
    </row>
    <row r="1238" spans="1:31" s="589" customFormat="1" ht="15.75" customHeight="1">
      <c r="A1238" s="607" t="str">
        <f>IF(B1238&lt;&gt;"",IF(AND(B1238&gt;=_TM1,B1238&lt;=_TM2,OR(TH!L1238="1111",TH!M1238="1111")),TH!D1238,""),"")</f>
        <v/>
      </c>
      <c r="B1238" s="585">
        <f t="shared" si="62"/>
        <v>9</v>
      </c>
      <c r="C1238" s="586">
        <f t="shared" si="65"/>
        <v>42626</v>
      </c>
      <c r="D1238" s="569" t="s">
        <v>1022</v>
      </c>
      <c r="E1238" s="613">
        <v>42626</v>
      </c>
      <c r="F1238" s="614" t="s">
        <v>665</v>
      </c>
      <c r="G1238" s="615" t="s">
        <v>754</v>
      </c>
      <c r="H1238" s="572" t="s">
        <v>1075</v>
      </c>
      <c r="I1238" s="137">
        <v>200</v>
      </c>
      <c r="J1238" s="137">
        <v>7089.3641946283997</v>
      </c>
      <c r="K1238" s="21">
        <f t="shared" si="64"/>
        <v>1417873</v>
      </c>
      <c r="L1238" s="567" t="s">
        <v>167</v>
      </c>
      <c r="M1238" s="567" t="s">
        <v>162</v>
      </c>
      <c r="N1238" s="22" t="str">
        <f>IF(AND('331-CT'!$E$7=TH!H1238,OR(L1238="331",M1238="331")),"331",IF(AND(OR(L1238="131",M1238="131"),H1238='131-CT'!$E$7),"131",""))</f>
        <v/>
      </c>
      <c r="O1238" s="22" t="str">
        <f>IF(AND($B1238&gt;='111'!$N$11,$B1238&lt;='111'!$O$11,OR($L1238=$O$7,$M1238=$O$7)),"x","")</f>
        <v/>
      </c>
      <c r="P1238" s="22" t="str">
        <f>IF(AND($L1238=$O$7,$B1238&lt;'111'!$N$11),"x","")</f>
        <v/>
      </c>
      <c r="Q1238" s="22" t="str">
        <f>IF(AND($M1238=$O$7,$B1238&lt;'111'!$N$11),"x","")</f>
        <v/>
      </c>
      <c r="R1238" s="22" t="str">
        <f>IF(ISERROR(FIND('112'!$M$9,G1238,1)),"",IF((AND(FIND('112'!$M$9,G1238,1)&gt;=1,$B1238&gt;='112'!$N$8,$B1238&lt;='112'!$O$8,OR($L1238='112'!$I$6,$M1238='112'!$I$6))),"x",""))</f>
        <v/>
      </c>
      <c r="S1238" s="22" t="str">
        <f>IF(ISERROR(FIND('112'!$M$9,G1238,1)),"",IF((AND(LEFT(G1238,2)=LEFT('112'!$M$9,2),B1238&lt;'112'!$N$8,$L1238='112'!$I$6)),"x",""))</f>
        <v/>
      </c>
      <c r="T1238" s="22" t="str">
        <f>IF(ISERROR(FIND('112'!$M$9,G1238,1)),"",IF((AND(RIGHT(G1238,2)=RIGHT('112'!$M$9,2),B1238&lt;'112'!$N$8,$M1238='112'!$I$6)),"x",""))</f>
        <v/>
      </c>
      <c r="U1238" s="22" t="str">
        <f>IF(AND(B1238&gt;='IN-NX'!$P$3,B1238&lt;='IN-NX'!$Q$3,'IN-NX'!$D$7=D1238,OR(LEFT(L1238,2)="15",AND(LEFT(M1238,2)&lt;&gt;"15",LEFT(M1238,2)&lt;&gt;"33"))),"x","")</f>
        <v/>
      </c>
      <c r="V1238" s="22" t="str">
        <f>IF(AND(OR(LEFT(TH!L1238,2)="15",LEFT(TH!M1238,2)="15"),'152-CT'!$J$8=TH!F1238),"x","")</f>
        <v/>
      </c>
      <c r="W1238" s="22" t="str">
        <f>IF(AND(OR(LEFT(TH!L1238,2)="15",LEFT(TH!M1238,2)="15"),TK!$E$7=TH!F1238),"x","")</f>
        <v/>
      </c>
      <c r="X1238" s="22" t="str">
        <f>IF(OR(TH!L1238=TH!$X$7,M1238=TH!$X$7),"x","")</f>
        <v/>
      </c>
      <c r="Y1238" s="22" t="str">
        <f>IF(AND(B1238&lt;=NKC!$N$8,B1238&gt;=NKC!$M$8),"x","")</f>
        <v>x</v>
      </c>
      <c r="Z1238" s="580"/>
      <c r="AA1238" s="588"/>
      <c r="AB1238" s="588"/>
    </row>
    <row r="1239" spans="1:31" s="589" customFormat="1" ht="15.75" customHeight="1">
      <c r="A1239" s="607" t="str">
        <f>IF(B1239&lt;&gt;"",IF(AND(B1239&gt;=_TM1,B1239&lt;=_TM2,OR(TH!L1239="1111",TH!M1239="1111")),TH!D1239,""),"")</f>
        <v/>
      </c>
      <c r="B1239" s="585">
        <f t="shared" si="62"/>
        <v>9</v>
      </c>
      <c r="C1239" s="586">
        <f t="shared" si="65"/>
        <v>42626</v>
      </c>
      <c r="D1239" s="569" t="s">
        <v>1022</v>
      </c>
      <c r="E1239" s="613">
        <v>42626</v>
      </c>
      <c r="F1239" s="614" t="s">
        <v>663</v>
      </c>
      <c r="G1239" s="615" t="s">
        <v>754</v>
      </c>
      <c r="H1239" s="572" t="s">
        <v>1075</v>
      </c>
      <c r="I1239" s="137">
        <v>171</v>
      </c>
      <c r="J1239" s="137">
        <v>8985.3569443546003</v>
      </c>
      <c r="K1239" s="21">
        <f t="shared" si="64"/>
        <v>1536496</v>
      </c>
      <c r="L1239" s="567" t="s">
        <v>167</v>
      </c>
      <c r="M1239" s="567" t="s">
        <v>162</v>
      </c>
      <c r="N1239" s="22" t="str">
        <f>IF(AND('331-CT'!$E$7=TH!H1239,OR(L1239="331",M1239="331")),"331",IF(AND(OR(L1239="131",M1239="131"),H1239='131-CT'!$E$7),"131",""))</f>
        <v/>
      </c>
      <c r="O1239" s="22" t="str">
        <f>IF(AND($B1239&gt;='111'!$N$11,$B1239&lt;='111'!$O$11,OR($L1239=$O$7,$M1239=$O$7)),"x","")</f>
        <v/>
      </c>
      <c r="P1239" s="22" t="str">
        <f>IF(AND($L1239=$O$7,$B1239&lt;'111'!$N$11),"x","")</f>
        <v/>
      </c>
      <c r="Q1239" s="22" t="str">
        <f>IF(AND($M1239=$O$7,$B1239&lt;'111'!$N$11),"x","")</f>
        <v/>
      </c>
      <c r="R1239" s="22" t="str">
        <f>IF(ISERROR(FIND('112'!$M$9,G1239,1)),"",IF((AND(FIND('112'!$M$9,G1239,1)&gt;=1,$B1239&gt;='112'!$N$8,$B1239&lt;='112'!$O$8,OR($L1239='112'!$I$6,$M1239='112'!$I$6))),"x",""))</f>
        <v/>
      </c>
      <c r="S1239" s="22" t="str">
        <f>IF(ISERROR(FIND('112'!$M$9,G1239,1)),"",IF((AND(LEFT(G1239,2)=LEFT('112'!$M$9,2),B1239&lt;'112'!$N$8,$L1239='112'!$I$6)),"x",""))</f>
        <v/>
      </c>
      <c r="T1239" s="22" t="str">
        <f>IF(ISERROR(FIND('112'!$M$9,G1239,1)),"",IF((AND(RIGHT(G1239,2)=RIGHT('112'!$M$9,2),B1239&lt;'112'!$N$8,$M1239='112'!$I$6)),"x",""))</f>
        <v/>
      </c>
      <c r="U1239" s="22" t="str">
        <f>IF(AND(B1239&gt;='IN-NX'!$P$3,B1239&lt;='IN-NX'!$Q$3,'IN-NX'!$D$7=D1239,OR(LEFT(L1239,2)="15",AND(LEFT(M1239,2)&lt;&gt;"15",LEFT(M1239,2)&lt;&gt;"33"))),"x","")</f>
        <v/>
      </c>
      <c r="V1239" s="22" t="str">
        <f>IF(AND(OR(LEFT(TH!L1239,2)="15",LEFT(TH!M1239,2)="15"),'152-CT'!$J$8=TH!F1239),"x","")</f>
        <v/>
      </c>
      <c r="W1239" s="22" t="str">
        <f>IF(AND(OR(LEFT(TH!L1239,2)="15",LEFT(TH!M1239,2)="15"),TK!$E$7=TH!F1239),"x","")</f>
        <v/>
      </c>
      <c r="X1239" s="22" t="str">
        <f>IF(OR(TH!L1239=TH!$X$7,M1239=TH!$X$7),"x","")</f>
        <v/>
      </c>
      <c r="Y1239" s="22" t="str">
        <f>IF(AND(B1239&lt;=NKC!$N$8,B1239&gt;=NKC!$M$8),"x","")</f>
        <v>x</v>
      </c>
      <c r="Z1239" s="580"/>
      <c r="AA1239" s="588"/>
      <c r="AB1239" s="588"/>
      <c r="AD1239" s="588"/>
      <c r="AE1239" s="588"/>
    </row>
    <row r="1240" spans="1:31" s="589" customFormat="1" ht="15.75" customHeight="1">
      <c r="A1240" s="607" t="str">
        <f>IF(B1240&lt;&gt;"",IF(AND(B1240&gt;=_TM1,B1240&lt;=_TM2,OR(TH!L1240="1111",TH!M1240="1111")),TH!D1240,""),"")</f>
        <v/>
      </c>
      <c r="B1240" s="585">
        <f t="shared" si="62"/>
        <v>9</v>
      </c>
      <c r="C1240" s="586">
        <f t="shared" si="65"/>
        <v>42627</v>
      </c>
      <c r="D1240" s="569" t="s">
        <v>1022</v>
      </c>
      <c r="E1240" s="613">
        <v>42627</v>
      </c>
      <c r="F1240" s="614" t="s">
        <v>817</v>
      </c>
      <c r="G1240" s="615" t="s">
        <v>755</v>
      </c>
      <c r="H1240" s="572" t="s">
        <v>1075</v>
      </c>
      <c r="I1240" s="137">
        <v>2400</v>
      </c>
      <c r="J1240" s="137">
        <v>3214.9442277966</v>
      </c>
      <c r="K1240" s="21">
        <f t="shared" si="64"/>
        <v>7715866</v>
      </c>
      <c r="L1240" s="567" t="s">
        <v>167</v>
      </c>
      <c r="M1240" s="567" t="s">
        <v>162</v>
      </c>
      <c r="N1240" s="22" t="str">
        <f>IF(AND('331-CT'!$E$7=TH!H1240,OR(L1240="331",M1240="331")),"331",IF(AND(OR(L1240="131",M1240="131"),H1240='131-CT'!$E$7),"131",""))</f>
        <v/>
      </c>
      <c r="O1240" s="22" t="str">
        <f>IF(AND($B1240&gt;='111'!$N$11,$B1240&lt;='111'!$O$11,OR($L1240=$O$7,$M1240=$O$7)),"x","")</f>
        <v/>
      </c>
      <c r="P1240" s="22" t="str">
        <f>IF(AND($L1240=$O$7,$B1240&lt;'111'!$N$11),"x","")</f>
        <v/>
      </c>
      <c r="Q1240" s="22" t="str">
        <f>IF(AND($M1240=$O$7,$B1240&lt;'111'!$N$11),"x","")</f>
        <v/>
      </c>
      <c r="R1240" s="22" t="str">
        <f>IF(ISERROR(FIND('112'!$M$9,G1240,1)),"",IF((AND(FIND('112'!$M$9,G1240,1)&gt;=1,$B1240&gt;='112'!$N$8,$B1240&lt;='112'!$O$8,OR($L1240='112'!$I$6,$M1240='112'!$I$6))),"x",""))</f>
        <v/>
      </c>
      <c r="S1240" s="22" t="str">
        <f>IF(ISERROR(FIND('112'!$M$9,G1240,1)),"",IF((AND(LEFT(G1240,2)=LEFT('112'!$M$9,2),B1240&lt;'112'!$N$8,$L1240='112'!$I$6)),"x",""))</f>
        <v/>
      </c>
      <c r="T1240" s="22" t="str">
        <f>IF(ISERROR(FIND('112'!$M$9,G1240,1)),"",IF((AND(RIGHT(G1240,2)=RIGHT('112'!$M$9,2),B1240&lt;'112'!$N$8,$M1240='112'!$I$6)),"x",""))</f>
        <v/>
      </c>
      <c r="U1240" s="22" t="str">
        <f>IF(AND(B1240&gt;='IN-NX'!$P$3,B1240&lt;='IN-NX'!$Q$3,'IN-NX'!$D$7=D1240,OR(LEFT(L1240,2)="15",AND(LEFT(M1240,2)&lt;&gt;"15",LEFT(M1240,2)&lt;&gt;"33"))),"x","")</f>
        <v/>
      </c>
      <c r="V1240" s="22" t="str">
        <f>IF(AND(OR(LEFT(TH!L1240,2)="15",LEFT(TH!M1240,2)="15"),'152-CT'!$J$8=TH!F1240),"x","")</f>
        <v/>
      </c>
      <c r="W1240" s="22" t="str">
        <f>IF(AND(OR(LEFT(TH!L1240,2)="15",LEFT(TH!M1240,2)="15"),TK!$E$7=TH!F1240),"x","")</f>
        <v/>
      </c>
      <c r="X1240" s="22" t="str">
        <f>IF(OR(TH!L1240=TH!$X$7,M1240=TH!$X$7),"x","")</f>
        <v/>
      </c>
      <c r="Y1240" s="22" t="str">
        <f>IF(AND(B1240&lt;=NKC!$N$8,B1240&gt;=NKC!$M$8),"x","")</f>
        <v>x</v>
      </c>
      <c r="Z1240" s="580"/>
      <c r="AA1240" s="588"/>
      <c r="AD1240" s="588"/>
      <c r="AE1240" s="588"/>
    </row>
    <row r="1241" spans="1:31" s="589" customFormat="1" ht="15.75" customHeight="1">
      <c r="A1241" s="607" t="str">
        <f>IF(B1241&lt;&gt;"",IF(AND(B1241&gt;=_TM1,B1241&lt;=_TM2,OR(TH!L1241="1111",TH!M1241="1111")),TH!D1241,""),"")</f>
        <v/>
      </c>
      <c r="B1241" s="585">
        <f t="shared" si="62"/>
        <v>9</v>
      </c>
      <c r="C1241" s="586">
        <f t="shared" si="65"/>
        <v>42627</v>
      </c>
      <c r="D1241" s="569" t="s">
        <v>1022</v>
      </c>
      <c r="E1241" s="613">
        <v>42627</v>
      </c>
      <c r="F1241" s="614" t="s">
        <v>818</v>
      </c>
      <c r="G1241" s="615" t="s">
        <v>755</v>
      </c>
      <c r="H1241" s="572" t="s">
        <v>1075</v>
      </c>
      <c r="I1241" s="137">
        <v>500</v>
      </c>
      <c r="J1241" s="137">
        <v>6594.7573903519997</v>
      </c>
      <c r="K1241" s="21">
        <f t="shared" si="64"/>
        <v>3297379</v>
      </c>
      <c r="L1241" s="567" t="s">
        <v>167</v>
      </c>
      <c r="M1241" s="567" t="s">
        <v>162</v>
      </c>
      <c r="N1241" s="22" t="str">
        <f>IF(AND('331-CT'!$E$7=TH!H1241,OR(L1241="331",M1241="331")),"331",IF(AND(OR(L1241="131",M1241="131"),H1241='131-CT'!$E$7),"131",""))</f>
        <v/>
      </c>
      <c r="O1241" s="22" t="str">
        <f>IF(AND($B1241&gt;='111'!$N$11,$B1241&lt;='111'!$O$11,OR($L1241=$O$7,$M1241=$O$7)),"x","")</f>
        <v/>
      </c>
      <c r="P1241" s="22" t="str">
        <f>IF(AND($L1241=$O$7,$B1241&lt;'111'!$N$11),"x","")</f>
        <v/>
      </c>
      <c r="Q1241" s="22" t="str">
        <f>IF(AND($M1241=$O$7,$B1241&lt;'111'!$N$11),"x","")</f>
        <v/>
      </c>
      <c r="R1241" s="22" t="str">
        <f>IF(ISERROR(FIND('112'!$M$9,G1241,1)),"",IF((AND(FIND('112'!$M$9,G1241,1)&gt;=1,$B1241&gt;='112'!$N$8,$B1241&lt;='112'!$O$8,OR($L1241='112'!$I$6,$M1241='112'!$I$6))),"x",""))</f>
        <v/>
      </c>
      <c r="S1241" s="22" t="str">
        <f>IF(ISERROR(FIND('112'!$M$9,G1241,1)),"",IF((AND(LEFT(G1241,2)=LEFT('112'!$M$9,2),B1241&lt;'112'!$N$8,$L1241='112'!$I$6)),"x",""))</f>
        <v/>
      </c>
      <c r="T1241" s="22" t="str">
        <f>IF(ISERROR(FIND('112'!$M$9,G1241,1)),"",IF((AND(RIGHT(G1241,2)=RIGHT('112'!$M$9,2),B1241&lt;'112'!$N$8,$M1241='112'!$I$6)),"x",""))</f>
        <v/>
      </c>
      <c r="U1241" s="22" t="str">
        <f>IF(AND(B1241&gt;='IN-NX'!$P$3,B1241&lt;='IN-NX'!$Q$3,'IN-NX'!$D$7=D1241,OR(LEFT(L1241,2)="15",AND(LEFT(M1241,2)&lt;&gt;"15",LEFT(M1241,2)&lt;&gt;"33"))),"x","")</f>
        <v/>
      </c>
      <c r="V1241" s="22" t="str">
        <f>IF(AND(OR(LEFT(TH!L1241,2)="15",LEFT(TH!M1241,2)="15"),'152-CT'!$J$8=TH!F1241),"x","")</f>
        <v/>
      </c>
      <c r="W1241" s="22" t="str">
        <f>IF(AND(OR(LEFT(TH!L1241,2)="15",LEFT(TH!M1241,2)="15"),TK!$E$7=TH!F1241),"x","")</f>
        <v/>
      </c>
      <c r="X1241" s="22" t="str">
        <f>IF(OR(TH!L1241=TH!$X$7,M1241=TH!$X$7),"x","")</f>
        <v/>
      </c>
      <c r="Y1241" s="22" t="str">
        <f>IF(AND(B1241&lt;=NKC!$N$8,B1241&gt;=NKC!$M$8),"x","")</f>
        <v>x</v>
      </c>
      <c r="Z1241" s="580"/>
      <c r="AA1241" s="588"/>
      <c r="AB1241" s="588"/>
      <c r="AD1241" s="588"/>
      <c r="AE1241" s="588"/>
    </row>
    <row r="1242" spans="1:31" s="589" customFormat="1" ht="15.75" customHeight="1">
      <c r="A1242" s="607" t="str">
        <f>IF(B1242&lt;&gt;"",IF(AND(B1242&gt;=_TM1,B1242&lt;=_TM2,OR(TH!L1242="1111",TH!M1242="1111")),TH!D1242,""),"")</f>
        <v/>
      </c>
      <c r="B1242" s="585">
        <f t="shared" si="62"/>
        <v>9</v>
      </c>
      <c r="C1242" s="586">
        <f t="shared" si="65"/>
        <v>42628</v>
      </c>
      <c r="D1242" s="569" t="s">
        <v>1022</v>
      </c>
      <c r="E1242" s="613">
        <v>42628</v>
      </c>
      <c r="F1242" s="614" t="s">
        <v>520</v>
      </c>
      <c r="G1242" s="615" t="s">
        <v>756</v>
      </c>
      <c r="H1242" s="572" t="s">
        <v>1075</v>
      </c>
      <c r="I1242" s="137">
        <v>1820</v>
      </c>
      <c r="J1242" s="137">
        <v>6759.6263251107994</v>
      </c>
      <c r="K1242" s="21">
        <f t="shared" si="64"/>
        <v>12302520</v>
      </c>
      <c r="L1242" s="567" t="s">
        <v>167</v>
      </c>
      <c r="M1242" s="567" t="s">
        <v>162</v>
      </c>
      <c r="N1242" s="22" t="str">
        <f>IF(AND('331-CT'!$E$7=TH!H1242,OR(L1242="331",M1242="331")),"331",IF(AND(OR(L1242="131",M1242="131"),H1242='131-CT'!$E$7),"131",""))</f>
        <v/>
      </c>
      <c r="O1242" s="22" t="str">
        <f>IF(AND($B1242&gt;='111'!$N$11,$B1242&lt;='111'!$O$11,OR($L1242=$O$7,$M1242=$O$7)),"x","")</f>
        <v/>
      </c>
      <c r="P1242" s="22" t="str">
        <f>IF(AND($L1242=$O$7,$B1242&lt;'111'!$N$11),"x","")</f>
        <v/>
      </c>
      <c r="Q1242" s="22" t="str">
        <f>IF(AND($M1242=$O$7,$B1242&lt;'111'!$N$11),"x","")</f>
        <v/>
      </c>
      <c r="R1242" s="22" t="str">
        <f>IF(ISERROR(FIND('112'!$M$9,G1242,1)),"",IF((AND(FIND('112'!$M$9,G1242,1)&gt;=1,$B1242&gt;='112'!$N$8,$B1242&lt;='112'!$O$8,OR($L1242='112'!$I$6,$M1242='112'!$I$6))),"x",""))</f>
        <v/>
      </c>
      <c r="S1242" s="22" t="str">
        <f>IF(ISERROR(FIND('112'!$M$9,G1242,1)),"",IF((AND(LEFT(G1242,2)=LEFT('112'!$M$9,2),B1242&lt;'112'!$N$8,$L1242='112'!$I$6)),"x",""))</f>
        <v/>
      </c>
      <c r="T1242" s="22" t="str">
        <f>IF(ISERROR(FIND('112'!$M$9,G1242,1)),"",IF((AND(RIGHT(G1242,2)=RIGHT('112'!$M$9,2),B1242&lt;'112'!$N$8,$M1242='112'!$I$6)),"x",""))</f>
        <v/>
      </c>
      <c r="U1242" s="22" t="str">
        <f>IF(AND(B1242&gt;='IN-NX'!$P$3,B1242&lt;='IN-NX'!$Q$3,'IN-NX'!$D$7=D1242,OR(LEFT(L1242,2)="15",AND(LEFT(M1242,2)&lt;&gt;"15",LEFT(M1242,2)&lt;&gt;"33"))),"x","")</f>
        <v/>
      </c>
      <c r="V1242" s="22" t="str">
        <f>IF(AND(OR(LEFT(TH!L1242,2)="15",LEFT(TH!M1242,2)="15"),'152-CT'!$J$8=TH!F1242),"x","")</f>
        <v/>
      </c>
      <c r="W1242" s="22" t="str">
        <f>IF(AND(OR(LEFT(TH!L1242,2)="15",LEFT(TH!M1242,2)="15"),TK!$E$7=TH!F1242),"x","")</f>
        <v/>
      </c>
      <c r="X1242" s="22" t="str">
        <f>IF(OR(TH!L1242=TH!$X$7,M1242=TH!$X$7),"x","")</f>
        <v/>
      </c>
      <c r="Y1242" s="22" t="str">
        <f>IF(AND(B1242&lt;=NKC!$N$8,B1242&gt;=NKC!$M$8),"x","")</f>
        <v>x</v>
      </c>
      <c r="Z1242" s="580"/>
      <c r="AA1242" s="588"/>
      <c r="AB1242" s="588"/>
      <c r="AD1242" s="588"/>
      <c r="AE1242" s="588"/>
    </row>
    <row r="1243" spans="1:31" s="589" customFormat="1" ht="15.75" customHeight="1">
      <c r="A1243" s="607" t="str">
        <f>IF(B1243&lt;&gt;"",IF(AND(B1243&gt;=_TM1,B1243&lt;=_TM2,OR(TH!L1243="1111",TH!M1243="1111")),TH!D1243,""),"")</f>
        <v/>
      </c>
      <c r="B1243" s="585">
        <f t="shared" si="62"/>
        <v>9</v>
      </c>
      <c r="C1243" s="586">
        <f t="shared" si="65"/>
        <v>42628</v>
      </c>
      <c r="D1243" s="569" t="s">
        <v>1022</v>
      </c>
      <c r="E1243" s="613">
        <v>42628</v>
      </c>
      <c r="F1243" s="614" t="s">
        <v>546</v>
      </c>
      <c r="G1243" s="615" t="s">
        <v>756</v>
      </c>
      <c r="H1243" s="572" t="s">
        <v>1075</v>
      </c>
      <c r="I1243" s="137">
        <v>620</v>
      </c>
      <c r="J1243" s="137">
        <v>7501.5365315253994</v>
      </c>
      <c r="K1243" s="21">
        <f t="shared" si="64"/>
        <v>4650953</v>
      </c>
      <c r="L1243" s="567" t="s">
        <v>167</v>
      </c>
      <c r="M1243" s="567" t="s">
        <v>162</v>
      </c>
      <c r="N1243" s="22" t="str">
        <f>IF(AND('331-CT'!$E$7=TH!H1243,OR(L1243="331",M1243="331")),"331",IF(AND(OR(L1243="131",M1243="131"),H1243='131-CT'!$E$7),"131",""))</f>
        <v/>
      </c>
      <c r="O1243" s="22" t="str">
        <f>IF(AND($B1243&gt;='111'!$N$11,$B1243&lt;='111'!$O$11,OR($L1243=$O$7,$M1243=$O$7)),"x","")</f>
        <v/>
      </c>
      <c r="P1243" s="22" t="str">
        <f>IF(AND($L1243=$O$7,$B1243&lt;'111'!$N$11),"x","")</f>
        <v/>
      </c>
      <c r="Q1243" s="22" t="str">
        <f>IF(AND($M1243=$O$7,$B1243&lt;'111'!$N$11),"x","")</f>
        <v/>
      </c>
      <c r="R1243" s="22" t="str">
        <f>IF(ISERROR(FIND('112'!$M$9,G1243,1)),"",IF((AND(FIND('112'!$M$9,G1243,1)&gt;=1,$B1243&gt;='112'!$N$8,$B1243&lt;='112'!$O$8,OR($L1243='112'!$I$6,$M1243='112'!$I$6))),"x",""))</f>
        <v/>
      </c>
      <c r="S1243" s="22" t="str">
        <f>IF(ISERROR(FIND('112'!$M$9,G1243,1)),"",IF((AND(LEFT(G1243,2)=LEFT('112'!$M$9,2),B1243&lt;'112'!$N$8,$L1243='112'!$I$6)),"x",""))</f>
        <v/>
      </c>
      <c r="T1243" s="22" t="str">
        <f>IF(ISERROR(FIND('112'!$M$9,G1243,1)),"",IF((AND(RIGHT(G1243,2)=RIGHT('112'!$M$9,2),B1243&lt;'112'!$N$8,$M1243='112'!$I$6)),"x",""))</f>
        <v/>
      </c>
      <c r="U1243" s="22" t="str">
        <f>IF(AND(B1243&gt;='IN-NX'!$P$3,B1243&lt;='IN-NX'!$Q$3,'IN-NX'!$D$7=D1243,OR(LEFT(L1243,2)="15",AND(LEFT(M1243,2)&lt;&gt;"15",LEFT(M1243,2)&lt;&gt;"33"))),"x","")</f>
        <v/>
      </c>
      <c r="V1243" s="22" t="str">
        <f>IF(AND(OR(LEFT(TH!L1243,2)="15",LEFT(TH!M1243,2)="15"),'152-CT'!$J$8=TH!F1243),"x","")</f>
        <v/>
      </c>
      <c r="W1243" s="22" t="str">
        <f>IF(AND(OR(LEFT(TH!L1243,2)="15",LEFT(TH!M1243,2)="15"),TK!$E$7=TH!F1243),"x","")</f>
        <v/>
      </c>
      <c r="X1243" s="22" t="str">
        <f>IF(OR(TH!L1243=TH!$X$7,M1243=TH!$X$7),"x","")</f>
        <v/>
      </c>
      <c r="Y1243" s="22" t="str">
        <f>IF(AND(B1243&lt;=NKC!$N$8,B1243&gt;=NKC!$M$8),"x","")</f>
        <v>x</v>
      </c>
      <c r="Z1243" s="580"/>
      <c r="AA1243" s="588"/>
    </row>
    <row r="1244" spans="1:31" s="589" customFormat="1" ht="15.75" customHeight="1">
      <c r="A1244" s="607" t="str">
        <f>IF(B1244&lt;&gt;"",IF(AND(B1244&gt;=_TM1,B1244&lt;=_TM2,OR(TH!L1244="1111",TH!M1244="1111")),TH!D1244,""),"")</f>
        <v/>
      </c>
      <c r="B1244" s="585">
        <f t="shared" si="62"/>
        <v>9</v>
      </c>
      <c r="C1244" s="586">
        <f t="shared" si="65"/>
        <v>42628</v>
      </c>
      <c r="D1244" s="569" t="s">
        <v>1022</v>
      </c>
      <c r="E1244" s="613">
        <v>42628</v>
      </c>
      <c r="F1244" s="614" t="s">
        <v>547</v>
      </c>
      <c r="G1244" s="615" t="s">
        <v>756</v>
      </c>
      <c r="H1244" s="572" t="s">
        <v>1075</v>
      </c>
      <c r="I1244" s="137">
        <v>304</v>
      </c>
      <c r="J1244" s="137">
        <v>6677.1918577314</v>
      </c>
      <c r="K1244" s="21">
        <f t="shared" si="64"/>
        <v>2029866</v>
      </c>
      <c r="L1244" s="567" t="s">
        <v>167</v>
      </c>
      <c r="M1244" s="567" t="s">
        <v>162</v>
      </c>
      <c r="N1244" s="22" t="str">
        <f>IF(AND('331-CT'!$E$7=TH!H1244,OR(L1244="331",M1244="331")),"331",IF(AND(OR(L1244="131",M1244="131"),H1244='131-CT'!$E$7),"131",""))</f>
        <v/>
      </c>
      <c r="O1244" s="22" t="str">
        <f>IF(AND($B1244&gt;='111'!$N$11,$B1244&lt;='111'!$O$11,OR($L1244=$O$7,$M1244=$O$7)),"x","")</f>
        <v/>
      </c>
      <c r="P1244" s="22" t="str">
        <f>IF(AND($L1244=$O$7,$B1244&lt;'111'!$N$11),"x","")</f>
        <v/>
      </c>
      <c r="Q1244" s="22" t="str">
        <f>IF(AND($M1244=$O$7,$B1244&lt;'111'!$N$11),"x","")</f>
        <v/>
      </c>
      <c r="R1244" s="22" t="str">
        <f>IF(ISERROR(FIND('112'!$M$9,G1244,1)),"",IF((AND(FIND('112'!$M$9,G1244,1)&gt;=1,$B1244&gt;='112'!$N$8,$B1244&lt;='112'!$O$8,OR($L1244='112'!$I$6,$M1244='112'!$I$6))),"x",""))</f>
        <v/>
      </c>
      <c r="S1244" s="22" t="str">
        <f>IF(ISERROR(FIND('112'!$M$9,G1244,1)),"",IF((AND(LEFT(G1244,2)=LEFT('112'!$M$9,2),B1244&lt;'112'!$N$8,$L1244='112'!$I$6)),"x",""))</f>
        <v/>
      </c>
      <c r="T1244" s="22" t="str">
        <f>IF(ISERROR(FIND('112'!$M$9,G1244,1)),"",IF((AND(RIGHT(G1244,2)=RIGHT('112'!$M$9,2),B1244&lt;'112'!$N$8,$M1244='112'!$I$6)),"x",""))</f>
        <v/>
      </c>
      <c r="U1244" s="22" t="str">
        <f>IF(AND(B1244&gt;='IN-NX'!$P$3,B1244&lt;='IN-NX'!$Q$3,'IN-NX'!$D$7=D1244,OR(LEFT(L1244,2)="15",AND(LEFT(M1244,2)&lt;&gt;"15",LEFT(M1244,2)&lt;&gt;"33"))),"x","")</f>
        <v/>
      </c>
      <c r="V1244" s="22" t="str">
        <f>IF(AND(OR(LEFT(TH!L1244,2)="15",LEFT(TH!M1244,2)="15"),'152-CT'!$J$8=TH!F1244),"x","")</f>
        <v/>
      </c>
      <c r="W1244" s="22" t="str">
        <f>IF(AND(OR(LEFT(TH!L1244,2)="15",LEFT(TH!M1244,2)="15"),TK!$E$7=TH!F1244),"x","")</f>
        <v/>
      </c>
      <c r="X1244" s="22" t="str">
        <f>IF(OR(TH!L1244=TH!$X$7,M1244=TH!$X$7),"x","")</f>
        <v/>
      </c>
      <c r="Y1244" s="22" t="str">
        <f>IF(AND(B1244&lt;=NKC!$N$8,B1244&gt;=NKC!$M$8),"x","")</f>
        <v>x</v>
      </c>
      <c r="Z1244" s="580"/>
      <c r="AA1244" s="588"/>
      <c r="AB1244" s="588"/>
    </row>
    <row r="1245" spans="1:31" s="589" customFormat="1" ht="15.75" customHeight="1">
      <c r="A1245" s="607" t="str">
        <f>IF(B1245&lt;&gt;"",IF(AND(B1245&gt;=_TM1,B1245&lt;=_TM2,OR(TH!L1245="1111",TH!M1245="1111")),TH!D1245,""),"")</f>
        <v/>
      </c>
      <c r="B1245" s="585">
        <f t="shared" si="62"/>
        <v>9</v>
      </c>
      <c r="C1245" s="586">
        <f t="shared" si="65"/>
        <v>42628</v>
      </c>
      <c r="D1245" s="569" t="s">
        <v>1022</v>
      </c>
      <c r="E1245" s="613">
        <v>42628</v>
      </c>
      <c r="F1245" s="614" t="s">
        <v>548</v>
      </c>
      <c r="G1245" s="615" t="s">
        <v>756</v>
      </c>
      <c r="H1245" s="572" t="s">
        <v>1075</v>
      </c>
      <c r="I1245" s="137">
        <v>316</v>
      </c>
      <c r="J1245" s="137">
        <v>7419.102064146</v>
      </c>
      <c r="K1245" s="21">
        <f t="shared" si="64"/>
        <v>2344436</v>
      </c>
      <c r="L1245" s="567" t="s">
        <v>167</v>
      </c>
      <c r="M1245" s="567" t="s">
        <v>162</v>
      </c>
      <c r="N1245" s="22" t="str">
        <f>IF(AND('331-CT'!$E$7=TH!H1245,OR(L1245="331",M1245="331")),"331",IF(AND(OR(L1245="131",M1245="131"),H1245='131-CT'!$E$7),"131",""))</f>
        <v/>
      </c>
      <c r="O1245" s="22" t="str">
        <f>IF(AND($B1245&gt;='111'!$N$11,$B1245&lt;='111'!$O$11,OR($L1245=$O$7,$M1245=$O$7)),"x","")</f>
        <v/>
      </c>
      <c r="P1245" s="22" t="str">
        <f>IF(AND($L1245=$O$7,$B1245&lt;'111'!$N$11),"x","")</f>
        <v/>
      </c>
      <c r="Q1245" s="22" t="str">
        <f>IF(AND($M1245=$O$7,$B1245&lt;'111'!$N$11),"x","")</f>
        <v/>
      </c>
      <c r="R1245" s="22" t="str">
        <f>IF(ISERROR(FIND('112'!$M$9,G1245,1)),"",IF((AND(FIND('112'!$M$9,G1245,1)&gt;=1,$B1245&gt;='112'!$N$8,$B1245&lt;='112'!$O$8,OR($L1245='112'!$I$6,$M1245='112'!$I$6))),"x",""))</f>
        <v/>
      </c>
      <c r="S1245" s="22" t="str">
        <f>IF(ISERROR(FIND('112'!$M$9,G1245,1)),"",IF((AND(LEFT(G1245,2)=LEFT('112'!$M$9,2),B1245&lt;'112'!$N$8,$L1245='112'!$I$6)),"x",""))</f>
        <v/>
      </c>
      <c r="T1245" s="22" t="str">
        <f>IF(ISERROR(FIND('112'!$M$9,G1245,1)),"",IF((AND(RIGHT(G1245,2)=RIGHT('112'!$M$9,2),B1245&lt;'112'!$N$8,$M1245='112'!$I$6)),"x",""))</f>
        <v/>
      </c>
      <c r="U1245" s="22" t="str">
        <f>IF(AND(B1245&gt;='IN-NX'!$P$3,B1245&lt;='IN-NX'!$Q$3,'IN-NX'!$D$7=D1245,OR(LEFT(L1245,2)="15",AND(LEFT(M1245,2)&lt;&gt;"15",LEFT(M1245,2)&lt;&gt;"33"))),"x","")</f>
        <v/>
      </c>
      <c r="V1245" s="22" t="str">
        <f>IF(AND(OR(LEFT(TH!L1245,2)="15",LEFT(TH!M1245,2)="15"),'152-CT'!$J$8=TH!F1245),"x","")</f>
        <v/>
      </c>
      <c r="W1245" s="22" t="str">
        <f>IF(AND(OR(LEFT(TH!L1245,2)="15",LEFT(TH!M1245,2)="15"),TK!$E$7=TH!F1245),"x","")</f>
        <v/>
      </c>
      <c r="X1245" s="22" t="str">
        <f>IF(OR(TH!L1245=TH!$X$7,M1245=TH!$X$7),"x","")</f>
        <v/>
      </c>
      <c r="Y1245" s="22" t="str">
        <f>IF(AND(B1245&lt;=NKC!$N$8,B1245&gt;=NKC!$M$8),"x","")</f>
        <v>x</v>
      </c>
      <c r="Z1245" s="580"/>
      <c r="AA1245" s="588"/>
      <c r="AB1245" s="588"/>
    </row>
    <row r="1246" spans="1:31" s="589" customFormat="1" ht="15.75" customHeight="1">
      <c r="A1246" s="607" t="str">
        <f>IF(B1246&lt;&gt;"",IF(AND(B1246&gt;=_TM1,B1246&lt;=_TM2,OR(TH!L1246="1111",TH!M1246="1111")),TH!D1246,""),"")</f>
        <v/>
      </c>
      <c r="B1246" s="585">
        <f t="shared" si="62"/>
        <v>9</v>
      </c>
      <c r="C1246" s="586">
        <f t="shared" si="65"/>
        <v>42635</v>
      </c>
      <c r="D1246" s="569" t="s">
        <v>1022</v>
      </c>
      <c r="E1246" s="613">
        <v>42635</v>
      </c>
      <c r="F1246" s="614" t="s">
        <v>515</v>
      </c>
      <c r="G1246" s="615" t="s">
        <v>757</v>
      </c>
      <c r="H1246" s="572" t="s">
        <v>1075</v>
      </c>
      <c r="I1246" s="137">
        <v>300</v>
      </c>
      <c r="J1246" s="137">
        <v>7831.2744010429988</v>
      </c>
      <c r="K1246" s="21">
        <f t="shared" si="64"/>
        <v>2349382</v>
      </c>
      <c r="L1246" s="567" t="s">
        <v>167</v>
      </c>
      <c r="M1246" s="567" t="s">
        <v>162</v>
      </c>
      <c r="N1246" s="22" t="str">
        <f>IF(AND('331-CT'!$E$7=TH!H1246,OR(L1246="331",M1246="331")),"331",IF(AND(OR(L1246="131",M1246="131"),H1246='131-CT'!$E$7),"131",""))</f>
        <v/>
      </c>
      <c r="O1246" s="22" t="str">
        <f>IF(AND($B1246&gt;='111'!$N$11,$B1246&lt;='111'!$O$11,OR($L1246=$O$7,$M1246=$O$7)),"x","")</f>
        <v/>
      </c>
      <c r="P1246" s="22" t="str">
        <f>IF(AND($L1246=$O$7,$B1246&lt;'111'!$N$11),"x","")</f>
        <v/>
      </c>
      <c r="Q1246" s="22" t="str">
        <f>IF(AND($M1246=$O$7,$B1246&lt;'111'!$N$11),"x","")</f>
        <v/>
      </c>
      <c r="R1246" s="22" t="str">
        <f>IF(ISERROR(FIND('112'!$M$9,G1246,1)),"",IF((AND(FIND('112'!$M$9,G1246,1)&gt;=1,$B1246&gt;='112'!$N$8,$B1246&lt;='112'!$O$8,OR($L1246='112'!$I$6,$M1246='112'!$I$6))),"x",""))</f>
        <v/>
      </c>
      <c r="S1246" s="22" t="str">
        <f>IF(ISERROR(FIND('112'!$M$9,G1246,1)),"",IF((AND(LEFT(G1246,2)=LEFT('112'!$M$9,2),B1246&lt;'112'!$N$8,$L1246='112'!$I$6)),"x",""))</f>
        <v/>
      </c>
      <c r="T1246" s="22" t="str">
        <f>IF(ISERROR(FIND('112'!$M$9,G1246,1)),"",IF((AND(RIGHT(G1246,2)=RIGHT('112'!$M$9,2),B1246&lt;'112'!$N$8,$M1246='112'!$I$6)),"x",""))</f>
        <v/>
      </c>
      <c r="U1246" s="22" t="str">
        <f>IF(AND(B1246&gt;='IN-NX'!$P$3,B1246&lt;='IN-NX'!$Q$3,'IN-NX'!$D$7=D1246,OR(LEFT(L1246,2)="15",AND(LEFT(M1246,2)&lt;&gt;"15",LEFT(M1246,2)&lt;&gt;"33"))),"x","")</f>
        <v/>
      </c>
      <c r="V1246" s="22" t="str">
        <f>IF(AND(OR(LEFT(TH!L1246,2)="15",LEFT(TH!M1246,2)="15"),'152-CT'!$J$8=TH!F1246),"x","")</f>
        <v/>
      </c>
      <c r="W1246" s="22" t="str">
        <f>IF(AND(OR(LEFT(TH!L1246,2)="15",LEFT(TH!M1246,2)="15"),TK!$E$7=TH!F1246),"x","")</f>
        <v/>
      </c>
      <c r="X1246" s="22" t="str">
        <f>IF(OR(TH!L1246=TH!$X$7,M1246=TH!$X$7),"x","")</f>
        <v/>
      </c>
      <c r="Y1246" s="22" t="str">
        <f>IF(AND(B1246&lt;=NKC!$N$8,B1246&gt;=NKC!$M$8),"x","")</f>
        <v>x</v>
      </c>
      <c r="Z1246" s="580"/>
      <c r="AA1246" s="588"/>
      <c r="AB1246" s="588"/>
    </row>
    <row r="1247" spans="1:31" s="589" customFormat="1" ht="15.75" customHeight="1">
      <c r="A1247" s="607" t="str">
        <f>IF(B1247&lt;&gt;"",IF(AND(B1247&gt;=_TM1,B1247&lt;=_TM2,OR(TH!L1247="1111",TH!M1247="1111")),TH!D1247,""),"")</f>
        <v/>
      </c>
      <c r="B1247" s="585">
        <f t="shared" si="62"/>
        <v>9</v>
      </c>
      <c r="C1247" s="586">
        <f t="shared" si="65"/>
        <v>42639</v>
      </c>
      <c r="D1247" s="569" t="s">
        <v>1022</v>
      </c>
      <c r="E1247" s="613">
        <v>42639</v>
      </c>
      <c r="F1247" s="614" t="s">
        <v>549</v>
      </c>
      <c r="G1247" s="615" t="s">
        <v>758</v>
      </c>
      <c r="H1247" s="572" t="s">
        <v>1075</v>
      </c>
      <c r="I1247" s="137">
        <v>109</v>
      </c>
      <c r="J1247" s="137">
        <v>4451.4612384876</v>
      </c>
      <c r="K1247" s="21">
        <f t="shared" si="64"/>
        <v>485209</v>
      </c>
      <c r="L1247" s="567" t="s">
        <v>167</v>
      </c>
      <c r="M1247" s="567" t="s">
        <v>162</v>
      </c>
      <c r="N1247" s="22" t="str">
        <f>IF(AND('331-CT'!$E$7=TH!H1247,OR(L1247="331",M1247="331")),"331",IF(AND(OR(L1247="131",M1247="131"),H1247='131-CT'!$E$7),"131",""))</f>
        <v/>
      </c>
      <c r="O1247" s="22" t="str">
        <f>IF(AND($B1247&gt;='111'!$N$11,$B1247&lt;='111'!$O$11,OR($L1247=$O$7,$M1247=$O$7)),"x","")</f>
        <v/>
      </c>
      <c r="P1247" s="22" t="str">
        <f>IF(AND($L1247=$O$7,$B1247&lt;'111'!$N$11),"x","")</f>
        <v/>
      </c>
      <c r="Q1247" s="22" t="str">
        <f>IF(AND($M1247=$O$7,$B1247&lt;'111'!$N$11),"x","")</f>
        <v/>
      </c>
      <c r="R1247" s="22" t="str">
        <f>IF(ISERROR(FIND('112'!$M$9,G1247,1)),"",IF((AND(FIND('112'!$M$9,G1247,1)&gt;=1,$B1247&gt;='112'!$N$8,$B1247&lt;='112'!$O$8,OR($L1247='112'!$I$6,$M1247='112'!$I$6))),"x",""))</f>
        <v/>
      </c>
      <c r="S1247" s="22" t="str">
        <f>IF(ISERROR(FIND('112'!$M$9,G1247,1)),"",IF((AND(LEFT(G1247,2)=LEFT('112'!$M$9,2),B1247&lt;'112'!$N$8,$L1247='112'!$I$6)),"x",""))</f>
        <v/>
      </c>
      <c r="T1247" s="22" t="str">
        <f>IF(ISERROR(FIND('112'!$M$9,G1247,1)),"",IF((AND(RIGHT(G1247,2)=RIGHT('112'!$M$9,2),B1247&lt;'112'!$N$8,$M1247='112'!$I$6)),"x",""))</f>
        <v/>
      </c>
      <c r="U1247" s="22" t="str">
        <f>IF(AND(B1247&gt;='IN-NX'!$P$3,B1247&lt;='IN-NX'!$Q$3,'IN-NX'!$D$7=D1247,OR(LEFT(L1247,2)="15",AND(LEFT(M1247,2)&lt;&gt;"15",LEFT(M1247,2)&lt;&gt;"33"))),"x","")</f>
        <v/>
      </c>
      <c r="V1247" s="22" t="str">
        <f>IF(AND(OR(LEFT(TH!L1247,2)="15",LEFT(TH!M1247,2)="15"),'152-CT'!$J$8=TH!F1247),"x","")</f>
        <v/>
      </c>
      <c r="W1247" s="22" t="str">
        <f>IF(AND(OR(LEFT(TH!L1247,2)="15",LEFT(TH!M1247,2)="15"),TK!$E$7=TH!F1247),"x","")</f>
        <v/>
      </c>
      <c r="X1247" s="22" t="str">
        <f>IF(OR(TH!L1247=TH!$X$7,M1247=TH!$X$7),"x","")</f>
        <v/>
      </c>
      <c r="Y1247" s="22" t="str">
        <f>IF(AND(B1247&lt;=NKC!$N$8,B1247&gt;=NKC!$M$8),"x","")</f>
        <v>x</v>
      </c>
      <c r="Z1247" s="580"/>
      <c r="AA1247" s="588"/>
      <c r="AB1247" s="588"/>
    </row>
    <row r="1248" spans="1:31" s="589" customFormat="1" ht="15.75" customHeight="1">
      <c r="A1248" s="607" t="str">
        <f>IF(B1248&lt;&gt;"",IF(AND(B1248&gt;=_TM1,B1248&lt;=_TM2,OR(TH!L1248="1111",TH!M1248="1111")),TH!D1248,""),"")</f>
        <v/>
      </c>
      <c r="B1248" s="585">
        <f t="shared" si="62"/>
        <v>9</v>
      </c>
      <c r="C1248" s="586">
        <f t="shared" si="65"/>
        <v>42639</v>
      </c>
      <c r="D1248" s="569" t="s">
        <v>1022</v>
      </c>
      <c r="E1248" s="613">
        <v>42639</v>
      </c>
      <c r="F1248" s="614" t="s">
        <v>550</v>
      </c>
      <c r="G1248" s="615" t="s">
        <v>758</v>
      </c>
      <c r="H1248" s="572" t="s">
        <v>1075</v>
      </c>
      <c r="I1248" s="137">
        <v>102</v>
      </c>
      <c r="J1248" s="137">
        <v>5110.9369775227997</v>
      </c>
      <c r="K1248" s="21">
        <f t="shared" si="64"/>
        <v>521316</v>
      </c>
      <c r="L1248" s="567" t="s">
        <v>167</v>
      </c>
      <c r="M1248" s="567" t="s">
        <v>162</v>
      </c>
      <c r="N1248" s="22" t="str">
        <f>IF(AND('331-CT'!$E$7=TH!H1248,OR(L1248="331",M1248="331")),"331",IF(AND(OR(L1248="131",M1248="131"),H1248='131-CT'!$E$7),"131",""))</f>
        <v/>
      </c>
      <c r="O1248" s="22" t="str">
        <f>IF(AND($B1248&gt;='111'!$N$11,$B1248&lt;='111'!$O$11,OR($L1248=$O$7,$M1248=$O$7)),"x","")</f>
        <v/>
      </c>
      <c r="P1248" s="22" t="str">
        <f>IF(AND($L1248=$O$7,$B1248&lt;'111'!$N$11),"x","")</f>
        <v/>
      </c>
      <c r="Q1248" s="22" t="str">
        <f>IF(AND($M1248=$O$7,$B1248&lt;'111'!$N$11),"x","")</f>
        <v/>
      </c>
      <c r="R1248" s="22" t="str">
        <f>IF(ISERROR(FIND('112'!$M$9,G1248,1)),"",IF((AND(FIND('112'!$M$9,G1248,1)&gt;=1,$B1248&gt;='112'!$N$8,$B1248&lt;='112'!$O$8,OR($L1248='112'!$I$6,$M1248='112'!$I$6))),"x",""))</f>
        <v/>
      </c>
      <c r="S1248" s="22" t="str">
        <f>IF(ISERROR(FIND('112'!$M$9,G1248,1)),"",IF((AND(LEFT(G1248,2)=LEFT('112'!$M$9,2),B1248&lt;'112'!$N$8,$L1248='112'!$I$6)),"x",""))</f>
        <v/>
      </c>
      <c r="T1248" s="22" t="str">
        <f>IF(ISERROR(FIND('112'!$M$9,G1248,1)),"",IF((AND(RIGHT(G1248,2)=RIGHT('112'!$M$9,2),B1248&lt;'112'!$N$8,$M1248='112'!$I$6)),"x",""))</f>
        <v/>
      </c>
      <c r="U1248" s="22" t="str">
        <f>IF(AND(B1248&gt;='IN-NX'!$P$3,B1248&lt;='IN-NX'!$Q$3,'IN-NX'!$D$7=D1248,OR(LEFT(L1248,2)="15",AND(LEFT(M1248,2)&lt;&gt;"15",LEFT(M1248,2)&lt;&gt;"33"))),"x","")</f>
        <v/>
      </c>
      <c r="V1248" s="22" t="str">
        <f>IF(AND(OR(LEFT(TH!L1248,2)="15",LEFT(TH!M1248,2)="15"),'152-CT'!$J$8=TH!F1248),"x","")</f>
        <v/>
      </c>
      <c r="W1248" s="22" t="str">
        <f>IF(AND(OR(LEFT(TH!L1248,2)="15",LEFT(TH!M1248,2)="15"),TK!$E$7=TH!F1248),"x","")</f>
        <v/>
      </c>
      <c r="X1248" s="22" t="str">
        <f>IF(OR(TH!L1248=TH!$X$7,M1248=TH!$X$7),"x","")</f>
        <v/>
      </c>
      <c r="Y1248" s="22" t="str">
        <f>IF(AND(B1248&lt;=NKC!$N$8,B1248&gt;=NKC!$M$8),"x","")</f>
        <v>x</v>
      </c>
      <c r="Z1248" s="580"/>
      <c r="AA1248" s="588"/>
      <c r="AB1248" s="588"/>
    </row>
    <row r="1249" spans="1:31" s="589" customFormat="1" ht="15.75" customHeight="1">
      <c r="A1249" s="607" t="str">
        <f>IF(B1249&lt;&gt;"",IF(AND(B1249&gt;=_TM1,B1249&lt;=_TM2,OR(TH!L1249="1111",TH!M1249="1111")),TH!D1249,""),"")</f>
        <v/>
      </c>
      <c r="B1249" s="585">
        <f t="shared" si="62"/>
        <v>9</v>
      </c>
      <c r="C1249" s="586">
        <f t="shared" si="65"/>
        <v>42639</v>
      </c>
      <c r="D1249" s="569" t="s">
        <v>1022</v>
      </c>
      <c r="E1249" s="613">
        <v>42639</v>
      </c>
      <c r="F1249" s="614" t="s">
        <v>663</v>
      </c>
      <c r="G1249" s="615" t="s">
        <v>758</v>
      </c>
      <c r="H1249" s="572" t="s">
        <v>1075</v>
      </c>
      <c r="I1249" s="137">
        <v>56</v>
      </c>
      <c r="J1249" s="137">
        <v>8985.3569443546003</v>
      </c>
      <c r="K1249" s="21">
        <f t="shared" si="64"/>
        <v>503180</v>
      </c>
      <c r="L1249" s="567" t="s">
        <v>167</v>
      </c>
      <c r="M1249" s="567" t="s">
        <v>162</v>
      </c>
      <c r="N1249" s="22" t="str">
        <f>IF(AND('331-CT'!$E$7=TH!H1249,OR(L1249="331",M1249="331")),"331",IF(AND(OR(L1249="131",M1249="131"),H1249='131-CT'!$E$7),"131",""))</f>
        <v/>
      </c>
      <c r="O1249" s="22" t="str">
        <f>IF(AND($B1249&gt;='111'!$N$11,$B1249&lt;='111'!$O$11,OR($L1249=$O$7,$M1249=$O$7)),"x","")</f>
        <v/>
      </c>
      <c r="P1249" s="22" t="str">
        <f>IF(AND($L1249=$O$7,$B1249&lt;'111'!$N$11),"x","")</f>
        <v/>
      </c>
      <c r="Q1249" s="22" t="str">
        <f>IF(AND($M1249=$O$7,$B1249&lt;'111'!$N$11),"x","")</f>
        <v/>
      </c>
      <c r="R1249" s="22" t="str">
        <f>IF(ISERROR(FIND('112'!$M$9,G1249,1)),"",IF((AND(FIND('112'!$M$9,G1249,1)&gt;=1,$B1249&gt;='112'!$N$8,$B1249&lt;='112'!$O$8,OR($L1249='112'!$I$6,$M1249='112'!$I$6))),"x",""))</f>
        <v/>
      </c>
      <c r="S1249" s="22" t="str">
        <f>IF(ISERROR(FIND('112'!$M$9,G1249,1)),"",IF((AND(LEFT(G1249,2)=LEFT('112'!$M$9,2),B1249&lt;'112'!$N$8,$L1249='112'!$I$6)),"x",""))</f>
        <v/>
      </c>
      <c r="T1249" s="22" t="str">
        <f>IF(ISERROR(FIND('112'!$M$9,G1249,1)),"",IF((AND(RIGHT(G1249,2)=RIGHT('112'!$M$9,2),B1249&lt;'112'!$N$8,$M1249='112'!$I$6)),"x",""))</f>
        <v/>
      </c>
      <c r="U1249" s="22" t="str">
        <f>IF(AND(B1249&gt;='IN-NX'!$P$3,B1249&lt;='IN-NX'!$Q$3,'IN-NX'!$D$7=D1249,OR(LEFT(L1249,2)="15",AND(LEFT(M1249,2)&lt;&gt;"15",LEFT(M1249,2)&lt;&gt;"33"))),"x","")</f>
        <v/>
      </c>
      <c r="V1249" s="22" t="str">
        <f>IF(AND(OR(LEFT(TH!L1249,2)="15",LEFT(TH!M1249,2)="15"),'152-CT'!$J$8=TH!F1249),"x","")</f>
        <v/>
      </c>
      <c r="W1249" s="22" t="str">
        <f>IF(AND(OR(LEFT(TH!L1249,2)="15",LEFT(TH!M1249,2)="15"),TK!$E$7=TH!F1249),"x","")</f>
        <v/>
      </c>
      <c r="X1249" s="22" t="str">
        <f>IF(OR(TH!L1249=TH!$X$7,M1249=TH!$X$7),"x","")</f>
        <v/>
      </c>
      <c r="Y1249" s="22" t="str">
        <f>IF(AND(B1249&lt;=NKC!$N$8,B1249&gt;=NKC!$M$8),"x","")</f>
        <v>x</v>
      </c>
      <c r="Z1249" s="580"/>
      <c r="AA1249" s="588"/>
      <c r="AB1249" s="588"/>
    </row>
    <row r="1250" spans="1:31" s="589" customFormat="1" ht="15.75" customHeight="1">
      <c r="A1250" s="607" t="str">
        <f>IF(B1250&lt;&gt;"",IF(AND(B1250&gt;=_TM1,B1250&lt;=_TM2,OR(TH!L1250="1111",TH!M1250="1111")),TH!D1250,""),"")</f>
        <v/>
      </c>
      <c r="B1250" s="585">
        <f t="shared" si="62"/>
        <v>9</v>
      </c>
      <c r="C1250" s="586">
        <f t="shared" si="65"/>
        <v>42640</v>
      </c>
      <c r="D1250" s="569" t="s">
        <v>1022</v>
      </c>
      <c r="E1250" s="613">
        <v>42640</v>
      </c>
      <c r="F1250" s="614" t="s">
        <v>500</v>
      </c>
      <c r="G1250" s="615" t="s">
        <v>759</v>
      </c>
      <c r="H1250" s="572" t="s">
        <v>1075</v>
      </c>
      <c r="I1250" s="137">
        <v>533</v>
      </c>
      <c r="J1250" s="137">
        <v>10551.611824563199</v>
      </c>
      <c r="K1250" s="21">
        <f t="shared" si="64"/>
        <v>5624009</v>
      </c>
      <c r="L1250" s="567" t="s">
        <v>167</v>
      </c>
      <c r="M1250" s="567" t="s">
        <v>162</v>
      </c>
      <c r="N1250" s="22" t="str">
        <f>IF(AND('331-CT'!$E$7=TH!H1250,OR(L1250="331",M1250="331")),"331",IF(AND(OR(L1250="131",M1250="131"),H1250='131-CT'!$E$7),"131",""))</f>
        <v/>
      </c>
      <c r="O1250" s="22" t="str">
        <f>IF(AND($B1250&gt;='111'!$N$11,$B1250&lt;='111'!$O$11,OR($L1250=$O$7,$M1250=$O$7)),"x","")</f>
        <v/>
      </c>
      <c r="P1250" s="22" t="str">
        <f>IF(AND($L1250=$O$7,$B1250&lt;'111'!$N$11),"x","")</f>
        <v/>
      </c>
      <c r="Q1250" s="22" t="str">
        <f>IF(AND($M1250=$O$7,$B1250&lt;'111'!$N$11),"x","")</f>
        <v/>
      </c>
      <c r="R1250" s="22" t="str">
        <f>IF(ISERROR(FIND('112'!$M$9,G1250,1)),"",IF((AND(FIND('112'!$M$9,G1250,1)&gt;=1,$B1250&gt;='112'!$N$8,$B1250&lt;='112'!$O$8,OR($L1250='112'!$I$6,$M1250='112'!$I$6))),"x",""))</f>
        <v/>
      </c>
      <c r="S1250" s="22" t="str">
        <f>IF(ISERROR(FIND('112'!$M$9,G1250,1)),"",IF((AND(LEFT(G1250,2)=LEFT('112'!$M$9,2),B1250&lt;'112'!$N$8,$L1250='112'!$I$6)),"x",""))</f>
        <v/>
      </c>
      <c r="T1250" s="22" t="str">
        <f>IF(ISERROR(FIND('112'!$M$9,G1250,1)),"",IF((AND(RIGHT(G1250,2)=RIGHT('112'!$M$9,2),B1250&lt;'112'!$N$8,$M1250='112'!$I$6)),"x",""))</f>
        <v/>
      </c>
      <c r="U1250" s="22" t="str">
        <f>IF(AND(B1250&gt;='IN-NX'!$P$3,B1250&lt;='IN-NX'!$Q$3,'IN-NX'!$D$7=D1250,OR(LEFT(L1250,2)="15",AND(LEFT(M1250,2)&lt;&gt;"15",LEFT(M1250,2)&lt;&gt;"33"))),"x","")</f>
        <v/>
      </c>
      <c r="V1250" s="22" t="str">
        <f>IF(AND(OR(LEFT(TH!L1250,2)="15",LEFT(TH!M1250,2)="15"),'152-CT'!$J$8=TH!F1250),"x","")</f>
        <v/>
      </c>
      <c r="W1250" s="22" t="str">
        <f>IF(AND(OR(LEFT(TH!L1250,2)="15",LEFT(TH!M1250,2)="15"),TK!$E$7=TH!F1250),"x","")</f>
        <v/>
      </c>
      <c r="X1250" s="22" t="str">
        <f>IF(OR(TH!L1250=TH!$X$7,M1250=TH!$X$7),"x","")</f>
        <v/>
      </c>
      <c r="Y1250" s="22" t="str">
        <f>IF(AND(B1250&lt;=NKC!$N$8,B1250&gt;=NKC!$M$8),"x","")</f>
        <v>x</v>
      </c>
      <c r="Z1250" s="580"/>
      <c r="AA1250" s="588"/>
      <c r="AB1250" s="588"/>
    </row>
    <row r="1251" spans="1:31" s="589" customFormat="1" ht="15.75" customHeight="1">
      <c r="A1251" s="607" t="str">
        <f>IF(B1251&lt;&gt;"",IF(AND(B1251&gt;=_TM1,B1251&lt;=_TM2,OR(TH!L1251="1111",TH!M1251="1111")),TH!D1251,""),"")</f>
        <v/>
      </c>
      <c r="B1251" s="585">
        <f t="shared" si="62"/>
        <v>9</v>
      </c>
      <c r="C1251" s="586">
        <f t="shared" si="65"/>
        <v>42640</v>
      </c>
      <c r="D1251" s="569" t="s">
        <v>1022</v>
      </c>
      <c r="E1251" s="613">
        <v>42640</v>
      </c>
      <c r="F1251" s="614" t="s">
        <v>500</v>
      </c>
      <c r="G1251" s="615" t="s">
        <v>760</v>
      </c>
      <c r="H1251" s="572" t="s">
        <v>1075</v>
      </c>
      <c r="I1251" s="137">
        <v>156</v>
      </c>
      <c r="J1251" s="137">
        <v>10551.611824563199</v>
      </c>
      <c r="K1251" s="21">
        <f t="shared" si="64"/>
        <v>1646051</v>
      </c>
      <c r="L1251" s="567" t="s">
        <v>167</v>
      </c>
      <c r="M1251" s="567" t="s">
        <v>162</v>
      </c>
      <c r="N1251" s="22" t="str">
        <f>IF(AND('331-CT'!$E$7=TH!H1251,OR(L1251="331",M1251="331")),"331",IF(AND(OR(L1251="131",M1251="131"),H1251='131-CT'!$E$7),"131",""))</f>
        <v/>
      </c>
      <c r="O1251" s="22" t="str">
        <f>IF(AND($B1251&gt;='111'!$N$11,$B1251&lt;='111'!$O$11,OR($L1251=$O$7,$M1251=$O$7)),"x","")</f>
        <v/>
      </c>
      <c r="P1251" s="22" t="str">
        <f>IF(AND($L1251=$O$7,$B1251&lt;'111'!$N$11),"x","")</f>
        <v/>
      </c>
      <c r="Q1251" s="22" t="str">
        <f>IF(AND($M1251=$O$7,$B1251&lt;'111'!$N$11),"x","")</f>
        <v/>
      </c>
      <c r="R1251" s="22" t="str">
        <f>IF(ISERROR(FIND('112'!$M$9,G1251,1)),"",IF((AND(FIND('112'!$M$9,G1251,1)&gt;=1,$B1251&gt;='112'!$N$8,$B1251&lt;='112'!$O$8,OR($L1251='112'!$I$6,$M1251='112'!$I$6))),"x",""))</f>
        <v/>
      </c>
      <c r="S1251" s="22" t="str">
        <f>IF(ISERROR(FIND('112'!$M$9,G1251,1)),"",IF((AND(LEFT(G1251,2)=LEFT('112'!$M$9,2),B1251&lt;'112'!$N$8,$L1251='112'!$I$6)),"x",""))</f>
        <v/>
      </c>
      <c r="T1251" s="22" t="str">
        <f>IF(ISERROR(FIND('112'!$M$9,G1251,1)),"",IF((AND(RIGHT(G1251,2)=RIGHT('112'!$M$9,2),B1251&lt;'112'!$N$8,$M1251='112'!$I$6)),"x",""))</f>
        <v/>
      </c>
      <c r="U1251" s="22" t="str">
        <f>IF(AND(B1251&gt;='IN-NX'!$P$3,B1251&lt;='IN-NX'!$Q$3,'IN-NX'!$D$7=D1251,OR(LEFT(L1251,2)="15",AND(LEFT(M1251,2)&lt;&gt;"15",LEFT(M1251,2)&lt;&gt;"33"))),"x","")</f>
        <v/>
      </c>
      <c r="V1251" s="22" t="str">
        <f>IF(AND(OR(LEFT(TH!L1251,2)="15",LEFT(TH!M1251,2)="15"),'152-CT'!$J$8=TH!F1251),"x","")</f>
        <v/>
      </c>
      <c r="W1251" s="22" t="str">
        <f>IF(AND(OR(LEFT(TH!L1251,2)="15",LEFT(TH!M1251,2)="15"),TK!$E$7=TH!F1251),"x","")</f>
        <v/>
      </c>
      <c r="X1251" s="22" t="str">
        <f>IF(OR(TH!L1251=TH!$X$7,M1251=TH!$X$7),"x","")</f>
        <v/>
      </c>
      <c r="Y1251" s="22" t="str">
        <f>IF(AND(B1251&lt;=NKC!$N$8,B1251&gt;=NKC!$M$8),"x","")</f>
        <v>x</v>
      </c>
      <c r="Z1251" s="580"/>
      <c r="AA1251" s="588"/>
      <c r="AB1251" s="588"/>
      <c r="AD1251" s="588"/>
      <c r="AE1251" s="588"/>
    </row>
    <row r="1252" spans="1:31" s="589" customFormat="1" ht="15.75" customHeight="1">
      <c r="A1252" s="607" t="str">
        <f>IF(B1252&lt;&gt;"",IF(AND(B1252&gt;=_TM1,B1252&lt;=_TM2,OR(TH!L1252="1111",TH!M1252="1111")),TH!D1252,""),"")</f>
        <v/>
      </c>
      <c r="B1252" s="585">
        <f t="shared" si="62"/>
        <v>9</v>
      </c>
      <c r="C1252" s="586">
        <f t="shared" si="65"/>
        <v>42640</v>
      </c>
      <c r="D1252" s="569" t="s">
        <v>1022</v>
      </c>
      <c r="E1252" s="613">
        <v>42640</v>
      </c>
      <c r="F1252" s="614" t="s">
        <v>654</v>
      </c>
      <c r="G1252" s="615" t="s">
        <v>760</v>
      </c>
      <c r="H1252" s="572" t="s">
        <v>1075</v>
      </c>
      <c r="I1252" s="137">
        <v>2520</v>
      </c>
      <c r="J1252" s="137">
        <v>8820.4880095957997</v>
      </c>
      <c r="K1252" s="21">
        <f t="shared" si="64"/>
        <v>22227630</v>
      </c>
      <c r="L1252" s="567" t="s">
        <v>167</v>
      </c>
      <c r="M1252" s="567" t="s">
        <v>162</v>
      </c>
      <c r="N1252" s="22" t="str">
        <f>IF(AND('331-CT'!$E$7=TH!H1252,OR(L1252="331",M1252="331")),"331",IF(AND(OR(L1252="131",M1252="131"),H1252='131-CT'!$E$7),"131",""))</f>
        <v/>
      </c>
      <c r="O1252" s="22" t="str">
        <f>IF(AND($B1252&gt;='111'!$N$11,$B1252&lt;='111'!$O$11,OR($L1252=$O$7,$M1252=$O$7)),"x","")</f>
        <v/>
      </c>
      <c r="P1252" s="22" t="str">
        <f>IF(AND($L1252=$O$7,$B1252&lt;'111'!$N$11),"x","")</f>
        <v/>
      </c>
      <c r="Q1252" s="22" t="str">
        <f>IF(AND($M1252=$O$7,$B1252&lt;'111'!$N$11),"x","")</f>
        <v/>
      </c>
      <c r="R1252" s="22" t="str">
        <f>IF(ISERROR(FIND('112'!$M$9,G1252,1)),"",IF((AND(FIND('112'!$M$9,G1252,1)&gt;=1,$B1252&gt;='112'!$N$8,$B1252&lt;='112'!$O$8,OR($L1252='112'!$I$6,$M1252='112'!$I$6))),"x",""))</f>
        <v/>
      </c>
      <c r="S1252" s="22" t="str">
        <f>IF(ISERROR(FIND('112'!$M$9,G1252,1)),"",IF((AND(LEFT(G1252,2)=LEFT('112'!$M$9,2),B1252&lt;'112'!$N$8,$L1252='112'!$I$6)),"x",""))</f>
        <v/>
      </c>
      <c r="T1252" s="22" t="str">
        <f>IF(ISERROR(FIND('112'!$M$9,G1252,1)),"",IF((AND(RIGHT(G1252,2)=RIGHT('112'!$M$9,2),B1252&lt;'112'!$N$8,$M1252='112'!$I$6)),"x",""))</f>
        <v/>
      </c>
      <c r="U1252" s="22" t="str">
        <f>IF(AND(B1252&gt;='IN-NX'!$P$3,B1252&lt;='IN-NX'!$Q$3,'IN-NX'!$D$7=D1252,OR(LEFT(L1252,2)="15",AND(LEFT(M1252,2)&lt;&gt;"15",LEFT(M1252,2)&lt;&gt;"33"))),"x","")</f>
        <v/>
      </c>
      <c r="V1252" s="22" t="str">
        <f>IF(AND(OR(LEFT(TH!L1252,2)="15",LEFT(TH!M1252,2)="15"),'152-CT'!$J$8=TH!F1252),"x","")</f>
        <v/>
      </c>
      <c r="W1252" s="22" t="str">
        <f>IF(AND(OR(LEFT(TH!L1252,2)="15",LEFT(TH!M1252,2)="15"),TK!$E$7=TH!F1252),"x","")</f>
        <v/>
      </c>
      <c r="X1252" s="22" t="str">
        <f>IF(OR(TH!L1252=TH!$X$7,M1252=TH!$X$7),"x","")</f>
        <v/>
      </c>
      <c r="Y1252" s="22" t="str">
        <f>IF(AND(B1252&lt;=NKC!$N$8,B1252&gt;=NKC!$M$8),"x","")</f>
        <v>x</v>
      </c>
      <c r="Z1252" s="580"/>
      <c r="AA1252" s="588"/>
      <c r="AD1252" s="588"/>
      <c r="AE1252" s="588"/>
    </row>
    <row r="1253" spans="1:31" s="589" customFormat="1" ht="15.75" customHeight="1">
      <c r="A1253" s="607" t="str">
        <f>IF(B1253&lt;&gt;"",IF(AND(B1253&gt;=_TM1,B1253&lt;=_TM2,OR(TH!L1253="1111",TH!M1253="1111")),TH!D1253,""),"")</f>
        <v/>
      </c>
      <c r="B1253" s="585">
        <f t="shared" si="62"/>
        <v>9</v>
      </c>
      <c r="C1253" s="586">
        <f t="shared" si="65"/>
        <v>42640</v>
      </c>
      <c r="D1253" s="569" t="s">
        <v>1022</v>
      </c>
      <c r="E1253" s="613">
        <v>42640</v>
      </c>
      <c r="F1253" s="614" t="s">
        <v>655</v>
      </c>
      <c r="G1253" s="615" t="s">
        <v>760</v>
      </c>
      <c r="H1253" s="572" t="s">
        <v>1075</v>
      </c>
      <c r="I1253" s="137">
        <v>44</v>
      </c>
      <c r="J1253" s="137">
        <v>12777.342443807</v>
      </c>
      <c r="K1253" s="21">
        <f t="shared" si="64"/>
        <v>562203</v>
      </c>
      <c r="L1253" s="567" t="s">
        <v>167</v>
      </c>
      <c r="M1253" s="567" t="s">
        <v>162</v>
      </c>
      <c r="N1253" s="22" t="str">
        <f>IF(AND('331-CT'!$E$7=TH!H1253,OR(L1253="331",M1253="331")),"331",IF(AND(OR(L1253="131",M1253="131"),H1253='131-CT'!$E$7),"131",""))</f>
        <v/>
      </c>
      <c r="O1253" s="22" t="str">
        <f>IF(AND($B1253&gt;='111'!$N$11,$B1253&lt;='111'!$O$11,OR($L1253=$O$7,$M1253=$O$7)),"x","")</f>
        <v/>
      </c>
      <c r="P1253" s="22" t="str">
        <f>IF(AND($L1253=$O$7,$B1253&lt;'111'!$N$11),"x","")</f>
        <v/>
      </c>
      <c r="Q1253" s="22" t="str">
        <f>IF(AND($M1253=$O$7,$B1253&lt;'111'!$N$11),"x","")</f>
        <v/>
      </c>
      <c r="R1253" s="22" t="str">
        <f>IF(ISERROR(FIND('112'!$M$9,G1253,1)),"",IF((AND(FIND('112'!$M$9,G1253,1)&gt;=1,$B1253&gt;='112'!$N$8,$B1253&lt;='112'!$O$8,OR($L1253='112'!$I$6,$M1253='112'!$I$6))),"x",""))</f>
        <v/>
      </c>
      <c r="S1253" s="22" t="str">
        <f>IF(ISERROR(FIND('112'!$M$9,G1253,1)),"",IF((AND(LEFT(G1253,2)=LEFT('112'!$M$9,2),B1253&lt;'112'!$N$8,$L1253='112'!$I$6)),"x",""))</f>
        <v/>
      </c>
      <c r="T1253" s="22" t="str">
        <f>IF(ISERROR(FIND('112'!$M$9,G1253,1)),"",IF((AND(RIGHT(G1253,2)=RIGHT('112'!$M$9,2),B1253&lt;'112'!$N$8,$M1253='112'!$I$6)),"x",""))</f>
        <v/>
      </c>
      <c r="U1253" s="22" t="str">
        <f>IF(AND(B1253&gt;='IN-NX'!$P$3,B1253&lt;='IN-NX'!$Q$3,'IN-NX'!$D$7=D1253,OR(LEFT(L1253,2)="15",AND(LEFT(M1253,2)&lt;&gt;"15",LEFT(M1253,2)&lt;&gt;"33"))),"x","")</f>
        <v/>
      </c>
      <c r="V1253" s="22" t="str">
        <f>IF(AND(OR(LEFT(TH!L1253,2)="15",LEFT(TH!M1253,2)="15"),'152-CT'!$J$8=TH!F1253),"x","")</f>
        <v/>
      </c>
      <c r="W1253" s="22" t="str">
        <f>IF(AND(OR(LEFT(TH!L1253,2)="15",LEFT(TH!M1253,2)="15"),TK!$E$7=TH!F1253),"x","")</f>
        <v/>
      </c>
      <c r="X1253" s="22" t="str">
        <f>IF(OR(TH!L1253=TH!$X$7,M1253=TH!$X$7),"x","")</f>
        <v/>
      </c>
      <c r="Y1253" s="22" t="str">
        <f>IF(AND(B1253&lt;=NKC!$N$8,B1253&gt;=NKC!$M$8),"x","")</f>
        <v>x</v>
      </c>
      <c r="Z1253" s="580"/>
      <c r="AA1253" s="588"/>
      <c r="AB1253" s="588"/>
    </row>
    <row r="1254" spans="1:31" s="589" customFormat="1" ht="15.75" customHeight="1">
      <c r="A1254" s="607" t="str">
        <f>IF(B1254&lt;&gt;"",IF(AND(B1254&gt;=_TM1,B1254&lt;=_TM2,OR(TH!L1254="1111",TH!M1254="1111")),TH!D1254,""),"")</f>
        <v/>
      </c>
      <c r="B1254" s="585">
        <f t="shared" si="62"/>
        <v>9</v>
      </c>
      <c r="C1254" s="586">
        <f t="shared" si="65"/>
        <v>42641</v>
      </c>
      <c r="D1254" s="569" t="s">
        <v>1022</v>
      </c>
      <c r="E1254" s="613">
        <v>42641</v>
      </c>
      <c r="F1254" s="614" t="s">
        <v>511</v>
      </c>
      <c r="G1254" s="615" t="s">
        <v>431</v>
      </c>
      <c r="H1254" s="572" t="s">
        <v>1075</v>
      </c>
      <c r="I1254" s="137">
        <v>211</v>
      </c>
      <c r="J1254" s="137">
        <v>11046.218628839601</v>
      </c>
      <c r="K1254" s="21">
        <f t="shared" si="64"/>
        <v>2330752</v>
      </c>
      <c r="L1254" s="567" t="s">
        <v>167</v>
      </c>
      <c r="M1254" s="567" t="s">
        <v>162</v>
      </c>
      <c r="N1254" s="22" t="str">
        <f>IF(AND('331-CT'!$E$7=TH!H1254,OR(L1254="331",M1254="331")),"331",IF(AND(OR(L1254="131",M1254="131"),H1254='131-CT'!$E$7),"131",""))</f>
        <v/>
      </c>
      <c r="O1254" s="22" t="str">
        <f>IF(AND($B1254&gt;='111'!$N$11,$B1254&lt;='111'!$O$11,OR($L1254=$O$7,$M1254=$O$7)),"x","")</f>
        <v/>
      </c>
      <c r="P1254" s="22" t="str">
        <f>IF(AND($L1254=$O$7,$B1254&lt;'111'!$N$11),"x","")</f>
        <v/>
      </c>
      <c r="Q1254" s="22" t="str">
        <f>IF(AND($M1254=$O$7,$B1254&lt;'111'!$N$11),"x","")</f>
        <v/>
      </c>
      <c r="R1254" s="22" t="str">
        <f>IF(ISERROR(FIND('112'!$M$9,G1254,1)),"",IF((AND(FIND('112'!$M$9,G1254,1)&gt;=1,$B1254&gt;='112'!$N$8,$B1254&lt;='112'!$O$8,OR($L1254='112'!$I$6,$M1254='112'!$I$6))),"x",""))</f>
        <v/>
      </c>
      <c r="S1254" s="22" t="str">
        <f>IF(ISERROR(FIND('112'!$M$9,G1254,1)),"",IF((AND(LEFT(G1254,2)=LEFT('112'!$M$9,2),B1254&lt;'112'!$N$8,$L1254='112'!$I$6)),"x",""))</f>
        <v/>
      </c>
      <c r="T1254" s="22" t="str">
        <f>IF(ISERROR(FIND('112'!$M$9,G1254,1)),"",IF((AND(RIGHT(G1254,2)=RIGHT('112'!$M$9,2),B1254&lt;'112'!$N$8,$M1254='112'!$I$6)),"x",""))</f>
        <v/>
      </c>
      <c r="U1254" s="22" t="str">
        <f>IF(AND(B1254&gt;='IN-NX'!$P$3,B1254&lt;='IN-NX'!$Q$3,'IN-NX'!$D$7=D1254,OR(LEFT(L1254,2)="15",AND(LEFT(M1254,2)&lt;&gt;"15",LEFT(M1254,2)&lt;&gt;"33"))),"x","")</f>
        <v/>
      </c>
      <c r="V1254" s="22" t="str">
        <f>IF(AND(OR(LEFT(TH!L1254,2)="15",LEFT(TH!M1254,2)="15"),'152-CT'!$J$8=TH!F1254),"x","")</f>
        <v/>
      </c>
      <c r="W1254" s="22" t="str">
        <f>IF(AND(OR(LEFT(TH!L1254,2)="15",LEFT(TH!M1254,2)="15"),TK!$E$7=TH!F1254),"x","")</f>
        <v/>
      </c>
      <c r="X1254" s="22" t="str">
        <f>IF(OR(TH!L1254=TH!$X$7,M1254=TH!$X$7),"x","")</f>
        <v/>
      </c>
      <c r="Y1254" s="22" t="str">
        <f>IF(AND(B1254&lt;=NKC!$N$8,B1254&gt;=NKC!$M$8),"x","")</f>
        <v>x</v>
      </c>
      <c r="Z1254" s="580"/>
      <c r="AA1254" s="588"/>
      <c r="AB1254" s="588"/>
    </row>
    <row r="1255" spans="1:31" s="564" customFormat="1" ht="15.75" customHeight="1">
      <c r="A1255" s="603" t="str">
        <f>IF(B1255&lt;&gt;"",IF(AND(B1255&gt;=_TM1,B1255&lt;=_TM2,OR(TH!L1255="1111",TH!M1255="1111")),TH!D1255,""),"")</f>
        <v/>
      </c>
      <c r="B1255" s="556">
        <f t="shared" si="62"/>
        <v>10</v>
      </c>
      <c r="C1255" s="557">
        <f t="shared" si="65"/>
        <v>42647</v>
      </c>
      <c r="D1255" s="558" t="s">
        <v>1022</v>
      </c>
      <c r="E1255" s="617">
        <v>42647</v>
      </c>
      <c r="F1255" s="621" t="s">
        <v>802</v>
      </c>
      <c r="G1255" s="619" t="s">
        <v>801</v>
      </c>
      <c r="H1255" s="620" t="s">
        <v>1075</v>
      </c>
      <c r="I1255" s="562">
        <v>423</v>
      </c>
      <c r="J1255" s="562">
        <v>5706.4898215078556</v>
      </c>
      <c r="K1255" s="568">
        <f t="shared" si="64"/>
        <v>2413845</v>
      </c>
      <c r="L1255" s="573" t="s">
        <v>167</v>
      </c>
      <c r="M1255" s="573" t="s">
        <v>162</v>
      </c>
      <c r="N1255" s="22" t="str">
        <f>IF(AND('331-CT'!$E$7=TH!H1255,OR(L1255="331",M1255="331")),"331",IF(AND(OR(L1255="131",M1255="131"),H1255='131-CT'!$E$7),"131",""))</f>
        <v/>
      </c>
      <c r="O1255" s="22" t="str">
        <f>IF(AND($B1255&gt;='111'!$N$11,$B1255&lt;='111'!$O$11,OR($L1255=$O$7,$M1255=$O$7)),"x","")</f>
        <v/>
      </c>
      <c r="P1255" s="22" t="str">
        <f>IF(AND($L1255=$O$7,$B1255&lt;'111'!$N$11),"x","")</f>
        <v/>
      </c>
      <c r="Q1255" s="22" t="str">
        <f>IF(AND($M1255=$O$7,$B1255&lt;'111'!$N$11),"x","")</f>
        <v/>
      </c>
      <c r="R1255" s="22" t="str">
        <f>IF(ISERROR(FIND('112'!$M$9,G1255,1)),"",IF((AND(FIND('112'!$M$9,G1255,1)&gt;=1,$B1255&gt;='112'!$N$8,$B1255&lt;='112'!$O$8,OR($L1255='112'!$I$6,$M1255='112'!$I$6))),"x",""))</f>
        <v/>
      </c>
      <c r="S1255" s="22" t="str">
        <f>IF(ISERROR(FIND('112'!$M$9,G1255,1)),"",IF((AND(LEFT(G1255,2)=LEFT('112'!$M$9,2),B1255&lt;'112'!$N$8,$L1255='112'!$I$6)),"x",""))</f>
        <v/>
      </c>
      <c r="T1255" s="22" t="str">
        <f>IF(ISERROR(FIND('112'!$M$9,G1255,1)),"",IF((AND(RIGHT(G1255,2)=RIGHT('112'!$M$9,2),B1255&lt;'112'!$N$8,$M1255='112'!$I$6)),"x",""))</f>
        <v/>
      </c>
      <c r="U1255" s="22" t="str">
        <f>IF(AND(B1255&gt;='IN-NX'!$P$3,B1255&lt;='IN-NX'!$Q$3,'IN-NX'!$D$7=D1255,OR(LEFT(L1255,2)="15",AND(LEFT(M1255,2)&lt;&gt;"15",LEFT(M1255,2)&lt;&gt;"33"))),"x","")</f>
        <v/>
      </c>
      <c r="V1255" s="22" t="str">
        <f>IF(AND(OR(LEFT(TH!L1255,2)="15",LEFT(TH!M1255,2)="15"),'152-CT'!$J$8=TH!F1255),"x","")</f>
        <v/>
      </c>
      <c r="W1255" s="22" t="str">
        <f>IF(AND(OR(LEFT(TH!L1255,2)="15",LEFT(TH!M1255,2)="15"),TK!$E$7=TH!F1255),"x","")</f>
        <v/>
      </c>
      <c r="X1255" s="22" t="str">
        <f>IF(OR(TH!L1255=TH!$X$7,M1255=TH!$X$7),"x","")</f>
        <v/>
      </c>
      <c r="Y1255" s="22" t="str">
        <f>IF(AND(B1255&lt;=NKC!$N$8,B1255&gt;=NKC!$M$8),"x","")</f>
        <v/>
      </c>
      <c r="Z1255" s="582"/>
      <c r="AA1255" s="563"/>
    </row>
    <row r="1256" spans="1:31" s="589" customFormat="1" ht="15.75" customHeight="1">
      <c r="A1256" s="607" t="str">
        <f>IF(B1256&lt;&gt;"",IF(AND(B1256&gt;=_TM1,B1256&lt;=_TM2,OR(TH!L1256="1111",TH!M1256="1111")),TH!D1256,""),"")</f>
        <v/>
      </c>
      <c r="B1256" s="585">
        <f t="shared" si="62"/>
        <v>10</v>
      </c>
      <c r="C1256" s="586">
        <f t="shared" si="65"/>
        <v>42647</v>
      </c>
      <c r="D1256" s="569" t="s">
        <v>1022</v>
      </c>
      <c r="E1256" s="611">
        <v>42647</v>
      </c>
      <c r="F1256" s="614" t="s">
        <v>804</v>
      </c>
      <c r="G1256" s="612" t="s">
        <v>803</v>
      </c>
      <c r="H1256" s="572" t="s">
        <v>1075</v>
      </c>
      <c r="I1256" s="137">
        <v>943</v>
      </c>
      <c r="J1256" s="137">
        <v>5402.1436976941031</v>
      </c>
      <c r="K1256" s="21">
        <f t="shared" si="64"/>
        <v>5094222</v>
      </c>
      <c r="L1256" s="567" t="s">
        <v>167</v>
      </c>
      <c r="M1256" s="567" t="s">
        <v>162</v>
      </c>
      <c r="N1256" s="22" t="str">
        <f>IF(AND('331-CT'!$E$7=TH!H1256,OR(L1256="331",M1256="331")),"331",IF(AND(OR(L1256="131",M1256="131"),H1256='131-CT'!$E$7),"131",""))</f>
        <v/>
      </c>
      <c r="O1256" s="22" t="str">
        <f>IF(AND($B1256&gt;='111'!$N$11,$B1256&lt;='111'!$O$11,OR($L1256=$O$7,$M1256=$O$7)),"x","")</f>
        <v/>
      </c>
      <c r="P1256" s="22" t="str">
        <f>IF(AND($L1256=$O$7,$B1256&lt;'111'!$N$11),"x","")</f>
        <v/>
      </c>
      <c r="Q1256" s="22" t="str">
        <f>IF(AND($M1256=$O$7,$B1256&lt;'111'!$N$11),"x","")</f>
        <v/>
      </c>
      <c r="R1256" s="22" t="str">
        <f>IF(ISERROR(FIND('112'!$M$9,G1256,1)),"",IF((AND(FIND('112'!$M$9,G1256,1)&gt;=1,$B1256&gt;='112'!$N$8,$B1256&lt;='112'!$O$8,OR($L1256='112'!$I$6,$M1256='112'!$I$6))),"x",""))</f>
        <v/>
      </c>
      <c r="S1256" s="22" t="str">
        <f>IF(ISERROR(FIND('112'!$M$9,G1256,1)),"",IF((AND(LEFT(G1256,2)=LEFT('112'!$M$9,2),B1256&lt;'112'!$N$8,$L1256='112'!$I$6)),"x",""))</f>
        <v/>
      </c>
      <c r="T1256" s="22" t="str">
        <f>IF(ISERROR(FIND('112'!$M$9,G1256,1)),"",IF((AND(RIGHT(G1256,2)=RIGHT('112'!$M$9,2),B1256&lt;'112'!$N$8,$M1256='112'!$I$6)),"x",""))</f>
        <v/>
      </c>
      <c r="U1256" s="22" t="str">
        <f>IF(AND(B1256&gt;='IN-NX'!$P$3,B1256&lt;='IN-NX'!$Q$3,'IN-NX'!$D$7=D1256,OR(LEFT(L1256,2)="15",AND(LEFT(M1256,2)&lt;&gt;"15",LEFT(M1256,2)&lt;&gt;"33"))),"x","")</f>
        <v/>
      </c>
      <c r="V1256" s="22" t="str">
        <f>IF(AND(OR(LEFT(TH!L1256,2)="15",LEFT(TH!M1256,2)="15"),'152-CT'!$J$8=TH!F1256),"x","")</f>
        <v/>
      </c>
      <c r="W1256" s="22" t="str">
        <f>IF(AND(OR(LEFT(TH!L1256,2)="15",LEFT(TH!M1256,2)="15"),TK!$E$7=TH!F1256),"x","")</f>
        <v/>
      </c>
      <c r="X1256" s="22" t="str">
        <f>IF(OR(TH!L1256=TH!$X$7,M1256=TH!$X$7),"x","")</f>
        <v/>
      </c>
      <c r="Y1256" s="22" t="str">
        <f>IF(AND(B1256&lt;=NKC!$N$8,B1256&gt;=NKC!$M$8),"x","")</f>
        <v/>
      </c>
      <c r="Z1256" s="580"/>
      <c r="AA1256" s="588"/>
      <c r="AB1256" s="588"/>
    </row>
    <row r="1257" spans="1:31" s="589" customFormat="1" ht="15.75" customHeight="1">
      <c r="A1257" s="607" t="str">
        <f>IF(B1257&lt;&gt;"",IF(AND(B1257&gt;=_TM1,B1257&lt;=_TM2,OR(TH!L1257="1111",TH!M1257="1111")),TH!D1257,""),"")</f>
        <v/>
      </c>
      <c r="B1257" s="585">
        <f t="shared" si="62"/>
        <v>10</v>
      </c>
      <c r="C1257" s="586">
        <f t="shared" si="65"/>
        <v>42647</v>
      </c>
      <c r="D1257" s="569" t="s">
        <v>1022</v>
      </c>
      <c r="E1257" s="611">
        <v>42647</v>
      </c>
      <c r="F1257" s="614" t="s">
        <v>805</v>
      </c>
      <c r="G1257" s="612" t="s">
        <v>803</v>
      </c>
      <c r="H1257" s="572" t="s">
        <v>1075</v>
      </c>
      <c r="I1257" s="137">
        <v>270</v>
      </c>
      <c r="J1257" s="137">
        <v>6543.4416619956746</v>
      </c>
      <c r="K1257" s="21">
        <f t="shared" si="64"/>
        <v>1766729</v>
      </c>
      <c r="L1257" s="567" t="s">
        <v>167</v>
      </c>
      <c r="M1257" s="567" t="s">
        <v>162</v>
      </c>
      <c r="N1257" s="22" t="str">
        <f>IF(AND('331-CT'!$E$7=TH!H1257,OR(L1257="331",M1257="331")),"331",IF(AND(OR(L1257="131",M1257="131"),H1257='131-CT'!$E$7),"131",""))</f>
        <v/>
      </c>
      <c r="O1257" s="22" t="str">
        <f>IF(AND($B1257&gt;='111'!$N$11,$B1257&lt;='111'!$O$11,OR($L1257=$O$7,$M1257=$O$7)),"x","")</f>
        <v/>
      </c>
      <c r="P1257" s="22" t="str">
        <f>IF(AND($L1257=$O$7,$B1257&lt;'111'!$N$11),"x","")</f>
        <v/>
      </c>
      <c r="Q1257" s="22" t="str">
        <f>IF(AND($M1257=$O$7,$B1257&lt;'111'!$N$11),"x","")</f>
        <v/>
      </c>
      <c r="R1257" s="22" t="str">
        <f>IF(ISERROR(FIND('112'!$M$9,G1257,1)),"",IF((AND(FIND('112'!$M$9,G1257,1)&gt;=1,$B1257&gt;='112'!$N$8,$B1257&lt;='112'!$O$8,OR($L1257='112'!$I$6,$M1257='112'!$I$6))),"x",""))</f>
        <v/>
      </c>
      <c r="S1257" s="22" t="str">
        <f>IF(ISERROR(FIND('112'!$M$9,G1257,1)),"",IF((AND(LEFT(G1257,2)=LEFT('112'!$M$9,2),B1257&lt;'112'!$N$8,$L1257='112'!$I$6)),"x",""))</f>
        <v/>
      </c>
      <c r="T1257" s="22" t="str">
        <f>IF(ISERROR(FIND('112'!$M$9,G1257,1)),"",IF((AND(RIGHT(G1257,2)=RIGHT('112'!$M$9,2),B1257&lt;'112'!$N$8,$M1257='112'!$I$6)),"x",""))</f>
        <v/>
      </c>
      <c r="U1257" s="22" t="str">
        <f>IF(AND(B1257&gt;='IN-NX'!$P$3,B1257&lt;='IN-NX'!$Q$3,'IN-NX'!$D$7=D1257,OR(LEFT(L1257,2)="15",AND(LEFT(M1257,2)&lt;&gt;"15",LEFT(M1257,2)&lt;&gt;"33"))),"x","")</f>
        <v/>
      </c>
      <c r="V1257" s="22" t="str">
        <f>IF(AND(OR(LEFT(TH!L1257,2)="15",LEFT(TH!M1257,2)="15"),'152-CT'!$J$8=TH!F1257),"x","")</f>
        <v/>
      </c>
      <c r="W1257" s="22" t="str">
        <f>IF(AND(OR(LEFT(TH!L1257,2)="15",LEFT(TH!M1257,2)="15"),TK!$E$7=TH!F1257),"x","")</f>
        <v/>
      </c>
      <c r="X1257" s="22" t="str">
        <f>IF(OR(TH!L1257=TH!$X$7,M1257=TH!$X$7),"x","")</f>
        <v/>
      </c>
      <c r="Y1257" s="22" t="str">
        <f>IF(AND(B1257&lt;=NKC!$N$8,B1257&gt;=NKC!$M$8),"x","")</f>
        <v/>
      </c>
      <c r="Z1257" s="580"/>
      <c r="AA1257" s="588"/>
      <c r="AB1257" s="588"/>
    </row>
    <row r="1258" spans="1:31" s="589" customFormat="1" ht="15.75" customHeight="1">
      <c r="A1258" s="607" t="str">
        <f>IF(B1258&lt;&gt;"",IF(AND(B1258&gt;=_TM1,B1258&lt;=_TM2,OR(TH!L1258="1111",TH!M1258="1111")),TH!D1258,""),"")</f>
        <v/>
      </c>
      <c r="B1258" s="585">
        <f t="shared" si="62"/>
        <v>10</v>
      </c>
      <c r="C1258" s="586">
        <f t="shared" si="65"/>
        <v>42648</v>
      </c>
      <c r="D1258" s="569" t="s">
        <v>1022</v>
      </c>
      <c r="E1258" s="611">
        <v>42648</v>
      </c>
      <c r="F1258" s="614" t="s">
        <v>807</v>
      </c>
      <c r="G1258" s="612" t="s">
        <v>806</v>
      </c>
      <c r="H1258" s="572" t="s">
        <v>1075</v>
      </c>
      <c r="I1258" s="137">
        <v>305</v>
      </c>
      <c r="J1258" s="137">
        <v>7076.0473786697412</v>
      </c>
      <c r="K1258" s="21">
        <f t="shared" si="64"/>
        <v>2158194</v>
      </c>
      <c r="L1258" s="567" t="s">
        <v>167</v>
      </c>
      <c r="M1258" s="567" t="s">
        <v>162</v>
      </c>
      <c r="N1258" s="22" t="str">
        <f>IF(AND('331-CT'!$E$7=TH!H1258,OR(L1258="331",M1258="331")),"331",IF(AND(OR(L1258="131",M1258="131"),H1258='131-CT'!$E$7),"131",""))</f>
        <v/>
      </c>
      <c r="O1258" s="22" t="str">
        <f>IF(AND($B1258&gt;='111'!$N$11,$B1258&lt;='111'!$O$11,OR($L1258=$O$7,$M1258=$O$7)),"x","")</f>
        <v/>
      </c>
      <c r="P1258" s="22" t="str">
        <f>IF(AND($L1258=$O$7,$B1258&lt;'111'!$N$11),"x","")</f>
        <v/>
      </c>
      <c r="Q1258" s="22" t="str">
        <f>IF(AND($M1258=$O$7,$B1258&lt;'111'!$N$11),"x","")</f>
        <v/>
      </c>
      <c r="R1258" s="22" t="str">
        <f>IF(ISERROR(FIND('112'!$M$9,G1258,1)),"",IF((AND(FIND('112'!$M$9,G1258,1)&gt;=1,$B1258&gt;='112'!$N$8,$B1258&lt;='112'!$O$8,OR($L1258='112'!$I$6,$M1258='112'!$I$6))),"x",""))</f>
        <v/>
      </c>
      <c r="S1258" s="22" t="str">
        <f>IF(ISERROR(FIND('112'!$M$9,G1258,1)),"",IF((AND(LEFT(G1258,2)=LEFT('112'!$M$9,2),B1258&lt;'112'!$N$8,$L1258='112'!$I$6)),"x",""))</f>
        <v/>
      </c>
      <c r="T1258" s="22" t="str">
        <f>IF(ISERROR(FIND('112'!$M$9,G1258,1)),"",IF((AND(RIGHT(G1258,2)=RIGHT('112'!$M$9,2),B1258&lt;'112'!$N$8,$M1258='112'!$I$6)),"x",""))</f>
        <v/>
      </c>
      <c r="U1258" s="22" t="str">
        <f>IF(AND(B1258&gt;='IN-NX'!$P$3,B1258&lt;='IN-NX'!$Q$3,'IN-NX'!$D$7=D1258,OR(LEFT(L1258,2)="15",AND(LEFT(M1258,2)&lt;&gt;"15",LEFT(M1258,2)&lt;&gt;"33"))),"x","")</f>
        <v/>
      </c>
      <c r="V1258" s="22" t="str">
        <f>IF(AND(OR(LEFT(TH!L1258,2)="15",LEFT(TH!M1258,2)="15"),'152-CT'!$J$8=TH!F1258),"x","")</f>
        <v/>
      </c>
      <c r="W1258" s="22" t="str">
        <f>IF(AND(OR(LEFT(TH!L1258,2)="15",LEFT(TH!M1258,2)="15"),TK!$E$7=TH!F1258),"x","")</f>
        <v/>
      </c>
      <c r="X1258" s="22" t="str">
        <f>IF(OR(TH!L1258=TH!$X$7,M1258=TH!$X$7),"x","")</f>
        <v/>
      </c>
      <c r="Y1258" s="22" t="str">
        <f>IF(AND(B1258&lt;=NKC!$N$8,B1258&gt;=NKC!$M$8),"x","")</f>
        <v/>
      </c>
      <c r="Z1258" s="580"/>
      <c r="AA1258" s="588"/>
      <c r="AB1258" s="588"/>
      <c r="AD1258" s="588"/>
      <c r="AE1258" s="588"/>
    </row>
    <row r="1259" spans="1:31" s="589" customFormat="1" ht="15.75" customHeight="1">
      <c r="A1259" s="607" t="str">
        <f>IF(B1259&lt;&gt;"",IF(AND(B1259&gt;=_TM1,B1259&lt;=_TM2,OR(TH!L1259="1111",TH!M1259="1111")),TH!D1259,""),"")</f>
        <v/>
      </c>
      <c r="B1259" s="585">
        <f t="shared" si="62"/>
        <v>10</v>
      </c>
      <c r="C1259" s="586">
        <f t="shared" si="65"/>
        <v>42648</v>
      </c>
      <c r="D1259" s="569" t="s">
        <v>1022</v>
      </c>
      <c r="E1259" s="611">
        <v>42648</v>
      </c>
      <c r="F1259" s="614" t="s">
        <v>808</v>
      </c>
      <c r="G1259" s="612" t="s">
        <v>806</v>
      </c>
      <c r="H1259" s="572" t="s">
        <v>1075</v>
      </c>
      <c r="I1259" s="137">
        <v>55</v>
      </c>
      <c r="J1259" s="137">
        <v>6847.7877858094271</v>
      </c>
      <c r="K1259" s="21">
        <f t="shared" si="64"/>
        <v>376628</v>
      </c>
      <c r="L1259" s="567" t="s">
        <v>167</v>
      </c>
      <c r="M1259" s="567" t="s">
        <v>162</v>
      </c>
      <c r="N1259" s="22" t="str">
        <f>IF(AND('331-CT'!$E$7=TH!H1259,OR(L1259="331",M1259="331")),"331",IF(AND(OR(L1259="131",M1259="131"),H1259='131-CT'!$E$7),"131",""))</f>
        <v/>
      </c>
      <c r="O1259" s="22" t="str">
        <f>IF(AND($B1259&gt;='111'!$N$11,$B1259&lt;='111'!$O$11,OR($L1259=$O$7,$M1259=$O$7)),"x","")</f>
        <v/>
      </c>
      <c r="P1259" s="22" t="str">
        <f>IF(AND($L1259=$O$7,$B1259&lt;'111'!$N$11),"x","")</f>
        <v/>
      </c>
      <c r="Q1259" s="22" t="str">
        <f>IF(AND($M1259=$O$7,$B1259&lt;'111'!$N$11),"x","")</f>
        <v/>
      </c>
      <c r="R1259" s="22" t="str">
        <f>IF(ISERROR(FIND('112'!$M$9,G1259,1)),"",IF((AND(FIND('112'!$M$9,G1259,1)&gt;=1,$B1259&gt;='112'!$N$8,$B1259&lt;='112'!$O$8,OR($L1259='112'!$I$6,$M1259='112'!$I$6))),"x",""))</f>
        <v/>
      </c>
      <c r="S1259" s="22" t="str">
        <f>IF(ISERROR(FIND('112'!$M$9,G1259,1)),"",IF((AND(LEFT(G1259,2)=LEFT('112'!$M$9,2),B1259&lt;'112'!$N$8,$L1259='112'!$I$6)),"x",""))</f>
        <v/>
      </c>
      <c r="T1259" s="22" t="str">
        <f>IF(ISERROR(FIND('112'!$M$9,G1259,1)),"",IF((AND(RIGHT(G1259,2)=RIGHT('112'!$M$9,2),B1259&lt;'112'!$N$8,$M1259='112'!$I$6)),"x",""))</f>
        <v/>
      </c>
      <c r="U1259" s="22" t="str">
        <f>IF(AND(B1259&gt;='IN-NX'!$P$3,B1259&lt;='IN-NX'!$Q$3,'IN-NX'!$D$7=D1259,OR(LEFT(L1259,2)="15",AND(LEFT(M1259,2)&lt;&gt;"15",LEFT(M1259,2)&lt;&gt;"33"))),"x","")</f>
        <v/>
      </c>
      <c r="V1259" s="22" t="str">
        <f>IF(AND(OR(LEFT(TH!L1259,2)="15",LEFT(TH!M1259,2)="15"),'152-CT'!$J$8=TH!F1259),"x","")</f>
        <v/>
      </c>
      <c r="W1259" s="22" t="str">
        <f>IF(AND(OR(LEFT(TH!L1259,2)="15",LEFT(TH!M1259,2)="15"),TK!$E$7=TH!F1259),"x","")</f>
        <v/>
      </c>
      <c r="X1259" s="22" t="str">
        <f>IF(OR(TH!L1259=TH!$X$7,M1259=TH!$X$7),"x","")</f>
        <v/>
      </c>
      <c r="Y1259" s="22" t="str">
        <f>IF(AND(B1259&lt;=NKC!$N$8,B1259&gt;=NKC!$M$8),"x","")</f>
        <v/>
      </c>
      <c r="Z1259" s="580"/>
      <c r="AA1259" s="588"/>
      <c r="AB1259" s="588"/>
      <c r="AD1259" s="588"/>
      <c r="AE1259" s="588"/>
    </row>
    <row r="1260" spans="1:31" s="589" customFormat="1" ht="15.75" customHeight="1">
      <c r="A1260" s="607" t="str">
        <f>IF(B1260&lt;&gt;"",IF(AND(B1260&gt;=_TM1,B1260&lt;=_TM2,OR(TH!L1260="1111",TH!M1260="1111")),TH!D1260,""),"")</f>
        <v/>
      </c>
      <c r="B1260" s="585">
        <f t="shared" si="62"/>
        <v>10</v>
      </c>
      <c r="C1260" s="586">
        <f t="shared" si="65"/>
        <v>42648</v>
      </c>
      <c r="D1260" s="569" t="s">
        <v>1022</v>
      </c>
      <c r="E1260" s="611">
        <v>42648</v>
      </c>
      <c r="F1260" s="614" t="s">
        <v>809</v>
      </c>
      <c r="G1260" s="612" t="s">
        <v>806</v>
      </c>
      <c r="H1260" s="572" t="s">
        <v>1075</v>
      </c>
      <c r="I1260" s="616">
        <v>205</v>
      </c>
      <c r="J1260" s="137">
        <v>2358.6824595565804</v>
      </c>
      <c r="K1260" s="21">
        <f t="shared" si="64"/>
        <v>483530</v>
      </c>
      <c r="L1260" s="567" t="s">
        <v>167</v>
      </c>
      <c r="M1260" s="567" t="s">
        <v>162</v>
      </c>
      <c r="N1260" s="22" t="str">
        <f>IF(AND('331-CT'!$E$7=TH!H1260,OR(L1260="331",M1260="331")),"331",IF(AND(OR(L1260="131",M1260="131"),H1260='131-CT'!$E$7),"131",""))</f>
        <v/>
      </c>
      <c r="O1260" s="22" t="str">
        <f>IF(AND($B1260&gt;='111'!$N$11,$B1260&lt;='111'!$O$11,OR($L1260=$O$7,$M1260=$O$7)),"x","")</f>
        <v/>
      </c>
      <c r="P1260" s="22" t="str">
        <f>IF(AND($L1260=$O$7,$B1260&lt;'111'!$N$11),"x","")</f>
        <v/>
      </c>
      <c r="Q1260" s="22" t="str">
        <f>IF(AND($M1260=$O$7,$B1260&lt;'111'!$N$11),"x","")</f>
        <v/>
      </c>
      <c r="R1260" s="22" t="str">
        <f>IF(ISERROR(FIND('112'!$M$9,G1260,1)),"",IF((AND(FIND('112'!$M$9,G1260,1)&gt;=1,$B1260&gt;='112'!$N$8,$B1260&lt;='112'!$O$8,OR($L1260='112'!$I$6,$M1260='112'!$I$6))),"x",""))</f>
        <v/>
      </c>
      <c r="S1260" s="22" t="str">
        <f>IF(ISERROR(FIND('112'!$M$9,G1260,1)),"",IF((AND(LEFT(G1260,2)=LEFT('112'!$M$9,2),B1260&lt;'112'!$N$8,$L1260='112'!$I$6)),"x",""))</f>
        <v/>
      </c>
      <c r="T1260" s="22" t="str">
        <f>IF(ISERROR(FIND('112'!$M$9,G1260,1)),"",IF((AND(RIGHT(G1260,2)=RIGHT('112'!$M$9,2),B1260&lt;'112'!$N$8,$M1260='112'!$I$6)),"x",""))</f>
        <v/>
      </c>
      <c r="U1260" s="22" t="str">
        <f>IF(AND(B1260&gt;='IN-NX'!$P$3,B1260&lt;='IN-NX'!$Q$3,'IN-NX'!$D$7=D1260,OR(LEFT(L1260,2)="15",AND(LEFT(M1260,2)&lt;&gt;"15",LEFT(M1260,2)&lt;&gt;"33"))),"x","")</f>
        <v/>
      </c>
      <c r="V1260" s="22" t="str">
        <f>IF(AND(OR(LEFT(TH!L1260,2)="15",LEFT(TH!M1260,2)="15"),'152-CT'!$J$8=TH!F1260),"x","")</f>
        <v/>
      </c>
      <c r="W1260" s="22" t="str">
        <f>IF(AND(OR(LEFT(TH!L1260,2)="15",LEFT(TH!M1260,2)="15"),TK!$E$7=TH!F1260),"x","")</f>
        <v/>
      </c>
      <c r="X1260" s="22" t="str">
        <f>IF(OR(TH!L1260=TH!$X$7,M1260=TH!$X$7),"x","")</f>
        <v/>
      </c>
      <c r="Y1260" s="22" t="str">
        <f>IF(AND(B1260&lt;=NKC!$N$8,B1260&gt;=NKC!$M$8),"x","")</f>
        <v/>
      </c>
      <c r="Z1260" s="580"/>
      <c r="AA1260" s="588"/>
      <c r="AB1260" s="588"/>
      <c r="AD1260" s="588"/>
      <c r="AE1260" s="588"/>
    </row>
    <row r="1261" spans="1:31" s="589" customFormat="1" ht="15.75" customHeight="1">
      <c r="A1261" s="607" t="str">
        <f>IF(B1261&lt;&gt;"",IF(AND(B1261&gt;=_TM1,B1261&lt;=_TM2,OR(TH!L1261="1111",TH!M1261="1111")),TH!D1261,""),"")</f>
        <v/>
      </c>
      <c r="B1261" s="585">
        <f t="shared" si="62"/>
        <v>10</v>
      </c>
      <c r="C1261" s="586">
        <f t="shared" si="65"/>
        <v>42648</v>
      </c>
      <c r="D1261" s="569" t="s">
        <v>1022</v>
      </c>
      <c r="E1261" s="611">
        <v>42648</v>
      </c>
      <c r="F1261" s="614" t="s">
        <v>520</v>
      </c>
      <c r="G1261" s="612" t="s">
        <v>810</v>
      </c>
      <c r="H1261" s="572" t="s">
        <v>1075</v>
      </c>
      <c r="I1261" s="592">
        <v>320</v>
      </c>
      <c r="J1261" s="592">
        <v>6239.0955381819222</v>
      </c>
      <c r="K1261" s="21">
        <f t="shared" ref="K1261:K1324" si="66">ROUND(I1261*J1261,0)</f>
        <v>1996511</v>
      </c>
      <c r="L1261" s="567" t="s">
        <v>167</v>
      </c>
      <c r="M1261" s="567" t="s">
        <v>162</v>
      </c>
      <c r="N1261" s="22" t="str">
        <f>IF(AND('331-CT'!$E$7=TH!H1261,OR(L1261="331",M1261="331")),"331",IF(AND(OR(L1261="131",M1261="131"),H1261='131-CT'!$E$7),"131",""))</f>
        <v/>
      </c>
      <c r="O1261" s="22" t="str">
        <f>IF(AND($B1261&gt;='111'!$N$11,$B1261&lt;='111'!$O$11,OR($L1261=$O$7,$M1261=$O$7)),"x","")</f>
        <v/>
      </c>
      <c r="P1261" s="22" t="str">
        <f>IF(AND($L1261=$O$7,$B1261&lt;'111'!$N$11),"x","")</f>
        <v/>
      </c>
      <c r="Q1261" s="22" t="str">
        <f>IF(AND($M1261=$O$7,$B1261&lt;'111'!$N$11),"x","")</f>
        <v/>
      </c>
      <c r="R1261" s="22" t="str">
        <f>IF(ISERROR(FIND('112'!$M$9,G1261,1)),"",IF((AND(FIND('112'!$M$9,G1261,1)&gt;=1,$B1261&gt;='112'!$N$8,$B1261&lt;='112'!$O$8,OR($L1261='112'!$I$6,$M1261='112'!$I$6))),"x",""))</f>
        <v/>
      </c>
      <c r="S1261" s="22" t="str">
        <f>IF(ISERROR(FIND('112'!$M$9,G1261,1)),"",IF((AND(LEFT(G1261,2)=LEFT('112'!$M$9,2),B1261&lt;'112'!$N$8,$L1261='112'!$I$6)),"x",""))</f>
        <v/>
      </c>
      <c r="T1261" s="22" t="str">
        <f>IF(ISERROR(FIND('112'!$M$9,G1261,1)),"",IF((AND(RIGHT(G1261,2)=RIGHT('112'!$M$9,2),B1261&lt;'112'!$N$8,$M1261='112'!$I$6)),"x",""))</f>
        <v/>
      </c>
      <c r="U1261" s="22" t="str">
        <f>IF(AND(B1261&gt;='IN-NX'!$P$3,B1261&lt;='IN-NX'!$Q$3,'IN-NX'!$D$7=D1261,OR(LEFT(L1261,2)="15",AND(LEFT(M1261,2)&lt;&gt;"15",LEFT(M1261,2)&lt;&gt;"33"))),"x","")</f>
        <v/>
      </c>
      <c r="V1261" s="22" t="str">
        <f>IF(AND(OR(LEFT(TH!L1261,2)="15",LEFT(TH!M1261,2)="15"),'152-CT'!$J$8=TH!F1261),"x","")</f>
        <v/>
      </c>
      <c r="W1261" s="22" t="str">
        <f>IF(AND(OR(LEFT(TH!L1261,2)="15",LEFT(TH!M1261,2)="15"),TK!$E$7=TH!F1261),"x","")</f>
        <v/>
      </c>
      <c r="X1261" s="22" t="str">
        <f>IF(OR(TH!L1261=TH!$X$7,M1261=TH!$X$7),"x","")</f>
        <v/>
      </c>
      <c r="Y1261" s="22" t="str">
        <f>IF(AND(B1261&lt;=NKC!$N$8,B1261&gt;=NKC!$M$8),"x","")</f>
        <v/>
      </c>
      <c r="Z1261" s="580"/>
      <c r="AA1261" s="588"/>
      <c r="AD1261" s="588"/>
      <c r="AE1261" s="588"/>
    </row>
    <row r="1262" spans="1:31" s="589" customFormat="1" ht="15.75" customHeight="1">
      <c r="A1262" s="607" t="str">
        <f>IF(B1262&lt;&gt;"",IF(AND(B1262&gt;=_TM1,B1262&lt;=_TM2,OR(TH!L1262="1111",TH!M1262="1111")),TH!D1262,""),"")</f>
        <v/>
      </c>
      <c r="B1262" s="585">
        <f t="shared" si="62"/>
        <v>10</v>
      </c>
      <c r="C1262" s="586">
        <f t="shared" si="65"/>
        <v>42648</v>
      </c>
      <c r="D1262" s="569" t="s">
        <v>1022</v>
      </c>
      <c r="E1262" s="611">
        <v>42648</v>
      </c>
      <c r="F1262" s="614" t="s">
        <v>522</v>
      </c>
      <c r="G1262" s="612" t="s">
        <v>810</v>
      </c>
      <c r="H1262" s="572" t="s">
        <v>1075</v>
      </c>
      <c r="I1262" s="592">
        <v>659</v>
      </c>
      <c r="J1262" s="592">
        <v>12021.671890643216</v>
      </c>
      <c r="K1262" s="21">
        <f t="shared" si="66"/>
        <v>7922282</v>
      </c>
      <c r="L1262" s="567" t="s">
        <v>167</v>
      </c>
      <c r="M1262" s="567" t="s">
        <v>162</v>
      </c>
      <c r="N1262" s="22" t="str">
        <f>IF(AND('331-CT'!$E$7=TH!H1262,OR(L1262="331",M1262="331")),"331",IF(AND(OR(L1262="131",M1262="131"),H1262='131-CT'!$E$7),"131",""))</f>
        <v/>
      </c>
      <c r="O1262" s="22" t="str">
        <f>IF(AND($B1262&gt;='111'!$N$11,$B1262&lt;='111'!$O$11,OR($L1262=$O$7,$M1262=$O$7)),"x","")</f>
        <v/>
      </c>
      <c r="P1262" s="22" t="str">
        <f>IF(AND($L1262=$O$7,$B1262&lt;'111'!$N$11),"x","")</f>
        <v/>
      </c>
      <c r="Q1262" s="22" t="str">
        <f>IF(AND($M1262=$O$7,$B1262&lt;'111'!$N$11),"x","")</f>
        <v/>
      </c>
      <c r="R1262" s="22" t="str">
        <f>IF(ISERROR(FIND('112'!$M$9,G1262,1)),"",IF((AND(FIND('112'!$M$9,G1262,1)&gt;=1,$B1262&gt;='112'!$N$8,$B1262&lt;='112'!$O$8,OR($L1262='112'!$I$6,$M1262='112'!$I$6))),"x",""))</f>
        <v/>
      </c>
      <c r="S1262" s="22" t="str">
        <f>IF(ISERROR(FIND('112'!$M$9,G1262,1)),"",IF((AND(LEFT(G1262,2)=LEFT('112'!$M$9,2),B1262&lt;'112'!$N$8,$L1262='112'!$I$6)),"x",""))</f>
        <v/>
      </c>
      <c r="T1262" s="22" t="str">
        <f>IF(ISERROR(FIND('112'!$M$9,G1262,1)),"",IF((AND(RIGHT(G1262,2)=RIGHT('112'!$M$9,2),B1262&lt;'112'!$N$8,$M1262='112'!$I$6)),"x",""))</f>
        <v/>
      </c>
      <c r="U1262" s="22" t="str">
        <f>IF(AND(B1262&gt;='IN-NX'!$P$3,B1262&lt;='IN-NX'!$Q$3,'IN-NX'!$D$7=D1262,OR(LEFT(L1262,2)="15",AND(LEFT(M1262,2)&lt;&gt;"15",LEFT(M1262,2)&lt;&gt;"33"))),"x","")</f>
        <v/>
      </c>
      <c r="V1262" s="22" t="str">
        <f>IF(AND(OR(LEFT(TH!L1262,2)="15",LEFT(TH!M1262,2)="15"),'152-CT'!$J$8=TH!F1262),"x","")</f>
        <v/>
      </c>
      <c r="W1262" s="22" t="str">
        <f>IF(AND(OR(LEFT(TH!L1262,2)="15",LEFT(TH!M1262,2)="15"),TK!$E$7=TH!F1262),"x","")</f>
        <v/>
      </c>
      <c r="X1262" s="22" t="str">
        <f>IF(OR(TH!L1262=TH!$X$7,M1262=TH!$X$7),"x","")</f>
        <v/>
      </c>
      <c r="Y1262" s="22" t="str">
        <f>IF(AND(B1262&lt;=NKC!$N$8,B1262&gt;=NKC!$M$8),"x","")</f>
        <v/>
      </c>
      <c r="Z1262" s="580"/>
      <c r="AA1262" s="588"/>
      <c r="AB1262" s="588"/>
    </row>
    <row r="1263" spans="1:31" s="589" customFormat="1" ht="15.75" customHeight="1">
      <c r="A1263" s="607" t="str">
        <f>IF(B1263&lt;&gt;"",IF(AND(B1263&gt;=_TM1,B1263&lt;=_TM2,OR(TH!L1263="1111",TH!M1263="1111")),TH!D1263,""),"")</f>
        <v/>
      </c>
      <c r="B1263" s="585">
        <f t="shared" si="62"/>
        <v>10</v>
      </c>
      <c r="C1263" s="586">
        <f t="shared" si="65"/>
        <v>42649</v>
      </c>
      <c r="D1263" s="569" t="s">
        <v>1022</v>
      </c>
      <c r="E1263" s="611">
        <v>42649</v>
      </c>
      <c r="F1263" s="614" t="s">
        <v>526</v>
      </c>
      <c r="G1263" s="612" t="s">
        <v>436</v>
      </c>
      <c r="H1263" s="572" t="s">
        <v>1075</v>
      </c>
      <c r="I1263" s="137">
        <v>400</v>
      </c>
      <c r="J1263" s="137">
        <v>14304.267819246357</v>
      </c>
      <c r="K1263" s="21">
        <f t="shared" si="66"/>
        <v>5721707</v>
      </c>
      <c r="L1263" s="567" t="s">
        <v>167</v>
      </c>
      <c r="M1263" s="567" t="s">
        <v>162</v>
      </c>
      <c r="N1263" s="22" t="str">
        <f>IF(AND('331-CT'!$E$7=TH!H1263,OR(L1263="331",M1263="331")),"331",IF(AND(OR(L1263="131",M1263="131"),H1263='131-CT'!$E$7),"131",""))</f>
        <v/>
      </c>
      <c r="O1263" s="22" t="str">
        <f>IF(AND($B1263&gt;='111'!$N$11,$B1263&lt;='111'!$O$11,OR($L1263=$O$7,$M1263=$O$7)),"x","")</f>
        <v/>
      </c>
      <c r="P1263" s="22" t="str">
        <f>IF(AND($L1263=$O$7,$B1263&lt;'111'!$N$11),"x","")</f>
        <v/>
      </c>
      <c r="Q1263" s="22" t="str">
        <f>IF(AND($M1263=$O$7,$B1263&lt;'111'!$N$11),"x","")</f>
        <v/>
      </c>
      <c r="R1263" s="22" t="str">
        <f>IF(ISERROR(FIND('112'!$M$9,G1263,1)),"",IF((AND(FIND('112'!$M$9,G1263,1)&gt;=1,$B1263&gt;='112'!$N$8,$B1263&lt;='112'!$O$8,OR($L1263='112'!$I$6,$M1263='112'!$I$6))),"x",""))</f>
        <v/>
      </c>
      <c r="S1263" s="22" t="str">
        <f>IF(ISERROR(FIND('112'!$M$9,G1263,1)),"",IF((AND(LEFT(G1263,2)=LEFT('112'!$M$9,2),B1263&lt;'112'!$N$8,$L1263='112'!$I$6)),"x",""))</f>
        <v/>
      </c>
      <c r="T1263" s="22" t="str">
        <f>IF(ISERROR(FIND('112'!$M$9,G1263,1)),"",IF((AND(RIGHT(G1263,2)=RIGHT('112'!$M$9,2),B1263&lt;'112'!$N$8,$M1263='112'!$I$6)),"x",""))</f>
        <v/>
      </c>
      <c r="U1263" s="22" t="str">
        <f>IF(AND(B1263&gt;='IN-NX'!$P$3,B1263&lt;='IN-NX'!$Q$3,'IN-NX'!$D$7=D1263,OR(LEFT(L1263,2)="15",AND(LEFT(M1263,2)&lt;&gt;"15",LEFT(M1263,2)&lt;&gt;"33"))),"x","")</f>
        <v/>
      </c>
      <c r="V1263" s="22" t="str">
        <f>IF(AND(OR(LEFT(TH!L1263,2)="15",LEFT(TH!M1263,2)="15"),'152-CT'!$J$8=TH!F1263),"x","")</f>
        <v/>
      </c>
      <c r="W1263" s="22" t="str">
        <f>IF(AND(OR(LEFT(TH!L1263,2)="15",LEFT(TH!M1263,2)="15"),TK!$E$7=TH!F1263),"x","")</f>
        <v/>
      </c>
      <c r="X1263" s="22" t="str">
        <f>IF(OR(TH!L1263=TH!$X$7,M1263=TH!$X$7),"x","")</f>
        <v/>
      </c>
      <c r="Y1263" s="22" t="str">
        <f>IF(AND(B1263&lt;=NKC!$N$8,B1263&gt;=NKC!$M$8),"x","")</f>
        <v/>
      </c>
      <c r="Z1263" s="580"/>
      <c r="AA1263" s="588"/>
    </row>
    <row r="1264" spans="1:31" s="589" customFormat="1" ht="15.75" customHeight="1">
      <c r="A1264" s="607" t="str">
        <f>IF(B1264&lt;&gt;"",IF(AND(B1264&gt;=_TM1,B1264&lt;=_TM2,OR(TH!L1264="1111",TH!M1264="1111")),TH!D1264,""),"")</f>
        <v/>
      </c>
      <c r="B1264" s="585">
        <f t="shared" si="62"/>
        <v>10</v>
      </c>
      <c r="C1264" s="586">
        <f t="shared" si="65"/>
        <v>42660</v>
      </c>
      <c r="D1264" s="569" t="s">
        <v>1022</v>
      </c>
      <c r="E1264" s="611">
        <v>42660</v>
      </c>
      <c r="F1264" s="614" t="s">
        <v>674</v>
      </c>
      <c r="G1264" s="612" t="s">
        <v>761</v>
      </c>
      <c r="H1264" s="572" t="s">
        <v>1075</v>
      </c>
      <c r="I1264" s="137">
        <v>1800</v>
      </c>
      <c r="J1264" s="137">
        <v>9206.4702453660066</v>
      </c>
      <c r="K1264" s="21">
        <f t="shared" si="66"/>
        <v>16571646</v>
      </c>
      <c r="L1264" s="567" t="s">
        <v>167</v>
      </c>
      <c r="M1264" s="567" t="s">
        <v>162</v>
      </c>
      <c r="N1264" s="22" t="str">
        <f>IF(AND('331-CT'!$E$7=TH!H1264,OR(L1264="331",M1264="331")),"331",IF(AND(OR(L1264="131",M1264="131"),H1264='131-CT'!$E$7),"131",""))</f>
        <v/>
      </c>
      <c r="O1264" s="22" t="str">
        <f>IF(AND($B1264&gt;='111'!$N$11,$B1264&lt;='111'!$O$11,OR($L1264=$O$7,$M1264=$O$7)),"x","")</f>
        <v/>
      </c>
      <c r="P1264" s="22" t="str">
        <f>IF(AND($L1264=$O$7,$B1264&lt;'111'!$N$11),"x","")</f>
        <v/>
      </c>
      <c r="Q1264" s="22" t="str">
        <f>IF(AND($M1264=$O$7,$B1264&lt;'111'!$N$11),"x","")</f>
        <v/>
      </c>
      <c r="R1264" s="22" t="str">
        <f>IF(ISERROR(FIND('112'!$M$9,G1264,1)),"",IF((AND(FIND('112'!$M$9,G1264,1)&gt;=1,$B1264&gt;='112'!$N$8,$B1264&lt;='112'!$O$8,OR($L1264='112'!$I$6,$M1264='112'!$I$6))),"x",""))</f>
        <v/>
      </c>
      <c r="S1264" s="22" t="str">
        <f>IF(ISERROR(FIND('112'!$M$9,G1264,1)),"",IF((AND(LEFT(G1264,2)=LEFT('112'!$M$9,2),B1264&lt;'112'!$N$8,$L1264='112'!$I$6)),"x",""))</f>
        <v/>
      </c>
      <c r="T1264" s="22" t="str">
        <f>IF(ISERROR(FIND('112'!$M$9,G1264,1)),"",IF((AND(RIGHT(G1264,2)=RIGHT('112'!$M$9,2),B1264&lt;'112'!$N$8,$M1264='112'!$I$6)),"x",""))</f>
        <v/>
      </c>
      <c r="U1264" s="22" t="str">
        <f>IF(AND(B1264&gt;='IN-NX'!$P$3,B1264&lt;='IN-NX'!$Q$3,'IN-NX'!$D$7=D1264,OR(LEFT(L1264,2)="15",AND(LEFT(M1264,2)&lt;&gt;"15",LEFT(M1264,2)&lt;&gt;"33"))),"x","")</f>
        <v/>
      </c>
      <c r="V1264" s="22" t="str">
        <f>IF(AND(OR(LEFT(TH!L1264,2)="15",LEFT(TH!M1264,2)="15"),'152-CT'!$J$8=TH!F1264),"x","")</f>
        <v/>
      </c>
      <c r="W1264" s="22" t="str">
        <f>IF(AND(OR(LEFT(TH!L1264,2)="15",LEFT(TH!M1264,2)="15"),TK!$E$7=TH!F1264),"x","")</f>
        <v/>
      </c>
      <c r="X1264" s="22" t="str">
        <f>IF(OR(TH!L1264=TH!$X$7,M1264=TH!$X$7),"x","")</f>
        <v/>
      </c>
      <c r="Y1264" s="22" t="str">
        <f>IF(AND(B1264&lt;=NKC!$N$8,B1264&gt;=NKC!$M$8),"x","")</f>
        <v/>
      </c>
      <c r="Z1264" s="580"/>
      <c r="AA1264" s="588"/>
      <c r="AB1264" s="588"/>
    </row>
    <row r="1265" spans="1:28" s="589" customFormat="1" ht="15.75" customHeight="1">
      <c r="A1265" s="607" t="str">
        <f>IF(B1265&lt;&gt;"",IF(AND(B1265&gt;=_TM1,B1265&lt;=_TM2,OR(TH!L1265="1111",TH!M1265="1111")),TH!D1265,""),"")</f>
        <v/>
      </c>
      <c r="B1265" s="585">
        <f t="shared" si="62"/>
        <v>10</v>
      </c>
      <c r="C1265" s="586">
        <f t="shared" ref="C1265:C1328" si="67">E1265</f>
        <v>42660</v>
      </c>
      <c r="D1265" s="569" t="s">
        <v>1022</v>
      </c>
      <c r="E1265" s="611">
        <v>42660</v>
      </c>
      <c r="F1265" s="614" t="s">
        <v>673</v>
      </c>
      <c r="G1265" s="612" t="s">
        <v>761</v>
      </c>
      <c r="H1265" s="572" t="s">
        <v>1075</v>
      </c>
      <c r="I1265" s="137">
        <v>26</v>
      </c>
      <c r="J1265" s="137">
        <v>8217.3453429713136</v>
      </c>
      <c r="K1265" s="21">
        <f t="shared" si="66"/>
        <v>213651</v>
      </c>
      <c r="L1265" s="567" t="s">
        <v>167</v>
      </c>
      <c r="M1265" s="567" t="s">
        <v>162</v>
      </c>
      <c r="N1265" s="22" t="str">
        <f>IF(AND('331-CT'!$E$7=TH!H1265,OR(L1265="331",M1265="331")),"331",IF(AND(OR(L1265="131",M1265="131"),H1265='131-CT'!$E$7),"131",""))</f>
        <v/>
      </c>
      <c r="O1265" s="22" t="str">
        <f>IF(AND($B1265&gt;='111'!$N$11,$B1265&lt;='111'!$O$11,OR($L1265=$O$7,$M1265=$O$7)),"x","")</f>
        <v/>
      </c>
      <c r="P1265" s="22" t="str">
        <f>IF(AND($L1265=$O$7,$B1265&lt;'111'!$N$11),"x","")</f>
        <v/>
      </c>
      <c r="Q1265" s="22" t="str">
        <f>IF(AND($M1265=$O$7,$B1265&lt;'111'!$N$11),"x","")</f>
        <v/>
      </c>
      <c r="R1265" s="22" t="str">
        <f>IF(ISERROR(FIND('112'!$M$9,G1265,1)),"",IF((AND(FIND('112'!$M$9,G1265,1)&gt;=1,$B1265&gt;='112'!$N$8,$B1265&lt;='112'!$O$8,OR($L1265='112'!$I$6,$M1265='112'!$I$6))),"x",""))</f>
        <v/>
      </c>
      <c r="S1265" s="22" t="str">
        <f>IF(ISERROR(FIND('112'!$M$9,G1265,1)),"",IF((AND(LEFT(G1265,2)=LEFT('112'!$M$9,2),B1265&lt;'112'!$N$8,$L1265='112'!$I$6)),"x",""))</f>
        <v/>
      </c>
      <c r="T1265" s="22" t="str">
        <f>IF(ISERROR(FIND('112'!$M$9,G1265,1)),"",IF((AND(RIGHT(G1265,2)=RIGHT('112'!$M$9,2),B1265&lt;'112'!$N$8,$M1265='112'!$I$6)),"x",""))</f>
        <v/>
      </c>
      <c r="U1265" s="22" t="str">
        <f>IF(AND(B1265&gt;='IN-NX'!$P$3,B1265&lt;='IN-NX'!$Q$3,'IN-NX'!$D$7=D1265,OR(LEFT(L1265,2)="15",AND(LEFT(M1265,2)&lt;&gt;"15",LEFT(M1265,2)&lt;&gt;"33"))),"x","")</f>
        <v/>
      </c>
      <c r="V1265" s="22" t="str">
        <f>IF(AND(OR(LEFT(TH!L1265,2)="15",LEFT(TH!M1265,2)="15"),'152-CT'!$J$8=TH!F1265),"x","")</f>
        <v/>
      </c>
      <c r="W1265" s="22" t="str">
        <f>IF(AND(OR(LEFT(TH!L1265,2)="15",LEFT(TH!M1265,2)="15"),TK!$E$7=TH!F1265),"x","")</f>
        <v/>
      </c>
      <c r="X1265" s="22" t="str">
        <f>IF(OR(TH!L1265=TH!$X$7,M1265=TH!$X$7),"x","")</f>
        <v/>
      </c>
      <c r="Y1265" s="22" t="str">
        <f>IF(AND(B1265&lt;=NKC!$N$8,B1265&gt;=NKC!$M$8),"x","")</f>
        <v/>
      </c>
      <c r="Z1265" s="580"/>
      <c r="AA1265" s="588"/>
      <c r="AB1265" s="588"/>
    </row>
    <row r="1266" spans="1:28" s="589" customFormat="1" ht="15.75" customHeight="1">
      <c r="A1266" s="607" t="str">
        <f>IF(B1266&lt;&gt;"",IF(AND(B1266&gt;=_TM1,B1266&lt;=_TM2,OR(TH!L1266="1111",TH!M1266="1111")),TH!D1266,""),"")</f>
        <v/>
      </c>
      <c r="B1266" s="585">
        <f t="shared" si="62"/>
        <v>10</v>
      </c>
      <c r="C1266" s="586">
        <f t="shared" si="67"/>
        <v>42662</v>
      </c>
      <c r="D1266" s="569" t="s">
        <v>1022</v>
      </c>
      <c r="E1266" s="611">
        <v>42662</v>
      </c>
      <c r="F1266" s="614" t="s">
        <v>667</v>
      </c>
      <c r="G1266" s="612" t="s">
        <v>762</v>
      </c>
      <c r="H1266" s="572" t="s">
        <v>1075</v>
      </c>
      <c r="I1266" s="591">
        <v>520</v>
      </c>
      <c r="J1266" s="591">
        <v>5858.6628834147323</v>
      </c>
      <c r="K1266" s="21">
        <f t="shared" si="66"/>
        <v>3046505</v>
      </c>
      <c r="L1266" s="567" t="s">
        <v>167</v>
      </c>
      <c r="M1266" s="567" t="s">
        <v>162</v>
      </c>
      <c r="N1266" s="22" t="str">
        <f>IF(AND('331-CT'!$E$7=TH!H1266,OR(L1266="331",M1266="331")),"331",IF(AND(OR(L1266="131",M1266="131"),H1266='131-CT'!$E$7),"131",""))</f>
        <v/>
      </c>
      <c r="O1266" s="22" t="str">
        <f>IF(AND($B1266&gt;='111'!$N$11,$B1266&lt;='111'!$O$11,OR($L1266=$O$7,$M1266=$O$7)),"x","")</f>
        <v/>
      </c>
      <c r="P1266" s="22" t="str">
        <f>IF(AND($L1266=$O$7,$B1266&lt;'111'!$N$11),"x","")</f>
        <v/>
      </c>
      <c r="Q1266" s="22" t="str">
        <f>IF(AND($M1266=$O$7,$B1266&lt;'111'!$N$11),"x","")</f>
        <v/>
      </c>
      <c r="R1266" s="22" t="str">
        <f>IF(ISERROR(FIND('112'!$M$9,G1266,1)),"",IF((AND(FIND('112'!$M$9,G1266,1)&gt;=1,$B1266&gt;='112'!$N$8,$B1266&lt;='112'!$O$8,OR($L1266='112'!$I$6,$M1266='112'!$I$6))),"x",""))</f>
        <v/>
      </c>
      <c r="S1266" s="22" t="str">
        <f>IF(ISERROR(FIND('112'!$M$9,G1266,1)),"",IF((AND(LEFT(G1266,2)=LEFT('112'!$M$9,2),B1266&lt;'112'!$N$8,$L1266='112'!$I$6)),"x",""))</f>
        <v/>
      </c>
      <c r="T1266" s="22" t="str">
        <f>IF(ISERROR(FIND('112'!$M$9,G1266,1)),"",IF((AND(RIGHT(G1266,2)=RIGHT('112'!$M$9,2),B1266&lt;'112'!$N$8,$M1266='112'!$I$6)),"x",""))</f>
        <v/>
      </c>
      <c r="U1266" s="22" t="str">
        <f>IF(AND(B1266&gt;='IN-NX'!$P$3,B1266&lt;='IN-NX'!$Q$3,'IN-NX'!$D$7=D1266,OR(LEFT(L1266,2)="15",AND(LEFT(M1266,2)&lt;&gt;"15",LEFT(M1266,2)&lt;&gt;"33"))),"x","")</f>
        <v/>
      </c>
      <c r="V1266" s="22" t="str">
        <f>IF(AND(OR(LEFT(TH!L1266,2)="15",LEFT(TH!M1266,2)="15"),'152-CT'!$J$8=TH!F1266),"x","")</f>
        <v/>
      </c>
      <c r="W1266" s="22" t="str">
        <f>IF(AND(OR(LEFT(TH!L1266,2)="15",LEFT(TH!M1266,2)="15"),TK!$E$7=TH!F1266),"x","")</f>
        <v/>
      </c>
      <c r="X1266" s="22" t="str">
        <f>IF(OR(TH!L1266=TH!$X$7,M1266=TH!$X$7),"x","")</f>
        <v/>
      </c>
      <c r="Y1266" s="22" t="str">
        <f>IF(AND(B1266&lt;=NKC!$N$8,B1266&gt;=NKC!$M$8),"x","")</f>
        <v/>
      </c>
      <c r="Z1266" s="580"/>
      <c r="AA1266" s="588"/>
    </row>
    <row r="1267" spans="1:28" s="589" customFormat="1" ht="15.75" customHeight="1">
      <c r="A1267" s="607" t="str">
        <f>IF(B1267&lt;&gt;"",IF(AND(B1267&gt;=_TM1,B1267&lt;=_TM2,OR(TH!L1267="1111",TH!M1267="1111")),TH!D1267,""),"")</f>
        <v/>
      </c>
      <c r="B1267" s="585">
        <f t="shared" si="62"/>
        <v>10</v>
      </c>
      <c r="C1267" s="586">
        <f t="shared" si="67"/>
        <v>42662</v>
      </c>
      <c r="D1267" s="569" t="s">
        <v>1022</v>
      </c>
      <c r="E1267" s="611">
        <v>42662</v>
      </c>
      <c r="F1267" s="614" t="s">
        <v>526</v>
      </c>
      <c r="G1267" s="612" t="s">
        <v>762</v>
      </c>
      <c r="H1267" s="572" t="s">
        <v>1075</v>
      </c>
      <c r="I1267" s="137">
        <v>100</v>
      </c>
      <c r="J1267" s="137">
        <v>14304.267819246357</v>
      </c>
      <c r="K1267" s="21">
        <f t="shared" si="66"/>
        <v>1430427</v>
      </c>
      <c r="L1267" s="567" t="s">
        <v>167</v>
      </c>
      <c r="M1267" s="567" t="s">
        <v>162</v>
      </c>
      <c r="N1267" s="22" t="str">
        <f>IF(AND('331-CT'!$E$7=TH!H1267,OR(L1267="331",M1267="331")),"331",IF(AND(OR(L1267="131",M1267="131"),H1267='131-CT'!$E$7),"131",""))</f>
        <v/>
      </c>
      <c r="O1267" s="22" t="str">
        <f>IF(AND($B1267&gt;='111'!$N$11,$B1267&lt;='111'!$O$11,OR($L1267=$O$7,$M1267=$O$7)),"x","")</f>
        <v/>
      </c>
      <c r="P1267" s="22" t="str">
        <f>IF(AND($L1267=$O$7,$B1267&lt;'111'!$N$11),"x","")</f>
        <v/>
      </c>
      <c r="Q1267" s="22" t="str">
        <f>IF(AND($M1267=$O$7,$B1267&lt;'111'!$N$11),"x","")</f>
        <v/>
      </c>
      <c r="R1267" s="22" t="str">
        <f>IF(ISERROR(FIND('112'!$M$9,G1267,1)),"",IF((AND(FIND('112'!$M$9,G1267,1)&gt;=1,$B1267&gt;='112'!$N$8,$B1267&lt;='112'!$O$8,OR($L1267='112'!$I$6,$M1267='112'!$I$6))),"x",""))</f>
        <v/>
      </c>
      <c r="S1267" s="22" t="str">
        <f>IF(ISERROR(FIND('112'!$M$9,G1267,1)),"",IF((AND(LEFT(G1267,2)=LEFT('112'!$M$9,2),B1267&lt;'112'!$N$8,$L1267='112'!$I$6)),"x",""))</f>
        <v/>
      </c>
      <c r="T1267" s="22" t="str">
        <f>IF(ISERROR(FIND('112'!$M$9,G1267,1)),"",IF((AND(RIGHT(G1267,2)=RIGHT('112'!$M$9,2),B1267&lt;'112'!$N$8,$M1267='112'!$I$6)),"x",""))</f>
        <v/>
      </c>
      <c r="U1267" s="22" t="str">
        <f>IF(AND(B1267&gt;='IN-NX'!$P$3,B1267&lt;='IN-NX'!$Q$3,'IN-NX'!$D$7=D1267,OR(LEFT(L1267,2)="15",AND(LEFT(M1267,2)&lt;&gt;"15",LEFT(M1267,2)&lt;&gt;"33"))),"x","")</f>
        <v/>
      </c>
      <c r="V1267" s="22" t="str">
        <f>IF(AND(OR(LEFT(TH!L1267,2)="15",LEFT(TH!M1267,2)="15"),'152-CT'!$J$8=TH!F1267),"x","")</f>
        <v/>
      </c>
      <c r="W1267" s="22" t="str">
        <f>IF(AND(OR(LEFT(TH!L1267,2)="15",LEFT(TH!M1267,2)="15"),TK!$E$7=TH!F1267),"x","")</f>
        <v/>
      </c>
      <c r="X1267" s="22" t="str">
        <f>IF(OR(TH!L1267=TH!$X$7,M1267=TH!$X$7),"x","")</f>
        <v/>
      </c>
      <c r="Y1267" s="22" t="str">
        <f>IF(AND(B1267&lt;=NKC!$N$8,B1267&gt;=NKC!$M$8),"x","")</f>
        <v/>
      </c>
      <c r="Z1267" s="580"/>
      <c r="AA1267" s="588"/>
      <c r="AB1267" s="588"/>
    </row>
    <row r="1268" spans="1:28" s="589" customFormat="1" ht="15.75" customHeight="1">
      <c r="A1268" s="607" t="str">
        <f>IF(B1268&lt;&gt;"",IF(AND(B1268&gt;=_TM1,B1268&lt;=_TM2,OR(TH!L1268="1111",TH!M1268="1111")),TH!D1268,""),"")</f>
        <v/>
      </c>
      <c r="B1268" s="585">
        <f t="shared" si="62"/>
        <v>10</v>
      </c>
      <c r="C1268" s="586">
        <f t="shared" si="67"/>
        <v>42672</v>
      </c>
      <c r="D1268" s="569" t="s">
        <v>1022</v>
      </c>
      <c r="E1268" s="611">
        <v>42672</v>
      </c>
      <c r="F1268" s="614" t="s">
        <v>668</v>
      </c>
      <c r="G1268" s="612" t="s">
        <v>763</v>
      </c>
      <c r="H1268" s="572" t="s">
        <v>1075</v>
      </c>
      <c r="I1268" s="137">
        <v>36</v>
      </c>
      <c r="J1268" s="137">
        <v>10347.76820966758</v>
      </c>
      <c r="K1268" s="21">
        <f t="shared" si="66"/>
        <v>372520</v>
      </c>
      <c r="L1268" s="567" t="s">
        <v>167</v>
      </c>
      <c r="M1268" s="567" t="s">
        <v>162</v>
      </c>
      <c r="N1268" s="22" t="str">
        <f>IF(AND('331-CT'!$E$7=TH!H1268,OR(L1268="331",M1268="331")),"331",IF(AND(OR(L1268="131",M1268="131"),H1268='131-CT'!$E$7),"131",""))</f>
        <v/>
      </c>
      <c r="O1268" s="22" t="str">
        <f>IF(AND($B1268&gt;='111'!$N$11,$B1268&lt;='111'!$O$11,OR($L1268=$O$7,$M1268=$O$7)),"x","")</f>
        <v/>
      </c>
      <c r="P1268" s="22" t="str">
        <f>IF(AND($L1268=$O$7,$B1268&lt;'111'!$N$11),"x","")</f>
        <v/>
      </c>
      <c r="Q1268" s="22" t="str">
        <f>IF(AND($M1268=$O$7,$B1268&lt;'111'!$N$11),"x","")</f>
        <v/>
      </c>
      <c r="R1268" s="22" t="str">
        <f>IF(ISERROR(FIND('112'!$M$9,G1268,1)),"",IF((AND(FIND('112'!$M$9,G1268,1)&gt;=1,$B1268&gt;='112'!$N$8,$B1268&lt;='112'!$O$8,OR($L1268='112'!$I$6,$M1268='112'!$I$6))),"x",""))</f>
        <v/>
      </c>
      <c r="S1268" s="22" t="str">
        <f>IF(ISERROR(FIND('112'!$M$9,G1268,1)),"",IF((AND(LEFT(G1268,2)=LEFT('112'!$M$9,2),B1268&lt;'112'!$N$8,$L1268='112'!$I$6)),"x",""))</f>
        <v/>
      </c>
      <c r="T1268" s="22" t="str">
        <f>IF(ISERROR(FIND('112'!$M$9,G1268,1)),"",IF((AND(RIGHT(G1268,2)=RIGHT('112'!$M$9,2),B1268&lt;'112'!$N$8,$M1268='112'!$I$6)),"x",""))</f>
        <v/>
      </c>
      <c r="U1268" s="22" t="str">
        <f>IF(AND(B1268&gt;='IN-NX'!$P$3,B1268&lt;='IN-NX'!$Q$3,'IN-NX'!$D$7=D1268,OR(LEFT(L1268,2)="15",AND(LEFT(M1268,2)&lt;&gt;"15",LEFT(M1268,2)&lt;&gt;"33"))),"x","")</f>
        <v/>
      </c>
      <c r="V1268" s="22" t="str">
        <f>IF(AND(OR(LEFT(TH!L1268,2)="15",LEFT(TH!M1268,2)="15"),'152-CT'!$J$8=TH!F1268),"x","")</f>
        <v/>
      </c>
      <c r="W1268" s="22" t="str">
        <f>IF(AND(OR(LEFT(TH!L1268,2)="15",LEFT(TH!M1268,2)="15"),TK!$E$7=TH!F1268),"x","")</f>
        <v/>
      </c>
      <c r="X1268" s="22" t="str">
        <f>IF(OR(TH!L1268=TH!$X$7,M1268=TH!$X$7),"x","")</f>
        <v/>
      </c>
      <c r="Y1268" s="22" t="str">
        <f>IF(AND(B1268&lt;=NKC!$N$8,B1268&gt;=NKC!$M$8),"x","")</f>
        <v/>
      </c>
      <c r="Z1268" s="580"/>
      <c r="AA1268" s="588"/>
    </row>
    <row r="1269" spans="1:28" s="589" customFormat="1" ht="15.75" customHeight="1">
      <c r="A1269" s="607" t="str">
        <f>IF(B1269&lt;&gt;"",IF(AND(B1269&gt;=_TM1,B1269&lt;=_TM2,OR(TH!L1269="1111",TH!M1269="1111")),TH!D1269,""),"")</f>
        <v/>
      </c>
      <c r="B1269" s="585">
        <f t="shared" si="62"/>
        <v>10</v>
      </c>
      <c r="C1269" s="586">
        <f t="shared" si="67"/>
        <v>42672</v>
      </c>
      <c r="D1269" s="569" t="s">
        <v>1022</v>
      </c>
      <c r="E1269" s="611">
        <v>42672</v>
      </c>
      <c r="F1269" s="614" t="s">
        <v>655</v>
      </c>
      <c r="G1269" s="612" t="s">
        <v>763</v>
      </c>
      <c r="H1269" s="572" t="s">
        <v>1075</v>
      </c>
      <c r="I1269" s="137">
        <v>110</v>
      </c>
      <c r="J1269" s="137">
        <v>11793.412297782903</v>
      </c>
      <c r="K1269" s="21">
        <f t="shared" si="66"/>
        <v>1297275</v>
      </c>
      <c r="L1269" s="567" t="s">
        <v>167</v>
      </c>
      <c r="M1269" s="567" t="s">
        <v>162</v>
      </c>
      <c r="N1269" s="22" t="str">
        <f>IF(AND('331-CT'!$E$7=TH!H1269,OR(L1269="331",M1269="331")),"331",IF(AND(OR(L1269="131",M1269="131"),H1269='131-CT'!$E$7),"131",""))</f>
        <v/>
      </c>
      <c r="O1269" s="22" t="str">
        <f>IF(AND($B1269&gt;='111'!$N$11,$B1269&lt;='111'!$O$11,OR($L1269=$O$7,$M1269=$O$7)),"x","")</f>
        <v/>
      </c>
      <c r="P1269" s="22" t="str">
        <f>IF(AND($L1269=$O$7,$B1269&lt;'111'!$N$11),"x","")</f>
        <v/>
      </c>
      <c r="Q1269" s="22" t="str">
        <f>IF(AND($M1269=$O$7,$B1269&lt;'111'!$N$11),"x","")</f>
        <v/>
      </c>
      <c r="R1269" s="22" t="str">
        <f>IF(ISERROR(FIND('112'!$M$9,G1269,1)),"",IF((AND(FIND('112'!$M$9,G1269,1)&gt;=1,$B1269&gt;='112'!$N$8,$B1269&lt;='112'!$O$8,OR($L1269='112'!$I$6,$M1269='112'!$I$6))),"x",""))</f>
        <v/>
      </c>
      <c r="S1269" s="22" t="str">
        <f>IF(ISERROR(FIND('112'!$M$9,G1269,1)),"",IF((AND(LEFT(G1269,2)=LEFT('112'!$M$9,2),B1269&lt;'112'!$N$8,$L1269='112'!$I$6)),"x",""))</f>
        <v/>
      </c>
      <c r="T1269" s="22" t="str">
        <f>IF(ISERROR(FIND('112'!$M$9,G1269,1)),"",IF((AND(RIGHT(G1269,2)=RIGHT('112'!$M$9,2),B1269&lt;'112'!$N$8,$M1269='112'!$I$6)),"x",""))</f>
        <v/>
      </c>
      <c r="U1269" s="22" t="str">
        <f>IF(AND(B1269&gt;='IN-NX'!$P$3,B1269&lt;='IN-NX'!$Q$3,'IN-NX'!$D$7=D1269,OR(LEFT(L1269,2)="15",AND(LEFT(M1269,2)&lt;&gt;"15",LEFT(M1269,2)&lt;&gt;"33"))),"x","")</f>
        <v/>
      </c>
      <c r="V1269" s="22" t="str">
        <f>IF(AND(OR(LEFT(TH!L1269,2)="15",LEFT(TH!M1269,2)="15"),'152-CT'!$J$8=TH!F1269),"x","")</f>
        <v/>
      </c>
      <c r="W1269" s="22" t="str">
        <f>IF(AND(OR(LEFT(TH!L1269,2)="15",LEFT(TH!M1269,2)="15"),TK!$E$7=TH!F1269),"x","")</f>
        <v/>
      </c>
      <c r="X1269" s="22" t="str">
        <f>IF(OR(TH!L1269=TH!$X$7,M1269=TH!$X$7),"x","")</f>
        <v/>
      </c>
      <c r="Y1269" s="22" t="str">
        <f>IF(AND(B1269&lt;=NKC!$N$8,B1269&gt;=NKC!$M$8),"x","")</f>
        <v/>
      </c>
      <c r="Z1269" s="580"/>
      <c r="AA1269" s="588"/>
      <c r="AB1269" s="588"/>
    </row>
    <row r="1270" spans="1:28" s="589" customFormat="1" ht="15.75" customHeight="1">
      <c r="A1270" s="607" t="str">
        <f>IF(B1270&lt;&gt;"",IF(AND(B1270&gt;=_TM1,B1270&lt;=_TM2,OR(TH!L1270="1111",TH!M1270="1111")),TH!D1270,""),"")</f>
        <v/>
      </c>
      <c r="B1270" s="585">
        <f t="shared" si="62"/>
        <v>10</v>
      </c>
      <c r="C1270" s="586">
        <f t="shared" si="67"/>
        <v>42672</v>
      </c>
      <c r="D1270" s="569" t="s">
        <v>1022</v>
      </c>
      <c r="E1270" s="611">
        <v>42672</v>
      </c>
      <c r="F1270" s="614" t="s">
        <v>669</v>
      </c>
      <c r="G1270" s="612" t="s">
        <v>763</v>
      </c>
      <c r="H1270" s="572" t="s">
        <v>1075</v>
      </c>
      <c r="I1270" s="137">
        <v>111</v>
      </c>
      <c r="J1270" s="137">
        <v>7912.9992191575602</v>
      </c>
      <c r="K1270" s="21">
        <f t="shared" si="66"/>
        <v>878343</v>
      </c>
      <c r="L1270" s="567" t="s">
        <v>167</v>
      </c>
      <c r="M1270" s="567" t="s">
        <v>162</v>
      </c>
      <c r="N1270" s="22" t="str">
        <f>IF(AND('331-CT'!$E$7=TH!H1270,OR(L1270="331",M1270="331")),"331",IF(AND(OR(L1270="131",M1270="131"),H1270='131-CT'!$E$7),"131",""))</f>
        <v/>
      </c>
      <c r="O1270" s="22" t="str">
        <f>IF(AND($B1270&gt;='111'!$N$11,$B1270&lt;='111'!$O$11,OR($L1270=$O$7,$M1270=$O$7)),"x","")</f>
        <v/>
      </c>
      <c r="P1270" s="22" t="str">
        <f>IF(AND($L1270=$O$7,$B1270&lt;'111'!$N$11),"x","")</f>
        <v/>
      </c>
      <c r="Q1270" s="22" t="str">
        <f>IF(AND($M1270=$O$7,$B1270&lt;'111'!$N$11),"x","")</f>
        <v/>
      </c>
      <c r="R1270" s="22" t="str">
        <f>IF(ISERROR(FIND('112'!$M$9,G1270,1)),"",IF((AND(FIND('112'!$M$9,G1270,1)&gt;=1,$B1270&gt;='112'!$N$8,$B1270&lt;='112'!$O$8,OR($L1270='112'!$I$6,$M1270='112'!$I$6))),"x",""))</f>
        <v/>
      </c>
      <c r="S1270" s="22" t="str">
        <f>IF(ISERROR(FIND('112'!$M$9,G1270,1)),"",IF((AND(LEFT(G1270,2)=LEFT('112'!$M$9,2),B1270&lt;'112'!$N$8,$L1270='112'!$I$6)),"x",""))</f>
        <v/>
      </c>
      <c r="T1270" s="22" t="str">
        <f>IF(ISERROR(FIND('112'!$M$9,G1270,1)),"",IF((AND(RIGHT(G1270,2)=RIGHT('112'!$M$9,2),B1270&lt;'112'!$N$8,$M1270='112'!$I$6)),"x",""))</f>
        <v/>
      </c>
      <c r="U1270" s="22" t="str">
        <f>IF(AND(B1270&gt;='IN-NX'!$P$3,B1270&lt;='IN-NX'!$Q$3,'IN-NX'!$D$7=D1270,OR(LEFT(L1270,2)="15",AND(LEFT(M1270,2)&lt;&gt;"15",LEFT(M1270,2)&lt;&gt;"33"))),"x","")</f>
        <v/>
      </c>
      <c r="V1270" s="22" t="str">
        <f>IF(AND(OR(LEFT(TH!L1270,2)="15",LEFT(TH!M1270,2)="15"),'152-CT'!$J$8=TH!F1270),"x","")</f>
        <v/>
      </c>
      <c r="W1270" s="22" t="str">
        <f>IF(AND(OR(LEFT(TH!L1270,2)="15",LEFT(TH!M1270,2)="15"),TK!$E$7=TH!F1270),"x","")</f>
        <v/>
      </c>
      <c r="X1270" s="22" t="str">
        <f>IF(OR(TH!L1270=TH!$X$7,M1270=TH!$X$7),"x","")</f>
        <v/>
      </c>
      <c r="Y1270" s="22" t="str">
        <f>IF(AND(B1270&lt;=NKC!$N$8,B1270&gt;=NKC!$M$8),"x","")</f>
        <v/>
      </c>
      <c r="Z1270" s="580"/>
      <c r="AA1270" s="588"/>
    </row>
    <row r="1271" spans="1:28" s="589" customFormat="1" ht="15.75" customHeight="1">
      <c r="A1271" s="607" t="str">
        <f>IF(B1271&lt;&gt;"",IF(AND(B1271&gt;=_TM1,B1271&lt;=_TM2,OR(TH!L1271="1111",TH!M1271="1111")),TH!D1271,""),"")</f>
        <v/>
      </c>
      <c r="B1271" s="585">
        <f t="shared" si="62"/>
        <v>10</v>
      </c>
      <c r="C1271" s="586">
        <f t="shared" si="67"/>
        <v>42672</v>
      </c>
      <c r="D1271" s="569" t="s">
        <v>1022</v>
      </c>
      <c r="E1271" s="611">
        <v>42672</v>
      </c>
      <c r="F1271" s="614" t="s">
        <v>670</v>
      </c>
      <c r="G1271" s="612" t="s">
        <v>763</v>
      </c>
      <c r="H1271" s="572" t="s">
        <v>1075</v>
      </c>
      <c r="I1271" s="137">
        <v>18</v>
      </c>
      <c r="J1271" s="137">
        <v>12097.758421596654</v>
      </c>
      <c r="K1271" s="21">
        <f t="shared" si="66"/>
        <v>217760</v>
      </c>
      <c r="L1271" s="567" t="s">
        <v>167</v>
      </c>
      <c r="M1271" s="567" t="s">
        <v>162</v>
      </c>
      <c r="N1271" s="22" t="str">
        <f>IF(AND('331-CT'!$E$7=TH!H1271,OR(L1271="331",M1271="331")),"331",IF(AND(OR(L1271="131",M1271="131"),H1271='131-CT'!$E$7),"131",""))</f>
        <v/>
      </c>
      <c r="O1271" s="22" t="str">
        <f>IF(AND($B1271&gt;='111'!$N$11,$B1271&lt;='111'!$O$11,OR($L1271=$O$7,$M1271=$O$7)),"x","")</f>
        <v/>
      </c>
      <c r="P1271" s="22" t="str">
        <f>IF(AND($L1271=$O$7,$B1271&lt;'111'!$N$11),"x","")</f>
        <v/>
      </c>
      <c r="Q1271" s="22" t="str">
        <f>IF(AND($M1271=$O$7,$B1271&lt;'111'!$N$11),"x","")</f>
        <v/>
      </c>
      <c r="R1271" s="22" t="str">
        <f>IF(ISERROR(FIND('112'!$M$9,G1271,1)),"",IF((AND(FIND('112'!$M$9,G1271,1)&gt;=1,$B1271&gt;='112'!$N$8,$B1271&lt;='112'!$O$8,OR($L1271='112'!$I$6,$M1271='112'!$I$6))),"x",""))</f>
        <v/>
      </c>
      <c r="S1271" s="22" t="str">
        <f>IF(ISERROR(FIND('112'!$M$9,G1271,1)),"",IF((AND(LEFT(G1271,2)=LEFT('112'!$M$9,2),B1271&lt;'112'!$N$8,$L1271='112'!$I$6)),"x",""))</f>
        <v/>
      </c>
      <c r="T1271" s="22" t="str">
        <f>IF(ISERROR(FIND('112'!$M$9,G1271,1)),"",IF((AND(RIGHT(G1271,2)=RIGHT('112'!$M$9,2),B1271&lt;'112'!$N$8,$M1271='112'!$I$6)),"x",""))</f>
        <v/>
      </c>
      <c r="U1271" s="22" t="str">
        <f>IF(AND(B1271&gt;='IN-NX'!$P$3,B1271&lt;='IN-NX'!$Q$3,'IN-NX'!$D$7=D1271,OR(LEFT(L1271,2)="15",AND(LEFT(M1271,2)&lt;&gt;"15",LEFT(M1271,2)&lt;&gt;"33"))),"x","")</f>
        <v/>
      </c>
      <c r="V1271" s="22" t="str">
        <f>IF(AND(OR(LEFT(TH!L1271,2)="15",LEFT(TH!M1271,2)="15"),'152-CT'!$J$8=TH!F1271),"x","")</f>
        <v/>
      </c>
      <c r="W1271" s="22" t="str">
        <f>IF(AND(OR(LEFT(TH!L1271,2)="15",LEFT(TH!M1271,2)="15"),TK!$E$7=TH!F1271),"x","")</f>
        <v/>
      </c>
      <c r="X1271" s="22" t="str">
        <f>IF(OR(TH!L1271=TH!$X$7,M1271=TH!$X$7),"x","")</f>
        <v/>
      </c>
      <c r="Y1271" s="22" t="str">
        <f>IF(AND(B1271&lt;=NKC!$N$8,B1271&gt;=NKC!$M$8),"x","")</f>
        <v/>
      </c>
      <c r="Z1271" s="580"/>
      <c r="AA1271" s="588"/>
      <c r="AB1271" s="588"/>
    </row>
    <row r="1272" spans="1:28" s="589" customFormat="1" ht="15.75" customHeight="1">
      <c r="A1272" s="607" t="str">
        <f>IF(B1272&lt;&gt;"",IF(AND(B1272&gt;=_TM1,B1272&lt;=_TM2,OR(TH!L1272="1111",TH!M1272="1111")),TH!D1272,""),"")</f>
        <v/>
      </c>
      <c r="B1272" s="585">
        <f t="shared" si="62"/>
        <v>10</v>
      </c>
      <c r="C1272" s="586">
        <f t="shared" si="67"/>
        <v>42672</v>
      </c>
      <c r="D1272" s="569" t="s">
        <v>1022</v>
      </c>
      <c r="E1272" s="611">
        <v>42672</v>
      </c>
      <c r="F1272" s="614" t="s">
        <v>500</v>
      </c>
      <c r="G1272" s="612" t="s">
        <v>763</v>
      </c>
      <c r="H1272" s="572" t="s">
        <v>1075</v>
      </c>
      <c r="I1272" s="137">
        <v>52</v>
      </c>
      <c r="J1272" s="137">
        <v>9739.075962040075</v>
      </c>
      <c r="K1272" s="21">
        <f t="shared" si="66"/>
        <v>506432</v>
      </c>
      <c r="L1272" s="567" t="s">
        <v>167</v>
      </c>
      <c r="M1272" s="567" t="s">
        <v>162</v>
      </c>
      <c r="N1272" s="22" t="str">
        <f>IF(AND('331-CT'!$E$7=TH!H1272,OR(L1272="331",M1272="331")),"331",IF(AND(OR(L1272="131",M1272="131"),H1272='131-CT'!$E$7),"131",""))</f>
        <v/>
      </c>
      <c r="O1272" s="22" t="str">
        <f>IF(AND($B1272&gt;='111'!$N$11,$B1272&lt;='111'!$O$11,OR($L1272=$O$7,$M1272=$O$7)),"x","")</f>
        <v/>
      </c>
      <c r="P1272" s="22" t="str">
        <f>IF(AND($L1272=$O$7,$B1272&lt;'111'!$N$11),"x","")</f>
        <v/>
      </c>
      <c r="Q1272" s="22" t="str">
        <f>IF(AND($M1272=$O$7,$B1272&lt;'111'!$N$11),"x","")</f>
        <v/>
      </c>
      <c r="R1272" s="22" t="str">
        <f>IF(ISERROR(FIND('112'!$M$9,G1272,1)),"",IF((AND(FIND('112'!$M$9,G1272,1)&gt;=1,$B1272&gt;='112'!$N$8,$B1272&lt;='112'!$O$8,OR($L1272='112'!$I$6,$M1272='112'!$I$6))),"x",""))</f>
        <v/>
      </c>
      <c r="S1272" s="22" t="str">
        <f>IF(ISERROR(FIND('112'!$M$9,G1272,1)),"",IF((AND(LEFT(G1272,2)=LEFT('112'!$M$9,2),B1272&lt;'112'!$N$8,$L1272='112'!$I$6)),"x",""))</f>
        <v/>
      </c>
      <c r="T1272" s="22" t="str">
        <f>IF(ISERROR(FIND('112'!$M$9,G1272,1)),"",IF((AND(RIGHT(G1272,2)=RIGHT('112'!$M$9,2),B1272&lt;'112'!$N$8,$M1272='112'!$I$6)),"x",""))</f>
        <v/>
      </c>
      <c r="U1272" s="22" t="str">
        <f>IF(AND(B1272&gt;='IN-NX'!$P$3,B1272&lt;='IN-NX'!$Q$3,'IN-NX'!$D$7=D1272,OR(LEFT(L1272,2)="15",AND(LEFT(M1272,2)&lt;&gt;"15",LEFT(M1272,2)&lt;&gt;"33"))),"x","")</f>
        <v/>
      </c>
      <c r="V1272" s="22" t="str">
        <f>IF(AND(OR(LEFT(TH!L1272,2)="15",LEFT(TH!M1272,2)="15"),'152-CT'!$J$8=TH!F1272),"x","")</f>
        <v/>
      </c>
      <c r="W1272" s="22" t="str">
        <f>IF(AND(OR(LEFT(TH!L1272,2)="15",LEFT(TH!M1272,2)="15"),TK!$E$7=TH!F1272),"x","")</f>
        <v/>
      </c>
      <c r="X1272" s="22" t="str">
        <f>IF(OR(TH!L1272=TH!$X$7,M1272=TH!$X$7),"x","")</f>
        <v/>
      </c>
      <c r="Y1272" s="22" t="str">
        <f>IF(AND(B1272&lt;=NKC!$N$8,B1272&gt;=NKC!$M$8),"x","")</f>
        <v/>
      </c>
      <c r="Z1272" s="580"/>
      <c r="AA1272" s="588"/>
    </row>
    <row r="1273" spans="1:28" s="589" customFormat="1" ht="15.75" customHeight="1">
      <c r="A1273" s="607" t="str">
        <f>IF(B1273&lt;&gt;"",IF(AND(B1273&gt;=_TM1,B1273&lt;=_TM2,OR(TH!L1273="1111",TH!M1273="1111")),TH!D1273,""),"")</f>
        <v/>
      </c>
      <c r="B1273" s="585">
        <f t="shared" si="62"/>
        <v>10</v>
      </c>
      <c r="C1273" s="586">
        <f t="shared" si="67"/>
        <v>42672</v>
      </c>
      <c r="D1273" s="569" t="s">
        <v>1022</v>
      </c>
      <c r="E1273" s="611">
        <v>42672</v>
      </c>
      <c r="F1273" s="614" t="s">
        <v>500</v>
      </c>
      <c r="G1273" s="612" t="s">
        <v>764</v>
      </c>
      <c r="H1273" s="572" t="s">
        <v>1075</v>
      </c>
      <c r="I1273" s="137">
        <v>206</v>
      </c>
      <c r="J1273" s="137">
        <v>9739.075962040075</v>
      </c>
      <c r="K1273" s="21">
        <f t="shared" si="66"/>
        <v>2006250</v>
      </c>
      <c r="L1273" s="567" t="s">
        <v>167</v>
      </c>
      <c r="M1273" s="567" t="s">
        <v>162</v>
      </c>
      <c r="N1273" s="22" t="str">
        <f>IF(AND('331-CT'!$E$7=TH!H1273,OR(L1273="331",M1273="331")),"331",IF(AND(OR(L1273="131",M1273="131"),H1273='131-CT'!$E$7),"131",""))</f>
        <v/>
      </c>
      <c r="O1273" s="22" t="str">
        <f>IF(AND($B1273&gt;='111'!$N$11,$B1273&lt;='111'!$O$11,OR($L1273=$O$7,$M1273=$O$7)),"x","")</f>
        <v/>
      </c>
      <c r="P1273" s="22" t="str">
        <f>IF(AND($L1273=$O$7,$B1273&lt;'111'!$N$11),"x","")</f>
        <v/>
      </c>
      <c r="Q1273" s="22" t="str">
        <f>IF(AND($M1273=$O$7,$B1273&lt;'111'!$N$11),"x","")</f>
        <v/>
      </c>
      <c r="R1273" s="22" t="str">
        <f>IF(ISERROR(FIND('112'!$M$9,G1273,1)),"",IF((AND(FIND('112'!$M$9,G1273,1)&gt;=1,$B1273&gt;='112'!$N$8,$B1273&lt;='112'!$O$8,OR($L1273='112'!$I$6,$M1273='112'!$I$6))),"x",""))</f>
        <v/>
      </c>
      <c r="S1273" s="22" t="str">
        <f>IF(ISERROR(FIND('112'!$M$9,G1273,1)),"",IF((AND(LEFT(G1273,2)=LEFT('112'!$M$9,2),B1273&lt;'112'!$N$8,$L1273='112'!$I$6)),"x",""))</f>
        <v/>
      </c>
      <c r="T1273" s="22" t="str">
        <f>IF(ISERROR(FIND('112'!$M$9,G1273,1)),"",IF((AND(RIGHT(G1273,2)=RIGHT('112'!$M$9,2),B1273&lt;'112'!$N$8,$M1273='112'!$I$6)),"x",""))</f>
        <v/>
      </c>
      <c r="U1273" s="22" t="str">
        <f>IF(AND(B1273&gt;='IN-NX'!$P$3,B1273&lt;='IN-NX'!$Q$3,'IN-NX'!$D$7=D1273,OR(LEFT(L1273,2)="15",AND(LEFT(M1273,2)&lt;&gt;"15",LEFT(M1273,2)&lt;&gt;"33"))),"x","")</f>
        <v/>
      </c>
      <c r="V1273" s="22" t="str">
        <f>IF(AND(OR(LEFT(TH!L1273,2)="15",LEFT(TH!M1273,2)="15"),'152-CT'!$J$8=TH!F1273),"x","")</f>
        <v/>
      </c>
      <c r="W1273" s="22" t="str">
        <f>IF(AND(OR(LEFT(TH!L1273,2)="15",LEFT(TH!M1273,2)="15"),TK!$E$7=TH!F1273),"x","")</f>
        <v/>
      </c>
      <c r="X1273" s="22" t="str">
        <f>IF(OR(TH!L1273=TH!$X$7,M1273=TH!$X$7),"x","")</f>
        <v/>
      </c>
      <c r="Y1273" s="22" t="str">
        <f>IF(AND(B1273&lt;=NKC!$N$8,B1273&gt;=NKC!$M$8),"x","")</f>
        <v/>
      </c>
      <c r="Z1273" s="580"/>
      <c r="AA1273" s="588"/>
      <c r="AB1273" s="588"/>
    </row>
    <row r="1274" spans="1:28" s="589" customFormat="1" ht="15.75" customHeight="1">
      <c r="A1274" s="607" t="str">
        <f>IF(B1274&lt;&gt;"",IF(AND(B1274&gt;=_TM1,B1274&lt;=_TM2,OR(TH!L1274="1111",TH!M1274="1111")),TH!D1274,""),"")</f>
        <v/>
      </c>
      <c r="B1274" s="585">
        <f t="shared" si="62"/>
        <v>10</v>
      </c>
      <c r="C1274" s="586">
        <f t="shared" si="67"/>
        <v>42672</v>
      </c>
      <c r="D1274" s="569" t="s">
        <v>1022</v>
      </c>
      <c r="E1274" s="611">
        <v>42672</v>
      </c>
      <c r="F1274" s="614" t="s">
        <v>671</v>
      </c>
      <c r="G1274" s="612" t="s">
        <v>764</v>
      </c>
      <c r="H1274" s="572" t="s">
        <v>1075</v>
      </c>
      <c r="I1274" s="137">
        <v>330</v>
      </c>
      <c r="J1274" s="137">
        <v>6923.8743167628654</v>
      </c>
      <c r="K1274" s="21">
        <f t="shared" si="66"/>
        <v>2284879</v>
      </c>
      <c r="L1274" s="567" t="s">
        <v>167</v>
      </c>
      <c r="M1274" s="567" t="s">
        <v>162</v>
      </c>
      <c r="N1274" s="22" t="str">
        <f>IF(AND('331-CT'!$E$7=TH!H1274,OR(L1274="331",M1274="331")),"331",IF(AND(OR(L1274="131",M1274="131"),H1274='131-CT'!$E$7),"131",""))</f>
        <v/>
      </c>
      <c r="O1274" s="22" t="str">
        <f>IF(AND($B1274&gt;='111'!$N$11,$B1274&lt;='111'!$O$11,OR($L1274=$O$7,$M1274=$O$7)),"x","")</f>
        <v/>
      </c>
      <c r="P1274" s="22" t="str">
        <f>IF(AND($L1274=$O$7,$B1274&lt;'111'!$N$11),"x","")</f>
        <v/>
      </c>
      <c r="Q1274" s="22" t="str">
        <f>IF(AND($M1274=$O$7,$B1274&lt;'111'!$N$11),"x","")</f>
        <v/>
      </c>
      <c r="R1274" s="22" t="str">
        <f>IF(ISERROR(FIND('112'!$M$9,G1274,1)),"",IF((AND(FIND('112'!$M$9,G1274,1)&gt;=1,$B1274&gt;='112'!$N$8,$B1274&lt;='112'!$O$8,OR($L1274='112'!$I$6,$M1274='112'!$I$6))),"x",""))</f>
        <v/>
      </c>
      <c r="S1274" s="22" t="str">
        <f>IF(ISERROR(FIND('112'!$M$9,G1274,1)),"",IF((AND(LEFT(G1274,2)=LEFT('112'!$M$9,2),B1274&lt;'112'!$N$8,$L1274='112'!$I$6)),"x",""))</f>
        <v/>
      </c>
      <c r="T1274" s="22" t="str">
        <f>IF(ISERROR(FIND('112'!$M$9,G1274,1)),"",IF((AND(RIGHT(G1274,2)=RIGHT('112'!$M$9,2),B1274&lt;'112'!$N$8,$M1274='112'!$I$6)),"x",""))</f>
        <v/>
      </c>
      <c r="U1274" s="22" t="str">
        <f>IF(AND(B1274&gt;='IN-NX'!$P$3,B1274&lt;='IN-NX'!$Q$3,'IN-NX'!$D$7=D1274,OR(LEFT(L1274,2)="15",AND(LEFT(M1274,2)&lt;&gt;"15",LEFT(M1274,2)&lt;&gt;"33"))),"x","")</f>
        <v/>
      </c>
      <c r="V1274" s="22" t="str">
        <f>IF(AND(OR(LEFT(TH!L1274,2)="15",LEFT(TH!M1274,2)="15"),'152-CT'!$J$8=TH!F1274),"x","")</f>
        <v/>
      </c>
      <c r="W1274" s="22" t="str">
        <f>IF(AND(OR(LEFT(TH!L1274,2)="15",LEFT(TH!M1274,2)="15"),TK!$E$7=TH!F1274),"x","")</f>
        <v/>
      </c>
      <c r="X1274" s="22" t="str">
        <f>IF(OR(TH!L1274=TH!$X$7,M1274=TH!$X$7),"x","")</f>
        <v/>
      </c>
      <c r="Y1274" s="22" t="str">
        <f>IF(AND(B1274&lt;=NKC!$N$8,B1274&gt;=NKC!$M$8),"x","")</f>
        <v/>
      </c>
      <c r="Z1274" s="580"/>
      <c r="AA1274" s="588"/>
      <c r="AB1274" s="588"/>
    </row>
    <row r="1275" spans="1:28" s="589" customFormat="1" ht="15.75" customHeight="1">
      <c r="A1275" s="607" t="str">
        <f>IF(B1275&lt;&gt;"",IF(AND(B1275&gt;=_TM1,B1275&lt;=_TM2,OR(TH!L1275="1111",TH!M1275="1111")),TH!D1275,""),"")</f>
        <v/>
      </c>
      <c r="B1275" s="585">
        <f t="shared" si="62"/>
        <v>10</v>
      </c>
      <c r="C1275" s="586">
        <f t="shared" si="67"/>
        <v>42672</v>
      </c>
      <c r="D1275" s="569" t="s">
        <v>1022</v>
      </c>
      <c r="E1275" s="611">
        <v>42672</v>
      </c>
      <c r="F1275" s="614" t="s">
        <v>672</v>
      </c>
      <c r="G1275" s="612" t="s">
        <v>764</v>
      </c>
      <c r="H1275" s="572" t="s">
        <v>1075</v>
      </c>
      <c r="I1275" s="137">
        <v>23</v>
      </c>
      <c r="J1275" s="137">
        <v>8597.7779977385017</v>
      </c>
      <c r="K1275" s="21">
        <f t="shared" si="66"/>
        <v>197749</v>
      </c>
      <c r="L1275" s="567" t="s">
        <v>167</v>
      </c>
      <c r="M1275" s="567" t="s">
        <v>162</v>
      </c>
      <c r="N1275" s="22" t="str">
        <f>IF(AND('331-CT'!$E$7=TH!H1275,OR(L1275="331",M1275="331")),"331",IF(AND(OR(L1275="131",M1275="131"),H1275='131-CT'!$E$7),"131",""))</f>
        <v/>
      </c>
      <c r="O1275" s="22" t="str">
        <f>IF(AND($B1275&gt;='111'!$N$11,$B1275&lt;='111'!$O$11,OR($L1275=$O$7,$M1275=$O$7)),"x","")</f>
        <v/>
      </c>
      <c r="P1275" s="22" t="str">
        <f>IF(AND($L1275=$O$7,$B1275&lt;'111'!$N$11),"x","")</f>
        <v/>
      </c>
      <c r="Q1275" s="22" t="str">
        <f>IF(AND($M1275=$O$7,$B1275&lt;'111'!$N$11),"x","")</f>
        <v/>
      </c>
      <c r="R1275" s="22" t="str">
        <f>IF(ISERROR(FIND('112'!$M$9,G1275,1)),"",IF((AND(FIND('112'!$M$9,G1275,1)&gt;=1,$B1275&gt;='112'!$N$8,$B1275&lt;='112'!$O$8,OR($L1275='112'!$I$6,$M1275='112'!$I$6))),"x",""))</f>
        <v/>
      </c>
      <c r="S1275" s="22" t="str">
        <f>IF(ISERROR(FIND('112'!$M$9,G1275,1)),"",IF((AND(LEFT(G1275,2)=LEFT('112'!$M$9,2),B1275&lt;'112'!$N$8,$L1275='112'!$I$6)),"x",""))</f>
        <v/>
      </c>
      <c r="T1275" s="22" t="str">
        <f>IF(ISERROR(FIND('112'!$M$9,G1275,1)),"",IF((AND(RIGHT(G1275,2)=RIGHT('112'!$M$9,2),B1275&lt;'112'!$N$8,$M1275='112'!$I$6)),"x",""))</f>
        <v/>
      </c>
      <c r="U1275" s="22" t="str">
        <f>IF(AND(B1275&gt;='IN-NX'!$P$3,B1275&lt;='IN-NX'!$Q$3,'IN-NX'!$D$7=D1275,OR(LEFT(L1275,2)="15",AND(LEFT(M1275,2)&lt;&gt;"15",LEFT(M1275,2)&lt;&gt;"33"))),"x","")</f>
        <v/>
      </c>
      <c r="V1275" s="22" t="str">
        <f>IF(AND(OR(LEFT(TH!L1275,2)="15",LEFT(TH!M1275,2)="15"),'152-CT'!$J$8=TH!F1275),"x","")</f>
        <v/>
      </c>
      <c r="W1275" s="22" t="str">
        <f>IF(AND(OR(LEFT(TH!L1275,2)="15",LEFT(TH!M1275,2)="15"),TK!$E$7=TH!F1275),"x","")</f>
        <v/>
      </c>
      <c r="X1275" s="22" t="str">
        <f>IF(OR(TH!L1275=TH!$X$7,M1275=TH!$X$7),"x","")</f>
        <v/>
      </c>
      <c r="Y1275" s="22" t="str">
        <f>IF(AND(B1275&lt;=NKC!$N$8,B1275&gt;=NKC!$M$8),"x","")</f>
        <v/>
      </c>
      <c r="Z1275" s="580"/>
      <c r="AA1275" s="588"/>
    </row>
    <row r="1276" spans="1:28" s="589" customFormat="1" ht="15.75" customHeight="1">
      <c r="A1276" s="607" t="str">
        <f>IF(B1276&lt;&gt;"",IF(AND(B1276&gt;=_TM1,B1276&lt;=_TM2,OR(TH!L1276="1111",TH!M1276="1111")),TH!D1276,""),"")</f>
        <v/>
      </c>
      <c r="B1276" s="585">
        <f t="shared" si="62"/>
        <v>10</v>
      </c>
      <c r="C1276" s="586">
        <f t="shared" si="67"/>
        <v>42672</v>
      </c>
      <c r="D1276" s="569" t="s">
        <v>1022</v>
      </c>
      <c r="E1276" s="611">
        <v>42672</v>
      </c>
      <c r="F1276" s="614" t="s">
        <v>673</v>
      </c>
      <c r="G1276" s="612" t="s">
        <v>764</v>
      </c>
      <c r="H1276" s="572" t="s">
        <v>1075</v>
      </c>
      <c r="I1276" s="137">
        <v>55</v>
      </c>
      <c r="J1276" s="137">
        <v>8217.3453429713136</v>
      </c>
      <c r="K1276" s="21">
        <f t="shared" si="66"/>
        <v>451954</v>
      </c>
      <c r="L1276" s="567" t="s">
        <v>167</v>
      </c>
      <c r="M1276" s="567" t="s">
        <v>162</v>
      </c>
      <c r="N1276" s="22" t="str">
        <f>IF(AND('331-CT'!$E$7=TH!H1276,OR(L1276="331",M1276="331")),"331",IF(AND(OR(L1276="131",M1276="131"),H1276='131-CT'!$E$7),"131",""))</f>
        <v/>
      </c>
      <c r="O1276" s="22" t="str">
        <f>IF(AND($B1276&gt;='111'!$N$11,$B1276&lt;='111'!$O$11,OR($L1276=$O$7,$M1276=$O$7)),"x","")</f>
        <v/>
      </c>
      <c r="P1276" s="22" t="str">
        <f>IF(AND($L1276=$O$7,$B1276&lt;'111'!$N$11),"x","")</f>
        <v/>
      </c>
      <c r="Q1276" s="22" t="str">
        <f>IF(AND($M1276=$O$7,$B1276&lt;'111'!$N$11),"x","")</f>
        <v/>
      </c>
      <c r="R1276" s="22" t="str">
        <f>IF(ISERROR(FIND('112'!$M$9,G1276,1)),"",IF((AND(FIND('112'!$M$9,G1276,1)&gt;=1,$B1276&gt;='112'!$N$8,$B1276&lt;='112'!$O$8,OR($L1276='112'!$I$6,$M1276='112'!$I$6))),"x",""))</f>
        <v/>
      </c>
      <c r="S1276" s="22" t="str">
        <f>IF(ISERROR(FIND('112'!$M$9,G1276,1)),"",IF((AND(LEFT(G1276,2)=LEFT('112'!$M$9,2),B1276&lt;'112'!$N$8,$L1276='112'!$I$6)),"x",""))</f>
        <v/>
      </c>
      <c r="T1276" s="22" t="str">
        <f>IF(ISERROR(FIND('112'!$M$9,G1276,1)),"",IF((AND(RIGHT(G1276,2)=RIGHT('112'!$M$9,2),B1276&lt;'112'!$N$8,$M1276='112'!$I$6)),"x",""))</f>
        <v/>
      </c>
      <c r="U1276" s="22" t="str">
        <f>IF(AND(B1276&gt;='IN-NX'!$P$3,B1276&lt;='IN-NX'!$Q$3,'IN-NX'!$D$7=D1276,OR(LEFT(L1276,2)="15",AND(LEFT(M1276,2)&lt;&gt;"15",LEFT(M1276,2)&lt;&gt;"33"))),"x","")</f>
        <v/>
      </c>
      <c r="V1276" s="22" t="str">
        <f>IF(AND(OR(LEFT(TH!L1276,2)="15",LEFT(TH!M1276,2)="15"),'152-CT'!$J$8=TH!F1276),"x","")</f>
        <v/>
      </c>
      <c r="W1276" s="22" t="str">
        <f>IF(AND(OR(LEFT(TH!L1276,2)="15",LEFT(TH!M1276,2)="15"),TK!$E$7=TH!F1276),"x","")</f>
        <v/>
      </c>
      <c r="X1276" s="22" t="str">
        <f>IF(OR(TH!L1276=TH!$X$7,M1276=TH!$X$7),"x","")</f>
        <v/>
      </c>
      <c r="Y1276" s="22" t="str">
        <f>IF(AND(B1276&lt;=NKC!$N$8,B1276&gt;=NKC!$M$8),"x","")</f>
        <v/>
      </c>
      <c r="Z1276" s="580"/>
      <c r="AA1276" s="588"/>
      <c r="AB1276" s="588"/>
    </row>
    <row r="1277" spans="1:28" s="589" customFormat="1" ht="15.75" customHeight="1">
      <c r="A1277" s="607" t="str">
        <f>IF(B1277&lt;&gt;"",IF(AND(B1277&gt;=_TM1,B1277&lt;=_TM2,OR(TH!L1277="1111",TH!M1277="1111")),TH!D1277,""),"")</f>
        <v/>
      </c>
      <c r="B1277" s="585">
        <f t="shared" si="62"/>
        <v>10</v>
      </c>
      <c r="C1277" s="586">
        <f t="shared" si="67"/>
        <v>42672</v>
      </c>
      <c r="D1277" s="569" t="s">
        <v>1022</v>
      </c>
      <c r="E1277" s="611">
        <v>42672</v>
      </c>
      <c r="F1277" s="614" t="s">
        <v>674</v>
      </c>
      <c r="G1277" s="612" t="s">
        <v>765</v>
      </c>
      <c r="H1277" s="572" t="s">
        <v>1075</v>
      </c>
      <c r="I1277" s="137">
        <v>210</v>
      </c>
      <c r="J1277" s="137">
        <v>9206.4702453660066</v>
      </c>
      <c r="K1277" s="21">
        <f t="shared" si="66"/>
        <v>1933359</v>
      </c>
      <c r="L1277" s="567" t="s">
        <v>167</v>
      </c>
      <c r="M1277" s="567" t="s">
        <v>162</v>
      </c>
      <c r="N1277" s="22" t="str">
        <f>IF(AND('331-CT'!$E$7=TH!H1277,OR(L1277="331",M1277="331")),"331",IF(AND(OR(L1277="131",M1277="131"),H1277='131-CT'!$E$7),"131",""))</f>
        <v/>
      </c>
      <c r="O1277" s="22" t="str">
        <f>IF(AND($B1277&gt;='111'!$N$11,$B1277&lt;='111'!$O$11,OR($L1277=$O$7,$M1277=$O$7)),"x","")</f>
        <v/>
      </c>
      <c r="P1277" s="22" t="str">
        <f>IF(AND($L1277=$O$7,$B1277&lt;'111'!$N$11),"x","")</f>
        <v/>
      </c>
      <c r="Q1277" s="22" t="str">
        <f>IF(AND($M1277=$O$7,$B1277&lt;'111'!$N$11),"x","")</f>
        <v/>
      </c>
      <c r="R1277" s="22" t="str">
        <f>IF(ISERROR(FIND('112'!$M$9,G1277,1)),"",IF((AND(FIND('112'!$M$9,G1277,1)&gt;=1,$B1277&gt;='112'!$N$8,$B1277&lt;='112'!$O$8,OR($L1277='112'!$I$6,$M1277='112'!$I$6))),"x",""))</f>
        <v/>
      </c>
      <c r="S1277" s="22" t="str">
        <f>IF(ISERROR(FIND('112'!$M$9,G1277,1)),"",IF((AND(LEFT(G1277,2)=LEFT('112'!$M$9,2),B1277&lt;'112'!$N$8,$L1277='112'!$I$6)),"x",""))</f>
        <v/>
      </c>
      <c r="T1277" s="22" t="str">
        <f>IF(ISERROR(FIND('112'!$M$9,G1277,1)),"",IF((AND(RIGHT(G1277,2)=RIGHT('112'!$M$9,2),B1277&lt;'112'!$N$8,$M1277='112'!$I$6)),"x",""))</f>
        <v/>
      </c>
      <c r="U1277" s="22" t="str">
        <f>IF(AND(B1277&gt;='IN-NX'!$P$3,B1277&lt;='IN-NX'!$Q$3,'IN-NX'!$D$7=D1277,OR(LEFT(L1277,2)="15",AND(LEFT(M1277,2)&lt;&gt;"15",LEFT(M1277,2)&lt;&gt;"33"))),"x","")</f>
        <v/>
      </c>
      <c r="V1277" s="22" t="str">
        <f>IF(AND(OR(LEFT(TH!L1277,2)="15",LEFT(TH!M1277,2)="15"),'152-CT'!$J$8=TH!F1277),"x","")</f>
        <v/>
      </c>
      <c r="W1277" s="22" t="str">
        <f>IF(AND(OR(LEFT(TH!L1277,2)="15",LEFT(TH!M1277,2)="15"),TK!$E$7=TH!F1277),"x","")</f>
        <v/>
      </c>
      <c r="X1277" s="22" t="str">
        <f>IF(OR(TH!L1277=TH!$X$7,M1277=TH!$X$7),"x","")</f>
        <v/>
      </c>
      <c r="Y1277" s="22" t="str">
        <f>IF(AND(B1277&lt;=NKC!$N$8,B1277&gt;=NKC!$M$8),"x","")</f>
        <v/>
      </c>
      <c r="Z1277" s="580"/>
      <c r="AA1277" s="588"/>
      <c r="AB1277" s="588"/>
    </row>
    <row r="1278" spans="1:28" s="589" customFormat="1" ht="15.75" customHeight="1">
      <c r="A1278" s="607" t="str">
        <f>IF(B1278&lt;&gt;"",IF(AND(B1278&gt;=_TM1,B1278&lt;=_TM2,OR(TH!L1278="1111",TH!M1278="1111")),TH!D1278,""),"")</f>
        <v/>
      </c>
      <c r="B1278" s="585">
        <f t="shared" si="62"/>
        <v>10</v>
      </c>
      <c r="C1278" s="586">
        <f t="shared" si="67"/>
        <v>42672</v>
      </c>
      <c r="D1278" s="569" t="s">
        <v>1022</v>
      </c>
      <c r="E1278" s="611">
        <v>42672</v>
      </c>
      <c r="F1278" s="614" t="s">
        <v>675</v>
      </c>
      <c r="G1278" s="612" t="s">
        <v>765</v>
      </c>
      <c r="H1278" s="572" t="s">
        <v>1075</v>
      </c>
      <c r="I1278" s="137">
        <v>160</v>
      </c>
      <c r="J1278" s="137">
        <v>13315.142916851664</v>
      </c>
      <c r="K1278" s="21">
        <f t="shared" si="66"/>
        <v>2130423</v>
      </c>
      <c r="L1278" s="567" t="s">
        <v>167</v>
      </c>
      <c r="M1278" s="567" t="s">
        <v>162</v>
      </c>
      <c r="N1278" s="22" t="str">
        <f>IF(AND('331-CT'!$E$7=TH!H1278,OR(L1278="331",M1278="331")),"331",IF(AND(OR(L1278="131",M1278="131"),H1278='131-CT'!$E$7),"131",""))</f>
        <v/>
      </c>
      <c r="O1278" s="22" t="str">
        <f>IF(AND($B1278&gt;='111'!$N$11,$B1278&lt;='111'!$O$11,OR($L1278=$O$7,$M1278=$O$7)),"x","")</f>
        <v/>
      </c>
      <c r="P1278" s="22" t="str">
        <f>IF(AND($L1278=$O$7,$B1278&lt;'111'!$N$11),"x","")</f>
        <v/>
      </c>
      <c r="Q1278" s="22" t="str">
        <f>IF(AND($M1278=$O$7,$B1278&lt;'111'!$N$11),"x","")</f>
        <v/>
      </c>
      <c r="R1278" s="22" t="str">
        <f>IF(ISERROR(FIND('112'!$M$9,G1278,1)),"",IF((AND(FIND('112'!$M$9,G1278,1)&gt;=1,$B1278&gt;='112'!$N$8,$B1278&lt;='112'!$O$8,OR($L1278='112'!$I$6,$M1278='112'!$I$6))),"x",""))</f>
        <v/>
      </c>
      <c r="S1278" s="22" t="str">
        <f>IF(ISERROR(FIND('112'!$M$9,G1278,1)),"",IF((AND(LEFT(G1278,2)=LEFT('112'!$M$9,2),B1278&lt;'112'!$N$8,$L1278='112'!$I$6)),"x",""))</f>
        <v/>
      </c>
      <c r="T1278" s="22" t="str">
        <f>IF(ISERROR(FIND('112'!$M$9,G1278,1)),"",IF((AND(RIGHT(G1278,2)=RIGHT('112'!$M$9,2),B1278&lt;'112'!$N$8,$M1278='112'!$I$6)),"x",""))</f>
        <v/>
      </c>
      <c r="U1278" s="22" t="str">
        <f>IF(AND(B1278&gt;='IN-NX'!$P$3,B1278&lt;='IN-NX'!$Q$3,'IN-NX'!$D$7=D1278,OR(LEFT(L1278,2)="15",AND(LEFT(M1278,2)&lt;&gt;"15",LEFT(M1278,2)&lt;&gt;"33"))),"x","")</f>
        <v/>
      </c>
      <c r="V1278" s="22" t="str">
        <f>IF(AND(OR(LEFT(TH!L1278,2)="15",LEFT(TH!M1278,2)="15"),'152-CT'!$J$8=TH!F1278),"x","")</f>
        <v/>
      </c>
      <c r="W1278" s="22" t="str">
        <f>IF(AND(OR(LEFT(TH!L1278,2)="15",LEFT(TH!M1278,2)="15"),TK!$E$7=TH!F1278),"x","")</f>
        <v/>
      </c>
      <c r="X1278" s="22" t="str">
        <f>IF(OR(TH!L1278=TH!$X$7,M1278=TH!$X$7),"x","")</f>
        <v/>
      </c>
      <c r="Y1278" s="22" t="str">
        <f>IF(AND(B1278&lt;=NKC!$N$8,B1278&gt;=NKC!$M$8),"x","")</f>
        <v/>
      </c>
      <c r="Z1278" s="580"/>
      <c r="AA1278" s="588"/>
      <c r="AB1278" s="588"/>
    </row>
    <row r="1279" spans="1:28" s="589" customFormat="1" ht="15.75" customHeight="1">
      <c r="A1279" s="607" t="str">
        <f>IF(B1279&lt;&gt;"",IF(AND(B1279&gt;=_TM1,B1279&lt;=_TM2,OR(TH!L1279="1111",TH!M1279="1111")),TH!D1279,""),"")</f>
        <v/>
      </c>
      <c r="B1279" s="585">
        <f t="shared" si="62"/>
        <v>10</v>
      </c>
      <c r="C1279" s="586">
        <f t="shared" si="67"/>
        <v>42672</v>
      </c>
      <c r="D1279" s="569" t="s">
        <v>1022</v>
      </c>
      <c r="E1279" s="611">
        <v>42672</v>
      </c>
      <c r="F1279" s="614" t="s">
        <v>500</v>
      </c>
      <c r="G1279" s="612" t="s">
        <v>765</v>
      </c>
      <c r="H1279" s="572" t="s">
        <v>1075</v>
      </c>
      <c r="I1279" s="137">
        <v>160</v>
      </c>
      <c r="J1279" s="137">
        <v>9739.075962040075</v>
      </c>
      <c r="K1279" s="21">
        <f t="shared" si="66"/>
        <v>1558252</v>
      </c>
      <c r="L1279" s="567" t="s">
        <v>167</v>
      </c>
      <c r="M1279" s="567" t="s">
        <v>162</v>
      </c>
      <c r="N1279" s="22" t="str">
        <f>IF(AND('331-CT'!$E$7=TH!H1279,OR(L1279="331",M1279="331")),"331",IF(AND(OR(L1279="131",M1279="131"),H1279='131-CT'!$E$7),"131",""))</f>
        <v/>
      </c>
      <c r="O1279" s="22" t="str">
        <f>IF(AND($B1279&gt;='111'!$N$11,$B1279&lt;='111'!$O$11,OR($L1279=$O$7,$M1279=$O$7)),"x","")</f>
        <v/>
      </c>
      <c r="P1279" s="22" t="str">
        <f>IF(AND($L1279=$O$7,$B1279&lt;'111'!$N$11),"x","")</f>
        <v/>
      </c>
      <c r="Q1279" s="22" t="str">
        <f>IF(AND($M1279=$O$7,$B1279&lt;'111'!$N$11),"x","")</f>
        <v/>
      </c>
      <c r="R1279" s="22" t="str">
        <f>IF(ISERROR(FIND('112'!$M$9,G1279,1)),"",IF((AND(FIND('112'!$M$9,G1279,1)&gt;=1,$B1279&gt;='112'!$N$8,$B1279&lt;='112'!$O$8,OR($L1279='112'!$I$6,$M1279='112'!$I$6))),"x",""))</f>
        <v/>
      </c>
      <c r="S1279" s="22" t="str">
        <f>IF(ISERROR(FIND('112'!$M$9,G1279,1)),"",IF((AND(LEFT(G1279,2)=LEFT('112'!$M$9,2),B1279&lt;'112'!$N$8,$L1279='112'!$I$6)),"x",""))</f>
        <v/>
      </c>
      <c r="T1279" s="22" t="str">
        <f>IF(ISERROR(FIND('112'!$M$9,G1279,1)),"",IF((AND(RIGHT(G1279,2)=RIGHT('112'!$M$9,2),B1279&lt;'112'!$N$8,$M1279='112'!$I$6)),"x",""))</f>
        <v/>
      </c>
      <c r="U1279" s="22" t="str">
        <f>IF(AND(B1279&gt;='IN-NX'!$P$3,B1279&lt;='IN-NX'!$Q$3,'IN-NX'!$D$7=D1279,OR(LEFT(L1279,2)="15",AND(LEFT(M1279,2)&lt;&gt;"15",LEFT(M1279,2)&lt;&gt;"33"))),"x","")</f>
        <v/>
      </c>
      <c r="V1279" s="22" t="str">
        <f>IF(AND(OR(LEFT(TH!L1279,2)="15",LEFT(TH!M1279,2)="15"),'152-CT'!$J$8=TH!F1279),"x","")</f>
        <v/>
      </c>
      <c r="W1279" s="22" t="str">
        <f>IF(AND(OR(LEFT(TH!L1279,2)="15",LEFT(TH!M1279,2)="15"),TK!$E$7=TH!F1279),"x","")</f>
        <v/>
      </c>
      <c r="X1279" s="22" t="str">
        <f>IF(OR(TH!L1279=TH!$X$7,M1279=TH!$X$7),"x","")</f>
        <v/>
      </c>
      <c r="Y1279" s="22" t="str">
        <f>IF(AND(B1279&lt;=NKC!$N$8,B1279&gt;=NKC!$M$8),"x","")</f>
        <v/>
      </c>
      <c r="Z1279" s="580"/>
      <c r="AA1279" s="588"/>
    </row>
    <row r="1280" spans="1:28" s="589" customFormat="1" ht="15.75" customHeight="1">
      <c r="A1280" s="607" t="str">
        <f>IF(B1280&lt;&gt;"",IF(AND(B1280&gt;=_TM1,B1280&lt;=_TM2,OR(TH!L1280="1111",TH!M1280="1111")),TH!D1280,""),"")</f>
        <v/>
      </c>
      <c r="B1280" s="585">
        <f t="shared" si="62"/>
        <v>10</v>
      </c>
      <c r="C1280" s="586">
        <f t="shared" si="67"/>
        <v>42672</v>
      </c>
      <c r="D1280" s="569" t="s">
        <v>1022</v>
      </c>
      <c r="E1280" s="611">
        <v>42672</v>
      </c>
      <c r="F1280" s="614" t="s">
        <v>676</v>
      </c>
      <c r="G1280" s="612" t="s">
        <v>765</v>
      </c>
      <c r="H1280" s="572" t="s">
        <v>1075</v>
      </c>
      <c r="I1280" s="137">
        <v>160</v>
      </c>
      <c r="J1280" s="137">
        <v>8217.3453429713136</v>
      </c>
      <c r="K1280" s="21">
        <f t="shared" si="66"/>
        <v>1314775</v>
      </c>
      <c r="L1280" s="567" t="s">
        <v>167</v>
      </c>
      <c r="M1280" s="567" t="s">
        <v>162</v>
      </c>
      <c r="N1280" s="22" t="str">
        <f>IF(AND('331-CT'!$E$7=TH!H1280,OR(L1280="331",M1280="331")),"331",IF(AND(OR(L1280="131",M1280="131"),H1280='131-CT'!$E$7),"131",""))</f>
        <v/>
      </c>
      <c r="O1280" s="22" t="str">
        <f>IF(AND($B1280&gt;='111'!$N$11,$B1280&lt;='111'!$O$11,OR($L1280=$O$7,$M1280=$O$7)),"x","")</f>
        <v/>
      </c>
      <c r="P1280" s="22" t="str">
        <f>IF(AND($L1280=$O$7,$B1280&lt;'111'!$N$11),"x","")</f>
        <v/>
      </c>
      <c r="Q1280" s="22" t="str">
        <f>IF(AND($M1280=$O$7,$B1280&lt;'111'!$N$11),"x","")</f>
        <v/>
      </c>
      <c r="R1280" s="22" t="str">
        <f>IF(ISERROR(FIND('112'!$M$9,G1280,1)),"",IF((AND(FIND('112'!$M$9,G1280,1)&gt;=1,$B1280&gt;='112'!$N$8,$B1280&lt;='112'!$O$8,OR($L1280='112'!$I$6,$M1280='112'!$I$6))),"x",""))</f>
        <v/>
      </c>
      <c r="S1280" s="22" t="str">
        <f>IF(ISERROR(FIND('112'!$M$9,G1280,1)),"",IF((AND(LEFT(G1280,2)=LEFT('112'!$M$9,2),B1280&lt;'112'!$N$8,$L1280='112'!$I$6)),"x",""))</f>
        <v/>
      </c>
      <c r="T1280" s="22" t="str">
        <f>IF(ISERROR(FIND('112'!$M$9,G1280,1)),"",IF((AND(RIGHT(G1280,2)=RIGHT('112'!$M$9,2),B1280&lt;'112'!$N$8,$M1280='112'!$I$6)),"x",""))</f>
        <v/>
      </c>
      <c r="U1280" s="22" t="str">
        <f>IF(AND(B1280&gt;='IN-NX'!$P$3,B1280&lt;='IN-NX'!$Q$3,'IN-NX'!$D$7=D1280,OR(LEFT(L1280,2)="15",AND(LEFT(M1280,2)&lt;&gt;"15",LEFT(M1280,2)&lt;&gt;"33"))),"x","")</f>
        <v/>
      </c>
      <c r="V1280" s="22" t="str">
        <f>IF(AND(OR(LEFT(TH!L1280,2)="15",LEFT(TH!M1280,2)="15"),'152-CT'!$J$8=TH!F1280),"x","")</f>
        <v/>
      </c>
      <c r="W1280" s="22" t="str">
        <f>IF(AND(OR(LEFT(TH!L1280,2)="15",LEFT(TH!M1280,2)="15"),TK!$E$7=TH!F1280),"x","")</f>
        <v/>
      </c>
      <c r="X1280" s="22" t="str">
        <f>IF(OR(TH!L1280=TH!$X$7,M1280=TH!$X$7),"x","")</f>
        <v/>
      </c>
      <c r="Y1280" s="22" t="str">
        <f>IF(AND(B1280&lt;=NKC!$N$8,B1280&gt;=NKC!$M$8),"x","")</f>
        <v/>
      </c>
      <c r="Z1280" s="580"/>
      <c r="AA1280" s="588"/>
      <c r="AB1280" s="588"/>
    </row>
    <row r="1281" spans="1:28" s="589" customFormat="1" ht="15.75" customHeight="1">
      <c r="A1281" s="607" t="str">
        <f>IF(B1281&lt;&gt;"",IF(AND(B1281&gt;=_TM1,B1281&lt;=_TM2,OR(TH!L1281="1111",TH!M1281="1111")),TH!D1281,""),"")</f>
        <v/>
      </c>
      <c r="B1281" s="585">
        <f t="shared" si="62"/>
        <v>10</v>
      </c>
      <c r="C1281" s="586">
        <f t="shared" si="67"/>
        <v>42672</v>
      </c>
      <c r="D1281" s="569" t="s">
        <v>1022</v>
      </c>
      <c r="E1281" s="611">
        <v>42672</v>
      </c>
      <c r="F1281" s="614" t="s">
        <v>677</v>
      </c>
      <c r="G1281" s="612" t="s">
        <v>765</v>
      </c>
      <c r="H1281" s="572" t="s">
        <v>1075</v>
      </c>
      <c r="I1281" s="137">
        <v>103</v>
      </c>
      <c r="J1281" s="137">
        <v>9510.8163691797599</v>
      </c>
      <c r="K1281" s="21">
        <f t="shared" si="66"/>
        <v>979614</v>
      </c>
      <c r="L1281" s="567" t="s">
        <v>167</v>
      </c>
      <c r="M1281" s="567" t="s">
        <v>162</v>
      </c>
      <c r="N1281" s="22" t="str">
        <f>IF(AND('331-CT'!$E$7=TH!H1281,OR(L1281="331",M1281="331")),"331",IF(AND(OR(L1281="131",M1281="131"),H1281='131-CT'!$E$7),"131",""))</f>
        <v/>
      </c>
      <c r="O1281" s="22" t="str">
        <f>IF(AND($B1281&gt;='111'!$N$11,$B1281&lt;='111'!$O$11,OR($L1281=$O$7,$M1281=$O$7)),"x","")</f>
        <v/>
      </c>
      <c r="P1281" s="22" t="str">
        <f>IF(AND($L1281=$O$7,$B1281&lt;'111'!$N$11),"x","")</f>
        <v/>
      </c>
      <c r="Q1281" s="22" t="str">
        <f>IF(AND($M1281=$O$7,$B1281&lt;'111'!$N$11),"x","")</f>
        <v/>
      </c>
      <c r="R1281" s="22" t="str">
        <f>IF(ISERROR(FIND('112'!$M$9,G1281,1)),"",IF((AND(FIND('112'!$M$9,G1281,1)&gt;=1,$B1281&gt;='112'!$N$8,$B1281&lt;='112'!$O$8,OR($L1281='112'!$I$6,$M1281='112'!$I$6))),"x",""))</f>
        <v/>
      </c>
      <c r="S1281" s="22" t="str">
        <f>IF(ISERROR(FIND('112'!$M$9,G1281,1)),"",IF((AND(LEFT(G1281,2)=LEFT('112'!$M$9,2),B1281&lt;'112'!$N$8,$L1281='112'!$I$6)),"x",""))</f>
        <v/>
      </c>
      <c r="T1281" s="22" t="str">
        <f>IF(ISERROR(FIND('112'!$M$9,G1281,1)),"",IF((AND(RIGHT(G1281,2)=RIGHT('112'!$M$9,2),B1281&lt;'112'!$N$8,$M1281='112'!$I$6)),"x",""))</f>
        <v/>
      </c>
      <c r="U1281" s="22" t="str">
        <f>IF(AND(B1281&gt;='IN-NX'!$P$3,B1281&lt;='IN-NX'!$Q$3,'IN-NX'!$D$7=D1281,OR(LEFT(L1281,2)="15",AND(LEFT(M1281,2)&lt;&gt;"15",LEFT(M1281,2)&lt;&gt;"33"))),"x","")</f>
        <v/>
      </c>
      <c r="V1281" s="22" t="str">
        <f>IF(AND(OR(LEFT(TH!L1281,2)="15",LEFT(TH!M1281,2)="15"),'152-CT'!$J$8=TH!F1281),"x","")</f>
        <v/>
      </c>
      <c r="W1281" s="22" t="str">
        <f>IF(AND(OR(LEFT(TH!L1281,2)="15",LEFT(TH!M1281,2)="15"),TK!$E$7=TH!F1281),"x","")</f>
        <v/>
      </c>
      <c r="X1281" s="22" t="str">
        <f>IF(OR(TH!L1281=TH!$X$7,M1281=TH!$X$7),"x","")</f>
        <v/>
      </c>
      <c r="Y1281" s="22" t="str">
        <f>IF(AND(B1281&lt;=NKC!$N$8,B1281&gt;=NKC!$M$8),"x","")</f>
        <v/>
      </c>
      <c r="Z1281" s="580"/>
      <c r="AA1281" s="588"/>
    </row>
    <row r="1282" spans="1:28" s="589" customFormat="1" ht="15.75" customHeight="1">
      <c r="A1282" s="607" t="str">
        <f>IF(B1282&lt;&gt;"",IF(AND(B1282&gt;=_TM1,B1282&lt;=_TM2,OR(TH!L1282="1111",TH!M1282="1111")),TH!D1282,""),"")</f>
        <v/>
      </c>
      <c r="B1282" s="585">
        <f t="shared" si="62"/>
        <v>10</v>
      </c>
      <c r="C1282" s="586">
        <f t="shared" si="67"/>
        <v>42672</v>
      </c>
      <c r="D1282" s="569" t="s">
        <v>1022</v>
      </c>
      <c r="E1282" s="611">
        <v>42672</v>
      </c>
      <c r="F1282" s="614" t="s">
        <v>678</v>
      </c>
      <c r="G1282" s="612" t="s">
        <v>765</v>
      </c>
      <c r="H1282" s="572" t="s">
        <v>1075</v>
      </c>
      <c r="I1282" s="137">
        <v>7</v>
      </c>
      <c r="J1282" s="137">
        <v>10423.854740621018</v>
      </c>
      <c r="K1282" s="21">
        <f t="shared" si="66"/>
        <v>72967</v>
      </c>
      <c r="L1282" s="567" t="s">
        <v>167</v>
      </c>
      <c r="M1282" s="567" t="s">
        <v>162</v>
      </c>
      <c r="N1282" s="22" t="str">
        <f>IF(AND('331-CT'!$E$7=TH!H1282,OR(L1282="331",M1282="331")),"331",IF(AND(OR(L1282="131",M1282="131"),H1282='131-CT'!$E$7),"131",""))</f>
        <v/>
      </c>
      <c r="O1282" s="22" t="str">
        <f>IF(AND($B1282&gt;='111'!$N$11,$B1282&lt;='111'!$O$11,OR($L1282=$O$7,$M1282=$O$7)),"x","")</f>
        <v/>
      </c>
      <c r="P1282" s="22" t="str">
        <f>IF(AND($L1282=$O$7,$B1282&lt;'111'!$N$11),"x","")</f>
        <v/>
      </c>
      <c r="Q1282" s="22" t="str">
        <f>IF(AND($M1282=$O$7,$B1282&lt;'111'!$N$11),"x","")</f>
        <v/>
      </c>
      <c r="R1282" s="22" t="str">
        <f>IF(ISERROR(FIND('112'!$M$9,G1282,1)),"",IF((AND(FIND('112'!$M$9,G1282,1)&gt;=1,$B1282&gt;='112'!$N$8,$B1282&lt;='112'!$O$8,OR($L1282='112'!$I$6,$M1282='112'!$I$6))),"x",""))</f>
        <v/>
      </c>
      <c r="S1282" s="22" t="str">
        <f>IF(ISERROR(FIND('112'!$M$9,G1282,1)),"",IF((AND(LEFT(G1282,2)=LEFT('112'!$M$9,2),B1282&lt;'112'!$N$8,$L1282='112'!$I$6)),"x",""))</f>
        <v/>
      </c>
      <c r="T1282" s="22" t="str">
        <f>IF(ISERROR(FIND('112'!$M$9,G1282,1)),"",IF((AND(RIGHT(G1282,2)=RIGHT('112'!$M$9,2),B1282&lt;'112'!$N$8,$M1282='112'!$I$6)),"x",""))</f>
        <v/>
      </c>
      <c r="U1282" s="22" t="str">
        <f>IF(AND(B1282&gt;='IN-NX'!$P$3,B1282&lt;='IN-NX'!$Q$3,'IN-NX'!$D$7=D1282,OR(LEFT(L1282,2)="15",AND(LEFT(M1282,2)&lt;&gt;"15",LEFT(M1282,2)&lt;&gt;"33"))),"x","")</f>
        <v/>
      </c>
      <c r="V1282" s="22" t="str">
        <f>IF(AND(OR(LEFT(TH!L1282,2)="15",LEFT(TH!M1282,2)="15"),'152-CT'!$J$8=TH!F1282),"x","")</f>
        <v/>
      </c>
      <c r="W1282" s="22" t="str">
        <f>IF(AND(OR(LEFT(TH!L1282,2)="15",LEFT(TH!M1282,2)="15"),TK!$E$7=TH!F1282),"x","")</f>
        <v/>
      </c>
      <c r="X1282" s="22" t="str">
        <f>IF(OR(TH!L1282=TH!$X$7,M1282=TH!$X$7),"x","")</f>
        <v/>
      </c>
      <c r="Y1282" s="22" t="str">
        <f>IF(AND(B1282&lt;=NKC!$N$8,B1282&gt;=NKC!$M$8),"x","")</f>
        <v/>
      </c>
      <c r="Z1282" s="580"/>
      <c r="AA1282" s="588"/>
      <c r="AB1282" s="588"/>
    </row>
    <row r="1283" spans="1:28" s="589" customFormat="1" ht="15.75" customHeight="1">
      <c r="A1283" s="607" t="str">
        <f>IF(B1283&lt;&gt;"",IF(AND(B1283&gt;=_TM1,B1283&lt;=_TM2,OR(TH!L1283="1111",TH!M1283="1111")),TH!D1283,""),"")</f>
        <v/>
      </c>
      <c r="B1283" s="585">
        <f t="shared" si="62"/>
        <v>10</v>
      </c>
      <c r="C1283" s="586">
        <f t="shared" si="67"/>
        <v>42672</v>
      </c>
      <c r="D1283" s="569" t="s">
        <v>1022</v>
      </c>
      <c r="E1283" s="611">
        <v>42672</v>
      </c>
      <c r="F1283" s="614" t="s">
        <v>679</v>
      </c>
      <c r="G1283" s="612" t="s">
        <v>765</v>
      </c>
      <c r="H1283" s="572" t="s">
        <v>1075</v>
      </c>
      <c r="I1283" s="137">
        <v>105</v>
      </c>
      <c r="J1283" s="137">
        <v>7989.0857501109986</v>
      </c>
      <c r="K1283" s="21">
        <f t="shared" si="66"/>
        <v>838854</v>
      </c>
      <c r="L1283" s="567" t="s">
        <v>167</v>
      </c>
      <c r="M1283" s="567" t="s">
        <v>162</v>
      </c>
      <c r="N1283" s="22" t="str">
        <f>IF(AND('331-CT'!$E$7=TH!H1283,OR(L1283="331",M1283="331")),"331",IF(AND(OR(L1283="131",M1283="131"),H1283='131-CT'!$E$7),"131",""))</f>
        <v/>
      </c>
      <c r="O1283" s="22" t="str">
        <f>IF(AND($B1283&gt;='111'!$N$11,$B1283&lt;='111'!$O$11,OR($L1283=$O$7,$M1283=$O$7)),"x","")</f>
        <v/>
      </c>
      <c r="P1283" s="22" t="str">
        <f>IF(AND($L1283=$O$7,$B1283&lt;'111'!$N$11),"x","")</f>
        <v/>
      </c>
      <c r="Q1283" s="22" t="str">
        <f>IF(AND($M1283=$O$7,$B1283&lt;'111'!$N$11),"x","")</f>
        <v/>
      </c>
      <c r="R1283" s="22" t="str">
        <f>IF(ISERROR(FIND('112'!$M$9,G1283,1)),"",IF((AND(FIND('112'!$M$9,G1283,1)&gt;=1,$B1283&gt;='112'!$N$8,$B1283&lt;='112'!$O$8,OR($L1283='112'!$I$6,$M1283='112'!$I$6))),"x",""))</f>
        <v/>
      </c>
      <c r="S1283" s="22" t="str">
        <f>IF(ISERROR(FIND('112'!$M$9,G1283,1)),"",IF((AND(LEFT(G1283,2)=LEFT('112'!$M$9,2),B1283&lt;'112'!$N$8,$L1283='112'!$I$6)),"x",""))</f>
        <v/>
      </c>
      <c r="T1283" s="22" t="str">
        <f>IF(ISERROR(FIND('112'!$M$9,G1283,1)),"",IF((AND(RIGHT(G1283,2)=RIGHT('112'!$M$9,2),B1283&lt;'112'!$N$8,$M1283='112'!$I$6)),"x",""))</f>
        <v/>
      </c>
      <c r="U1283" s="22" t="str">
        <f>IF(AND(B1283&gt;='IN-NX'!$P$3,B1283&lt;='IN-NX'!$Q$3,'IN-NX'!$D$7=D1283,OR(LEFT(L1283,2)="15",AND(LEFT(M1283,2)&lt;&gt;"15",LEFT(M1283,2)&lt;&gt;"33"))),"x","")</f>
        <v/>
      </c>
      <c r="V1283" s="22" t="str">
        <f>IF(AND(OR(LEFT(TH!L1283,2)="15",LEFT(TH!M1283,2)="15"),'152-CT'!$J$8=TH!F1283),"x","")</f>
        <v/>
      </c>
      <c r="W1283" s="22" t="str">
        <f>IF(AND(OR(LEFT(TH!L1283,2)="15",LEFT(TH!M1283,2)="15"),TK!$E$7=TH!F1283),"x","")</f>
        <v/>
      </c>
      <c r="X1283" s="22" t="str">
        <f>IF(OR(TH!L1283=TH!$X$7,M1283=TH!$X$7),"x","")</f>
        <v/>
      </c>
      <c r="Y1283" s="22" t="str">
        <f>IF(AND(B1283&lt;=NKC!$N$8,B1283&gt;=NKC!$M$8),"x","")</f>
        <v/>
      </c>
      <c r="Z1283" s="580"/>
      <c r="AA1283" s="588"/>
    </row>
    <row r="1284" spans="1:28" s="589" customFormat="1" ht="15.75" customHeight="1">
      <c r="A1284" s="607" t="str">
        <f>IF(B1284&lt;&gt;"",IF(AND(B1284&gt;=_TM1,B1284&lt;=_TM2,OR(TH!L1284="1111",TH!M1284="1111")),TH!D1284,""),"")</f>
        <v/>
      </c>
      <c r="B1284" s="585">
        <f t="shared" si="62"/>
        <v>10</v>
      </c>
      <c r="C1284" s="586">
        <f t="shared" si="67"/>
        <v>42672</v>
      </c>
      <c r="D1284" s="569" t="s">
        <v>1022</v>
      </c>
      <c r="E1284" s="611">
        <v>42672</v>
      </c>
      <c r="F1284" s="614" t="s">
        <v>680</v>
      </c>
      <c r="G1284" s="612" t="s">
        <v>765</v>
      </c>
      <c r="H1284" s="572" t="s">
        <v>1075</v>
      </c>
      <c r="I1284" s="137">
        <v>110</v>
      </c>
      <c r="J1284" s="137">
        <v>8597.7779977385017</v>
      </c>
      <c r="K1284" s="21">
        <f t="shared" si="66"/>
        <v>945756</v>
      </c>
      <c r="L1284" s="567" t="s">
        <v>167</v>
      </c>
      <c r="M1284" s="567" t="s">
        <v>162</v>
      </c>
      <c r="N1284" s="22" t="str">
        <f>IF(AND('331-CT'!$E$7=TH!H1284,OR(L1284="331",M1284="331")),"331",IF(AND(OR(L1284="131",M1284="131"),H1284='131-CT'!$E$7),"131",""))</f>
        <v/>
      </c>
      <c r="O1284" s="22" t="str">
        <f>IF(AND($B1284&gt;='111'!$N$11,$B1284&lt;='111'!$O$11,OR($L1284=$O$7,$M1284=$O$7)),"x","")</f>
        <v/>
      </c>
      <c r="P1284" s="22" t="str">
        <f>IF(AND($L1284=$O$7,$B1284&lt;'111'!$N$11),"x","")</f>
        <v/>
      </c>
      <c r="Q1284" s="22" t="str">
        <f>IF(AND($M1284=$O$7,$B1284&lt;'111'!$N$11),"x","")</f>
        <v/>
      </c>
      <c r="R1284" s="22" t="str">
        <f>IF(ISERROR(FIND('112'!$M$9,G1284,1)),"",IF((AND(FIND('112'!$M$9,G1284,1)&gt;=1,$B1284&gt;='112'!$N$8,$B1284&lt;='112'!$O$8,OR($L1284='112'!$I$6,$M1284='112'!$I$6))),"x",""))</f>
        <v/>
      </c>
      <c r="S1284" s="22" t="str">
        <f>IF(ISERROR(FIND('112'!$M$9,G1284,1)),"",IF((AND(LEFT(G1284,2)=LEFT('112'!$M$9,2),B1284&lt;'112'!$N$8,$L1284='112'!$I$6)),"x",""))</f>
        <v/>
      </c>
      <c r="T1284" s="22" t="str">
        <f>IF(ISERROR(FIND('112'!$M$9,G1284,1)),"",IF((AND(RIGHT(G1284,2)=RIGHT('112'!$M$9,2),B1284&lt;'112'!$N$8,$M1284='112'!$I$6)),"x",""))</f>
        <v/>
      </c>
      <c r="U1284" s="22" t="str">
        <f>IF(AND(B1284&gt;='IN-NX'!$P$3,B1284&lt;='IN-NX'!$Q$3,'IN-NX'!$D$7=D1284,OR(LEFT(L1284,2)="15",AND(LEFT(M1284,2)&lt;&gt;"15",LEFT(M1284,2)&lt;&gt;"33"))),"x","")</f>
        <v/>
      </c>
      <c r="V1284" s="22" t="str">
        <f>IF(AND(OR(LEFT(TH!L1284,2)="15",LEFT(TH!M1284,2)="15"),'152-CT'!$J$8=TH!F1284),"x","")</f>
        <v/>
      </c>
      <c r="W1284" s="22" t="str">
        <f>IF(AND(OR(LEFT(TH!L1284,2)="15",LEFT(TH!M1284,2)="15"),TK!$E$7=TH!F1284),"x","")</f>
        <v/>
      </c>
      <c r="X1284" s="22" t="str">
        <f>IF(OR(TH!L1284=TH!$X$7,M1284=TH!$X$7),"x","")</f>
        <v/>
      </c>
      <c r="Y1284" s="22" t="str">
        <f>IF(AND(B1284&lt;=NKC!$N$8,B1284&gt;=NKC!$M$8),"x","")</f>
        <v/>
      </c>
      <c r="Z1284" s="580"/>
      <c r="AA1284" s="588"/>
      <c r="AB1284" s="588"/>
    </row>
    <row r="1285" spans="1:28" s="589" customFormat="1" ht="15.75" customHeight="1">
      <c r="A1285" s="607" t="str">
        <f>IF(B1285&lt;&gt;"",IF(AND(B1285&gt;=_TM1,B1285&lt;=_TM2,OR(TH!L1285="1111",TH!M1285="1111")),TH!D1285,""),"")</f>
        <v/>
      </c>
      <c r="B1285" s="585">
        <f t="shared" si="62"/>
        <v>11</v>
      </c>
      <c r="C1285" s="586">
        <f t="shared" si="67"/>
        <v>42682</v>
      </c>
      <c r="D1285" s="569" t="s">
        <v>1022</v>
      </c>
      <c r="E1285" s="611">
        <v>42682</v>
      </c>
      <c r="F1285" s="614" t="s">
        <v>502</v>
      </c>
      <c r="G1285" s="612" t="s">
        <v>766</v>
      </c>
      <c r="H1285" s="572" t="s">
        <v>1075</v>
      </c>
      <c r="I1285" s="591">
        <v>300</v>
      </c>
      <c r="J1285" s="591">
        <v>8673.86452869194</v>
      </c>
      <c r="K1285" s="21">
        <f t="shared" si="66"/>
        <v>2602159</v>
      </c>
      <c r="L1285" s="567" t="s">
        <v>167</v>
      </c>
      <c r="M1285" s="567" t="s">
        <v>162</v>
      </c>
      <c r="N1285" s="22" t="str">
        <f>IF(AND('331-CT'!$E$7=TH!H1285,OR(L1285="331",M1285="331")),"331",IF(AND(OR(L1285="131",M1285="131"),H1285='131-CT'!$E$7),"131",""))</f>
        <v/>
      </c>
      <c r="O1285" s="22" t="str">
        <f>IF(AND($B1285&gt;='111'!$N$11,$B1285&lt;='111'!$O$11,OR($L1285=$O$7,$M1285=$O$7)),"x","")</f>
        <v/>
      </c>
      <c r="P1285" s="22" t="str">
        <f>IF(AND($L1285=$O$7,$B1285&lt;'111'!$N$11),"x","")</f>
        <v/>
      </c>
      <c r="Q1285" s="22" t="str">
        <f>IF(AND($M1285=$O$7,$B1285&lt;'111'!$N$11),"x","")</f>
        <v/>
      </c>
      <c r="R1285" s="22" t="str">
        <f>IF(ISERROR(FIND('112'!$M$9,G1285,1)),"",IF((AND(FIND('112'!$M$9,G1285,1)&gt;=1,$B1285&gt;='112'!$N$8,$B1285&lt;='112'!$O$8,OR($L1285='112'!$I$6,$M1285='112'!$I$6))),"x",""))</f>
        <v/>
      </c>
      <c r="S1285" s="22" t="str">
        <f>IF(ISERROR(FIND('112'!$M$9,G1285,1)),"",IF((AND(LEFT(G1285,2)=LEFT('112'!$M$9,2),B1285&lt;'112'!$N$8,$L1285='112'!$I$6)),"x",""))</f>
        <v/>
      </c>
      <c r="T1285" s="22" t="str">
        <f>IF(ISERROR(FIND('112'!$M$9,G1285,1)),"",IF((AND(RIGHT(G1285,2)=RIGHT('112'!$M$9,2),B1285&lt;'112'!$N$8,$M1285='112'!$I$6)),"x",""))</f>
        <v/>
      </c>
      <c r="U1285" s="22" t="str">
        <f>IF(AND(B1285&gt;='IN-NX'!$P$3,B1285&lt;='IN-NX'!$Q$3,'IN-NX'!$D$7=D1285,OR(LEFT(L1285,2)="15",AND(LEFT(M1285,2)&lt;&gt;"15",LEFT(M1285,2)&lt;&gt;"33"))),"x","")</f>
        <v/>
      </c>
      <c r="V1285" s="22" t="str">
        <f>IF(AND(OR(LEFT(TH!L1285,2)="15",LEFT(TH!M1285,2)="15"),'152-CT'!$J$8=TH!F1285),"x","")</f>
        <v/>
      </c>
      <c r="W1285" s="22" t="str">
        <f>IF(AND(OR(LEFT(TH!L1285,2)="15",LEFT(TH!M1285,2)="15"),TK!$E$7=TH!F1285),"x","")</f>
        <v/>
      </c>
      <c r="X1285" s="22" t="str">
        <f>IF(OR(TH!L1285=TH!$X$7,M1285=TH!$X$7),"x","")</f>
        <v/>
      </c>
      <c r="Y1285" s="22" t="str">
        <f>IF(AND(B1285&lt;=NKC!$N$8,B1285&gt;=NKC!$M$8),"x","")</f>
        <v/>
      </c>
      <c r="Z1285" s="580"/>
      <c r="AA1285" s="588"/>
      <c r="AB1285" s="588"/>
    </row>
    <row r="1286" spans="1:28" s="589" customFormat="1" ht="15.75" customHeight="1">
      <c r="A1286" s="607" t="str">
        <f>IF(B1286&lt;&gt;"",IF(AND(B1286&gt;=_TM1,B1286&lt;=_TM2,OR(TH!L1286="1111",TH!M1286="1111")),TH!D1286,""),"")</f>
        <v/>
      </c>
      <c r="B1286" s="585">
        <f t="shared" si="62"/>
        <v>11</v>
      </c>
      <c r="C1286" s="586">
        <f t="shared" si="67"/>
        <v>42682</v>
      </c>
      <c r="D1286" s="569" t="s">
        <v>1022</v>
      </c>
      <c r="E1286" s="611">
        <v>42682</v>
      </c>
      <c r="F1286" s="614" t="s">
        <v>502</v>
      </c>
      <c r="G1286" s="612" t="s">
        <v>766</v>
      </c>
      <c r="H1286" s="572" t="s">
        <v>1075</v>
      </c>
      <c r="I1286" s="137">
        <v>2000</v>
      </c>
      <c r="J1286" s="137">
        <v>8673.86452869194</v>
      </c>
      <c r="K1286" s="21">
        <f t="shared" si="66"/>
        <v>17347729</v>
      </c>
      <c r="L1286" s="567" t="s">
        <v>167</v>
      </c>
      <c r="M1286" s="567" t="s">
        <v>162</v>
      </c>
      <c r="N1286" s="22" t="str">
        <f>IF(AND('331-CT'!$E$7=TH!H1286,OR(L1286="331",M1286="331")),"331",IF(AND(OR(L1286="131",M1286="131"),H1286='131-CT'!$E$7),"131",""))</f>
        <v/>
      </c>
      <c r="O1286" s="22" t="str">
        <f>IF(AND($B1286&gt;='111'!$N$11,$B1286&lt;='111'!$O$11,OR($L1286=$O$7,$M1286=$O$7)),"x","")</f>
        <v/>
      </c>
      <c r="P1286" s="22" t="str">
        <f>IF(AND($L1286=$O$7,$B1286&lt;'111'!$N$11),"x","")</f>
        <v/>
      </c>
      <c r="Q1286" s="22" t="str">
        <f>IF(AND($M1286=$O$7,$B1286&lt;'111'!$N$11),"x","")</f>
        <v/>
      </c>
      <c r="R1286" s="22" t="str">
        <f>IF(ISERROR(FIND('112'!$M$9,G1286,1)),"",IF((AND(FIND('112'!$M$9,G1286,1)&gt;=1,$B1286&gt;='112'!$N$8,$B1286&lt;='112'!$O$8,OR($L1286='112'!$I$6,$M1286='112'!$I$6))),"x",""))</f>
        <v/>
      </c>
      <c r="S1286" s="22" t="str">
        <f>IF(ISERROR(FIND('112'!$M$9,G1286,1)),"",IF((AND(LEFT(G1286,2)=LEFT('112'!$M$9,2),B1286&lt;'112'!$N$8,$L1286='112'!$I$6)),"x",""))</f>
        <v/>
      </c>
      <c r="T1286" s="22" t="str">
        <f>IF(ISERROR(FIND('112'!$M$9,G1286,1)),"",IF((AND(RIGHT(G1286,2)=RIGHT('112'!$M$9,2),B1286&lt;'112'!$N$8,$M1286='112'!$I$6)),"x",""))</f>
        <v/>
      </c>
      <c r="U1286" s="22" t="str">
        <f>IF(AND(B1286&gt;='IN-NX'!$P$3,B1286&lt;='IN-NX'!$Q$3,'IN-NX'!$D$7=D1286,OR(LEFT(L1286,2)="15",AND(LEFT(M1286,2)&lt;&gt;"15",LEFT(M1286,2)&lt;&gt;"33"))),"x","")</f>
        <v/>
      </c>
      <c r="V1286" s="22" t="str">
        <f>IF(AND(OR(LEFT(TH!L1286,2)="15",LEFT(TH!M1286,2)="15"),'152-CT'!$J$8=TH!F1286),"x","")</f>
        <v/>
      </c>
      <c r="W1286" s="22" t="str">
        <f>IF(AND(OR(LEFT(TH!L1286,2)="15",LEFT(TH!M1286,2)="15"),TK!$E$7=TH!F1286),"x","")</f>
        <v/>
      </c>
      <c r="X1286" s="22" t="str">
        <f>IF(OR(TH!L1286=TH!$X$7,M1286=TH!$X$7),"x","")</f>
        <v/>
      </c>
      <c r="Y1286" s="22" t="str">
        <f>IF(AND(B1286&lt;=NKC!$N$8,B1286&gt;=NKC!$M$8),"x","")</f>
        <v/>
      </c>
      <c r="Z1286" s="580"/>
      <c r="AA1286" s="588"/>
    </row>
    <row r="1287" spans="1:28" s="589" customFormat="1" ht="15.75" customHeight="1">
      <c r="A1287" s="607" t="str">
        <f>IF(B1287&lt;&gt;"",IF(AND(B1287&gt;=_TM1,B1287&lt;=_TM2,OR(TH!L1287="1111",TH!M1287="1111")),TH!D1287,""),"")</f>
        <v/>
      </c>
      <c r="B1287" s="585">
        <f t="shared" si="62"/>
        <v>11</v>
      </c>
      <c r="C1287" s="586">
        <f t="shared" si="67"/>
        <v>42682</v>
      </c>
      <c r="D1287" s="569" t="s">
        <v>1022</v>
      </c>
      <c r="E1287" s="611">
        <v>42682</v>
      </c>
      <c r="F1287" s="614" t="s">
        <v>681</v>
      </c>
      <c r="G1287" s="612" t="s">
        <v>766</v>
      </c>
      <c r="H1287" s="572" t="s">
        <v>1075</v>
      </c>
      <c r="I1287" s="137">
        <v>4600</v>
      </c>
      <c r="J1287" s="137">
        <v>684.77877858094269</v>
      </c>
      <c r="K1287" s="21">
        <f t="shared" si="66"/>
        <v>3149982</v>
      </c>
      <c r="L1287" s="567" t="s">
        <v>167</v>
      </c>
      <c r="M1287" s="567" t="s">
        <v>162</v>
      </c>
      <c r="N1287" s="22" t="str">
        <f>IF(AND('331-CT'!$E$7=TH!H1287,OR(L1287="331",M1287="331")),"331",IF(AND(OR(L1287="131",M1287="131"),H1287='131-CT'!$E$7),"131",""))</f>
        <v/>
      </c>
      <c r="O1287" s="22" t="str">
        <f>IF(AND($B1287&gt;='111'!$N$11,$B1287&lt;='111'!$O$11,OR($L1287=$O$7,$M1287=$O$7)),"x","")</f>
        <v/>
      </c>
      <c r="P1287" s="22" t="str">
        <f>IF(AND($L1287=$O$7,$B1287&lt;'111'!$N$11),"x","")</f>
        <v/>
      </c>
      <c r="Q1287" s="22" t="str">
        <f>IF(AND($M1287=$O$7,$B1287&lt;'111'!$N$11),"x","")</f>
        <v/>
      </c>
      <c r="R1287" s="22" t="str">
        <f>IF(ISERROR(FIND('112'!$M$9,G1287,1)),"",IF((AND(FIND('112'!$M$9,G1287,1)&gt;=1,$B1287&gt;='112'!$N$8,$B1287&lt;='112'!$O$8,OR($L1287='112'!$I$6,$M1287='112'!$I$6))),"x",""))</f>
        <v/>
      </c>
      <c r="S1287" s="22" t="str">
        <f>IF(ISERROR(FIND('112'!$M$9,G1287,1)),"",IF((AND(LEFT(G1287,2)=LEFT('112'!$M$9,2),B1287&lt;'112'!$N$8,$L1287='112'!$I$6)),"x",""))</f>
        <v/>
      </c>
      <c r="T1287" s="22" t="str">
        <f>IF(ISERROR(FIND('112'!$M$9,G1287,1)),"",IF((AND(RIGHT(G1287,2)=RIGHT('112'!$M$9,2),B1287&lt;'112'!$N$8,$M1287='112'!$I$6)),"x",""))</f>
        <v/>
      </c>
      <c r="U1287" s="22" t="str">
        <f>IF(AND(B1287&gt;='IN-NX'!$P$3,B1287&lt;='IN-NX'!$Q$3,'IN-NX'!$D$7=D1287,OR(LEFT(L1287,2)="15",AND(LEFT(M1287,2)&lt;&gt;"15",LEFT(M1287,2)&lt;&gt;"33"))),"x","")</f>
        <v/>
      </c>
      <c r="V1287" s="22" t="str">
        <f>IF(AND(OR(LEFT(TH!L1287,2)="15",LEFT(TH!M1287,2)="15"),'152-CT'!$J$8=TH!F1287),"x","")</f>
        <v/>
      </c>
      <c r="W1287" s="22" t="str">
        <f>IF(AND(OR(LEFT(TH!L1287,2)="15",LEFT(TH!M1287,2)="15"),TK!$E$7=TH!F1287),"x","")</f>
        <v/>
      </c>
      <c r="X1287" s="22" t="str">
        <f>IF(OR(TH!L1287=TH!$X$7,M1287=TH!$X$7),"x","")</f>
        <v/>
      </c>
      <c r="Y1287" s="22" t="str">
        <f>IF(AND(B1287&lt;=NKC!$N$8,B1287&gt;=NKC!$M$8),"x","")</f>
        <v/>
      </c>
      <c r="Z1287" s="580"/>
      <c r="AA1287" s="588"/>
      <c r="AB1287" s="588"/>
    </row>
    <row r="1288" spans="1:28" s="589" customFormat="1" ht="15.75" customHeight="1">
      <c r="A1288" s="607" t="str">
        <f>IF(B1288&lt;&gt;"",IF(AND(B1288&gt;=_TM1,B1288&lt;=_TM2,OR(TH!L1288="1111",TH!M1288="1111")),TH!D1288,""),"")</f>
        <v/>
      </c>
      <c r="B1288" s="585">
        <f t="shared" si="62"/>
        <v>11</v>
      </c>
      <c r="C1288" s="586">
        <f t="shared" si="67"/>
        <v>42682</v>
      </c>
      <c r="D1288" s="569" t="s">
        <v>1022</v>
      </c>
      <c r="E1288" s="611">
        <v>42682</v>
      </c>
      <c r="F1288" s="614" t="s">
        <v>682</v>
      </c>
      <c r="G1288" s="612" t="s">
        <v>767</v>
      </c>
      <c r="H1288" s="572" t="s">
        <v>1075</v>
      </c>
      <c r="I1288" s="137">
        <v>6030</v>
      </c>
      <c r="J1288" s="137">
        <v>10119.508616807265</v>
      </c>
      <c r="K1288" s="21">
        <f t="shared" si="66"/>
        <v>61020637</v>
      </c>
      <c r="L1288" s="567" t="s">
        <v>167</v>
      </c>
      <c r="M1288" s="567" t="s">
        <v>162</v>
      </c>
      <c r="N1288" s="22" t="str">
        <f>IF(AND('331-CT'!$E$7=TH!H1288,OR(L1288="331",M1288="331")),"331",IF(AND(OR(L1288="131",M1288="131"),H1288='131-CT'!$E$7),"131",""))</f>
        <v/>
      </c>
      <c r="O1288" s="22" t="str">
        <f>IF(AND($B1288&gt;='111'!$N$11,$B1288&lt;='111'!$O$11,OR($L1288=$O$7,$M1288=$O$7)),"x","")</f>
        <v/>
      </c>
      <c r="P1288" s="22" t="str">
        <f>IF(AND($L1288=$O$7,$B1288&lt;'111'!$N$11),"x","")</f>
        <v/>
      </c>
      <c r="Q1288" s="22" t="str">
        <f>IF(AND($M1288=$O$7,$B1288&lt;'111'!$N$11),"x","")</f>
        <v/>
      </c>
      <c r="R1288" s="22" t="str">
        <f>IF(ISERROR(FIND('112'!$M$9,G1288,1)),"",IF((AND(FIND('112'!$M$9,G1288,1)&gt;=1,$B1288&gt;='112'!$N$8,$B1288&lt;='112'!$O$8,OR($L1288='112'!$I$6,$M1288='112'!$I$6))),"x",""))</f>
        <v/>
      </c>
      <c r="S1288" s="22" t="str">
        <f>IF(ISERROR(FIND('112'!$M$9,G1288,1)),"",IF((AND(LEFT(G1288,2)=LEFT('112'!$M$9,2),B1288&lt;'112'!$N$8,$L1288='112'!$I$6)),"x",""))</f>
        <v/>
      </c>
      <c r="T1288" s="22" t="str">
        <f>IF(ISERROR(FIND('112'!$M$9,G1288,1)),"",IF((AND(RIGHT(G1288,2)=RIGHT('112'!$M$9,2),B1288&lt;'112'!$N$8,$M1288='112'!$I$6)),"x",""))</f>
        <v/>
      </c>
      <c r="U1288" s="22" t="str">
        <f>IF(AND(B1288&gt;='IN-NX'!$P$3,B1288&lt;='IN-NX'!$Q$3,'IN-NX'!$D$7=D1288,OR(LEFT(L1288,2)="15",AND(LEFT(M1288,2)&lt;&gt;"15",LEFT(M1288,2)&lt;&gt;"33"))),"x","")</f>
        <v/>
      </c>
      <c r="V1288" s="22" t="str">
        <f>IF(AND(OR(LEFT(TH!L1288,2)="15",LEFT(TH!M1288,2)="15"),'152-CT'!$J$8=TH!F1288),"x","")</f>
        <v/>
      </c>
      <c r="W1288" s="22" t="str">
        <f>IF(AND(OR(LEFT(TH!L1288,2)="15",LEFT(TH!M1288,2)="15"),TK!$E$7=TH!F1288),"x","")</f>
        <v/>
      </c>
      <c r="X1288" s="22" t="str">
        <f>IF(OR(TH!L1288=TH!$X$7,M1288=TH!$X$7),"x","")</f>
        <v/>
      </c>
      <c r="Y1288" s="22" t="str">
        <f>IF(AND(B1288&lt;=NKC!$N$8,B1288&gt;=NKC!$M$8),"x","")</f>
        <v/>
      </c>
      <c r="Z1288" s="580"/>
      <c r="AA1288" s="588"/>
      <c r="AB1288" s="588"/>
    </row>
    <row r="1289" spans="1:28" s="589" customFormat="1" ht="15.75" customHeight="1">
      <c r="A1289" s="607" t="str">
        <f>IF(B1289&lt;&gt;"",IF(AND(B1289&gt;=_TM1,B1289&lt;=_TM2,OR(TH!L1289="1111",TH!M1289="1111")),TH!D1289,""),"")</f>
        <v/>
      </c>
      <c r="B1289" s="585">
        <f t="shared" si="62"/>
        <v>11</v>
      </c>
      <c r="C1289" s="586">
        <f t="shared" si="67"/>
        <v>42683</v>
      </c>
      <c r="D1289" s="569" t="s">
        <v>1022</v>
      </c>
      <c r="E1289" s="611">
        <v>42683</v>
      </c>
      <c r="F1289" s="614" t="s">
        <v>692</v>
      </c>
      <c r="G1289" s="612" t="s">
        <v>768</v>
      </c>
      <c r="H1289" s="572" t="s">
        <v>1075</v>
      </c>
      <c r="I1289" s="137">
        <v>318</v>
      </c>
      <c r="J1289" s="137">
        <v>6391.2686000887979</v>
      </c>
      <c r="K1289" s="21">
        <f t="shared" si="66"/>
        <v>2032423</v>
      </c>
      <c r="L1289" s="567" t="s">
        <v>167</v>
      </c>
      <c r="M1289" s="567" t="s">
        <v>162</v>
      </c>
      <c r="N1289" s="22" t="str">
        <f>IF(AND('331-CT'!$E$7=TH!H1289,OR(L1289="331",M1289="331")),"331",IF(AND(OR(L1289="131",M1289="131"),H1289='131-CT'!$E$7),"131",""))</f>
        <v/>
      </c>
      <c r="O1289" s="22" t="str">
        <f>IF(AND($B1289&gt;='111'!$N$11,$B1289&lt;='111'!$O$11,OR($L1289=$O$7,$M1289=$O$7)),"x","")</f>
        <v/>
      </c>
      <c r="P1289" s="22" t="str">
        <f>IF(AND($L1289=$O$7,$B1289&lt;'111'!$N$11),"x","")</f>
        <v/>
      </c>
      <c r="Q1289" s="22" t="str">
        <f>IF(AND($M1289=$O$7,$B1289&lt;'111'!$N$11),"x","")</f>
        <v/>
      </c>
      <c r="R1289" s="22" t="str">
        <f>IF(ISERROR(FIND('112'!$M$9,G1289,1)),"",IF((AND(FIND('112'!$M$9,G1289,1)&gt;=1,$B1289&gt;='112'!$N$8,$B1289&lt;='112'!$O$8,OR($L1289='112'!$I$6,$M1289='112'!$I$6))),"x",""))</f>
        <v/>
      </c>
      <c r="S1289" s="22" t="str">
        <f>IF(ISERROR(FIND('112'!$M$9,G1289,1)),"",IF((AND(LEFT(G1289,2)=LEFT('112'!$M$9,2),B1289&lt;'112'!$N$8,$L1289='112'!$I$6)),"x",""))</f>
        <v/>
      </c>
      <c r="T1289" s="22" t="str">
        <f>IF(ISERROR(FIND('112'!$M$9,G1289,1)),"",IF((AND(RIGHT(G1289,2)=RIGHT('112'!$M$9,2),B1289&lt;'112'!$N$8,$M1289='112'!$I$6)),"x",""))</f>
        <v/>
      </c>
      <c r="U1289" s="22" t="str">
        <f>IF(AND(B1289&gt;='IN-NX'!$P$3,B1289&lt;='IN-NX'!$Q$3,'IN-NX'!$D$7=D1289,OR(LEFT(L1289,2)="15",AND(LEFT(M1289,2)&lt;&gt;"15",LEFT(M1289,2)&lt;&gt;"33"))),"x","")</f>
        <v/>
      </c>
      <c r="V1289" s="22" t="str">
        <f>IF(AND(OR(LEFT(TH!L1289,2)="15",LEFT(TH!M1289,2)="15"),'152-CT'!$J$8=TH!F1289),"x","")</f>
        <v/>
      </c>
      <c r="W1289" s="22" t="str">
        <f>IF(AND(OR(LEFT(TH!L1289,2)="15",LEFT(TH!M1289,2)="15"),TK!$E$7=TH!F1289),"x","")</f>
        <v/>
      </c>
      <c r="X1289" s="22" t="str">
        <f>IF(OR(TH!L1289=TH!$X$7,M1289=TH!$X$7),"x","")</f>
        <v/>
      </c>
      <c r="Y1289" s="22" t="str">
        <f>IF(AND(B1289&lt;=NKC!$N$8,B1289&gt;=NKC!$M$8),"x","")</f>
        <v/>
      </c>
      <c r="Z1289" s="580"/>
      <c r="AA1289" s="588"/>
    </row>
    <row r="1290" spans="1:28" s="589" customFormat="1" ht="15.75" customHeight="1">
      <c r="A1290" s="607" t="str">
        <f>IF(B1290&lt;&gt;"",IF(AND(B1290&gt;=_TM1,B1290&lt;=_TM2,OR(TH!L1290="1111",TH!M1290="1111")),TH!D1290,""),"")</f>
        <v/>
      </c>
      <c r="B1290" s="585">
        <f t="shared" si="62"/>
        <v>11</v>
      </c>
      <c r="C1290" s="586">
        <f t="shared" si="67"/>
        <v>42683</v>
      </c>
      <c r="D1290" s="569" t="s">
        <v>1022</v>
      </c>
      <c r="E1290" s="611">
        <v>42683</v>
      </c>
      <c r="F1290" s="614" t="s">
        <v>540</v>
      </c>
      <c r="G1290" s="612" t="s">
        <v>768</v>
      </c>
      <c r="H1290" s="572" t="s">
        <v>1075</v>
      </c>
      <c r="I1290" s="591">
        <v>520</v>
      </c>
      <c r="J1290" s="137">
        <v>7380.3935024834936</v>
      </c>
      <c r="K1290" s="21">
        <f t="shared" si="66"/>
        <v>3837805</v>
      </c>
      <c r="L1290" s="567" t="s">
        <v>167</v>
      </c>
      <c r="M1290" s="567" t="s">
        <v>162</v>
      </c>
      <c r="N1290" s="22" t="str">
        <f>IF(AND('331-CT'!$E$7=TH!H1290,OR(L1290="331",M1290="331")),"331",IF(AND(OR(L1290="131",M1290="131"),H1290='131-CT'!$E$7),"131",""))</f>
        <v/>
      </c>
      <c r="O1290" s="22" t="str">
        <f>IF(AND($B1290&gt;='111'!$N$11,$B1290&lt;='111'!$O$11,OR($L1290=$O$7,$M1290=$O$7)),"x","")</f>
        <v/>
      </c>
      <c r="P1290" s="22" t="str">
        <f>IF(AND($L1290=$O$7,$B1290&lt;'111'!$N$11),"x","")</f>
        <v/>
      </c>
      <c r="Q1290" s="22" t="str">
        <f>IF(AND($M1290=$O$7,$B1290&lt;'111'!$N$11),"x","")</f>
        <v/>
      </c>
      <c r="R1290" s="22" t="str">
        <f>IF(ISERROR(FIND('112'!$M$9,G1290,1)),"",IF((AND(FIND('112'!$M$9,G1290,1)&gt;=1,$B1290&gt;='112'!$N$8,$B1290&lt;='112'!$O$8,OR($L1290='112'!$I$6,$M1290='112'!$I$6))),"x",""))</f>
        <v/>
      </c>
      <c r="S1290" s="22" t="str">
        <f>IF(ISERROR(FIND('112'!$M$9,G1290,1)),"",IF((AND(LEFT(G1290,2)=LEFT('112'!$M$9,2),B1290&lt;'112'!$N$8,$L1290='112'!$I$6)),"x",""))</f>
        <v/>
      </c>
      <c r="T1290" s="22" t="str">
        <f>IF(ISERROR(FIND('112'!$M$9,G1290,1)),"",IF((AND(RIGHT(G1290,2)=RIGHT('112'!$M$9,2),B1290&lt;'112'!$N$8,$M1290='112'!$I$6)),"x",""))</f>
        <v/>
      </c>
      <c r="U1290" s="22" t="str">
        <f>IF(AND(B1290&gt;='IN-NX'!$P$3,B1290&lt;='IN-NX'!$Q$3,'IN-NX'!$D$7=D1290,OR(LEFT(L1290,2)="15",AND(LEFT(M1290,2)&lt;&gt;"15",LEFT(M1290,2)&lt;&gt;"33"))),"x","")</f>
        <v/>
      </c>
      <c r="V1290" s="22" t="str">
        <f>IF(AND(OR(LEFT(TH!L1290,2)="15",LEFT(TH!M1290,2)="15"),'152-CT'!$J$8=TH!F1290),"x","")</f>
        <v/>
      </c>
      <c r="W1290" s="22" t="str">
        <f>IF(AND(OR(LEFT(TH!L1290,2)="15",LEFT(TH!M1290,2)="15"),TK!$E$7=TH!F1290),"x","")</f>
        <v/>
      </c>
      <c r="X1290" s="22" t="str">
        <f>IF(OR(TH!L1290=TH!$X$7,M1290=TH!$X$7),"x","")</f>
        <v/>
      </c>
      <c r="Y1290" s="22" t="str">
        <f>IF(AND(B1290&lt;=NKC!$N$8,B1290&gt;=NKC!$M$8),"x","")</f>
        <v/>
      </c>
      <c r="Z1290" s="580"/>
      <c r="AA1290" s="588"/>
      <c r="AB1290" s="588"/>
    </row>
    <row r="1291" spans="1:28" s="589" customFormat="1" ht="15.75" customHeight="1">
      <c r="A1291" s="607" t="str">
        <f>IF(B1291&lt;&gt;"",IF(AND(B1291&gt;=_TM1,B1291&lt;=_TM2,OR(TH!L1291="1111",TH!M1291="1111")),TH!D1291,""),"")</f>
        <v/>
      </c>
      <c r="B1291" s="585">
        <f t="shared" si="62"/>
        <v>11</v>
      </c>
      <c r="C1291" s="586">
        <f t="shared" si="67"/>
        <v>42683</v>
      </c>
      <c r="D1291" s="569" t="s">
        <v>1022</v>
      </c>
      <c r="E1291" s="611">
        <v>42683</v>
      </c>
      <c r="F1291" s="614" t="s">
        <v>813</v>
      </c>
      <c r="G1291" s="612" t="s">
        <v>811</v>
      </c>
      <c r="H1291" s="572" t="s">
        <v>1075</v>
      </c>
      <c r="I1291" s="137">
        <v>4000</v>
      </c>
      <c r="J1291" s="137">
        <v>6391.2686000887979</v>
      </c>
      <c r="K1291" s="21">
        <f t="shared" si="66"/>
        <v>25565074</v>
      </c>
      <c r="L1291" s="567" t="s">
        <v>167</v>
      </c>
      <c r="M1291" s="567" t="s">
        <v>162</v>
      </c>
      <c r="N1291" s="22" t="str">
        <f>IF(AND('331-CT'!$E$7=TH!H1291,OR(L1291="331",M1291="331")),"331",IF(AND(OR(L1291="131",M1291="131"),H1291='131-CT'!$E$7),"131",""))</f>
        <v/>
      </c>
      <c r="O1291" s="22" t="str">
        <f>IF(AND($B1291&gt;='111'!$N$11,$B1291&lt;='111'!$O$11,OR($L1291=$O$7,$M1291=$O$7)),"x","")</f>
        <v/>
      </c>
      <c r="P1291" s="22" t="str">
        <f>IF(AND($L1291=$O$7,$B1291&lt;'111'!$N$11),"x","")</f>
        <v/>
      </c>
      <c r="Q1291" s="22" t="str">
        <f>IF(AND($M1291=$O$7,$B1291&lt;'111'!$N$11),"x","")</f>
        <v/>
      </c>
      <c r="R1291" s="22" t="str">
        <f>IF(ISERROR(FIND('112'!$M$9,G1291,1)),"",IF((AND(FIND('112'!$M$9,G1291,1)&gt;=1,$B1291&gt;='112'!$N$8,$B1291&lt;='112'!$O$8,OR($L1291='112'!$I$6,$M1291='112'!$I$6))),"x",""))</f>
        <v/>
      </c>
      <c r="S1291" s="22" t="str">
        <f>IF(ISERROR(FIND('112'!$M$9,G1291,1)),"",IF((AND(LEFT(G1291,2)=LEFT('112'!$M$9,2),B1291&lt;'112'!$N$8,$L1291='112'!$I$6)),"x",""))</f>
        <v/>
      </c>
      <c r="T1291" s="22" t="str">
        <f>IF(ISERROR(FIND('112'!$M$9,G1291,1)),"",IF((AND(RIGHT(G1291,2)=RIGHT('112'!$M$9,2),B1291&lt;'112'!$N$8,$M1291='112'!$I$6)),"x",""))</f>
        <v/>
      </c>
      <c r="U1291" s="22" t="str">
        <f>IF(AND(B1291&gt;='IN-NX'!$P$3,B1291&lt;='IN-NX'!$Q$3,'IN-NX'!$D$7=D1291,OR(LEFT(L1291,2)="15",AND(LEFT(M1291,2)&lt;&gt;"15",LEFT(M1291,2)&lt;&gt;"33"))),"x","")</f>
        <v/>
      </c>
      <c r="V1291" s="22" t="str">
        <f>IF(AND(OR(LEFT(TH!L1291,2)="15",LEFT(TH!M1291,2)="15"),'152-CT'!$J$8=TH!F1291),"x","")</f>
        <v/>
      </c>
      <c r="W1291" s="22" t="str">
        <f>IF(AND(OR(LEFT(TH!L1291,2)="15",LEFT(TH!M1291,2)="15"),TK!$E$7=TH!F1291),"x","")</f>
        <v/>
      </c>
      <c r="X1291" s="22" t="str">
        <f>IF(OR(TH!L1291=TH!$X$7,M1291=TH!$X$7),"x","")</f>
        <v/>
      </c>
      <c r="Y1291" s="22" t="str">
        <f>IF(AND(B1291&lt;=NKC!$N$8,B1291&gt;=NKC!$M$8),"x","")</f>
        <v/>
      </c>
      <c r="Z1291" s="580"/>
      <c r="AA1291" s="588"/>
      <c r="AB1291" s="588"/>
    </row>
    <row r="1292" spans="1:28" s="589" customFormat="1" ht="15.75" customHeight="1">
      <c r="A1292" s="607" t="str">
        <f>IF(B1292&lt;&gt;"",IF(AND(B1292&gt;=_TM1,B1292&lt;=_TM2,OR(TH!L1292="1111",TH!M1292="1111")),TH!D1292,""),"")</f>
        <v/>
      </c>
      <c r="B1292" s="585">
        <f t="shared" si="62"/>
        <v>11</v>
      </c>
      <c r="C1292" s="586">
        <f t="shared" si="67"/>
        <v>42684</v>
      </c>
      <c r="D1292" s="569" t="s">
        <v>1022</v>
      </c>
      <c r="E1292" s="611">
        <v>42684</v>
      </c>
      <c r="F1292" s="614" t="s">
        <v>813</v>
      </c>
      <c r="G1292" s="612" t="s">
        <v>812</v>
      </c>
      <c r="H1292" s="572" t="s">
        <v>1075</v>
      </c>
      <c r="I1292" s="137">
        <v>4000</v>
      </c>
      <c r="J1292" s="137">
        <v>6391.2686000887979</v>
      </c>
      <c r="K1292" s="21">
        <f t="shared" si="66"/>
        <v>25565074</v>
      </c>
      <c r="L1292" s="567" t="s">
        <v>167</v>
      </c>
      <c r="M1292" s="567" t="s">
        <v>162</v>
      </c>
      <c r="N1292" s="22" t="str">
        <f>IF(AND('331-CT'!$E$7=TH!H1292,OR(L1292="331",M1292="331")),"331",IF(AND(OR(L1292="131",M1292="131"),H1292='131-CT'!$E$7),"131",""))</f>
        <v/>
      </c>
      <c r="O1292" s="22" t="str">
        <f>IF(AND($B1292&gt;='111'!$N$11,$B1292&lt;='111'!$O$11,OR($L1292=$O$7,$M1292=$O$7)),"x","")</f>
        <v/>
      </c>
      <c r="P1292" s="22" t="str">
        <f>IF(AND($L1292=$O$7,$B1292&lt;'111'!$N$11),"x","")</f>
        <v/>
      </c>
      <c r="Q1292" s="22" t="str">
        <f>IF(AND($M1292=$O$7,$B1292&lt;'111'!$N$11),"x","")</f>
        <v/>
      </c>
      <c r="R1292" s="22" t="str">
        <f>IF(ISERROR(FIND('112'!$M$9,G1292,1)),"",IF((AND(FIND('112'!$M$9,G1292,1)&gt;=1,$B1292&gt;='112'!$N$8,$B1292&lt;='112'!$O$8,OR($L1292='112'!$I$6,$M1292='112'!$I$6))),"x",""))</f>
        <v/>
      </c>
      <c r="S1292" s="22" t="str">
        <f>IF(ISERROR(FIND('112'!$M$9,G1292,1)),"",IF((AND(LEFT(G1292,2)=LEFT('112'!$M$9,2),B1292&lt;'112'!$N$8,$L1292='112'!$I$6)),"x",""))</f>
        <v/>
      </c>
      <c r="T1292" s="22" t="str">
        <f>IF(ISERROR(FIND('112'!$M$9,G1292,1)),"",IF((AND(RIGHT(G1292,2)=RIGHT('112'!$M$9,2),B1292&lt;'112'!$N$8,$M1292='112'!$I$6)),"x",""))</f>
        <v/>
      </c>
      <c r="U1292" s="22" t="str">
        <f>IF(AND(B1292&gt;='IN-NX'!$P$3,B1292&lt;='IN-NX'!$Q$3,'IN-NX'!$D$7=D1292,OR(LEFT(L1292,2)="15",AND(LEFT(M1292,2)&lt;&gt;"15",LEFT(M1292,2)&lt;&gt;"33"))),"x","")</f>
        <v/>
      </c>
      <c r="V1292" s="22" t="str">
        <f>IF(AND(OR(LEFT(TH!L1292,2)="15",LEFT(TH!M1292,2)="15"),'152-CT'!$J$8=TH!F1292),"x","")</f>
        <v/>
      </c>
      <c r="W1292" s="22" t="str">
        <f>IF(AND(OR(LEFT(TH!L1292,2)="15",LEFT(TH!M1292,2)="15"),TK!$E$7=TH!F1292),"x","")</f>
        <v/>
      </c>
      <c r="X1292" s="22" t="str">
        <f>IF(OR(TH!L1292=TH!$X$7,M1292=TH!$X$7),"x","")</f>
        <v/>
      </c>
      <c r="Y1292" s="22" t="str">
        <f>IF(AND(B1292&lt;=NKC!$N$8,B1292&gt;=NKC!$M$8),"x","")</f>
        <v/>
      </c>
      <c r="Z1292" s="580"/>
      <c r="AA1292" s="588"/>
      <c r="AB1292" s="588"/>
    </row>
    <row r="1293" spans="1:28" s="589" customFormat="1" ht="15.75" customHeight="1">
      <c r="A1293" s="607" t="str">
        <f>IF(B1293&lt;&gt;"",IF(AND(B1293&gt;=_TM1,B1293&lt;=_TM2,OR(TH!L1293="1111",TH!M1293="1111")),TH!D1293,""),"")</f>
        <v/>
      </c>
      <c r="B1293" s="585">
        <f t="shared" si="62"/>
        <v>11</v>
      </c>
      <c r="C1293" s="586">
        <f t="shared" si="67"/>
        <v>42693</v>
      </c>
      <c r="D1293" s="569" t="s">
        <v>1022</v>
      </c>
      <c r="E1293" s="611">
        <v>42693</v>
      </c>
      <c r="F1293" s="614" t="s">
        <v>685</v>
      </c>
      <c r="G1293" s="612" t="s">
        <v>769</v>
      </c>
      <c r="H1293" s="572" t="s">
        <v>1075</v>
      </c>
      <c r="I1293" s="137">
        <v>23</v>
      </c>
      <c r="J1293" s="137">
        <v>14989.046597827301</v>
      </c>
      <c r="K1293" s="21">
        <f t="shared" si="66"/>
        <v>344748</v>
      </c>
      <c r="L1293" s="567" t="s">
        <v>167</v>
      </c>
      <c r="M1293" s="567" t="s">
        <v>162</v>
      </c>
      <c r="N1293" s="22" t="str">
        <f>IF(AND('331-CT'!$E$7=TH!H1293,OR(L1293="331",M1293="331")),"331",IF(AND(OR(L1293="131",M1293="131"),H1293='131-CT'!$E$7),"131",""))</f>
        <v/>
      </c>
      <c r="O1293" s="22" t="str">
        <f>IF(AND($B1293&gt;='111'!$N$11,$B1293&lt;='111'!$O$11,OR($L1293=$O$7,$M1293=$O$7)),"x","")</f>
        <v/>
      </c>
      <c r="P1293" s="22" t="str">
        <f>IF(AND($L1293=$O$7,$B1293&lt;'111'!$N$11),"x","")</f>
        <v/>
      </c>
      <c r="Q1293" s="22" t="str">
        <f>IF(AND($M1293=$O$7,$B1293&lt;'111'!$N$11),"x","")</f>
        <v/>
      </c>
      <c r="R1293" s="22" t="str">
        <f>IF(ISERROR(FIND('112'!$M$9,G1293,1)),"",IF((AND(FIND('112'!$M$9,G1293,1)&gt;=1,$B1293&gt;='112'!$N$8,$B1293&lt;='112'!$O$8,OR($L1293='112'!$I$6,$M1293='112'!$I$6))),"x",""))</f>
        <v/>
      </c>
      <c r="S1293" s="22" t="str">
        <f>IF(ISERROR(FIND('112'!$M$9,G1293,1)),"",IF((AND(LEFT(G1293,2)=LEFT('112'!$M$9,2),B1293&lt;'112'!$N$8,$L1293='112'!$I$6)),"x",""))</f>
        <v/>
      </c>
      <c r="T1293" s="22" t="str">
        <f>IF(ISERROR(FIND('112'!$M$9,G1293,1)),"",IF((AND(RIGHT(G1293,2)=RIGHT('112'!$M$9,2),B1293&lt;'112'!$N$8,$M1293='112'!$I$6)),"x",""))</f>
        <v/>
      </c>
      <c r="U1293" s="22" t="str">
        <f>IF(AND(B1293&gt;='IN-NX'!$P$3,B1293&lt;='IN-NX'!$Q$3,'IN-NX'!$D$7=D1293,OR(LEFT(L1293,2)="15",AND(LEFT(M1293,2)&lt;&gt;"15",LEFT(M1293,2)&lt;&gt;"33"))),"x","")</f>
        <v/>
      </c>
      <c r="V1293" s="22" t="str">
        <f>IF(AND(OR(LEFT(TH!L1293,2)="15",LEFT(TH!M1293,2)="15"),'152-CT'!$J$8=TH!F1293),"x","")</f>
        <v/>
      </c>
      <c r="W1293" s="22" t="str">
        <f>IF(AND(OR(LEFT(TH!L1293,2)="15",LEFT(TH!M1293,2)="15"),TK!$E$7=TH!F1293),"x","")</f>
        <v/>
      </c>
      <c r="X1293" s="22" t="str">
        <f>IF(OR(TH!L1293=TH!$X$7,M1293=TH!$X$7),"x","")</f>
        <v/>
      </c>
      <c r="Y1293" s="22" t="str">
        <f>IF(AND(B1293&lt;=NKC!$N$8,B1293&gt;=NKC!$M$8),"x","")</f>
        <v/>
      </c>
      <c r="Z1293" s="580"/>
      <c r="AA1293" s="588"/>
    </row>
    <row r="1294" spans="1:28" s="589" customFormat="1" ht="15.75" customHeight="1">
      <c r="A1294" s="607" t="str">
        <f>IF(B1294&lt;&gt;"",IF(AND(B1294&gt;=_TM1,B1294&lt;=_TM2,OR(TH!L1294="1111",TH!M1294="1111")),TH!D1294,""),"")</f>
        <v/>
      </c>
      <c r="B1294" s="585">
        <f t="shared" si="62"/>
        <v>11</v>
      </c>
      <c r="C1294" s="586">
        <f t="shared" si="67"/>
        <v>42693</v>
      </c>
      <c r="D1294" s="569" t="s">
        <v>1022</v>
      </c>
      <c r="E1294" s="611">
        <v>42693</v>
      </c>
      <c r="F1294" s="614" t="s">
        <v>498</v>
      </c>
      <c r="G1294" s="612" t="s">
        <v>769</v>
      </c>
      <c r="H1294" s="572" t="s">
        <v>1075</v>
      </c>
      <c r="I1294" s="137">
        <v>63</v>
      </c>
      <c r="J1294" s="137">
        <v>57521.417400799182</v>
      </c>
      <c r="K1294" s="21">
        <f t="shared" si="66"/>
        <v>3623849</v>
      </c>
      <c r="L1294" s="567" t="s">
        <v>167</v>
      </c>
      <c r="M1294" s="567" t="s">
        <v>162</v>
      </c>
      <c r="N1294" s="22" t="str">
        <f>IF(AND('331-CT'!$E$7=TH!H1294,OR(L1294="331",M1294="331")),"331",IF(AND(OR(L1294="131",M1294="131"),H1294='131-CT'!$E$7),"131",""))</f>
        <v/>
      </c>
      <c r="O1294" s="22" t="str">
        <f>IF(AND($B1294&gt;='111'!$N$11,$B1294&lt;='111'!$O$11,OR($L1294=$O$7,$M1294=$O$7)),"x","")</f>
        <v/>
      </c>
      <c r="P1294" s="22" t="str">
        <f>IF(AND($L1294=$O$7,$B1294&lt;'111'!$N$11),"x","")</f>
        <v/>
      </c>
      <c r="Q1294" s="22" t="str">
        <f>IF(AND($M1294=$O$7,$B1294&lt;'111'!$N$11),"x","")</f>
        <v/>
      </c>
      <c r="R1294" s="22" t="str">
        <f>IF(ISERROR(FIND('112'!$M$9,G1294,1)),"",IF((AND(FIND('112'!$M$9,G1294,1)&gt;=1,$B1294&gt;='112'!$N$8,$B1294&lt;='112'!$O$8,OR($L1294='112'!$I$6,$M1294='112'!$I$6))),"x",""))</f>
        <v/>
      </c>
      <c r="S1294" s="22" t="str">
        <f>IF(ISERROR(FIND('112'!$M$9,G1294,1)),"",IF((AND(LEFT(G1294,2)=LEFT('112'!$M$9,2),B1294&lt;'112'!$N$8,$L1294='112'!$I$6)),"x",""))</f>
        <v/>
      </c>
      <c r="T1294" s="22" t="str">
        <f>IF(ISERROR(FIND('112'!$M$9,G1294,1)),"",IF((AND(RIGHT(G1294,2)=RIGHT('112'!$M$9,2),B1294&lt;'112'!$N$8,$M1294='112'!$I$6)),"x",""))</f>
        <v/>
      </c>
      <c r="U1294" s="22" t="str">
        <f>IF(AND(B1294&gt;='IN-NX'!$P$3,B1294&lt;='IN-NX'!$Q$3,'IN-NX'!$D$7=D1294,OR(LEFT(L1294,2)="15",AND(LEFT(M1294,2)&lt;&gt;"15",LEFT(M1294,2)&lt;&gt;"33"))),"x","")</f>
        <v/>
      </c>
      <c r="V1294" s="22" t="str">
        <f>IF(AND(OR(LEFT(TH!L1294,2)="15",LEFT(TH!M1294,2)="15"),'152-CT'!$J$8=TH!F1294),"x","")</f>
        <v/>
      </c>
      <c r="W1294" s="22" t="str">
        <f>IF(AND(OR(LEFT(TH!L1294,2)="15",LEFT(TH!M1294,2)="15"),TK!$E$7=TH!F1294),"x","")</f>
        <v/>
      </c>
      <c r="X1294" s="22" t="str">
        <f>IF(OR(TH!L1294=TH!$X$7,M1294=TH!$X$7),"x","")</f>
        <v/>
      </c>
      <c r="Y1294" s="22" t="str">
        <f>IF(AND(B1294&lt;=NKC!$N$8,B1294&gt;=NKC!$M$8),"x","")</f>
        <v/>
      </c>
      <c r="Z1294" s="580"/>
      <c r="AA1294" s="588"/>
      <c r="AB1294" s="588"/>
    </row>
    <row r="1295" spans="1:28" s="589" customFormat="1" ht="15.75" customHeight="1">
      <c r="A1295" s="607" t="str">
        <f>IF(B1295&lt;&gt;"",IF(AND(B1295&gt;=_TM1,B1295&lt;=_TM2,OR(TH!L1295="1111",TH!M1295="1111")),TH!D1295,""),"")</f>
        <v/>
      </c>
      <c r="B1295" s="585">
        <f t="shared" si="62"/>
        <v>11</v>
      </c>
      <c r="C1295" s="586">
        <f t="shared" si="67"/>
        <v>42693</v>
      </c>
      <c r="D1295" s="569" t="s">
        <v>1022</v>
      </c>
      <c r="E1295" s="611">
        <v>42693</v>
      </c>
      <c r="F1295" s="614" t="s">
        <v>686</v>
      </c>
      <c r="G1295" s="612" t="s">
        <v>769</v>
      </c>
      <c r="H1295" s="572" t="s">
        <v>1075</v>
      </c>
      <c r="I1295" s="137">
        <v>27</v>
      </c>
      <c r="J1295" s="137">
        <v>27695.497267051462</v>
      </c>
      <c r="K1295" s="21">
        <f t="shared" si="66"/>
        <v>747778</v>
      </c>
      <c r="L1295" s="567" t="s">
        <v>167</v>
      </c>
      <c r="M1295" s="567" t="s">
        <v>162</v>
      </c>
      <c r="N1295" s="22" t="str">
        <f>IF(AND('331-CT'!$E$7=TH!H1295,OR(L1295="331",M1295="331")),"331",IF(AND(OR(L1295="131",M1295="131"),H1295='131-CT'!$E$7),"131",""))</f>
        <v/>
      </c>
      <c r="O1295" s="22" t="str">
        <f>IF(AND($B1295&gt;='111'!$N$11,$B1295&lt;='111'!$O$11,OR($L1295=$O$7,$M1295=$O$7)),"x","")</f>
        <v/>
      </c>
      <c r="P1295" s="22" t="str">
        <f>IF(AND($L1295=$O$7,$B1295&lt;'111'!$N$11),"x","")</f>
        <v/>
      </c>
      <c r="Q1295" s="22" t="str">
        <f>IF(AND($M1295=$O$7,$B1295&lt;'111'!$N$11),"x","")</f>
        <v/>
      </c>
      <c r="R1295" s="22" t="str">
        <f>IF(ISERROR(FIND('112'!$M$9,G1295,1)),"",IF((AND(FIND('112'!$M$9,G1295,1)&gt;=1,$B1295&gt;='112'!$N$8,$B1295&lt;='112'!$O$8,OR($L1295='112'!$I$6,$M1295='112'!$I$6))),"x",""))</f>
        <v/>
      </c>
      <c r="S1295" s="22" t="str">
        <f>IF(ISERROR(FIND('112'!$M$9,G1295,1)),"",IF((AND(LEFT(G1295,2)=LEFT('112'!$M$9,2),B1295&lt;'112'!$N$8,$L1295='112'!$I$6)),"x",""))</f>
        <v/>
      </c>
      <c r="T1295" s="22" t="str">
        <f>IF(ISERROR(FIND('112'!$M$9,G1295,1)),"",IF((AND(RIGHT(G1295,2)=RIGHT('112'!$M$9,2),B1295&lt;'112'!$N$8,$M1295='112'!$I$6)),"x",""))</f>
        <v/>
      </c>
      <c r="U1295" s="22" t="str">
        <f>IF(AND(B1295&gt;='IN-NX'!$P$3,B1295&lt;='IN-NX'!$Q$3,'IN-NX'!$D$7=D1295,OR(LEFT(L1295,2)="15",AND(LEFT(M1295,2)&lt;&gt;"15",LEFT(M1295,2)&lt;&gt;"33"))),"x","")</f>
        <v/>
      </c>
      <c r="V1295" s="22" t="str">
        <f>IF(AND(OR(LEFT(TH!L1295,2)="15",LEFT(TH!M1295,2)="15"),'152-CT'!$J$8=TH!F1295),"x","")</f>
        <v/>
      </c>
      <c r="W1295" s="22" t="str">
        <f>IF(AND(OR(LEFT(TH!L1295,2)="15",LEFT(TH!M1295,2)="15"),TK!$E$7=TH!F1295),"x","")</f>
        <v/>
      </c>
      <c r="X1295" s="22" t="str">
        <f>IF(OR(TH!L1295=TH!$X$7,M1295=TH!$X$7),"x","")</f>
        <v/>
      </c>
      <c r="Y1295" s="22" t="str">
        <f>IF(AND(B1295&lt;=NKC!$N$8,B1295&gt;=NKC!$M$8),"x","")</f>
        <v/>
      </c>
      <c r="Z1295" s="580"/>
      <c r="AA1295" s="588"/>
      <c r="AB1295" s="588"/>
    </row>
    <row r="1296" spans="1:28" s="589" customFormat="1" ht="15.75" customHeight="1">
      <c r="A1296" s="607" t="str">
        <f>IF(B1296&lt;&gt;"",IF(AND(B1296&gt;=_TM1,B1296&lt;=_TM2,OR(TH!L1296="1111",TH!M1296="1111")),TH!D1296,""),"")</f>
        <v/>
      </c>
      <c r="B1296" s="585">
        <f t="shared" si="62"/>
        <v>11</v>
      </c>
      <c r="C1296" s="586">
        <f t="shared" si="67"/>
        <v>42693</v>
      </c>
      <c r="D1296" s="569" t="s">
        <v>1022</v>
      </c>
      <c r="E1296" s="611">
        <v>42693</v>
      </c>
      <c r="F1296" s="614" t="s">
        <v>687</v>
      </c>
      <c r="G1296" s="612" t="s">
        <v>769</v>
      </c>
      <c r="H1296" s="572" t="s">
        <v>1075</v>
      </c>
      <c r="I1296" s="137">
        <v>27</v>
      </c>
      <c r="J1296" s="137">
        <v>25184.641745588004</v>
      </c>
      <c r="K1296" s="21">
        <f t="shared" si="66"/>
        <v>679985</v>
      </c>
      <c r="L1296" s="567" t="s">
        <v>167</v>
      </c>
      <c r="M1296" s="567" t="s">
        <v>162</v>
      </c>
      <c r="N1296" s="22" t="str">
        <f>IF(AND('331-CT'!$E$7=TH!H1296,OR(L1296="331",M1296="331")),"331",IF(AND(OR(L1296="131",M1296="131"),H1296='131-CT'!$E$7),"131",""))</f>
        <v/>
      </c>
      <c r="O1296" s="22" t="str">
        <f>IF(AND($B1296&gt;='111'!$N$11,$B1296&lt;='111'!$O$11,OR($L1296=$O$7,$M1296=$O$7)),"x","")</f>
        <v/>
      </c>
      <c r="P1296" s="22" t="str">
        <f>IF(AND($L1296=$O$7,$B1296&lt;'111'!$N$11),"x","")</f>
        <v/>
      </c>
      <c r="Q1296" s="22" t="str">
        <f>IF(AND($M1296=$O$7,$B1296&lt;'111'!$N$11),"x","")</f>
        <v/>
      </c>
      <c r="R1296" s="22" t="str">
        <f>IF(ISERROR(FIND('112'!$M$9,G1296,1)),"",IF((AND(FIND('112'!$M$9,G1296,1)&gt;=1,$B1296&gt;='112'!$N$8,$B1296&lt;='112'!$O$8,OR($L1296='112'!$I$6,$M1296='112'!$I$6))),"x",""))</f>
        <v/>
      </c>
      <c r="S1296" s="22" t="str">
        <f>IF(ISERROR(FIND('112'!$M$9,G1296,1)),"",IF((AND(LEFT(G1296,2)=LEFT('112'!$M$9,2),B1296&lt;'112'!$N$8,$L1296='112'!$I$6)),"x",""))</f>
        <v/>
      </c>
      <c r="T1296" s="22" t="str">
        <f>IF(ISERROR(FIND('112'!$M$9,G1296,1)),"",IF((AND(RIGHT(G1296,2)=RIGHT('112'!$M$9,2),B1296&lt;'112'!$N$8,$M1296='112'!$I$6)),"x",""))</f>
        <v/>
      </c>
      <c r="U1296" s="22" t="str">
        <f>IF(AND(B1296&gt;='IN-NX'!$P$3,B1296&lt;='IN-NX'!$Q$3,'IN-NX'!$D$7=D1296,OR(LEFT(L1296,2)="15",AND(LEFT(M1296,2)&lt;&gt;"15",LEFT(M1296,2)&lt;&gt;"33"))),"x","")</f>
        <v/>
      </c>
      <c r="V1296" s="22" t="str">
        <f>IF(AND(OR(LEFT(TH!L1296,2)="15",LEFT(TH!M1296,2)="15"),'152-CT'!$J$8=TH!F1296),"x","")</f>
        <v/>
      </c>
      <c r="W1296" s="22" t="str">
        <f>IF(AND(OR(LEFT(TH!L1296,2)="15",LEFT(TH!M1296,2)="15"),TK!$E$7=TH!F1296),"x","")</f>
        <v/>
      </c>
      <c r="X1296" s="22" t="str">
        <f>IF(OR(TH!L1296=TH!$X$7,M1296=TH!$X$7),"x","")</f>
        <v/>
      </c>
      <c r="Y1296" s="22" t="str">
        <f>IF(AND(B1296&lt;=NKC!$N$8,B1296&gt;=NKC!$M$8),"x","")</f>
        <v/>
      </c>
      <c r="Z1296" s="580"/>
      <c r="AA1296" s="588"/>
    </row>
    <row r="1297" spans="1:31" s="589" customFormat="1" ht="15.75" customHeight="1">
      <c r="A1297" s="607" t="str">
        <f>IF(B1297&lt;&gt;"",IF(AND(B1297&gt;=_TM1,B1297&lt;=_TM2,OR(TH!L1297="1111",TH!M1297="1111")),TH!D1297,""),"")</f>
        <v/>
      </c>
      <c r="B1297" s="585">
        <f t="shared" si="62"/>
        <v>11</v>
      </c>
      <c r="C1297" s="586">
        <f t="shared" si="67"/>
        <v>42693</v>
      </c>
      <c r="D1297" s="569" t="s">
        <v>1022</v>
      </c>
      <c r="E1297" s="611">
        <v>42693</v>
      </c>
      <c r="F1297" s="614" t="s">
        <v>688</v>
      </c>
      <c r="G1297" s="612" t="s">
        <v>769</v>
      </c>
      <c r="H1297" s="572" t="s">
        <v>1075</v>
      </c>
      <c r="I1297" s="137">
        <v>26</v>
      </c>
      <c r="J1297" s="137">
        <v>35836.756079069331</v>
      </c>
      <c r="K1297" s="21">
        <f t="shared" si="66"/>
        <v>931756</v>
      </c>
      <c r="L1297" s="567" t="s">
        <v>167</v>
      </c>
      <c r="M1297" s="567" t="s">
        <v>162</v>
      </c>
      <c r="N1297" s="22" t="str">
        <f>IF(AND('331-CT'!$E$7=TH!H1297,OR(L1297="331",M1297="331")),"331",IF(AND(OR(L1297="131",M1297="131"),H1297='131-CT'!$E$7),"131",""))</f>
        <v/>
      </c>
      <c r="O1297" s="22" t="str">
        <f>IF(AND($B1297&gt;='111'!$N$11,$B1297&lt;='111'!$O$11,OR($L1297=$O$7,$M1297=$O$7)),"x","")</f>
        <v/>
      </c>
      <c r="P1297" s="22" t="str">
        <f>IF(AND($L1297=$O$7,$B1297&lt;'111'!$N$11),"x","")</f>
        <v/>
      </c>
      <c r="Q1297" s="22" t="str">
        <f>IF(AND($M1297=$O$7,$B1297&lt;'111'!$N$11),"x","")</f>
        <v/>
      </c>
      <c r="R1297" s="22" t="str">
        <f>IF(ISERROR(FIND('112'!$M$9,G1297,1)),"",IF((AND(FIND('112'!$M$9,G1297,1)&gt;=1,$B1297&gt;='112'!$N$8,$B1297&lt;='112'!$O$8,OR($L1297='112'!$I$6,$M1297='112'!$I$6))),"x",""))</f>
        <v/>
      </c>
      <c r="S1297" s="22" t="str">
        <f>IF(ISERROR(FIND('112'!$M$9,G1297,1)),"",IF((AND(LEFT(G1297,2)=LEFT('112'!$M$9,2),B1297&lt;'112'!$N$8,$L1297='112'!$I$6)),"x",""))</f>
        <v/>
      </c>
      <c r="T1297" s="22" t="str">
        <f>IF(ISERROR(FIND('112'!$M$9,G1297,1)),"",IF((AND(RIGHT(G1297,2)=RIGHT('112'!$M$9,2),B1297&lt;'112'!$N$8,$M1297='112'!$I$6)),"x",""))</f>
        <v/>
      </c>
      <c r="U1297" s="22" t="str">
        <f>IF(AND(B1297&gt;='IN-NX'!$P$3,B1297&lt;='IN-NX'!$Q$3,'IN-NX'!$D$7=D1297,OR(LEFT(L1297,2)="15",AND(LEFT(M1297,2)&lt;&gt;"15",LEFT(M1297,2)&lt;&gt;"33"))),"x","")</f>
        <v/>
      </c>
      <c r="V1297" s="22" t="str">
        <f>IF(AND(OR(LEFT(TH!L1297,2)="15",LEFT(TH!M1297,2)="15"),'152-CT'!$J$8=TH!F1297),"x","")</f>
        <v/>
      </c>
      <c r="W1297" s="22" t="str">
        <f>IF(AND(OR(LEFT(TH!L1297,2)="15",LEFT(TH!M1297,2)="15"),TK!$E$7=TH!F1297),"x","")</f>
        <v/>
      </c>
      <c r="X1297" s="22" t="str">
        <f>IF(OR(TH!L1297=TH!$X$7,M1297=TH!$X$7),"x","")</f>
        <v/>
      </c>
      <c r="Y1297" s="22" t="str">
        <f>IF(AND(B1297&lt;=NKC!$N$8,B1297&gt;=NKC!$M$8),"x","")</f>
        <v/>
      </c>
      <c r="Z1297" s="580"/>
      <c r="AA1297" s="588"/>
      <c r="AB1297" s="588"/>
    </row>
    <row r="1298" spans="1:31" s="589" customFormat="1" ht="15.75" customHeight="1">
      <c r="A1298" s="607" t="str">
        <f>IF(B1298&lt;&gt;"",IF(AND(B1298&gt;=_TM1,B1298&lt;=_TM2,OR(TH!L1298="1111",TH!M1298="1111")),TH!D1298,""),"")</f>
        <v/>
      </c>
      <c r="B1298" s="585">
        <f t="shared" si="62"/>
        <v>11</v>
      </c>
      <c r="C1298" s="586">
        <f t="shared" si="67"/>
        <v>42693</v>
      </c>
      <c r="D1298" s="569" t="s">
        <v>1022</v>
      </c>
      <c r="E1298" s="611">
        <v>42693</v>
      </c>
      <c r="F1298" s="614" t="s">
        <v>689</v>
      </c>
      <c r="G1298" s="612" t="s">
        <v>769</v>
      </c>
      <c r="H1298" s="572" t="s">
        <v>1075</v>
      </c>
      <c r="I1298" s="137">
        <v>21</v>
      </c>
      <c r="J1298" s="137">
        <v>21836.834383636728</v>
      </c>
      <c r="K1298" s="21">
        <f t="shared" si="66"/>
        <v>458574</v>
      </c>
      <c r="L1298" s="567" t="s">
        <v>167</v>
      </c>
      <c r="M1298" s="567" t="s">
        <v>162</v>
      </c>
      <c r="N1298" s="22" t="str">
        <f>IF(AND('331-CT'!$E$7=TH!H1298,OR(L1298="331",M1298="331")),"331",IF(AND(OR(L1298="131",M1298="131"),H1298='131-CT'!$E$7),"131",""))</f>
        <v/>
      </c>
      <c r="O1298" s="22" t="str">
        <f>IF(AND($B1298&gt;='111'!$N$11,$B1298&lt;='111'!$O$11,OR($L1298=$O$7,$M1298=$O$7)),"x","")</f>
        <v/>
      </c>
      <c r="P1298" s="22" t="str">
        <f>IF(AND($L1298=$O$7,$B1298&lt;'111'!$N$11),"x","")</f>
        <v/>
      </c>
      <c r="Q1298" s="22" t="str">
        <f>IF(AND($M1298=$O$7,$B1298&lt;'111'!$N$11),"x","")</f>
        <v/>
      </c>
      <c r="R1298" s="22" t="str">
        <f>IF(ISERROR(FIND('112'!$M$9,G1298,1)),"",IF((AND(FIND('112'!$M$9,G1298,1)&gt;=1,$B1298&gt;='112'!$N$8,$B1298&lt;='112'!$O$8,OR($L1298='112'!$I$6,$M1298='112'!$I$6))),"x",""))</f>
        <v/>
      </c>
      <c r="S1298" s="22" t="str">
        <f>IF(ISERROR(FIND('112'!$M$9,G1298,1)),"",IF((AND(LEFT(G1298,2)=LEFT('112'!$M$9,2),B1298&lt;'112'!$N$8,$L1298='112'!$I$6)),"x",""))</f>
        <v/>
      </c>
      <c r="T1298" s="22" t="str">
        <f>IF(ISERROR(FIND('112'!$M$9,G1298,1)),"",IF((AND(RIGHT(G1298,2)=RIGHT('112'!$M$9,2),B1298&lt;'112'!$N$8,$M1298='112'!$I$6)),"x",""))</f>
        <v/>
      </c>
      <c r="U1298" s="22" t="str">
        <f>IF(AND(B1298&gt;='IN-NX'!$P$3,B1298&lt;='IN-NX'!$Q$3,'IN-NX'!$D$7=D1298,OR(LEFT(L1298,2)="15",AND(LEFT(M1298,2)&lt;&gt;"15",LEFT(M1298,2)&lt;&gt;"33"))),"x","")</f>
        <v/>
      </c>
      <c r="V1298" s="22" t="str">
        <f>IF(AND(OR(LEFT(TH!L1298,2)="15",LEFT(TH!M1298,2)="15"),'152-CT'!$J$8=TH!F1298),"x","")</f>
        <v/>
      </c>
      <c r="W1298" s="22" t="str">
        <f>IF(AND(OR(LEFT(TH!L1298,2)="15",LEFT(TH!M1298,2)="15"),TK!$E$7=TH!F1298),"x","")</f>
        <v/>
      </c>
      <c r="X1298" s="22" t="str">
        <f>IF(OR(TH!L1298=TH!$X$7,M1298=TH!$X$7),"x","")</f>
        <v/>
      </c>
      <c r="Y1298" s="22" t="str">
        <f>IF(AND(B1298&lt;=NKC!$N$8,B1298&gt;=NKC!$M$8),"x","")</f>
        <v/>
      </c>
      <c r="Z1298" s="580"/>
      <c r="AA1298" s="588"/>
      <c r="AB1298" s="588"/>
    </row>
    <row r="1299" spans="1:31" s="589" customFormat="1" ht="15.75" customHeight="1">
      <c r="A1299" s="607" t="str">
        <f>IF(B1299&lt;&gt;"",IF(AND(B1299&gt;=_TM1,B1299&lt;=_TM2,OR(TH!L1299="1111",TH!M1299="1111")),TH!D1299,""),"")</f>
        <v/>
      </c>
      <c r="B1299" s="585">
        <f t="shared" si="62"/>
        <v>11</v>
      </c>
      <c r="C1299" s="586">
        <f t="shared" si="67"/>
        <v>42694</v>
      </c>
      <c r="D1299" s="569" t="s">
        <v>1022</v>
      </c>
      <c r="E1299" s="611">
        <v>42694</v>
      </c>
      <c r="F1299" s="614" t="s">
        <v>959</v>
      </c>
      <c r="G1299" s="612" t="s">
        <v>438</v>
      </c>
      <c r="H1299" s="572" t="s">
        <v>1075</v>
      </c>
      <c r="I1299" s="137">
        <v>1560</v>
      </c>
      <c r="J1299" s="137">
        <v>9586.9029001331983</v>
      </c>
      <c r="K1299" s="21">
        <f t="shared" si="66"/>
        <v>14955569</v>
      </c>
      <c r="L1299" s="567" t="s">
        <v>167</v>
      </c>
      <c r="M1299" s="567" t="s">
        <v>162</v>
      </c>
      <c r="N1299" s="22" t="str">
        <f>IF(AND('331-CT'!$E$7=TH!H1299,OR(L1299="331",M1299="331")),"331",IF(AND(OR(L1299="131",M1299="131"),H1299='131-CT'!$E$7),"131",""))</f>
        <v/>
      </c>
      <c r="O1299" s="22" t="str">
        <f>IF(AND($B1299&gt;='111'!$N$11,$B1299&lt;='111'!$O$11,OR($L1299=$O$7,$M1299=$O$7)),"x","")</f>
        <v/>
      </c>
      <c r="P1299" s="22" t="str">
        <f>IF(AND($L1299=$O$7,$B1299&lt;'111'!$N$11),"x","")</f>
        <v/>
      </c>
      <c r="Q1299" s="22" t="str">
        <f>IF(AND($M1299=$O$7,$B1299&lt;'111'!$N$11),"x","")</f>
        <v/>
      </c>
      <c r="R1299" s="22" t="str">
        <f>IF(ISERROR(FIND('112'!$M$9,G1299,1)),"",IF((AND(FIND('112'!$M$9,G1299,1)&gt;=1,$B1299&gt;='112'!$N$8,$B1299&lt;='112'!$O$8,OR($L1299='112'!$I$6,$M1299='112'!$I$6))),"x",""))</f>
        <v/>
      </c>
      <c r="S1299" s="22" t="str">
        <f>IF(ISERROR(FIND('112'!$M$9,G1299,1)),"",IF((AND(LEFT(G1299,2)=LEFT('112'!$M$9,2),B1299&lt;'112'!$N$8,$L1299='112'!$I$6)),"x",""))</f>
        <v/>
      </c>
      <c r="T1299" s="22" t="str">
        <f>IF(ISERROR(FIND('112'!$M$9,G1299,1)),"",IF((AND(RIGHT(G1299,2)=RIGHT('112'!$M$9,2),B1299&lt;'112'!$N$8,$M1299='112'!$I$6)),"x",""))</f>
        <v/>
      </c>
      <c r="U1299" s="22" t="str">
        <f>IF(AND(B1299&gt;='IN-NX'!$P$3,B1299&lt;='IN-NX'!$Q$3,'IN-NX'!$D$7=D1299,OR(LEFT(L1299,2)="15",AND(LEFT(M1299,2)&lt;&gt;"15",LEFT(M1299,2)&lt;&gt;"33"))),"x","")</f>
        <v/>
      </c>
      <c r="V1299" s="22" t="str">
        <f>IF(AND(OR(LEFT(TH!L1299,2)="15",LEFT(TH!M1299,2)="15"),'152-CT'!$J$8=TH!F1299),"x","")</f>
        <v/>
      </c>
      <c r="W1299" s="22" t="str">
        <f>IF(AND(OR(LEFT(TH!L1299,2)="15",LEFT(TH!M1299,2)="15"),TK!$E$7=TH!F1299),"x","")</f>
        <v/>
      </c>
      <c r="X1299" s="22" t="str">
        <f>IF(OR(TH!L1299=TH!$X$7,M1299=TH!$X$7),"x","")</f>
        <v/>
      </c>
      <c r="Y1299" s="22" t="str">
        <f>IF(AND(B1299&lt;=NKC!$N$8,B1299&gt;=NKC!$M$8),"x","")</f>
        <v/>
      </c>
      <c r="Z1299" s="580"/>
      <c r="AA1299" s="588"/>
    </row>
    <row r="1300" spans="1:31" s="589" customFormat="1" ht="15.75" customHeight="1">
      <c r="A1300" s="607" t="str">
        <f>IF(B1300&lt;&gt;"",IF(AND(B1300&gt;=_TM1,B1300&lt;=_TM2,OR(TH!L1300="1111",TH!M1300="1111")),TH!D1300,""),"")</f>
        <v/>
      </c>
      <c r="B1300" s="585">
        <f t="shared" si="62"/>
        <v>11</v>
      </c>
      <c r="C1300" s="586">
        <f t="shared" si="67"/>
        <v>42693</v>
      </c>
      <c r="D1300" s="569" t="s">
        <v>1022</v>
      </c>
      <c r="E1300" s="611">
        <v>42693</v>
      </c>
      <c r="F1300" s="614" t="s">
        <v>813</v>
      </c>
      <c r="G1300" s="612" t="s">
        <v>815</v>
      </c>
      <c r="H1300" s="572" t="s">
        <v>1075</v>
      </c>
      <c r="I1300" s="137">
        <v>4000</v>
      </c>
      <c r="J1300" s="137">
        <v>6391.2686000887979</v>
      </c>
      <c r="K1300" s="21">
        <f t="shared" si="66"/>
        <v>25565074</v>
      </c>
      <c r="L1300" s="567" t="s">
        <v>167</v>
      </c>
      <c r="M1300" s="567" t="s">
        <v>162</v>
      </c>
      <c r="N1300" s="22" t="str">
        <f>IF(AND('331-CT'!$E$7=TH!H1300,OR(L1300="331",M1300="331")),"331",IF(AND(OR(L1300="131",M1300="131"),H1300='131-CT'!$E$7),"131",""))</f>
        <v/>
      </c>
      <c r="O1300" s="22" t="str">
        <f>IF(AND($B1300&gt;='111'!$N$11,$B1300&lt;='111'!$O$11,OR($L1300=$O$7,$M1300=$O$7)),"x","")</f>
        <v/>
      </c>
      <c r="P1300" s="22" t="str">
        <f>IF(AND($L1300=$O$7,$B1300&lt;'111'!$N$11),"x","")</f>
        <v/>
      </c>
      <c r="Q1300" s="22" t="str">
        <f>IF(AND($M1300=$O$7,$B1300&lt;'111'!$N$11),"x","")</f>
        <v/>
      </c>
      <c r="R1300" s="22" t="str">
        <f>IF(ISERROR(FIND('112'!$M$9,G1300,1)),"",IF((AND(FIND('112'!$M$9,G1300,1)&gt;=1,$B1300&gt;='112'!$N$8,$B1300&lt;='112'!$O$8,OR($L1300='112'!$I$6,$M1300='112'!$I$6))),"x",""))</f>
        <v/>
      </c>
      <c r="S1300" s="22" t="str">
        <f>IF(ISERROR(FIND('112'!$M$9,G1300,1)),"",IF((AND(LEFT(G1300,2)=LEFT('112'!$M$9,2),B1300&lt;'112'!$N$8,$L1300='112'!$I$6)),"x",""))</f>
        <v/>
      </c>
      <c r="T1300" s="22" t="str">
        <f>IF(ISERROR(FIND('112'!$M$9,G1300,1)),"",IF((AND(RIGHT(G1300,2)=RIGHT('112'!$M$9,2),B1300&lt;'112'!$N$8,$M1300='112'!$I$6)),"x",""))</f>
        <v/>
      </c>
      <c r="U1300" s="22" t="str">
        <f>IF(AND(B1300&gt;='IN-NX'!$P$3,B1300&lt;='IN-NX'!$Q$3,'IN-NX'!$D$7=D1300,OR(LEFT(L1300,2)="15",AND(LEFT(M1300,2)&lt;&gt;"15",LEFT(M1300,2)&lt;&gt;"33"))),"x","")</f>
        <v/>
      </c>
      <c r="V1300" s="22" t="str">
        <f>IF(AND(OR(LEFT(TH!L1300,2)="15",LEFT(TH!M1300,2)="15"),'152-CT'!$J$8=TH!F1300),"x","")</f>
        <v/>
      </c>
      <c r="W1300" s="22" t="str">
        <f>IF(AND(OR(LEFT(TH!L1300,2)="15",LEFT(TH!M1300,2)="15"),TK!$E$7=TH!F1300),"x","")</f>
        <v/>
      </c>
      <c r="X1300" s="22" t="str">
        <f>IF(OR(TH!L1300=TH!$X$7,M1300=TH!$X$7),"x","")</f>
        <v/>
      </c>
      <c r="Y1300" s="22" t="str">
        <f>IF(AND(B1300&lt;=NKC!$N$8,B1300&gt;=NKC!$M$8),"x","")</f>
        <v/>
      </c>
      <c r="Z1300" s="580"/>
      <c r="AA1300" s="588"/>
      <c r="AB1300" s="588"/>
    </row>
    <row r="1301" spans="1:31" s="589" customFormat="1" ht="15.75" customHeight="1">
      <c r="A1301" s="607" t="str">
        <f>IF(B1301&lt;&gt;"",IF(AND(B1301&gt;=_TM1,B1301&lt;=_TM2,OR(TH!L1301="1111",TH!M1301="1111")),TH!D1301,""),"")</f>
        <v/>
      </c>
      <c r="B1301" s="585">
        <f t="shared" si="62"/>
        <v>11</v>
      </c>
      <c r="C1301" s="586">
        <f t="shared" si="67"/>
        <v>42696</v>
      </c>
      <c r="D1301" s="569" t="s">
        <v>1022</v>
      </c>
      <c r="E1301" s="611">
        <v>42696</v>
      </c>
      <c r="F1301" s="614" t="s">
        <v>684</v>
      </c>
      <c r="G1301" s="612" t="s">
        <v>770</v>
      </c>
      <c r="H1301" s="572" t="s">
        <v>1075</v>
      </c>
      <c r="I1301" s="137">
        <v>608</v>
      </c>
      <c r="J1301" s="137">
        <v>11489.06617396915</v>
      </c>
      <c r="K1301" s="21">
        <f t="shared" si="66"/>
        <v>6985352</v>
      </c>
      <c r="L1301" s="567" t="s">
        <v>167</v>
      </c>
      <c r="M1301" s="567" t="s">
        <v>162</v>
      </c>
      <c r="N1301" s="22" t="str">
        <f>IF(AND('331-CT'!$E$7=TH!H1301,OR(L1301="331",M1301="331")),"331",IF(AND(OR(L1301="131",M1301="131"),H1301='131-CT'!$E$7),"131",""))</f>
        <v/>
      </c>
      <c r="O1301" s="22" t="str">
        <f>IF(AND($B1301&gt;='111'!$N$11,$B1301&lt;='111'!$O$11,OR($L1301=$O$7,$M1301=$O$7)),"x","")</f>
        <v/>
      </c>
      <c r="P1301" s="22" t="str">
        <f>IF(AND($L1301=$O$7,$B1301&lt;'111'!$N$11),"x","")</f>
        <v/>
      </c>
      <c r="Q1301" s="22" t="str">
        <f>IF(AND($M1301=$O$7,$B1301&lt;'111'!$N$11),"x","")</f>
        <v/>
      </c>
      <c r="R1301" s="22" t="str">
        <f>IF(ISERROR(FIND('112'!$M$9,G1301,1)),"",IF((AND(FIND('112'!$M$9,G1301,1)&gt;=1,$B1301&gt;='112'!$N$8,$B1301&lt;='112'!$O$8,OR($L1301='112'!$I$6,$M1301='112'!$I$6))),"x",""))</f>
        <v/>
      </c>
      <c r="S1301" s="22" t="str">
        <f>IF(ISERROR(FIND('112'!$M$9,G1301,1)),"",IF((AND(LEFT(G1301,2)=LEFT('112'!$M$9,2),B1301&lt;'112'!$N$8,$L1301='112'!$I$6)),"x",""))</f>
        <v/>
      </c>
      <c r="T1301" s="22" t="str">
        <f>IF(ISERROR(FIND('112'!$M$9,G1301,1)),"",IF((AND(RIGHT(G1301,2)=RIGHT('112'!$M$9,2),B1301&lt;'112'!$N$8,$M1301='112'!$I$6)),"x",""))</f>
        <v/>
      </c>
      <c r="U1301" s="22" t="str">
        <f>IF(AND(B1301&gt;='IN-NX'!$P$3,B1301&lt;='IN-NX'!$Q$3,'IN-NX'!$D$7=D1301,OR(LEFT(L1301,2)="15",AND(LEFT(M1301,2)&lt;&gt;"15",LEFT(M1301,2)&lt;&gt;"33"))),"x","")</f>
        <v/>
      </c>
      <c r="V1301" s="22" t="str">
        <f>IF(AND(OR(LEFT(TH!L1301,2)="15",LEFT(TH!M1301,2)="15"),'152-CT'!$J$8=TH!F1301),"x","")</f>
        <v/>
      </c>
      <c r="W1301" s="22" t="str">
        <f>IF(AND(OR(LEFT(TH!L1301,2)="15",LEFT(TH!M1301,2)="15"),TK!$E$7=TH!F1301),"x","")</f>
        <v/>
      </c>
      <c r="X1301" s="22" t="str">
        <f>IF(OR(TH!L1301=TH!$X$7,M1301=TH!$X$7),"x","")</f>
        <v/>
      </c>
      <c r="Y1301" s="22" t="str">
        <f>IF(AND(B1301&lt;=NKC!$N$8,B1301&gt;=NKC!$M$8),"x","")</f>
        <v/>
      </c>
      <c r="Z1301" s="580"/>
      <c r="AA1301" s="588"/>
      <c r="AB1301" s="588"/>
    </row>
    <row r="1302" spans="1:31" s="589" customFormat="1" ht="15.75" customHeight="1">
      <c r="A1302" s="607" t="str">
        <f>IF(B1302&lt;&gt;"",IF(AND(B1302&gt;=_TM1,B1302&lt;=_TM2,OR(TH!L1302="1111",TH!M1302="1111")),TH!D1302,""),"")</f>
        <v/>
      </c>
      <c r="B1302" s="585">
        <f t="shared" si="62"/>
        <v>11</v>
      </c>
      <c r="C1302" s="586">
        <f t="shared" si="67"/>
        <v>42697</v>
      </c>
      <c r="D1302" s="569" t="s">
        <v>1022</v>
      </c>
      <c r="E1302" s="611">
        <v>42697</v>
      </c>
      <c r="F1302" s="614" t="s">
        <v>813</v>
      </c>
      <c r="G1302" s="612" t="s">
        <v>816</v>
      </c>
      <c r="H1302" s="572" t="s">
        <v>1075</v>
      </c>
      <c r="I1302" s="137">
        <v>3353</v>
      </c>
      <c r="J1302" s="137">
        <v>6391.2686000887979</v>
      </c>
      <c r="K1302" s="21">
        <f t="shared" si="66"/>
        <v>21429924</v>
      </c>
      <c r="L1302" s="567" t="s">
        <v>167</v>
      </c>
      <c r="M1302" s="567" t="s">
        <v>162</v>
      </c>
      <c r="N1302" s="22" t="str">
        <f>IF(AND('331-CT'!$E$7=TH!H1302,OR(L1302="331",M1302="331")),"331",IF(AND(OR(L1302="131",M1302="131"),H1302='131-CT'!$E$7),"131",""))</f>
        <v/>
      </c>
      <c r="O1302" s="22" t="str">
        <f>IF(AND($B1302&gt;='111'!$N$11,$B1302&lt;='111'!$O$11,OR($L1302=$O$7,$M1302=$O$7)),"x","")</f>
        <v/>
      </c>
      <c r="P1302" s="22" t="str">
        <f>IF(AND($L1302=$O$7,$B1302&lt;'111'!$N$11),"x","")</f>
        <v/>
      </c>
      <c r="Q1302" s="22" t="str">
        <f>IF(AND($M1302=$O$7,$B1302&lt;'111'!$N$11),"x","")</f>
        <v/>
      </c>
      <c r="R1302" s="22" t="str">
        <f>IF(ISERROR(FIND('112'!$M$9,G1302,1)),"",IF((AND(FIND('112'!$M$9,G1302,1)&gt;=1,$B1302&gt;='112'!$N$8,$B1302&lt;='112'!$O$8,OR($L1302='112'!$I$6,$M1302='112'!$I$6))),"x",""))</f>
        <v/>
      </c>
      <c r="S1302" s="22" t="str">
        <f>IF(ISERROR(FIND('112'!$M$9,G1302,1)),"",IF((AND(LEFT(G1302,2)=LEFT('112'!$M$9,2),B1302&lt;'112'!$N$8,$L1302='112'!$I$6)),"x",""))</f>
        <v/>
      </c>
      <c r="T1302" s="22" t="str">
        <f>IF(ISERROR(FIND('112'!$M$9,G1302,1)),"",IF((AND(RIGHT(G1302,2)=RIGHT('112'!$M$9,2),B1302&lt;'112'!$N$8,$M1302='112'!$I$6)),"x",""))</f>
        <v/>
      </c>
      <c r="U1302" s="22" t="str">
        <f>IF(AND(B1302&gt;='IN-NX'!$P$3,B1302&lt;='IN-NX'!$Q$3,'IN-NX'!$D$7=D1302,OR(LEFT(L1302,2)="15",AND(LEFT(M1302,2)&lt;&gt;"15",LEFT(M1302,2)&lt;&gt;"33"))),"x","")</f>
        <v/>
      </c>
      <c r="V1302" s="22" t="str">
        <f>IF(AND(OR(LEFT(TH!L1302,2)="15",LEFT(TH!M1302,2)="15"),'152-CT'!$J$8=TH!F1302),"x","")</f>
        <v/>
      </c>
      <c r="W1302" s="22" t="str">
        <f>IF(AND(OR(LEFT(TH!L1302,2)="15",LEFT(TH!M1302,2)="15"),TK!$E$7=TH!F1302),"x","")</f>
        <v/>
      </c>
      <c r="X1302" s="22" t="str">
        <f>IF(OR(TH!L1302=TH!$X$7,M1302=TH!$X$7),"x","")</f>
        <v/>
      </c>
      <c r="Y1302" s="22" t="str">
        <f>IF(AND(B1302&lt;=NKC!$N$8,B1302&gt;=NKC!$M$8),"x","")</f>
        <v/>
      </c>
      <c r="Z1302" s="580"/>
      <c r="AA1302" s="588"/>
      <c r="AB1302" s="588"/>
      <c r="AD1302" s="588"/>
      <c r="AE1302" s="588"/>
    </row>
    <row r="1303" spans="1:31" s="589" customFormat="1" ht="15.75" customHeight="1">
      <c r="A1303" s="607" t="str">
        <f>IF(B1303&lt;&gt;"",IF(AND(B1303&gt;=_TM1,B1303&lt;=_TM2,OR(TH!L1303="1111",TH!M1303="1111")),TH!D1303,""),"")</f>
        <v/>
      </c>
      <c r="B1303" s="585">
        <f t="shared" si="62"/>
        <v>11</v>
      </c>
      <c r="C1303" s="586">
        <f t="shared" si="67"/>
        <v>42703</v>
      </c>
      <c r="D1303" s="569" t="s">
        <v>1022</v>
      </c>
      <c r="E1303" s="611">
        <v>42703</v>
      </c>
      <c r="F1303" s="614" t="s">
        <v>691</v>
      </c>
      <c r="G1303" s="612" t="s">
        <v>771</v>
      </c>
      <c r="H1303" s="572" t="s">
        <v>1075</v>
      </c>
      <c r="I1303" s="591">
        <v>1020</v>
      </c>
      <c r="J1303" s="137">
        <v>5173.8841048337899</v>
      </c>
      <c r="K1303" s="21">
        <f t="shared" si="66"/>
        <v>5277362</v>
      </c>
      <c r="L1303" s="567" t="s">
        <v>167</v>
      </c>
      <c r="M1303" s="567" t="s">
        <v>162</v>
      </c>
      <c r="N1303" s="22" t="str">
        <f>IF(AND('331-CT'!$E$7=TH!H1303,OR(L1303="331",M1303="331")),"331",IF(AND(OR(L1303="131",M1303="131"),H1303='131-CT'!$E$7),"131",""))</f>
        <v/>
      </c>
      <c r="O1303" s="22" t="str">
        <f>IF(AND($B1303&gt;='111'!$N$11,$B1303&lt;='111'!$O$11,OR($L1303=$O$7,$M1303=$O$7)),"x","")</f>
        <v/>
      </c>
      <c r="P1303" s="22" t="str">
        <f>IF(AND($L1303=$O$7,$B1303&lt;'111'!$N$11),"x","")</f>
        <v/>
      </c>
      <c r="Q1303" s="22" t="str">
        <f>IF(AND($M1303=$O$7,$B1303&lt;'111'!$N$11),"x","")</f>
        <v/>
      </c>
      <c r="R1303" s="22" t="str">
        <f>IF(ISERROR(FIND('112'!$M$9,G1303,1)),"",IF((AND(FIND('112'!$M$9,G1303,1)&gt;=1,$B1303&gt;='112'!$N$8,$B1303&lt;='112'!$O$8,OR($L1303='112'!$I$6,$M1303='112'!$I$6))),"x",""))</f>
        <v/>
      </c>
      <c r="S1303" s="22" t="str">
        <f>IF(ISERROR(FIND('112'!$M$9,G1303,1)),"",IF((AND(LEFT(G1303,2)=LEFT('112'!$M$9,2),B1303&lt;'112'!$N$8,$L1303='112'!$I$6)),"x",""))</f>
        <v/>
      </c>
      <c r="T1303" s="22" t="str">
        <f>IF(ISERROR(FIND('112'!$M$9,G1303,1)),"",IF((AND(RIGHT(G1303,2)=RIGHT('112'!$M$9,2),B1303&lt;'112'!$N$8,$M1303='112'!$I$6)),"x",""))</f>
        <v/>
      </c>
      <c r="U1303" s="22" t="str">
        <f>IF(AND(B1303&gt;='IN-NX'!$P$3,B1303&lt;='IN-NX'!$Q$3,'IN-NX'!$D$7=D1303,OR(LEFT(L1303,2)="15",AND(LEFT(M1303,2)&lt;&gt;"15",LEFT(M1303,2)&lt;&gt;"33"))),"x","")</f>
        <v/>
      </c>
      <c r="V1303" s="22" t="str">
        <f>IF(AND(OR(LEFT(TH!L1303,2)="15",LEFT(TH!M1303,2)="15"),'152-CT'!$J$8=TH!F1303),"x","")</f>
        <v/>
      </c>
      <c r="W1303" s="22" t="str">
        <f>IF(AND(OR(LEFT(TH!L1303,2)="15",LEFT(TH!M1303,2)="15"),TK!$E$7=TH!F1303),"x","")</f>
        <v/>
      </c>
      <c r="X1303" s="22" t="str">
        <f>IF(OR(TH!L1303=TH!$X$7,M1303=TH!$X$7),"x","")</f>
        <v/>
      </c>
      <c r="Y1303" s="22" t="str">
        <f>IF(AND(B1303&lt;=NKC!$N$8,B1303&gt;=NKC!$M$8),"x","")</f>
        <v/>
      </c>
      <c r="Z1303" s="580"/>
      <c r="AA1303" s="588"/>
      <c r="AB1303" s="588"/>
      <c r="AD1303" s="588"/>
      <c r="AE1303" s="588"/>
    </row>
    <row r="1304" spans="1:31" s="589" customFormat="1" ht="15.75" customHeight="1">
      <c r="A1304" s="607" t="str">
        <f>IF(B1304&lt;&gt;"",IF(AND(B1304&gt;=_TM1,B1304&lt;=_TM2,OR(TH!L1304="1111",TH!M1304="1111")),TH!D1304,""),"")</f>
        <v/>
      </c>
      <c r="B1304" s="585">
        <f t="shared" si="62"/>
        <v>11</v>
      </c>
      <c r="C1304" s="586">
        <f t="shared" si="67"/>
        <v>42703</v>
      </c>
      <c r="D1304" s="569" t="s">
        <v>1022</v>
      </c>
      <c r="E1304" s="611">
        <v>42703</v>
      </c>
      <c r="F1304" s="614" t="s">
        <v>693</v>
      </c>
      <c r="G1304" s="612" t="s">
        <v>772</v>
      </c>
      <c r="H1304" s="572" t="s">
        <v>1075</v>
      </c>
      <c r="I1304" s="591">
        <v>25</v>
      </c>
      <c r="J1304" s="137">
        <v>72282.20440576617</v>
      </c>
      <c r="K1304" s="21">
        <f t="shared" si="66"/>
        <v>1807055</v>
      </c>
      <c r="L1304" s="567" t="s">
        <v>167</v>
      </c>
      <c r="M1304" s="567" t="s">
        <v>162</v>
      </c>
      <c r="N1304" s="22" t="str">
        <f>IF(AND('331-CT'!$E$7=TH!H1304,OR(L1304="331",M1304="331")),"331",IF(AND(OR(L1304="131",M1304="131"),H1304='131-CT'!$E$7),"131",""))</f>
        <v/>
      </c>
      <c r="O1304" s="22" t="str">
        <f>IF(AND($B1304&gt;='111'!$N$11,$B1304&lt;='111'!$O$11,OR($L1304=$O$7,$M1304=$O$7)),"x","")</f>
        <v/>
      </c>
      <c r="P1304" s="22" t="str">
        <f>IF(AND($L1304=$O$7,$B1304&lt;'111'!$N$11),"x","")</f>
        <v/>
      </c>
      <c r="Q1304" s="22" t="str">
        <f>IF(AND($M1304=$O$7,$B1304&lt;'111'!$N$11),"x","")</f>
        <v/>
      </c>
      <c r="R1304" s="22" t="str">
        <f>IF(ISERROR(FIND('112'!$M$9,G1304,1)),"",IF((AND(FIND('112'!$M$9,G1304,1)&gt;=1,$B1304&gt;='112'!$N$8,$B1304&lt;='112'!$O$8,OR($L1304='112'!$I$6,$M1304='112'!$I$6))),"x",""))</f>
        <v/>
      </c>
      <c r="S1304" s="22" t="str">
        <f>IF(ISERROR(FIND('112'!$M$9,G1304,1)),"",IF((AND(LEFT(G1304,2)=LEFT('112'!$M$9,2),B1304&lt;'112'!$N$8,$L1304='112'!$I$6)),"x",""))</f>
        <v/>
      </c>
      <c r="T1304" s="22" t="str">
        <f>IF(ISERROR(FIND('112'!$M$9,G1304,1)),"",IF((AND(RIGHT(G1304,2)=RIGHT('112'!$M$9,2),B1304&lt;'112'!$N$8,$M1304='112'!$I$6)),"x",""))</f>
        <v/>
      </c>
      <c r="U1304" s="22" t="str">
        <f>IF(AND(B1304&gt;='IN-NX'!$P$3,B1304&lt;='IN-NX'!$Q$3,'IN-NX'!$D$7=D1304,OR(LEFT(L1304,2)="15",AND(LEFT(M1304,2)&lt;&gt;"15",LEFT(M1304,2)&lt;&gt;"33"))),"x","")</f>
        <v/>
      </c>
      <c r="V1304" s="22" t="str">
        <f>IF(AND(OR(LEFT(TH!L1304,2)="15",LEFT(TH!M1304,2)="15"),'152-CT'!$J$8=TH!F1304),"x","")</f>
        <v/>
      </c>
      <c r="W1304" s="22" t="str">
        <f>IF(AND(OR(LEFT(TH!L1304,2)="15",LEFT(TH!M1304,2)="15"),TK!$E$7=TH!F1304),"x","")</f>
        <v/>
      </c>
      <c r="X1304" s="22" t="str">
        <f>IF(OR(TH!L1304=TH!$X$7,M1304=TH!$X$7),"x","")</f>
        <v/>
      </c>
      <c r="Y1304" s="22" t="str">
        <f>IF(AND(B1304&lt;=NKC!$N$8,B1304&gt;=NKC!$M$8),"x","")</f>
        <v/>
      </c>
      <c r="Z1304" s="580"/>
      <c r="AA1304" s="588"/>
      <c r="AB1304" s="588"/>
    </row>
    <row r="1305" spans="1:31" s="589" customFormat="1" ht="15.75" customHeight="1">
      <c r="A1305" s="607" t="str">
        <f>IF(B1305&lt;&gt;"",IF(AND(B1305&gt;=_TM1,B1305&lt;=_TM2,OR(TH!L1305="1111",TH!M1305="1111")),TH!D1305,""),"")</f>
        <v/>
      </c>
      <c r="B1305" s="585">
        <f t="shared" si="62"/>
        <v>11</v>
      </c>
      <c r="C1305" s="586">
        <f t="shared" si="67"/>
        <v>42703</v>
      </c>
      <c r="D1305" s="569" t="s">
        <v>1022</v>
      </c>
      <c r="E1305" s="611">
        <v>42703</v>
      </c>
      <c r="F1305" s="614" t="s">
        <v>694</v>
      </c>
      <c r="G1305" s="612" t="s">
        <v>772</v>
      </c>
      <c r="H1305" s="572" t="s">
        <v>1075</v>
      </c>
      <c r="I1305" s="591">
        <v>5</v>
      </c>
      <c r="J1305" s="137">
        <v>58510.542303193884</v>
      </c>
      <c r="K1305" s="21">
        <f t="shared" si="66"/>
        <v>292553</v>
      </c>
      <c r="L1305" s="567" t="s">
        <v>167</v>
      </c>
      <c r="M1305" s="567" t="s">
        <v>162</v>
      </c>
      <c r="N1305" s="22" t="str">
        <f>IF(AND('331-CT'!$E$7=TH!H1305,OR(L1305="331",M1305="331")),"331",IF(AND(OR(L1305="131",M1305="131"),H1305='131-CT'!$E$7),"131",""))</f>
        <v/>
      </c>
      <c r="O1305" s="22" t="str">
        <f>IF(AND($B1305&gt;='111'!$N$11,$B1305&lt;='111'!$O$11,OR($L1305=$O$7,$M1305=$O$7)),"x","")</f>
        <v/>
      </c>
      <c r="P1305" s="22" t="str">
        <f>IF(AND($L1305=$O$7,$B1305&lt;'111'!$N$11),"x","")</f>
        <v/>
      </c>
      <c r="Q1305" s="22" t="str">
        <f>IF(AND($M1305=$O$7,$B1305&lt;'111'!$N$11),"x","")</f>
        <v/>
      </c>
      <c r="R1305" s="22" t="str">
        <f>IF(ISERROR(FIND('112'!$M$9,G1305,1)),"",IF((AND(FIND('112'!$M$9,G1305,1)&gt;=1,$B1305&gt;='112'!$N$8,$B1305&lt;='112'!$O$8,OR($L1305='112'!$I$6,$M1305='112'!$I$6))),"x",""))</f>
        <v/>
      </c>
      <c r="S1305" s="22" t="str">
        <f>IF(ISERROR(FIND('112'!$M$9,G1305,1)),"",IF((AND(LEFT(G1305,2)=LEFT('112'!$M$9,2),B1305&lt;'112'!$N$8,$L1305='112'!$I$6)),"x",""))</f>
        <v/>
      </c>
      <c r="T1305" s="22" t="str">
        <f>IF(ISERROR(FIND('112'!$M$9,G1305,1)),"",IF((AND(RIGHT(G1305,2)=RIGHT('112'!$M$9,2),B1305&lt;'112'!$N$8,$M1305='112'!$I$6)),"x",""))</f>
        <v/>
      </c>
      <c r="U1305" s="22" t="str">
        <f>IF(AND(B1305&gt;='IN-NX'!$P$3,B1305&lt;='IN-NX'!$Q$3,'IN-NX'!$D$7=D1305,OR(LEFT(L1305,2)="15",AND(LEFT(M1305,2)&lt;&gt;"15",LEFT(M1305,2)&lt;&gt;"33"))),"x","")</f>
        <v/>
      </c>
      <c r="V1305" s="22" t="str">
        <f>IF(AND(OR(LEFT(TH!L1305,2)="15",LEFT(TH!M1305,2)="15"),'152-CT'!$J$8=TH!F1305),"x","")</f>
        <v/>
      </c>
      <c r="W1305" s="22" t="str">
        <f>IF(AND(OR(LEFT(TH!L1305,2)="15",LEFT(TH!M1305,2)="15"),TK!$E$7=TH!F1305),"x","")</f>
        <v/>
      </c>
      <c r="X1305" s="22" t="str">
        <f>IF(OR(TH!L1305=TH!$X$7,M1305=TH!$X$7),"x","")</f>
        <v/>
      </c>
      <c r="Y1305" s="22" t="str">
        <f>IF(AND(B1305&lt;=NKC!$N$8,B1305&gt;=NKC!$M$8),"x","")</f>
        <v/>
      </c>
      <c r="Z1305" s="580"/>
      <c r="AA1305" s="588"/>
      <c r="AB1305" s="588"/>
    </row>
    <row r="1306" spans="1:31" s="589" customFormat="1" ht="15.75" customHeight="1">
      <c r="A1306" s="607" t="str">
        <f>IF(B1306&lt;&gt;"",IF(AND(B1306&gt;=_TM1,B1306&lt;=_TM2,OR(TH!L1306="1111",TH!M1306="1111")),TH!D1306,""),"")</f>
        <v/>
      </c>
      <c r="B1306" s="585">
        <f t="shared" si="62"/>
        <v>11</v>
      </c>
      <c r="C1306" s="586">
        <f t="shared" si="67"/>
        <v>42703</v>
      </c>
      <c r="D1306" s="569" t="s">
        <v>1022</v>
      </c>
      <c r="E1306" s="611">
        <v>42703</v>
      </c>
      <c r="F1306" s="614" t="s">
        <v>695</v>
      </c>
      <c r="G1306" s="612" t="s">
        <v>772</v>
      </c>
      <c r="H1306" s="572" t="s">
        <v>1075</v>
      </c>
      <c r="I1306" s="591">
        <v>100</v>
      </c>
      <c r="J1306" s="137">
        <v>43825.841829180332</v>
      </c>
      <c r="K1306" s="21">
        <f t="shared" si="66"/>
        <v>4382584</v>
      </c>
      <c r="L1306" s="567" t="s">
        <v>167</v>
      </c>
      <c r="M1306" s="567" t="s">
        <v>162</v>
      </c>
      <c r="N1306" s="22" t="str">
        <f>IF(AND('331-CT'!$E$7=TH!H1306,OR(L1306="331",M1306="331")),"331",IF(AND(OR(L1306="131",M1306="131"),H1306='131-CT'!$E$7),"131",""))</f>
        <v/>
      </c>
      <c r="O1306" s="22" t="str">
        <f>IF(AND($B1306&gt;='111'!$N$11,$B1306&lt;='111'!$O$11,OR($L1306=$O$7,$M1306=$O$7)),"x","")</f>
        <v/>
      </c>
      <c r="P1306" s="22" t="str">
        <f>IF(AND($L1306=$O$7,$B1306&lt;'111'!$N$11),"x","")</f>
        <v/>
      </c>
      <c r="Q1306" s="22" t="str">
        <f>IF(AND($M1306=$O$7,$B1306&lt;'111'!$N$11),"x","")</f>
        <v/>
      </c>
      <c r="R1306" s="22" t="str">
        <f>IF(ISERROR(FIND('112'!$M$9,G1306,1)),"",IF((AND(FIND('112'!$M$9,G1306,1)&gt;=1,$B1306&gt;='112'!$N$8,$B1306&lt;='112'!$O$8,OR($L1306='112'!$I$6,$M1306='112'!$I$6))),"x",""))</f>
        <v/>
      </c>
      <c r="S1306" s="22" t="str">
        <f>IF(ISERROR(FIND('112'!$M$9,G1306,1)),"",IF((AND(LEFT(G1306,2)=LEFT('112'!$M$9,2),B1306&lt;'112'!$N$8,$L1306='112'!$I$6)),"x",""))</f>
        <v/>
      </c>
      <c r="T1306" s="22" t="str">
        <f>IF(ISERROR(FIND('112'!$M$9,G1306,1)),"",IF((AND(RIGHT(G1306,2)=RIGHT('112'!$M$9,2),B1306&lt;'112'!$N$8,$M1306='112'!$I$6)),"x",""))</f>
        <v/>
      </c>
      <c r="U1306" s="22" t="str">
        <f>IF(AND(B1306&gt;='IN-NX'!$P$3,B1306&lt;='IN-NX'!$Q$3,'IN-NX'!$D$7=D1306,OR(LEFT(L1306,2)="15",AND(LEFT(M1306,2)&lt;&gt;"15",LEFT(M1306,2)&lt;&gt;"33"))),"x","")</f>
        <v/>
      </c>
      <c r="V1306" s="22" t="str">
        <f>IF(AND(OR(LEFT(TH!L1306,2)="15",LEFT(TH!M1306,2)="15"),'152-CT'!$J$8=TH!F1306),"x","")</f>
        <v/>
      </c>
      <c r="W1306" s="22" t="str">
        <f>IF(AND(OR(LEFT(TH!L1306,2)="15",LEFT(TH!M1306,2)="15"),TK!$E$7=TH!F1306),"x","")</f>
        <v/>
      </c>
      <c r="X1306" s="22" t="str">
        <f>IF(OR(TH!L1306=TH!$X$7,M1306=TH!$X$7),"x","")</f>
        <v/>
      </c>
      <c r="Y1306" s="22" t="str">
        <f>IF(AND(B1306&lt;=NKC!$N$8,B1306&gt;=NKC!$M$8),"x","")</f>
        <v/>
      </c>
      <c r="Z1306" s="580"/>
      <c r="AA1306" s="588"/>
    </row>
    <row r="1307" spans="1:31" s="589" customFormat="1" ht="15.75" customHeight="1">
      <c r="A1307" s="607" t="str">
        <f>IF(B1307&lt;&gt;"",IF(AND(B1307&gt;=_TM1,B1307&lt;=_TM2,OR(TH!L1307="1111",TH!M1307="1111")),TH!D1307,""),"")</f>
        <v/>
      </c>
      <c r="B1307" s="585">
        <f t="shared" si="62"/>
        <v>11</v>
      </c>
      <c r="C1307" s="586">
        <f t="shared" si="67"/>
        <v>42703</v>
      </c>
      <c r="D1307" s="569" t="s">
        <v>1022</v>
      </c>
      <c r="E1307" s="611">
        <v>42703</v>
      </c>
      <c r="F1307" s="614" t="s">
        <v>696</v>
      </c>
      <c r="G1307" s="612" t="s">
        <v>772</v>
      </c>
      <c r="H1307" s="572" t="s">
        <v>1075</v>
      </c>
      <c r="I1307" s="137">
        <v>12</v>
      </c>
      <c r="J1307" s="137">
        <v>85216.914667850637</v>
      </c>
      <c r="K1307" s="21">
        <f t="shared" si="66"/>
        <v>1022603</v>
      </c>
      <c r="L1307" s="567" t="s">
        <v>167</v>
      </c>
      <c r="M1307" s="567" t="s">
        <v>162</v>
      </c>
      <c r="N1307" s="22" t="str">
        <f>IF(AND('331-CT'!$E$7=TH!H1307,OR(L1307="331",M1307="331")),"331",IF(AND(OR(L1307="131",M1307="131"),H1307='131-CT'!$E$7),"131",""))</f>
        <v/>
      </c>
      <c r="O1307" s="22" t="str">
        <f>IF(AND($B1307&gt;='111'!$N$11,$B1307&lt;='111'!$O$11,OR($L1307=$O$7,$M1307=$O$7)),"x","")</f>
        <v/>
      </c>
      <c r="P1307" s="22" t="str">
        <f>IF(AND($L1307=$O$7,$B1307&lt;'111'!$N$11),"x","")</f>
        <v/>
      </c>
      <c r="Q1307" s="22" t="str">
        <f>IF(AND($M1307=$O$7,$B1307&lt;'111'!$N$11),"x","")</f>
        <v/>
      </c>
      <c r="R1307" s="22" t="str">
        <f>IF(ISERROR(FIND('112'!$M$9,G1307,1)),"",IF((AND(FIND('112'!$M$9,G1307,1)&gt;=1,$B1307&gt;='112'!$N$8,$B1307&lt;='112'!$O$8,OR($L1307='112'!$I$6,$M1307='112'!$I$6))),"x",""))</f>
        <v/>
      </c>
      <c r="S1307" s="22" t="str">
        <f>IF(ISERROR(FIND('112'!$M$9,G1307,1)),"",IF((AND(LEFT(G1307,2)=LEFT('112'!$M$9,2),B1307&lt;'112'!$N$8,$L1307='112'!$I$6)),"x",""))</f>
        <v/>
      </c>
      <c r="T1307" s="22" t="str">
        <f>IF(ISERROR(FIND('112'!$M$9,G1307,1)),"",IF((AND(RIGHT(G1307,2)=RIGHT('112'!$M$9,2),B1307&lt;'112'!$N$8,$M1307='112'!$I$6)),"x",""))</f>
        <v/>
      </c>
      <c r="U1307" s="22" t="str">
        <f>IF(AND(B1307&gt;='IN-NX'!$P$3,B1307&lt;='IN-NX'!$Q$3,'IN-NX'!$D$7=D1307,OR(LEFT(L1307,2)="15",AND(LEFT(M1307,2)&lt;&gt;"15",LEFT(M1307,2)&lt;&gt;"33"))),"x","")</f>
        <v/>
      </c>
      <c r="V1307" s="22" t="str">
        <f>IF(AND(OR(LEFT(TH!L1307,2)="15",LEFT(TH!M1307,2)="15"),'152-CT'!$J$8=TH!F1307),"x","")</f>
        <v/>
      </c>
      <c r="W1307" s="22" t="str">
        <f>IF(AND(OR(LEFT(TH!L1307,2)="15",LEFT(TH!M1307,2)="15"),TK!$E$7=TH!F1307),"x","")</f>
        <v/>
      </c>
      <c r="X1307" s="22" t="str">
        <f>IF(OR(TH!L1307=TH!$X$7,M1307=TH!$X$7),"x","")</f>
        <v/>
      </c>
      <c r="Y1307" s="22" t="str">
        <f>IF(AND(B1307&lt;=NKC!$N$8,B1307&gt;=NKC!$M$8),"x","")</f>
        <v/>
      </c>
      <c r="Z1307" s="580"/>
      <c r="AA1307" s="588"/>
      <c r="AB1307" s="588"/>
    </row>
    <row r="1308" spans="1:31" s="589" customFormat="1" ht="15.75" customHeight="1">
      <c r="A1308" s="607" t="str">
        <f>IF(B1308&lt;&gt;"",IF(AND(B1308&gt;=_TM1,B1308&lt;=_TM2,OR(TH!L1308="1111",TH!M1308="1111")),TH!D1308,""),"")</f>
        <v/>
      </c>
      <c r="B1308" s="585">
        <f t="shared" si="62"/>
        <v>12</v>
      </c>
      <c r="C1308" s="586">
        <f t="shared" si="67"/>
        <v>42705</v>
      </c>
      <c r="D1308" s="569" t="s">
        <v>1022</v>
      </c>
      <c r="E1308" s="611">
        <v>42705</v>
      </c>
      <c r="F1308" s="614" t="s">
        <v>813</v>
      </c>
      <c r="G1308" s="612" t="s">
        <v>776</v>
      </c>
      <c r="H1308" s="572" t="s">
        <v>1075</v>
      </c>
      <c r="I1308" s="137">
        <v>2400</v>
      </c>
      <c r="J1308" s="137">
        <v>6391.2686000887979</v>
      </c>
      <c r="K1308" s="21">
        <f t="shared" si="66"/>
        <v>15339045</v>
      </c>
      <c r="L1308" s="567" t="s">
        <v>167</v>
      </c>
      <c r="M1308" s="567" t="s">
        <v>162</v>
      </c>
      <c r="N1308" s="22" t="str">
        <f>IF(AND('331-CT'!$E$7=TH!H1308,OR(L1308="331",M1308="331")),"331",IF(AND(OR(L1308="131",M1308="131"),H1308='131-CT'!$E$7),"131",""))</f>
        <v/>
      </c>
      <c r="O1308" s="22" t="str">
        <f>IF(AND($B1308&gt;='111'!$N$11,$B1308&lt;='111'!$O$11,OR($L1308=$O$7,$M1308=$O$7)),"x","")</f>
        <v/>
      </c>
      <c r="P1308" s="22" t="str">
        <f>IF(AND($L1308=$O$7,$B1308&lt;'111'!$N$11),"x","")</f>
        <v/>
      </c>
      <c r="Q1308" s="22" t="str">
        <f>IF(AND($M1308=$O$7,$B1308&lt;'111'!$N$11),"x","")</f>
        <v/>
      </c>
      <c r="R1308" s="22" t="str">
        <f>IF(ISERROR(FIND('112'!$M$9,G1308,1)),"",IF((AND(FIND('112'!$M$9,G1308,1)&gt;=1,$B1308&gt;='112'!$N$8,$B1308&lt;='112'!$O$8,OR($L1308='112'!$I$6,$M1308='112'!$I$6))),"x",""))</f>
        <v/>
      </c>
      <c r="S1308" s="22" t="str">
        <f>IF(ISERROR(FIND('112'!$M$9,G1308,1)),"",IF((AND(LEFT(G1308,2)=LEFT('112'!$M$9,2),B1308&lt;'112'!$N$8,$L1308='112'!$I$6)),"x",""))</f>
        <v/>
      </c>
      <c r="T1308" s="22" t="str">
        <f>IF(ISERROR(FIND('112'!$M$9,G1308,1)),"",IF((AND(RIGHT(G1308,2)=RIGHT('112'!$M$9,2),B1308&lt;'112'!$N$8,$M1308='112'!$I$6)),"x",""))</f>
        <v/>
      </c>
      <c r="U1308" s="22" t="str">
        <f>IF(AND(B1308&gt;='IN-NX'!$P$3,B1308&lt;='IN-NX'!$Q$3,'IN-NX'!$D$7=D1308,OR(LEFT(L1308,2)="15",AND(LEFT(M1308,2)&lt;&gt;"15",LEFT(M1308,2)&lt;&gt;"33"))),"x","")</f>
        <v/>
      </c>
      <c r="V1308" s="22" t="str">
        <f>IF(AND(OR(LEFT(TH!L1308,2)="15",LEFT(TH!M1308,2)="15"),'152-CT'!$J$8=TH!F1308),"x","")</f>
        <v/>
      </c>
      <c r="W1308" s="22" t="str">
        <f>IF(AND(OR(LEFT(TH!L1308,2)="15",LEFT(TH!M1308,2)="15"),TK!$E$7=TH!F1308),"x","")</f>
        <v/>
      </c>
      <c r="X1308" s="22" t="str">
        <f>IF(OR(TH!L1308=TH!$X$7,M1308=TH!$X$7),"x","")</f>
        <v/>
      </c>
      <c r="Y1308" s="22" t="str">
        <f>IF(AND(B1308&lt;=NKC!$N$8,B1308&gt;=NKC!$M$8),"x","")</f>
        <v/>
      </c>
      <c r="Z1308" s="580"/>
      <c r="AA1308" s="588"/>
      <c r="AB1308" s="588"/>
    </row>
    <row r="1309" spans="1:31" s="589" customFormat="1" ht="15.75" customHeight="1">
      <c r="A1309" s="607" t="str">
        <f>IF(B1309&lt;&gt;"",IF(AND(B1309&gt;=_TM1,B1309&lt;=_TM2,OR(TH!L1309="1111",TH!M1309="1111")),TH!D1309,""),"")</f>
        <v/>
      </c>
      <c r="B1309" s="585">
        <f t="shared" si="62"/>
        <v>12</v>
      </c>
      <c r="C1309" s="586">
        <f t="shared" si="67"/>
        <v>42706</v>
      </c>
      <c r="D1309" s="569" t="s">
        <v>1022</v>
      </c>
      <c r="E1309" s="611">
        <v>42706</v>
      </c>
      <c r="F1309" s="614" t="s">
        <v>813</v>
      </c>
      <c r="G1309" s="612" t="s">
        <v>824</v>
      </c>
      <c r="H1309" s="572" t="s">
        <v>1075</v>
      </c>
      <c r="I1309" s="591">
        <v>1600</v>
      </c>
      <c r="J1309" s="591">
        <v>6391.2686000887979</v>
      </c>
      <c r="K1309" s="21">
        <f t="shared" si="66"/>
        <v>10226030</v>
      </c>
      <c r="L1309" s="567" t="s">
        <v>167</v>
      </c>
      <c r="M1309" s="567" t="s">
        <v>162</v>
      </c>
      <c r="N1309" s="22" t="str">
        <f>IF(AND('331-CT'!$E$7=TH!H1309,OR(L1309="331",M1309="331")),"331",IF(AND(OR(L1309="131",M1309="131"),H1309='131-CT'!$E$7),"131",""))</f>
        <v/>
      </c>
      <c r="O1309" s="22" t="str">
        <f>IF(AND($B1309&gt;='111'!$N$11,$B1309&lt;='111'!$O$11,OR($L1309=$O$7,$M1309=$O$7)),"x","")</f>
        <v/>
      </c>
      <c r="P1309" s="22" t="str">
        <f>IF(AND($L1309=$O$7,$B1309&lt;'111'!$N$11),"x","")</f>
        <v/>
      </c>
      <c r="Q1309" s="22" t="str">
        <f>IF(AND($M1309=$O$7,$B1309&lt;'111'!$N$11),"x","")</f>
        <v/>
      </c>
      <c r="R1309" s="22" t="str">
        <f>IF(ISERROR(FIND('112'!$M$9,G1309,1)),"",IF((AND(FIND('112'!$M$9,G1309,1)&gt;=1,$B1309&gt;='112'!$N$8,$B1309&lt;='112'!$O$8,OR($L1309='112'!$I$6,$M1309='112'!$I$6))),"x",""))</f>
        <v/>
      </c>
      <c r="S1309" s="22" t="str">
        <f>IF(ISERROR(FIND('112'!$M$9,G1309,1)),"",IF((AND(LEFT(G1309,2)=LEFT('112'!$M$9,2),B1309&lt;'112'!$N$8,$L1309='112'!$I$6)),"x",""))</f>
        <v/>
      </c>
      <c r="T1309" s="22" t="str">
        <f>IF(ISERROR(FIND('112'!$M$9,G1309,1)),"",IF((AND(RIGHT(G1309,2)=RIGHT('112'!$M$9,2),B1309&lt;'112'!$N$8,$M1309='112'!$I$6)),"x",""))</f>
        <v/>
      </c>
      <c r="U1309" s="22" t="str">
        <f>IF(AND(B1309&gt;='IN-NX'!$P$3,B1309&lt;='IN-NX'!$Q$3,'IN-NX'!$D$7=D1309,OR(LEFT(L1309,2)="15",AND(LEFT(M1309,2)&lt;&gt;"15",LEFT(M1309,2)&lt;&gt;"33"))),"x","")</f>
        <v/>
      </c>
      <c r="V1309" s="22" t="str">
        <f>IF(AND(OR(LEFT(TH!L1309,2)="15",LEFT(TH!M1309,2)="15"),'152-CT'!$J$8=TH!F1309),"x","")</f>
        <v/>
      </c>
      <c r="W1309" s="22" t="str">
        <f>IF(AND(OR(LEFT(TH!L1309,2)="15",LEFT(TH!M1309,2)="15"),TK!$E$7=TH!F1309),"x","")</f>
        <v/>
      </c>
      <c r="X1309" s="22" t="str">
        <f>IF(OR(TH!L1309=TH!$X$7,M1309=TH!$X$7),"x","")</f>
        <v/>
      </c>
      <c r="Y1309" s="22" t="str">
        <f>IF(AND(B1309&lt;=NKC!$N$8,B1309&gt;=NKC!$M$8),"x","")</f>
        <v/>
      </c>
      <c r="Z1309" s="580"/>
      <c r="AA1309" s="588"/>
    </row>
    <row r="1310" spans="1:31" s="589" customFormat="1" ht="15.75" customHeight="1">
      <c r="A1310" s="607" t="str">
        <f>IF(B1310&lt;&gt;"",IF(AND(B1310&gt;=_TM1,B1310&lt;=_TM2,OR(TH!L1310="1111",TH!M1310="1111")),TH!D1310,""),"")</f>
        <v/>
      </c>
      <c r="B1310" s="585">
        <f t="shared" si="62"/>
        <v>12</v>
      </c>
      <c r="C1310" s="586">
        <f t="shared" si="67"/>
        <v>42707</v>
      </c>
      <c r="D1310" s="569" t="s">
        <v>1022</v>
      </c>
      <c r="E1310" s="611">
        <v>42707</v>
      </c>
      <c r="F1310" s="614" t="s">
        <v>813</v>
      </c>
      <c r="G1310" s="612" t="s">
        <v>825</v>
      </c>
      <c r="H1310" s="572" t="s">
        <v>1075</v>
      </c>
      <c r="I1310" s="137">
        <v>4000</v>
      </c>
      <c r="J1310" s="137">
        <v>6391.2686000887979</v>
      </c>
      <c r="K1310" s="21">
        <f t="shared" si="66"/>
        <v>25565074</v>
      </c>
      <c r="L1310" s="567" t="s">
        <v>167</v>
      </c>
      <c r="M1310" s="567" t="s">
        <v>162</v>
      </c>
      <c r="N1310" s="22" t="str">
        <f>IF(AND('331-CT'!$E$7=TH!H1310,OR(L1310="331",M1310="331")),"331",IF(AND(OR(L1310="131",M1310="131"),H1310='131-CT'!$E$7),"131",""))</f>
        <v/>
      </c>
      <c r="O1310" s="22" t="str">
        <f>IF(AND($B1310&gt;='111'!$N$11,$B1310&lt;='111'!$O$11,OR($L1310=$O$7,$M1310=$O$7)),"x","")</f>
        <v/>
      </c>
      <c r="P1310" s="22" t="str">
        <f>IF(AND($L1310=$O$7,$B1310&lt;'111'!$N$11),"x","")</f>
        <v/>
      </c>
      <c r="Q1310" s="22" t="str">
        <f>IF(AND($M1310=$O$7,$B1310&lt;'111'!$N$11),"x","")</f>
        <v/>
      </c>
      <c r="R1310" s="22" t="str">
        <f>IF(ISERROR(FIND('112'!$M$9,G1310,1)),"",IF((AND(FIND('112'!$M$9,G1310,1)&gt;=1,$B1310&gt;='112'!$N$8,$B1310&lt;='112'!$O$8,OR($L1310='112'!$I$6,$M1310='112'!$I$6))),"x",""))</f>
        <v/>
      </c>
      <c r="S1310" s="22" t="str">
        <f>IF(ISERROR(FIND('112'!$M$9,G1310,1)),"",IF((AND(LEFT(G1310,2)=LEFT('112'!$M$9,2),B1310&lt;'112'!$N$8,$L1310='112'!$I$6)),"x",""))</f>
        <v/>
      </c>
      <c r="T1310" s="22" t="str">
        <f>IF(ISERROR(FIND('112'!$M$9,G1310,1)),"",IF((AND(RIGHT(G1310,2)=RIGHT('112'!$M$9,2),B1310&lt;'112'!$N$8,$M1310='112'!$I$6)),"x",""))</f>
        <v/>
      </c>
      <c r="U1310" s="22" t="str">
        <f>IF(AND(B1310&gt;='IN-NX'!$P$3,B1310&lt;='IN-NX'!$Q$3,'IN-NX'!$D$7=D1310,OR(LEFT(L1310,2)="15",AND(LEFT(M1310,2)&lt;&gt;"15",LEFT(M1310,2)&lt;&gt;"33"))),"x","")</f>
        <v/>
      </c>
      <c r="V1310" s="22" t="str">
        <f>IF(AND(OR(LEFT(TH!L1310,2)="15",LEFT(TH!M1310,2)="15"),'152-CT'!$J$8=TH!F1310),"x","")</f>
        <v/>
      </c>
      <c r="W1310" s="22" t="str">
        <f>IF(AND(OR(LEFT(TH!L1310,2)="15",LEFT(TH!M1310,2)="15"),TK!$E$7=TH!F1310),"x","")</f>
        <v/>
      </c>
      <c r="X1310" s="22" t="str">
        <f>IF(OR(TH!L1310=TH!$X$7,M1310=TH!$X$7),"x","")</f>
        <v/>
      </c>
      <c r="Y1310" s="22" t="str">
        <f>IF(AND(B1310&lt;=NKC!$N$8,B1310&gt;=NKC!$M$8),"x","")</f>
        <v/>
      </c>
      <c r="Z1310" s="580"/>
      <c r="AA1310" s="588"/>
      <c r="AB1310" s="588"/>
    </row>
    <row r="1311" spans="1:31" s="589" customFormat="1" ht="15.75" customHeight="1">
      <c r="A1311" s="607" t="str">
        <f>IF(B1311&lt;&gt;"",IF(AND(B1311&gt;=_TM1,B1311&lt;=_TM2,OR(TH!L1311="1111",TH!M1311="1111")),TH!D1311,""),"")</f>
        <v/>
      </c>
      <c r="B1311" s="585">
        <f t="shared" si="62"/>
        <v>12</v>
      </c>
      <c r="C1311" s="586">
        <f t="shared" si="67"/>
        <v>42708</v>
      </c>
      <c r="D1311" s="569" t="s">
        <v>1022</v>
      </c>
      <c r="E1311" s="611">
        <v>42708</v>
      </c>
      <c r="F1311" s="614" t="s">
        <v>827</v>
      </c>
      <c r="G1311" s="612" t="s">
        <v>826</v>
      </c>
      <c r="H1311" s="572" t="s">
        <v>1075</v>
      </c>
      <c r="I1311" s="137">
        <v>6154</v>
      </c>
      <c r="J1311" s="137">
        <v>7456.4800334369311</v>
      </c>
      <c r="K1311" s="21">
        <f t="shared" si="66"/>
        <v>45887178</v>
      </c>
      <c r="L1311" s="567" t="s">
        <v>167</v>
      </c>
      <c r="M1311" s="567" t="s">
        <v>162</v>
      </c>
      <c r="N1311" s="22" t="str">
        <f>IF(AND('331-CT'!$E$7=TH!H1311,OR(L1311="331",M1311="331")),"331",IF(AND(OR(L1311="131",M1311="131"),H1311='131-CT'!$E$7),"131",""))</f>
        <v/>
      </c>
      <c r="O1311" s="22" t="str">
        <f>IF(AND($B1311&gt;='111'!$N$11,$B1311&lt;='111'!$O$11,OR($L1311=$O$7,$M1311=$O$7)),"x","")</f>
        <v/>
      </c>
      <c r="P1311" s="22" t="str">
        <f>IF(AND($L1311=$O$7,$B1311&lt;'111'!$N$11),"x","")</f>
        <v/>
      </c>
      <c r="Q1311" s="22" t="str">
        <f>IF(AND($M1311=$O$7,$B1311&lt;'111'!$N$11),"x","")</f>
        <v/>
      </c>
      <c r="R1311" s="22" t="str">
        <f>IF(ISERROR(FIND('112'!$M$9,G1311,1)),"",IF((AND(FIND('112'!$M$9,G1311,1)&gt;=1,$B1311&gt;='112'!$N$8,$B1311&lt;='112'!$O$8,OR($L1311='112'!$I$6,$M1311='112'!$I$6))),"x",""))</f>
        <v/>
      </c>
      <c r="S1311" s="22" t="str">
        <f>IF(ISERROR(FIND('112'!$M$9,G1311,1)),"",IF((AND(LEFT(G1311,2)=LEFT('112'!$M$9,2),B1311&lt;'112'!$N$8,$L1311='112'!$I$6)),"x",""))</f>
        <v/>
      </c>
      <c r="T1311" s="22" t="str">
        <f>IF(ISERROR(FIND('112'!$M$9,G1311,1)),"",IF((AND(RIGHT(G1311,2)=RIGHT('112'!$M$9,2),B1311&lt;'112'!$N$8,$M1311='112'!$I$6)),"x",""))</f>
        <v/>
      </c>
      <c r="U1311" s="22" t="str">
        <f>IF(AND(B1311&gt;='IN-NX'!$P$3,B1311&lt;='IN-NX'!$Q$3,'IN-NX'!$D$7=D1311,OR(LEFT(L1311,2)="15",AND(LEFT(M1311,2)&lt;&gt;"15",LEFT(M1311,2)&lt;&gt;"33"))),"x","")</f>
        <v/>
      </c>
      <c r="V1311" s="22" t="str">
        <f>IF(AND(OR(LEFT(TH!L1311,2)="15",LEFT(TH!M1311,2)="15"),'152-CT'!$J$8=TH!F1311),"x","")</f>
        <v/>
      </c>
      <c r="W1311" s="22" t="str">
        <f>IF(AND(OR(LEFT(TH!L1311,2)="15",LEFT(TH!M1311,2)="15"),TK!$E$7=TH!F1311),"x","")</f>
        <v/>
      </c>
      <c r="X1311" s="22" t="str">
        <f>IF(OR(TH!L1311=TH!$X$7,M1311=TH!$X$7),"x","")</f>
        <v/>
      </c>
      <c r="Y1311" s="22" t="str">
        <f>IF(AND(B1311&lt;=NKC!$N$8,B1311&gt;=NKC!$M$8),"x","")</f>
        <v/>
      </c>
      <c r="Z1311" s="580"/>
      <c r="AA1311" s="588"/>
    </row>
    <row r="1312" spans="1:31" s="589" customFormat="1" ht="15.75" customHeight="1">
      <c r="A1312" s="607" t="str">
        <f>IF(B1312&lt;&gt;"",IF(AND(B1312&gt;=_TM1,B1312&lt;=_TM2,OR(TH!L1312="1111",TH!M1312="1111")),TH!D1312,""),"")</f>
        <v/>
      </c>
      <c r="B1312" s="585">
        <f t="shared" si="62"/>
        <v>12</v>
      </c>
      <c r="C1312" s="586">
        <f t="shared" si="67"/>
        <v>42708</v>
      </c>
      <c r="D1312" s="569" t="s">
        <v>1022</v>
      </c>
      <c r="E1312" s="611">
        <v>42708</v>
      </c>
      <c r="F1312" s="614" t="s">
        <v>828</v>
      </c>
      <c r="G1312" s="612" t="s">
        <v>826</v>
      </c>
      <c r="H1312" s="572" t="s">
        <v>1075</v>
      </c>
      <c r="I1312" s="137">
        <v>878</v>
      </c>
      <c r="J1312" s="137">
        <v>8978.2106525056934</v>
      </c>
      <c r="K1312" s="21">
        <f t="shared" si="66"/>
        <v>7882869</v>
      </c>
      <c r="L1312" s="567" t="s">
        <v>167</v>
      </c>
      <c r="M1312" s="567" t="s">
        <v>162</v>
      </c>
      <c r="N1312" s="22" t="str">
        <f>IF(AND('331-CT'!$E$7=TH!H1312,OR(L1312="331",M1312="331")),"331",IF(AND(OR(L1312="131",M1312="131"),H1312='131-CT'!$E$7),"131",""))</f>
        <v/>
      </c>
      <c r="O1312" s="22" t="str">
        <f>IF(AND($B1312&gt;='111'!$N$11,$B1312&lt;='111'!$O$11,OR($L1312=$O$7,$M1312=$O$7)),"x","")</f>
        <v/>
      </c>
      <c r="P1312" s="22" t="str">
        <f>IF(AND($L1312=$O$7,$B1312&lt;'111'!$N$11),"x","")</f>
        <v/>
      </c>
      <c r="Q1312" s="22" t="str">
        <f>IF(AND($M1312=$O$7,$B1312&lt;'111'!$N$11),"x","")</f>
        <v/>
      </c>
      <c r="R1312" s="22" t="str">
        <f>IF(ISERROR(FIND('112'!$M$9,G1312,1)),"",IF((AND(FIND('112'!$M$9,G1312,1)&gt;=1,$B1312&gt;='112'!$N$8,$B1312&lt;='112'!$O$8,OR($L1312='112'!$I$6,$M1312='112'!$I$6))),"x",""))</f>
        <v/>
      </c>
      <c r="S1312" s="22" t="str">
        <f>IF(ISERROR(FIND('112'!$M$9,G1312,1)),"",IF((AND(LEFT(G1312,2)=LEFT('112'!$M$9,2),B1312&lt;'112'!$N$8,$L1312='112'!$I$6)),"x",""))</f>
        <v/>
      </c>
      <c r="T1312" s="22" t="str">
        <f>IF(ISERROR(FIND('112'!$M$9,G1312,1)),"",IF((AND(RIGHT(G1312,2)=RIGHT('112'!$M$9,2),B1312&lt;'112'!$N$8,$M1312='112'!$I$6)),"x",""))</f>
        <v/>
      </c>
      <c r="U1312" s="22" t="str">
        <f>IF(AND(B1312&gt;='IN-NX'!$P$3,B1312&lt;='IN-NX'!$Q$3,'IN-NX'!$D$7=D1312,OR(LEFT(L1312,2)="15",AND(LEFT(M1312,2)&lt;&gt;"15",LEFT(M1312,2)&lt;&gt;"33"))),"x","")</f>
        <v/>
      </c>
      <c r="V1312" s="22" t="str">
        <f>IF(AND(OR(LEFT(TH!L1312,2)="15",LEFT(TH!M1312,2)="15"),'152-CT'!$J$8=TH!F1312),"x","")</f>
        <v/>
      </c>
      <c r="W1312" s="22" t="str">
        <f>IF(AND(OR(LEFT(TH!L1312,2)="15",LEFT(TH!M1312,2)="15"),TK!$E$7=TH!F1312),"x","")</f>
        <v/>
      </c>
      <c r="X1312" s="22" t="str">
        <f>IF(OR(TH!L1312=TH!$X$7,M1312=TH!$X$7),"x","")</f>
        <v/>
      </c>
      <c r="Y1312" s="22" t="str">
        <f>IF(AND(B1312&lt;=NKC!$N$8,B1312&gt;=NKC!$M$8),"x","")</f>
        <v/>
      </c>
      <c r="Z1312" s="580"/>
      <c r="AA1312" s="588"/>
      <c r="AB1312" s="588"/>
    </row>
    <row r="1313" spans="1:29" s="589" customFormat="1" ht="15.75" customHeight="1">
      <c r="A1313" s="607" t="str">
        <f>IF(B1313&lt;&gt;"",IF(AND(B1313&gt;=_TM1,B1313&lt;=_TM2,OR(TH!L1313="1111",TH!M1313="1111")),TH!D1313,""),"")</f>
        <v/>
      </c>
      <c r="B1313" s="585">
        <f t="shared" si="62"/>
        <v>12</v>
      </c>
      <c r="C1313" s="586">
        <f t="shared" si="67"/>
        <v>42709</v>
      </c>
      <c r="D1313" s="569" t="s">
        <v>1022</v>
      </c>
      <c r="E1313" s="611">
        <v>42709</v>
      </c>
      <c r="F1313" s="614" t="s">
        <v>813</v>
      </c>
      <c r="G1313" s="612" t="s">
        <v>829</v>
      </c>
      <c r="H1313" s="572" t="s">
        <v>1075</v>
      </c>
      <c r="I1313" s="137">
        <v>2400</v>
      </c>
      <c r="J1313" s="137">
        <v>6391.2686000887979</v>
      </c>
      <c r="K1313" s="21">
        <f t="shared" si="66"/>
        <v>15339045</v>
      </c>
      <c r="L1313" s="567" t="s">
        <v>167</v>
      </c>
      <c r="M1313" s="567" t="s">
        <v>162</v>
      </c>
      <c r="N1313" s="22" t="str">
        <f>IF(AND('331-CT'!$E$7=TH!H1313,OR(L1313="331",M1313="331")),"331",IF(AND(OR(L1313="131",M1313="131"),H1313='131-CT'!$E$7),"131",""))</f>
        <v/>
      </c>
      <c r="O1313" s="22" t="str">
        <f>IF(AND($B1313&gt;='111'!$N$11,$B1313&lt;='111'!$O$11,OR($L1313=$O$7,$M1313=$O$7)),"x","")</f>
        <v/>
      </c>
      <c r="P1313" s="22" t="str">
        <f>IF(AND($L1313=$O$7,$B1313&lt;'111'!$N$11),"x","")</f>
        <v/>
      </c>
      <c r="Q1313" s="22" t="str">
        <f>IF(AND($M1313=$O$7,$B1313&lt;'111'!$N$11),"x","")</f>
        <v/>
      </c>
      <c r="R1313" s="22" t="str">
        <f>IF(ISERROR(FIND('112'!$M$9,G1313,1)),"",IF((AND(FIND('112'!$M$9,G1313,1)&gt;=1,$B1313&gt;='112'!$N$8,$B1313&lt;='112'!$O$8,OR($L1313='112'!$I$6,$M1313='112'!$I$6))),"x",""))</f>
        <v/>
      </c>
      <c r="S1313" s="22" t="str">
        <f>IF(ISERROR(FIND('112'!$M$9,G1313,1)),"",IF((AND(LEFT(G1313,2)=LEFT('112'!$M$9,2),B1313&lt;'112'!$N$8,$L1313='112'!$I$6)),"x",""))</f>
        <v/>
      </c>
      <c r="T1313" s="22" t="str">
        <f>IF(ISERROR(FIND('112'!$M$9,G1313,1)),"",IF((AND(RIGHT(G1313,2)=RIGHT('112'!$M$9,2),B1313&lt;'112'!$N$8,$M1313='112'!$I$6)),"x",""))</f>
        <v/>
      </c>
      <c r="U1313" s="22" t="str">
        <f>IF(AND(B1313&gt;='IN-NX'!$P$3,B1313&lt;='IN-NX'!$Q$3,'IN-NX'!$D$7=D1313,OR(LEFT(L1313,2)="15",AND(LEFT(M1313,2)&lt;&gt;"15",LEFT(M1313,2)&lt;&gt;"33"))),"x","")</f>
        <v/>
      </c>
      <c r="V1313" s="22" t="str">
        <f>IF(AND(OR(LEFT(TH!L1313,2)="15",LEFT(TH!M1313,2)="15"),'152-CT'!$J$8=TH!F1313),"x","")</f>
        <v/>
      </c>
      <c r="W1313" s="22" t="str">
        <f>IF(AND(OR(LEFT(TH!L1313,2)="15",LEFT(TH!M1313,2)="15"),TK!$E$7=TH!F1313),"x","")</f>
        <v/>
      </c>
      <c r="X1313" s="22" t="str">
        <f>IF(OR(TH!L1313=TH!$X$7,M1313=TH!$X$7),"x","")</f>
        <v/>
      </c>
      <c r="Y1313" s="22" t="str">
        <f>IF(AND(B1313&lt;=NKC!$N$8,B1313&gt;=NKC!$M$8),"x","")</f>
        <v/>
      </c>
      <c r="Z1313" s="580"/>
      <c r="AA1313" s="588"/>
      <c r="AB1313" s="588"/>
      <c r="AC1313" s="588"/>
    </row>
    <row r="1314" spans="1:29" s="589" customFormat="1" ht="15.75" customHeight="1">
      <c r="A1314" s="607" t="str">
        <f>IF(B1314&lt;&gt;"",IF(AND(B1314&gt;=_TM1,B1314&lt;=_TM2,OR(TH!L1314="1111",TH!M1314="1111")),TH!D1314,""),"")</f>
        <v/>
      </c>
      <c r="B1314" s="585">
        <f t="shared" si="62"/>
        <v>12</v>
      </c>
      <c r="C1314" s="586">
        <f t="shared" si="67"/>
        <v>42710</v>
      </c>
      <c r="D1314" s="569" t="s">
        <v>1022</v>
      </c>
      <c r="E1314" s="611">
        <v>42710</v>
      </c>
      <c r="F1314" s="614" t="s">
        <v>813</v>
      </c>
      <c r="G1314" s="612" t="s">
        <v>830</v>
      </c>
      <c r="H1314" s="572" t="s">
        <v>1075</v>
      </c>
      <c r="I1314" s="137">
        <v>2400</v>
      </c>
      <c r="J1314" s="137">
        <v>6391.2686000887979</v>
      </c>
      <c r="K1314" s="21">
        <f t="shared" si="66"/>
        <v>15339045</v>
      </c>
      <c r="L1314" s="567" t="s">
        <v>167</v>
      </c>
      <c r="M1314" s="567" t="s">
        <v>162</v>
      </c>
      <c r="N1314" s="22" t="str">
        <f>IF(AND('331-CT'!$E$7=TH!H1314,OR(L1314="331",M1314="331")),"331",IF(AND(OR(L1314="131",M1314="131"),H1314='131-CT'!$E$7),"131",""))</f>
        <v/>
      </c>
      <c r="O1314" s="22" t="str">
        <f>IF(AND($B1314&gt;='111'!$N$11,$B1314&lt;='111'!$O$11,OR($L1314=$O$7,$M1314=$O$7)),"x","")</f>
        <v/>
      </c>
      <c r="P1314" s="22" t="str">
        <f>IF(AND($L1314=$O$7,$B1314&lt;'111'!$N$11),"x","")</f>
        <v/>
      </c>
      <c r="Q1314" s="22" t="str">
        <f>IF(AND($M1314=$O$7,$B1314&lt;'111'!$N$11),"x","")</f>
        <v/>
      </c>
      <c r="R1314" s="22" t="str">
        <f>IF(ISERROR(FIND('112'!$M$9,G1314,1)),"",IF((AND(FIND('112'!$M$9,G1314,1)&gt;=1,$B1314&gt;='112'!$N$8,$B1314&lt;='112'!$O$8,OR($L1314='112'!$I$6,$M1314='112'!$I$6))),"x",""))</f>
        <v/>
      </c>
      <c r="S1314" s="22" t="str">
        <f>IF(ISERROR(FIND('112'!$M$9,G1314,1)),"",IF((AND(LEFT(G1314,2)=LEFT('112'!$M$9,2),B1314&lt;'112'!$N$8,$L1314='112'!$I$6)),"x",""))</f>
        <v/>
      </c>
      <c r="T1314" s="22" t="str">
        <f>IF(ISERROR(FIND('112'!$M$9,G1314,1)),"",IF((AND(RIGHT(G1314,2)=RIGHT('112'!$M$9,2),B1314&lt;'112'!$N$8,$M1314='112'!$I$6)),"x",""))</f>
        <v/>
      </c>
      <c r="U1314" s="22" t="str">
        <f>IF(AND(B1314&gt;='IN-NX'!$P$3,B1314&lt;='IN-NX'!$Q$3,'IN-NX'!$D$7=D1314,OR(LEFT(L1314,2)="15",AND(LEFT(M1314,2)&lt;&gt;"15",LEFT(M1314,2)&lt;&gt;"33"))),"x","")</f>
        <v/>
      </c>
      <c r="V1314" s="22" t="str">
        <f>IF(AND(OR(LEFT(TH!L1314,2)="15",LEFT(TH!M1314,2)="15"),'152-CT'!$J$8=TH!F1314),"x","")</f>
        <v/>
      </c>
      <c r="W1314" s="22" t="str">
        <f>IF(AND(OR(LEFT(TH!L1314,2)="15",LEFT(TH!M1314,2)="15"),TK!$E$7=TH!F1314),"x","")</f>
        <v/>
      </c>
      <c r="X1314" s="22" t="str">
        <f>IF(OR(TH!L1314=TH!$X$7,M1314=TH!$X$7),"x","")</f>
        <v/>
      </c>
      <c r="Y1314" s="22" t="str">
        <f>IF(AND(B1314&lt;=NKC!$N$8,B1314&gt;=NKC!$M$8),"x","")</f>
        <v/>
      </c>
      <c r="Z1314" s="580"/>
      <c r="AA1314" s="588"/>
      <c r="AB1314" s="588"/>
      <c r="AC1314" s="588"/>
    </row>
    <row r="1315" spans="1:29" s="589" customFormat="1" ht="15.75" customHeight="1">
      <c r="A1315" s="607" t="str">
        <f>IF(B1315&lt;&gt;"",IF(AND(B1315&gt;=_TM1,B1315&lt;=_TM2,OR(TH!L1315="1111",TH!M1315="1111")),TH!D1315,""),"")</f>
        <v/>
      </c>
      <c r="B1315" s="585">
        <f t="shared" si="62"/>
        <v>12</v>
      </c>
      <c r="C1315" s="586">
        <f t="shared" si="67"/>
        <v>42713</v>
      </c>
      <c r="D1315" s="569" t="s">
        <v>1022</v>
      </c>
      <c r="E1315" s="611">
        <v>42713</v>
      </c>
      <c r="F1315" s="614" t="s">
        <v>833</v>
      </c>
      <c r="G1315" s="612" t="s">
        <v>832</v>
      </c>
      <c r="H1315" s="572" t="s">
        <v>1075</v>
      </c>
      <c r="I1315" s="137">
        <v>400</v>
      </c>
      <c r="J1315" s="137">
        <v>9282.5567763194449</v>
      </c>
      <c r="K1315" s="21">
        <f t="shared" si="66"/>
        <v>3713023</v>
      </c>
      <c r="L1315" s="567" t="s">
        <v>167</v>
      </c>
      <c r="M1315" s="567" t="s">
        <v>162</v>
      </c>
      <c r="N1315" s="22" t="str">
        <f>IF(AND('331-CT'!$E$7=TH!H1315,OR(L1315="331",M1315="331")),"331",IF(AND(OR(L1315="131",M1315="131"),H1315='131-CT'!$E$7),"131",""))</f>
        <v/>
      </c>
      <c r="O1315" s="22" t="str">
        <f>IF(AND($B1315&gt;='111'!$N$11,$B1315&lt;='111'!$O$11,OR($L1315=$O$7,$M1315=$O$7)),"x","")</f>
        <v/>
      </c>
      <c r="P1315" s="22" t="str">
        <f>IF(AND($L1315=$O$7,$B1315&lt;'111'!$N$11),"x","")</f>
        <v/>
      </c>
      <c r="Q1315" s="22" t="str">
        <f>IF(AND($M1315=$O$7,$B1315&lt;'111'!$N$11),"x","")</f>
        <v/>
      </c>
      <c r="R1315" s="22" t="str">
        <f>IF(ISERROR(FIND('112'!$M$9,G1315,1)),"",IF((AND(FIND('112'!$M$9,G1315,1)&gt;=1,$B1315&gt;='112'!$N$8,$B1315&lt;='112'!$O$8,OR($L1315='112'!$I$6,$M1315='112'!$I$6))),"x",""))</f>
        <v/>
      </c>
      <c r="S1315" s="22" t="str">
        <f>IF(ISERROR(FIND('112'!$M$9,G1315,1)),"",IF((AND(LEFT(G1315,2)=LEFT('112'!$M$9,2),B1315&lt;'112'!$N$8,$L1315='112'!$I$6)),"x",""))</f>
        <v/>
      </c>
      <c r="T1315" s="22" t="str">
        <f>IF(ISERROR(FIND('112'!$M$9,G1315,1)),"",IF((AND(RIGHT(G1315,2)=RIGHT('112'!$M$9,2),B1315&lt;'112'!$N$8,$M1315='112'!$I$6)),"x",""))</f>
        <v/>
      </c>
      <c r="U1315" s="22" t="str">
        <f>IF(AND(B1315&gt;='IN-NX'!$P$3,B1315&lt;='IN-NX'!$Q$3,'IN-NX'!$D$7=D1315,OR(LEFT(L1315,2)="15",AND(LEFT(M1315,2)&lt;&gt;"15",LEFT(M1315,2)&lt;&gt;"33"))),"x","")</f>
        <v/>
      </c>
      <c r="V1315" s="22" t="str">
        <f>IF(AND(OR(LEFT(TH!L1315,2)="15",LEFT(TH!M1315,2)="15"),'152-CT'!$J$8=TH!F1315),"x","")</f>
        <v/>
      </c>
      <c r="W1315" s="22" t="str">
        <f>IF(AND(OR(LEFT(TH!L1315,2)="15",LEFT(TH!M1315,2)="15"),TK!$E$7=TH!F1315),"x","")</f>
        <v/>
      </c>
      <c r="X1315" s="22" t="str">
        <f>IF(OR(TH!L1315=TH!$X$7,M1315=TH!$X$7),"x","")</f>
        <v/>
      </c>
      <c r="Y1315" s="22" t="str">
        <f>IF(AND(B1315&lt;=NKC!$N$8,B1315&gt;=NKC!$M$8),"x","")</f>
        <v/>
      </c>
      <c r="Z1315" s="580"/>
      <c r="AA1315" s="588"/>
      <c r="AB1315" s="588"/>
      <c r="AC1315" s="588"/>
    </row>
    <row r="1316" spans="1:29" s="589" customFormat="1" ht="15.75" customHeight="1">
      <c r="A1316" s="607" t="str">
        <f>IF(B1316&lt;&gt;"",IF(AND(B1316&gt;=_TM1,B1316&lt;=_TM2,OR(TH!L1316="1111",TH!M1316="1111")),TH!D1316,""),"")</f>
        <v/>
      </c>
      <c r="B1316" s="585">
        <f t="shared" si="62"/>
        <v>12</v>
      </c>
      <c r="C1316" s="586">
        <f t="shared" si="67"/>
        <v>42713</v>
      </c>
      <c r="D1316" s="569" t="s">
        <v>1022</v>
      </c>
      <c r="E1316" s="611">
        <v>42713</v>
      </c>
      <c r="F1316" s="614" t="s">
        <v>834</v>
      </c>
      <c r="G1316" s="612" t="s">
        <v>832</v>
      </c>
      <c r="H1316" s="572" t="s">
        <v>1075</v>
      </c>
      <c r="I1316" s="137">
        <v>4000</v>
      </c>
      <c r="J1316" s="138">
        <v>1749.9902119290759</v>
      </c>
      <c r="K1316" s="21">
        <f t="shared" si="66"/>
        <v>6999961</v>
      </c>
      <c r="L1316" s="567" t="s">
        <v>167</v>
      </c>
      <c r="M1316" s="567" t="s">
        <v>162</v>
      </c>
      <c r="N1316" s="22" t="str">
        <f>IF(AND('331-CT'!$E$7=TH!H1316,OR(L1316="331",M1316="331")),"331",IF(AND(OR(L1316="131",M1316="131"),H1316='131-CT'!$E$7),"131",""))</f>
        <v/>
      </c>
      <c r="O1316" s="22" t="str">
        <f>IF(AND($B1316&gt;='111'!$N$11,$B1316&lt;='111'!$O$11,OR($L1316=$O$7,$M1316=$O$7)),"x","")</f>
        <v/>
      </c>
      <c r="P1316" s="22" t="str">
        <f>IF(AND($L1316=$O$7,$B1316&lt;'111'!$N$11),"x","")</f>
        <v/>
      </c>
      <c r="Q1316" s="22" t="str">
        <f>IF(AND($M1316=$O$7,$B1316&lt;'111'!$N$11),"x","")</f>
        <v/>
      </c>
      <c r="R1316" s="22" t="str">
        <f>IF(ISERROR(FIND('112'!$M$9,G1316,1)),"",IF((AND(FIND('112'!$M$9,G1316,1)&gt;=1,$B1316&gt;='112'!$N$8,$B1316&lt;='112'!$O$8,OR($L1316='112'!$I$6,$M1316='112'!$I$6))),"x",""))</f>
        <v/>
      </c>
      <c r="S1316" s="22" t="str">
        <f>IF(ISERROR(FIND('112'!$M$9,G1316,1)),"",IF((AND(LEFT(G1316,2)=LEFT('112'!$M$9,2),B1316&lt;'112'!$N$8,$L1316='112'!$I$6)),"x",""))</f>
        <v/>
      </c>
      <c r="T1316" s="22" t="str">
        <f>IF(ISERROR(FIND('112'!$M$9,G1316,1)),"",IF((AND(RIGHT(G1316,2)=RIGHT('112'!$M$9,2),B1316&lt;'112'!$N$8,$M1316='112'!$I$6)),"x",""))</f>
        <v/>
      </c>
      <c r="U1316" s="22" t="str">
        <f>IF(AND(B1316&gt;='IN-NX'!$P$3,B1316&lt;='IN-NX'!$Q$3,'IN-NX'!$D$7=D1316,OR(LEFT(L1316,2)="15",AND(LEFT(M1316,2)&lt;&gt;"15",LEFT(M1316,2)&lt;&gt;"33"))),"x","")</f>
        <v/>
      </c>
      <c r="V1316" s="22" t="str">
        <f>IF(AND(OR(LEFT(TH!L1316,2)="15",LEFT(TH!M1316,2)="15"),'152-CT'!$J$8=TH!F1316),"x","")</f>
        <v/>
      </c>
      <c r="W1316" s="22" t="str">
        <f>IF(AND(OR(LEFT(TH!L1316,2)="15",LEFT(TH!M1316,2)="15"),TK!$E$7=TH!F1316),"x","")</f>
        <v/>
      </c>
      <c r="X1316" s="22" t="str">
        <f>IF(OR(TH!L1316=TH!$X$7,M1316=TH!$X$7),"x","")</f>
        <v/>
      </c>
      <c r="Y1316" s="22" t="str">
        <f>IF(AND(B1316&lt;=NKC!$N$8,B1316&gt;=NKC!$M$8),"x","")</f>
        <v/>
      </c>
      <c r="Z1316" s="580"/>
      <c r="AA1316" s="588"/>
      <c r="AB1316" s="588"/>
      <c r="AC1316" s="588"/>
    </row>
    <row r="1317" spans="1:29" s="589" customFormat="1" ht="15.75" customHeight="1">
      <c r="A1317" s="607" t="str">
        <f>IF(B1317&lt;&gt;"",IF(AND(B1317&gt;=_TM1,B1317&lt;=_TM2,OR(TH!L1317="1111",TH!M1317="1111")),TH!D1317,""),"")</f>
        <v/>
      </c>
      <c r="B1317" s="585">
        <f t="shared" si="62"/>
        <v>12</v>
      </c>
      <c r="C1317" s="586">
        <f t="shared" si="67"/>
        <v>42713</v>
      </c>
      <c r="D1317" s="569" t="s">
        <v>1022</v>
      </c>
      <c r="E1317" s="611">
        <v>42713</v>
      </c>
      <c r="F1317" s="614" t="s">
        <v>828</v>
      </c>
      <c r="G1317" s="612" t="s">
        <v>441</v>
      </c>
      <c r="H1317" s="572" t="s">
        <v>1075</v>
      </c>
      <c r="I1317" s="591">
        <v>5240</v>
      </c>
      <c r="J1317" s="591">
        <v>8978.2106525056934</v>
      </c>
      <c r="K1317" s="21">
        <f t="shared" si="66"/>
        <v>47045824</v>
      </c>
      <c r="L1317" s="567" t="s">
        <v>167</v>
      </c>
      <c r="M1317" s="567" t="s">
        <v>162</v>
      </c>
      <c r="N1317" s="22" t="str">
        <f>IF(AND('331-CT'!$E$7=TH!H1317,OR(L1317="331",M1317="331")),"331",IF(AND(OR(L1317="131",M1317="131"),H1317='131-CT'!$E$7),"131",""))</f>
        <v/>
      </c>
      <c r="O1317" s="22" t="str">
        <f>IF(AND($B1317&gt;='111'!$N$11,$B1317&lt;='111'!$O$11,OR($L1317=$O$7,$M1317=$O$7)),"x","")</f>
        <v/>
      </c>
      <c r="P1317" s="22" t="str">
        <f>IF(AND($L1317=$O$7,$B1317&lt;'111'!$N$11),"x","")</f>
        <v/>
      </c>
      <c r="Q1317" s="22" t="str">
        <f>IF(AND($M1317=$O$7,$B1317&lt;'111'!$N$11),"x","")</f>
        <v/>
      </c>
      <c r="R1317" s="22" t="str">
        <f>IF(ISERROR(FIND('112'!$M$9,G1317,1)),"",IF((AND(FIND('112'!$M$9,G1317,1)&gt;=1,$B1317&gt;='112'!$N$8,$B1317&lt;='112'!$O$8,OR($L1317='112'!$I$6,$M1317='112'!$I$6))),"x",""))</f>
        <v/>
      </c>
      <c r="S1317" s="22" t="str">
        <f>IF(ISERROR(FIND('112'!$M$9,G1317,1)),"",IF((AND(LEFT(G1317,2)=LEFT('112'!$M$9,2),B1317&lt;'112'!$N$8,$L1317='112'!$I$6)),"x",""))</f>
        <v/>
      </c>
      <c r="T1317" s="22" t="str">
        <f>IF(ISERROR(FIND('112'!$M$9,G1317,1)),"",IF((AND(RIGHT(G1317,2)=RIGHT('112'!$M$9,2),B1317&lt;'112'!$N$8,$M1317='112'!$I$6)),"x",""))</f>
        <v/>
      </c>
      <c r="U1317" s="22" t="str">
        <f>IF(AND(B1317&gt;='IN-NX'!$P$3,B1317&lt;='IN-NX'!$Q$3,'IN-NX'!$D$7=D1317,OR(LEFT(L1317,2)="15",AND(LEFT(M1317,2)&lt;&gt;"15",LEFT(M1317,2)&lt;&gt;"33"))),"x","")</f>
        <v/>
      </c>
      <c r="V1317" s="22" t="str">
        <f>IF(AND(OR(LEFT(TH!L1317,2)="15",LEFT(TH!M1317,2)="15"),'152-CT'!$J$8=TH!F1317),"x","")</f>
        <v/>
      </c>
      <c r="W1317" s="22" t="str">
        <f>IF(AND(OR(LEFT(TH!L1317,2)="15",LEFT(TH!M1317,2)="15"),TK!$E$7=TH!F1317),"x","")</f>
        <v/>
      </c>
      <c r="X1317" s="22" t="str">
        <f>IF(OR(TH!L1317=TH!$X$7,M1317=TH!$X$7),"x","")</f>
        <v/>
      </c>
      <c r="Y1317" s="22" t="str">
        <f>IF(AND(B1317&lt;=NKC!$N$8,B1317&gt;=NKC!$M$8),"x","")</f>
        <v/>
      </c>
      <c r="Z1317" s="580"/>
      <c r="AA1317" s="588"/>
      <c r="AB1317" s="588"/>
      <c r="AC1317" s="588"/>
    </row>
    <row r="1318" spans="1:29" s="589" customFormat="1" ht="15.75" customHeight="1">
      <c r="A1318" s="607" t="str">
        <f>IF(B1318&lt;&gt;"",IF(AND(B1318&gt;=_TM1,B1318&lt;=_TM2,OR(TH!L1318="1111",TH!M1318="1111")),TH!D1318,""),"")</f>
        <v/>
      </c>
      <c r="B1318" s="585">
        <f t="shared" si="62"/>
        <v>12</v>
      </c>
      <c r="C1318" s="586">
        <f t="shared" si="67"/>
        <v>42713</v>
      </c>
      <c r="D1318" s="569" t="s">
        <v>1022</v>
      </c>
      <c r="E1318" s="611">
        <v>42713</v>
      </c>
      <c r="F1318" s="614" t="s">
        <v>837</v>
      </c>
      <c r="G1318" s="612" t="s">
        <v>836</v>
      </c>
      <c r="H1318" s="572" t="s">
        <v>1075</v>
      </c>
      <c r="I1318" s="137">
        <v>91</v>
      </c>
      <c r="J1318" s="137">
        <v>17119.469464523569</v>
      </c>
      <c r="K1318" s="21">
        <f t="shared" si="66"/>
        <v>1557872</v>
      </c>
      <c r="L1318" s="567" t="s">
        <v>167</v>
      </c>
      <c r="M1318" s="567" t="s">
        <v>162</v>
      </c>
      <c r="N1318" s="22" t="str">
        <f>IF(AND('331-CT'!$E$7=TH!H1318,OR(L1318="331",M1318="331")),"331",IF(AND(OR(L1318="131",M1318="131"),H1318='131-CT'!$E$7),"131",""))</f>
        <v/>
      </c>
      <c r="O1318" s="22" t="str">
        <f>IF(AND($B1318&gt;='111'!$N$11,$B1318&lt;='111'!$O$11,OR($L1318=$O$7,$M1318=$O$7)),"x","")</f>
        <v/>
      </c>
      <c r="P1318" s="22" t="str">
        <f>IF(AND($L1318=$O$7,$B1318&lt;'111'!$N$11),"x","")</f>
        <v/>
      </c>
      <c r="Q1318" s="22" t="str">
        <f>IF(AND($M1318=$O$7,$B1318&lt;'111'!$N$11),"x","")</f>
        <v/>
      </c>
      <c r="R1318" s="22" t="str">
        <f>IF(ISERROR(FIND('112'!$M$9,G1318,1)),"",IF((AND(FIND('112'!$M$9,G1318,1)&gt;=1,$B1318&gt;='112'!$N$8,$B1318&lt;='112'!$O$8,OR($L1318='112'!$I$6,$M1318='112'!$I$6))),"x",""))</f>
        <v/>
      </c>
      <c r="S1318" s="22" t="str">
        <f>IF(ISERROR(FIND('112'!$M$9,G1318,1)),"",IF((AND(LEFT(G1318,2)=LEFT('112'!$M$9,2),B1318&lt;'112'!$N$8,$L1318='112'!$I$6)),"x",""))</f>
        <v/>
      </c>
      <c r="T1318" s="22" t="str">
        <f>IF(ISERROR(FIND('112'!$M$9,G1318,1)),"",IF((AND(RIGHT(G1318,2)=RIGHT('112'!$M$9,2),B1318&lt;'112'!$N$8,$M1318='112'!$I$6)),"x",""))</f>
        <v/>
      </c>
      <c r="U1318" s="22" t="str">
        <f>IF(AND(B1318&gt;='IN-NX'!$P$3,B1318&lt;='IN-NX'!$Q$3,'IN-NX'!$D$7=D1318,OR(LEFT(L1318,2)="15",AND(LEFT(M1318,2)&lt;&gt;"15",LEFT(M1318,2)&lt;&gt;"33"))),"x","")</f>
        <v/>
      </c>
      <c r="V1318" s="22" t="str">
        <f>IF(AND(OR(LEFT(TH!L1318,2)="15",LEFT(TH!M1318,2)="15"),'152-CT'!$J$8=TH!F1318),"x","")</f>
        <v/>
      </c>
      <c r="W1318" s="22" t="str">
        <f>IF(AND(OR(LEFT(TH!L1318,2)="15",LEFT(TH!M1318,2)="15"),TK!$E$7=TH!F1318),"x","")</f>
        <v/>
      </c>
      <c r="X1318" s="22" t="str">
        <f>IF(OR(TH!L1318=TH!$X$7,M1318=TH!$X$7),"x","")</f>
        <v/>
      </c>
      <c r="Y1318" s="22" t="str">
        <f>IF(AND(B1318&lt;=NKC!$N$8,B1318&gt;=NKC!$M$8),"x","")</f>
        <v/>
      </c>
      <c r="Z1318" s="580"/>
      <c r="AA1318" s="588"/>
      <c r="AB1318" s="588"/>
      <c r="AC1318" s="588"/>
    </row>
    <row r="1319" spans="1:29" s="589" customFormat="1" ht="15.75" customHeight="1">
      <c r="A1319" s="607" t="str">
        <f>IF(B1319&lt;&gt;"",IF(AND(B1319&gt;=_TM1,B1319&lt;=_TM2,OR(TH!L1319="1111",TH!M1319="1111")),TH!D1319,""),"")</f>
        <v/>
      </c>
      <c r="B1319" s="585">
        <f t="shared" si="62"/>
        <v>12</v>
      </c>
      <c r="C1319" s="586">
        <f t="shared" si="67"/>
        <v>42713</v>
      </c>
      <c r="D1319" s="569" t="s">
        <v>1022</v>
      </c>
      <c r="E1319" s="611">
        <v>42713</v>
      </c>
      <c r="F1319" s="614" t="s">
        <v>838</v>
      </c>
      <c r="G1319" s="612" t="s">
        <v>836</v>
      </c>
      <c r="H1319" s="572" t="s">
        <v>1075</v>
      </c>
      <c r="I1319" s="137">
        <v>300</v>
      </c>
      <c r="J1319" s="137">
        <v>6391.2686000887979</v>
      </c>
      <c r="K1319" s="21">
        <f t="shared" si="66"/>
        <v>1917381</v>
      </c>
      <c r="L1319" s="567" t="s">
        <v>167</v>
      </c>
      <c r="M1319" s="567" t="s">
        <v>162</v>
      </c>
      <c r="N1319" s="22" t="str">
        <f>IF(AND('331-CT'!$E$7=TH!H1319,OR(L1319="331",M1319="331")),"331",IF(AND(OR(L1319="131",M1319="131"),H1319='131-CT'!$E$7),"131",""))</f>
        <v/>
      </c>
      <c r="O1319" s="22" t="str">
        <f>IF(AND($B1319&gt;='111'!$N$11,$B1319&lt;='111'!$O$11,OR($L1319=$O$7,$M1319=$O$7)),"x","")</f>
        <v/>
      </c>
      <c r="P1319" s="22" t="str">
        <f>IF(AND($L1319=$O$7,$B1319&lt;'111'!$N$11),"x","")</f>
        <v/>
      </c>
      <c r="Q1319" s="22" t="str">
        <f>IF(AND($M1319=$O$7,$B1319&lt;'111'!$N$11),"x","")</f>
        <v/>
      </c>
      <c r="R1319" s="22" t="str">
        <f>IF(ISERROR(FIND('112'!$M$9,G1319,1)),"",IF((AND(FIND('112'!$M$9,G1319,1)&gt;=1,$B1319&gt;='112'!$N$8,$B1319&lt;='112'!$O$8,OR($L1319='112'!$I$6,$M1319='112'!$I$6))),"x",""))</f>
        <v/>
      </c>
      <c r="S1319" s="22" t="str">
        <f>IF(ISERROR(FIND('112'!$M$9,G1319,1)),"",IF((AND(LEFT(G1319,2)=LEFT('112'!$M$9,2),B1319&lt;'112'!$N$8,$L1319='112'!$I$6)),"x",""))</f>
        <v/>
      </c>
      <c r="T1319" s="22" t="str">
        <f>IF(ISERROR(FIND('112'!$M$9,G1319,1)),"",IF((AND(RIGHT(G1319,2)=RIGHT('112'!$M$9,2),B1319&lt;'112'!$N$8,$M1319='112'!$I$6)),"x",""))</f>
        <v/>
      </c>
      <c r="U1319" s="22" t="str">
        <f>IF(AND(B1319&gt;='IN-NX'!$P$3,B1319&lt;='IN-NX'!$Q$3,'IN-NX'!$D$7=D1319,OR(LEFT(L1319,2)="15",AND(LEFT(M1319,2)&lt;&gt;"15",LEFT(M1319,2)&lt;&gt;"33"))),"x","")</f>
        <v/>
      </c>
      <c r="V1319" s="22" t="str">
        <f>IF(AND(OR(LEFT(TH!L1319,2)="15",LEFT(TH!M1319,2)="15"),'152-CT'!$J$8=TH!F1319),"x","")</f>
        <v/>
      </c>
      <c r="W1319" s="22" t="str">
        <f>IF(AND(OR(LEFT(TH!L1319,2)="15",LEFT(TH!M1319,2)="15"),TK!$E$7=TH!F1319),"x","")</f>
        <v/>
      </c>
      <c r="X1319" s="22" t="str">
        <f>IF(OR(TH!L1319=TH!$X$7,M1319=TH!$X$7),"x","")</f>
        <v/>
      </c>
      <c r="Y1319" s="22" t="str">
        <f>IF(AND(B1319&lt;=NKC!$N$8,B1319&gt;=NKC!$M$8),"x","")</f>
        <v/>
      </c>
      <c r="Z1319" s="580"/>
      <c r="AA1319" s="588"/>
      <c r="AB1319" s="588"/>
      <c r="AC1319" s="588"/>
    </row>
    <row r="1320" spans="1:29" s="589" customFormat="1" ht="15.75" customHeight="1">
      <c r="A1320" s="607" t="str">
        <f>IF(B1320&lt;&gt;"",IF(AND(B1320&gt;=_TM1,B1320&lt;=_TM2,OR(TH!L1320="1111",TH!M1320="1111")),TH!D1320,""),"")</f>
        <v/>
      </c>
      <c r="B1320" s="585">
        <f t="shared" si="62"/>
        <v>12</v>
      </c>
      <c r="C1320" s="586">
        <f t="shared" si="67"/>
        <v>42713</v>
      </c>
      <c r="D1320" s="569" t="s">
        <v>1022</v>
      </c>
      <c r="E1320" s="611">
        <v>42713</v>
      </c>
      <c r="F1320" s="614" t="s">
        <v>813</v>
      </c>
      <c r="G1320" s="612" t="s">
        <v>839</v>
      </c>
      <c r="H1320" s="572" t="s">
        <v>1075</v>
      </c>
      <c r="I1320" s="137">
        <v>2400</v>
      </c>
      <c r="J1320" s="137">
        <v>6391.2686000887979</v>
      </c>
      <c r="K1320" s="21">
        <f t="shared" si="66"/>
        <v>15339045</v>
      </c>
      <c r="L1320" s="567" t="s">
        <v>167</v>
      </c>
      <c r="M1320" s="567" t="s">
        <v>162</v>
      </c>
      <c r="N1320" s="22" t="str">
        <f>IF(AND('331-CT'!$E$7=TH!H1320,OR(L1320="331",M1320="331")),"331",IF(AND(OR(L1320="131",M1320="131"),H1320='131-CT'!$E$7),"131",""))</f>
        <v/>
      </c>
      <c r="O1320" s="22" t="str">
        <f>IF(AND($B1320&gt;='111'!$N$11,$B1320&lt;='111'!$O$11,OR($L1320=$O$7,$M1320=$O$7)),"x","")</f>
        <v/>
      </c>
      <c r="P1320" s="22" t="str">
        <f>IF(AND($L1320=$O$7,$B1320&lt;'111'!$N$11),"x","")</f>
        <v/>
      </c>
      <c r="Q1320" s="22" t="str">
        <f>IF(AND($M1320=$O$7,$B1320&lt;'111'!$N$11),"x","")</f>
        <v/>
      </c>
      <c r="R1320" s="22" t="str">
        <f>IF(ISERROR(FIND('112'!$M$9,G1320,1)),"",IF((AND(FIND('112'!$M$9,G1320,1)&gt;=1,$B1320&gt;='112'!$N$8,$B1320&lt;='112'!$O$8,OR($L1320='112'!$I$6,$M1320='112'!$I$6))),"x",""))</f>
        <v/>
      </c>
      <c r="S1320" s="22" t="str">
        <f>IF(ISERROR(FIND('112'!$M$9,G1320,1)),"",IF((AND(LEFT(G1320,2)=LEFT('112'!$M$9,2),B1320&lt;'112'!$N$8,$L1320='112'!$I$6)),"x",""))</f>
        <v/>
      </c>
      <c r="T1320" s="22" t="str">
        <f>IF(ISERROR(FIND('112'!$M$9,G1320,1)),"",IF((AND(RIGHT(G1320,2)=RIGHT('112'!$M$9,2),B1320&lt;'112'!$N$8,$M1320='112'!$I$6)),"x",""))</f>
        <v/>
      </c>
      <c r="U1320" s="22" t="str">
        <f>IF(AND(B1320&gt;='IN-NX'!$P$3,B1320&lt;='IN-NX'!$Q$3,'IN-NX'!$D$7=D1320,OR(LEFT(L1320,2)="15",AND(LEFT(M1320,2)&lt;&gt;"15",LEFT(M1320,2)&lt;&gt;"33"))),"x","")</f>
        <v/>
      </c>
      <c r="V1320" s="22" t="str">
        <f>IF(AND(OR(LEFT(TH!L1320,2)="15",LEFT(TH!M1320,2)="15"),'152-CT'!$J$8=TH!F1320),"x","")</f>
        <v/>
      </c>
      <c r="W1320" s="22" t="str">
        <f>IF(AND(OR(LEFT(TH!L1320,2)="15",LEFT(TH!M1320,2)="15"),TK!$E$7=TH!F1320),"x","")</f>
        <v/>
      </c>
      <c r="X1320" s="22" t="str">
        <f>IF(OR(TH!L1320=TH!$X$7,M1320=TH!$X$7),"x","")</f>
        <v/>
      </c>
      <c r="Y1320" s="22" t="str">
        <f>IF(AND(B1320&lt;=NKC!$N$8,B1320&gt;=NKC!$M$8),"x","")</f>
        <v/>
      </c>
      <c r="Z1320" s="580"/>
      <c r="AA1320" s="588"/>
      <c r="AB1320" s="588"/>
    </row>
    <row r="1321" spans="1:29" s="589" customFormat="1" ht="15.75" customHeight="1">
      <c r="A1321" s="607" t="str">
        <f>IF(B1321&lt;&gt;"",IF(AND(B1321&gt;=_TM1,B1321&lt;=_TM2,OR(TH!L1321="1111",TH!M1321="1111")),TH!D1321,""),"")</f>
        <v/>
      </c>
      <c r="B1321" s="585">
        <f t="shared" si="62"/>
        <v>12</v>
      </c>
      <c r="C1321" s="586">
        <f t="shared" si="67"/>
        <v>42714</v>
      </c>
      <c r="D1321" s="569" t="s">
        <v>1022</v>
      </c>
      <c r="E1321" s="611">
        <v>42714</v>
      </c>
      <c r="F1321" s="614" t="s">
        <v>813</v>
      </c>
      <c r="G1321" s="612" t="s">
        <v>840</v>
      </c>
      <c r="H1321" s="572" t="s">
        <v>1075</v>
      </c>
      <c r="I1321" s="591">
        <v>2400</v>
      </c>
      <c r="J1321" s="591">
        <v>6391.2686000887979</v>
      </c>
      <c r="K1321" s="21">
        <f t="shared" si="66"/>
        <v>15339045</v>
      </c>
      <c r="L1321" s="567" t="s">
        <v>167</v>
      </c>
      <c r="M1321" s="567" t="s">
        <v>162</v>
      </c>
      <c r="N1321" s="22" t="str">
        <f>IF(AND('331-CT'!$E$7=TH!H1321,OR(L1321="331",M1321="331")),"331",IF(AND(OR(L1321="131",M1321="131"),H1321='131-CT'!$E$7),"131",""))</f>
        <v/>
      </c>
      <c r="O1321" s="22" t="str">
        <f>IF(AND($B1321&gt;='111'!$N$11,$B1321&lt;='111'!$O$11,OR($L1321=$O$7,$M1321=$O$7)),"x","")</f>
        <v/>
      </c>
      <c r="P1321" s="22" t="str">
        <f>IF(AND($L1321=$O$7,$B1321&lt;'111'!$N$11),"x","")</f>
        <v/>
      </c>
      <c r="Q1321" s="22" t="str">
        <f>IF(AND($M1321=$O$7,$B1321&lt;'111'!$N$11),"x","")</f>
        <v/>
      </c>
      <c r="R1321" s="22" t="str">
        <f>IF(ISERROR(FIND('112'!$M$9,G1321,1)),"",IF((AND(FIND('112'!$M$9,G1321,1)&gt;=1,$B1321&gt;='112'!$N$8,$B1321&lt;='112'!$O$8,OR($L1321='112'!$I$6,$M1321='112'!$I$6))),"x",""))</f>
        <v/>
      </c>
      <c r="S1321" s="22" t="str">
        <f>IF(ISERROR(FIND('112'!$M$9,G1321,1)),"",IF((AND(LEFT(G1321,2)=LEFT('112'!$M$9,2),B1321&lt;'112'!$N$8,$L1321='112'!$I$6)),"x",""))</f>
        <v/>
      </c>
      <c r="T1321" s="22" t="str">
        <f>IF(ISERROR(FIND('112'!$M$9,G1321,1)),"",IF((AND(RIGHT(G1321,2)=RIGHT('112'!$M$9,2),B1321&lt;'112'!$N$8,$M1321='112'!$I$6)),"x",""))</f>
        <v/>
      </c>
      <c r="U1321" s="22" t="str">
        <f>IF(AND(B1321&gt;='IN-NX'!$P$3,B1321&lt;='IN-NX'!$Q$3,'IN-NX'!$D$7=D1321,OR(LEFT(L1321,2)="15",AND(LEFT(M1321,2)&lt;&gt;"15",LEFT(M1321,2)&lt;&gt;"33"))),"x","")</f>
        <v/>
      </c>
      <c r="V1321" s="22" t="str">
        <f>IF(AND(OR(LEFT(TH!L1321,2)="15",LEFT(TH!M1321,2)="15"),'152-CT'!$J$8=TH!F1321),"x","")</f>
        <v/>
      </c>
      <c r="W1321" s="22" t="str">
        <f>IF(AND(OR(LEFT(TH!L1321,2)="15",LEFT(TH!M1321,2)="15"),TK!$E$7=TH!F1321),"x","")</f>
        <v/>
      </c>
      <c r="X1321" s="22" t="str">
        <f>IF(OR(TH!L1321=TH!$X$7,M1321=TH!$X$7),"x","")</f>
        <v/>
      </c>
      <c r="Y1321" s="22" t="str">
        <f>IF(AND(B1321&lt;=NKC!$N$8,B1321&gt;=NKC!$M$8),"x","")</f>
        <v/>
      </c>
      <c r="Z1321" s="580"/>
      <c r="AA1321" s="588"/>
      <c r="AB1321" s="588"/>
    </row>
    <row r="1322" spans="1:29" s="589" customFormat="1" ht="15.75" customHeight="1">
      <c r="A1322" s="607" t="str">
        <f>IF(B1322&lt;&gt;"",IF(AND(B1322&gt;=_TM1,B1322&lt;=_TM2,OR(TH!L1322="1111",TH!M1322="1111")),TH!D1322,""),"")</f>
        <v/>
      </c>
      <c r="B1322" s="585">
        <f t="shared" si="62"/>
        <v>12</v>
      </c>
      <c r="C1322" s="586">
        <f t="shared" si="67"/>
        <v>42715</v>
      </c>
      <c r="D1322" s="569" t="s">
        <v>1022</v>
      </c>
      <c r="E1322" s="611">
        <v>42715</v>
      </c>
      <c r="F1322" s="614" t="s">
        <v>813</v>
      </c>
      <c r="G1322" s="612" t="s">
        <v>841</v>
      </c>
      <c r="H1322" s="572" t="s">
        <v>1075</v>
      </c>
      <c r="I1322" s="591">
        <v>2400</v>
      </c>
      <c r="J1322" s="591">
        <v>6391.2686000887979</v>
      </c>
      <c r="K1322" s="21">
        <f t="shared" si="66"/>
        <v>15339045</v>
      </c>
      <c r="L1322" s="567" t="s">
        <v>167</v>
      </c>
      <c r="M1322" s="567" t="s">
        <v>162</v>
      </c>
      <c r="N1322" s="22" t="str">
        <f>IF(AND('331-CT'!$E$7=TH!H1322,OR(L1322="331",M1322="331")),"331",IF(AND(OR(L1322="131",M1322="131"),H1322='131-CT'!$E$7),"131",""))</f>
        <v/>
      </c>
      <c r="O1322" s="22" t="str">
        <f>IF(AND($B1322&gt;='111'!$N$11,$B1322&lt;='111'!$O$11,OR($L1322=$O$7,$M1322=$O$7)),"x","")</f>
        <v/>
      </c>
      <c r="P1322" s="22" t="str">
        <f>IF(AND($L1322=$O$7,$B1322&lt;'111'!$N$11),"x","")</f>
        <v/>
      </c>
      <c r="Q1322" s="22" t="str">
        <f>IF(AND($M1322=$O$7,$B1322&lt;'111'!$N$11),"x","")</f>
        <v/>
      </c>
      <c r="R1322" s="22" t="str">
        <f>IF(ISERROR(FIND('112'!$M$9,G1322,1)),"",IF((AND(FIND('112'!$M$9,G1322,1)&gt;=1,$B1322&gt;='112'!$N$8,$B1322&lt;='112'!$O$8,OR($L1322='112'!$I$6,$M1322='112'!$I$6))),"x",""))</f>
        <v/>
      </c>
      <c r="S1322" s="22" t="str">
        <f>IF(ISERROR(FIND('112'!$M$9,G1322,1)),"",IF((AND(LEFT(G1322,2)=LEFT('112'!$M$9,2),B1322&lt;'112'!$N$8,$L1322='112'!$I$6)),"x",""))</f>
        <v/>
      </c>
      <c r="T1322" s="22" t="str">
        <f>IF(ISERROR(FIND('112'!$M$9,G1322,1)),"",IF((AND(RIGHT(G1322,2)=RIGHT('112'!$M$9,2),B1322&lt;'112'!$N$8,$M1322='112'!$I$6)),"x",""))</f>
        <v/>
      </c>
      <c r="U1322" s="22" t="str">
        <f>IF(AND(B1322&gt;='IN-NX'!$P$3,B1322&lt;='IN-NX'!$Q$3,'IN-NX'!$D$7=D1322,OR(LEFT(L1322,2)="15",AND(LEFT(M1322,2)&lt;&gt;"15",LEFT(M1322,2)&lt;&gt;"33"))),"x","")</f>
        <v/>
      </c>
      <c r="V1322" s="22" t="str">
        <f>IF(AND(OR(LEFT(TH!L1322,2)="15",LEFT(TH!M1322,2)="15"),'152-CT'!$J$8=TH!F1322),"x","")</f>
        <v/>
      </c>
      <c r="W1322" s="22" t="str">
        <f>IF(AND(OR(LEFT(TH!L1322,2)="15",LEFT(TH!M1322,2)="15"),TK!$E$7=TH!F1322),"x","")</f>
        <v/>
      </c>
      <c r="X1322" s="22" t="str">
        <f>IF(OR(TH!L1322=TH!$X$7,M1322=TH!$X$7),"x","")</f>
        <v/>
      </c>
      <c r="Y1322" s="22" t="str">
        <f>IF(AND(B1322&lt;=NKC!$N$8,B1322&gt;=NKC!$M$8),"x","")</f>
        <v/>
      </c>
      <c r="Z1322" s="580"/>
      <c r="AA1322" s="588"/>
      <c r="AB1322" s="588"/>
    </row>
    <row r="1323" spans="1:29" s="589" customFormat="1" ht="15.75" customHeight="1">
      <c r="A1323" s="607" t="str">
        <f>IF(B1323&lt;&gt;"",IF(AND(B1323&gt;=_TM1,B1323&lt;=_TM2,OR(TH!L1323="1111",TH!M1323="1111")),TH!D1323,""),"")</f>
        <v/>
      </c>
      <c r="B1323" s="585">
        <f t="shared" si="62"/>
        <v>12</v>
      </c>
      <c r="C1323" s="586">
        <f t="shared" si="67"/>
        <v>42716</v>
      </c>
      <c r="D1323" s="569" t="s">
        <v>1022</v>
      </c>
      <c r="E1323" s="611">
        <v>42716</v>
      </c>
      <c r="F1323" s="614" t="s">
        <v>813</v>
      </c>
      <c r="G1323" s="612" t="s">
        <v>842</v>
      </c>
      <c r="H1323" s="572" t="s">
        <v>1075</v>
      </c>
      <c r="I1323" s="137">
        <v>2400</v>
      </c>
      <c r="J1323" s="138">
        <v>6391.2686000887979</v>
      </c>
      <c r="K1323" s="21">
        <f t="shared" si="66"/>
        <v>15339045</v>
      </c>
      <c r="L1323" s="567" t="s">
        <v>167</v>
      </c>
      <c r="M1323" s="567" t="s">
        <v>162</v>
      </c>
      <c r="N1323" s="22" t="str">
        <f>IF(AND('331-CT'!$E$7=TH!H1323,OR(L1323="331",M1323="331")),"331",IF(AND(OR(L1323="131",M1323="131"),H1323='131-CT'!$E$7),"131",""))</f>
        <v/>
      </c>
      <c r="O1323" s="22" t="str">
        <f>IF(AND($B1323&gt;='111'!$N$11,$B1323&lt;='111'!$O$11,OR($L1323=$O$7,$M1323=$O$7)),"x","")</f>
        <v/>
      </c>
      <c r="P1323" s="22" t="str">
        <f>IF(AND($L1323=$O$7,$B1323&lt;'111'!$N$11),"x","")</f>
        <v/>
      </c>
      <c r="Q1323" s="22" t="str">
        <f>IF(AND($M1323=$O$7,$B1323&lt;'111'!$N$11),"x","")</f>
        <v/>
      </c>
      <c r="R1323" s="22" t="str">
        <f>IF(ISERROR(FIND('112'!$M$9,G1323,1)),"",IF((AND(FIND('112'!$M$9,G1323,1)&gt;=1,$B1323&gt;='112'!$N$8,$B1323&lt;='112'!$O$8,OR($L1323='112'!$I$6,$M1323='112'!$I$6))),"x",""))</f>
        <v/>
      </c>
      <c r="S1323" s="22" t="str">
        <f>IF(ISERROR(FIND('112'!$M$9,G1323,1)),"",IF((AND(LEFT(G1323,2)=LEFT('112'!$M$9,2),B1323&lt;'112'!$N$8,$L1323='112'!$I$6)),"x",""))</f>
        <v/>
      </c>
      <c r="T1323" s="22" t="str">
        <f>IF(ISERROR(FIND('112'!$M$9,G1323,1)),"",IF((AND(RIGHT(G1323,2)=RIGHT('112'!$M$9,2),B1323&lt;'112'!$N$8,$M1323='112'!$I$6)),"x",""))</f>
        <v/>
      </c>
      <c r="U1323" s="22" t="str">
        <f>IF(AND(B1323&gt;='IN-NX'!$P$3,B1323&lt;='IN-NX'!$Q$3,'IN-NX'!$D$7=D1323,OR(LEFT(L1323,2)="15",AND(LEFT(M1323,2)&lt;&gt;"15",LEFT(M1323,2)&lt;&gt;"33"))),"x","")</f>
        <v/>
      </c>
      <c r="V1323" s="22" t="str">
        <f>IF(AND(OR(LEFT(TH!L1323,2)="15",LEFT(TH!M1323,2)="15"),'152-CT'!$J$8=TH!F1323),"x","")</f>
        <v/>
      </c>
      <c r="W1323" s="22" t="str">
        <f>IF(AND(OR(LEFT(TH!L1323,2)="15",LEFT(TH!M1323,2)="15"),TK!$E$7=TH!F1323),"x","")</f>
        <v/>
      </c>
      <c r="X1323" s="22" t="str">
        <f>IF(OR(TH!L1323=TH!$X$7,M1323=TH!$X$7),"x","")</f>
        <v/>
      </c>
      <c r="Y1323" s="22" t="str">
        <f>IF(AND(B1323&lt;=NKC!$N$8,B1323&gt;=NKC!$M$8),"x","")</f>
        <v/>
      </c>
      <c r="Z1323" s="580"/>
      <c r="AA1323" s="588"/>
      <c r="AB1323" s="588"/>
    </row>
    <row r="1324" spans="1:29" s="589" customFormat="1" ht="15.75" customHeight="1">
      <c r="A1324" s="607" t="str">
        <f>IF(B1324&lt;&gt;"",IF(AND(B1324&gt;=_TM1,B1324&lt;=_TM2,OR(TH!L1324="1111",TH!M1324="1111")),TH!D1324,""),"")</f>
        <v/>
      </c>
      <c r="B1324" s="585">
        <f t="shared" si="62"/>
        <v>12</v>
      </c>
      <c r="C1324" s="586">
        <f t="shared" si="67"/>
        <v>42716</v>
      </c>
      <c r="D1324" s="569" t="s">
        <v>1022</v>
      </c>
      <c r="E1324" s="611">
        <v>42716</v>
      </c>
      <c r="F1324" s="614" t="s">
        <v>664</v>
      </c>
      <c r="G1324" s="612" t="s">
        <v>882</v>
      </c>
      <c r="H1324" s="572" t="s">
        <v>1075</v>
      </c>
      <c r="I1324" s="137">
        <v>332</v>
      </c>
      <c r="J1324" s="138">
        <v>7152.1339096231786</v>
      </c>
      <c r="K1324" s="21">
        <f t="shared" si="66"/>
        <v>2374508</v>
      </c>
      <c r="L1324" s="567" t="s">
        <v>167</v>
      </c>
      <c r="M1324" s="567" t="s">
        <v>162</v>
      </c>
      <c r="N1324" s="22" t="str">
        <f>IF(AND('331-CT'!$E$7=TH!H1324,OR(L1324="331",M1324="331")),"331",IF(AND(OR(L1324="131",M1324="131"),H1324='131-CT'!$E$7),"131",""))</f>
        <v/>
      </c>
      <c r="O1324" s="22" t="str">
        <f>IF(AND($B1324&gt;='111'!$N$11,$B1324&lt;='111'!$O$11,OR($L1324=$O$7,$M1324=$O$7)),"x","")</f>
        <v/>
      </c>
      <c r="P1324" s="22" t="str">
        <f>IF(AND($L1324=$O$7,$B1324&lt;'111'!$N$11),"x","")</f>
        <v/>
      </c>
      <c r="Q1324" s="22" t="str">
        <f>IF(AND($M1324=$O$7,$B1324&lt;'111'!$N$11),"x","")</f>
        <v/>
      </c>
      <c r="R1324" s="22" t="str">
        <f>IF(ISERROR(FIND('112'!$M$9,G1324,1)),"",IF((AND(FIND('112'!$M$9,G1324,1)&gt;=1,$B1324&gt;='112'!$N$8,$B1324&lt;='112'!$O$8,OR($L1324='112'!$I$6,$M1324='112'!$I$6))),"x",""))</f>
        <v/>
      </c>
      <c r="S1324" s="22" t="str">
        <f>IF(ISERROR(FIND('112'!$M$9,G1324,1)),"",IF((AND(LEFT(G1324,2)=LEFT('112'!$M$9,2),B1324&lt;'112'!$N$8,$L1324='112'!$I$6)),"x",""))</f>
        <v/>
      </c>
      <c r="T1324" s="22" t="str">
        <f>IF(ISERROR(FIND('112'!$M$9,G1324,1)),"",IF((AND(RIGHT(G1324,2)=RIGHT('112'!$M$9,2),B1324&lt;'112'!$N$8,$M1324='112'!$I$6)),"x",""))</f>
        <v/>
      </c>
      <c r="U1324" s="22" t="str">
        <f>IF(AND(B1324&gt;='IN-NX'!$P$3,B1324&lt;='IN-NX'!$Q$3,'IN-NX'!$D$7=D1324,OR(LEFT(L1324,2)="15",AND(LEFT(M1324,2)&lt;&gt;"15",LEFT(M1324,2)&lt;&gt;"33"))),"x","")</f>
        <v/>
      </c>
      <c r="V1324" s="22" t="str">
        <f>IF(AND(OR(LEFT(TH!L1324,2)="15",LEFT(TH!M1324,2)="15"),'152-CT'!$J$8=TH!F1324),"x","")</f>
        <v/>
      </c>
      <c r="W1324" s="22" t="str">
        <f>IF(AND(OR(LEFT(TH!L1324,2)="15",LEFT(TH!M1324,2)="15"),TK!$E$7=TH!F1324),"x","")</f>
        <v/>
      </c>
      <c r="X1324" s="22" t="str">
        <f>IF(OR(TH!L1324=TH!$X$7,M1324=TH!$X$7),"x","")</f>
        <v/>
      </c>
      <c r="Y1324" s="22" t="str">
        <f>IF(AND(B1324&lt;=NKC!$N$8,B1324&gt;=NKC!$M$8),"x","")</f>
        <v/>
      </c>
      <c r="Z1324" s="580"/>
      <c r="AA1324" s="588"/>
      <c r="AB1324" s="588"/>
    </row>
    <row r="1325" spans="1:29" s="589" customFormat="1" ht="15.75" customHeight="1">
      <c r="A1325" s="607" t="str">
        <f>IF(B1325&lt;&gt;"",IF(AND(B1325&gt;=_TM1,B1325&lt;=_TM2,OR(TH!L1325="1111",TH!M1325="1111")),TH!D1325,""),"")</f>
        <v/>
      </c>
      <c r="B1325" s="585">
        <f t="shared" si="62"/>
        <v>12</v>
      </c>
      <c r="C1325" s="586">
        <f t="shared" si="67"/>
        <v>42716</v>
      </c>
      <c r="D1325" s="569" t="s">
        <v>1022</v>
      </c>
      <c r="E1325" s="611">
        <v>42716</v>
      </c>
      <c r="F1325" s="614" t="s">
        <v>511</v>
      </c>
      <c r="G1325" s="612" t="s">
        <v>882</v>
      </c>
      <c r="H1325" s="572" t="s">
        <v>1075</v>
      </c>
      <c r="I1325" s="137">
        <v>104</v>
      </c>
      <c r="J1325" s="138">
        <v>10195.595147760703</v>
      </c>
      <c r="K1325" s="21">
        <f t="shared" ref="K1325:K1392" si="68">ROUND(I1325*J1325,0)</f>
        <v>1060342</v>
      </c>
      <c r="L1325" s="567" t="s">
        <v>167</v>
      </c>
      <c r="M1325" s="567" t="s">
        <v>162</v>
      </c>
      <c r="N1325" s="22" t="str">
        <f>IF(AND('331-CT'!$E$7=TH!H1325,OR(L1325="331",M1325="331")),"331",IF(AND(OR(L1325="131",M1325="131"),H1325='131-CT'!$E$7),"131",""))</f>
        <v/>
      </c>
      <c r="O1325" s="22" t="str">
        <f>IF(AND($B1325&gt;='111'!$N$11,$B1325&lt;='111'!$O$11,OR($L1325=$O$7,$M1325=$O$7)),"x","")</f>
        <v/>
      </c>
      <c r="P1325" s="22" t="str">
        <f>IF(AND($L1325=$O$7,$B1325&lt;'111'!$N$11),"x","")</f>
        <v/>
      </c>
      <c r="Q1325" s="22" t="str">
        <f>IF(AND($M1325=$O$7,$B1325&lt;'111'!$N$11),"x","")</f>
        <v/>
      </c>
      <c r="R1325" s="22" t="str">
        <f>IF(ISERROR(FIND('112'!$M$9,G1325,1)),"",IF((AND(FIND('112'!$M$9,G1325,1)&gt;=1,$B1325&gt;='112'!$N$8,$B1325&lt;='112'!$O$8,OR($L1325='112'!$I$6,$M1325='112'!$I$6))),"x",""))</f>
        <v/>
      </c>
      <c r="S1325" s="22" t="str">
        <f>IF(ISERROR(FIND('112'!$M$9,G1325,1)),"",IF((AND(LEFT(G1325,2)=LEFT('112'!$M$9,2),B1325&lt;'112'!$N$8,$L1325='112'!$I$6)),"x",""))</f>
        <v/>
      </c>
      <c r="T1325" s="22" t="str">
        <f>IF(ISERROR(FIND('112'!$M$9,G1325,1)),"",IF((AND(RIGHT(G1325,2)=RIGHT('112'!$M$9,2),B1325&lt;'112'!$N$8,$M1325='112'!$I$6)),"x",""))</f>
        <v/>
      </c>
      <c r="U1325" s="22" t="str">
        <f>IF(AND(B1325&gt;='IN-NX'!$P$3,B1325&lt;='IN-NX'!$Q$3,'IN-NX'!$D$7=D1325,OR(LEFT(L1325,2)="15",AND(LEFT(M1325,2)&lt;&gt;"15",LEFT(M1325,2)&lt;&gt;"33"))),"x","")</f>
        <v/>
      </c>
      <c r="V1325" s="22" t="str">
        <f>IF(AND(OR(LEFT(TH!L1325,2)="15",LEFT(TH!M1325,2)="15"),'152-CT'!$J$8=TH!F1325),"x","")</f>
        <v/>
      </c>
      <c r="W1325" s="22" t="str">
        <f>IF(AND(OR(LEFT(TH!L1325,2)="15",LEFT(TH!M1325,2)="15"),TK!$E$7=TH!F1325),"x","")</f>
        <v/>
      </c>
      <c r="X1325" s="22" t="str">
        <f>IF(OR(TH!L1325=TH!$X$7,M1325=TH!$X$7),"x","")</f>
        <v/>
      </c>
      <c r="Y1325" s="22" t="str">
        <f>IF(AND(B1325&lt;=NKC!$N$8,B1325&gt;=NKC!$M$8),"x","")</f>
        <v/>
      </c>
      <c r="Z1325" s="580"/>
      <c r="AA1325" s="588"/>
      <c r="AB1325" s="588"/>
    </row>
    <row r="1326" spans="1:29" s="589" customFormat="1" ht="15.75" customHeight="1">
      <c r="A1326" s="607" t="str">
        <f>IF(B1326&lt;&gt;"",IF(AND(B1326&gt;=_TM1,B1326&lt;=_TM2,OR(TH!L1326="1111",TH!M1326="1111")),TH!D1326,""),"")</f>
        <v/>
      </c>
      <c r="B1326" s="585">
        <f t="shared" si="62"/>
        <v>12</v>
      </c>
      <c r="C1326" s="586">
        <f t="shared" si="67"/>
        <v>42717</v>
      </c>
      <c r="D1326" s="569" t="s">
        <v>1022</v>
      </c>
      <c r="E1326" s="611">
        <v>42717</v>
      </c>
      <c r="F1326" s="614" t="s">
        <v>529</v>
      </c>
      <c r="G1326" s="612" t="s">
        <v>883</v>
      </c>
      <c r="H1326" s="572" t="s">
        <v>1075</v>
      </c>
      <c r="I1326" s="137">
        <v>60</v>
      </c>
      <c r="J1326" s="138">
        <v>55162.734941242605</v>
      </c>
      <c r="K1326" s="21">
        <f t="shared" si="68"/>
        <v>3309764</v>
      </c>
      <c r="L1326" s="567" t="s">
        <v>167</v>
      </c>
      <c r="M1326" s="567" t="s">
        <v>162</v>
      </c>
      <c r="N1326" s="22" t="str">
        <f>IF(AND('331-CT'!$E$7=TH!H1326,OR(L1326="331",M1326="331")),"331",IF(AND(OR(L1326="131",M1326="131"),H1326='131-CT'!$E$7),"131",""))</f>
        <v/>
      </c>
      <c r="O1326" s="22" t="str">
        <f>IF(AND($B1326&gt;='111'!$N$11,$B1326&lt;='111'!$O$11,OR($L1326=$O$7,$M1326=$O$7)),"x","")</f>
        <v/>
      </c>
      <c r="P1326" s="22" t="str">
        <f>IF(AND($L1326=$O$7,$B1326&lt;'111'!$N$11),"x","")</f>
        <v/>
      </c>
      <c r="Q1326" s="22" t="str">
        <f>IF(AND($M1326=$O$7,$B1326&lt;'111'!$N$11),"x","")</f>
        <v/>
      </c>
      <c r="R1326" s="22" t="str">
        <f>IF(ISERROR(FIND('112'!$M$9,G1326,1)),"",IF((AND(FIND('112'!$M$9,G1326,1)&gt;=1,$B1326&gt;='112'!$N$8,$B1326&lt;='112'!$O$8,OR($L1326='112'!$I$6,$M1326='112'!$I$6))),"x",""))</f>
        <v/>
      </c>
      <c r="S1326" s="22" t="str">
        <f>IF(ISERROR(FIND('112'!$M$9,G1326,1)),"",IF((AND(LEFT(G1326,2)=LEFT('112'!$M$9,2),B1326&lt;'112'!$N$8,$L1326='112'!$I$6)),"x",""))</f>
        <v/>
      </c>
      <c r="T1326" s="22" t="str">
        <f>IF(ISERROR(FIND('112'!$M$9,G1326,1)),"",IF((AND(RIGHT(G1326,2)=RIGHT('112'!$M$9,2),B1326&lt;'112'!$N$8,$M1326='112'!$I$6)),"x",""))</f>
        <v/>
      </c>
      <c r="U1326" s="22" t="str">
        <f>IF(AND(B1326&gt;='IN-NX'!$P$3,B1326&lt;='IN-NX'!$Q$3,'IN-NX'!$D$7=D1326,OR(LEFT(L1326,2)="15",AND(LEFT(M1326,2)&lt;&gt;"15",LEFT(M1326,2)&lt;&gt;"33"))),"x","")</f>
        <v/>
      </c>
      <c r="V1326" s="22" t="str">
        <f>IF(AND(OR(LEFT(TH!L1326,2)="15",LEFT(TH!M1326,2)="15"),'152-CT'!$J$8=TH!F1326),"x","")</f>
        <v/>
      </c>
      <c r="W1326" s="22" t="str">
        <f>IF(AND(OR(LEFT(TH!L1326,2)="15",LEFT(TH!M1326,2)="15"),TK!$E$7=TH!F1326),"x","")</f>
        <v/>
      </c>
      <c r="X1326" s="22" t="str">
        <f>IF(OR(TH!L1326=TH!$X$7,M1326=TH!$X$7),"x","")</f>
        <v/>
      </c>
      <c r="Y1326" s="22" t="str">
        <f>IF(AND(B1326&lt;=NKC!$N$8,B1326&gt;=NKC!$M$8),"x","")</f>
        <v/>
      </c>
      <c r="Z1326" s="580"/>
      <c r="AA1326" s="588"/>
      <c r="AB1326" s="588"/>
    </row>
    <row r="1327" spans="1:29" s="589" customFormat="1" ht="15.75" customHeight="1">
      <c r="A1327" s="607" t="str">
        <f>IF(B1327&lt;&gt;"",IF(AND(B1327&gt;=_TM1,B1327&lt;=_TM2,OR(TH!L1327="1111",TH!M1327="1111")),TH!D1327,""),"")</f>
        <v/>
      </c>
      <c r="B1327" s="585">
        <f t="shared" ref="B1327:B1336" si="69">IF(C1327&lt;&gt;"",MONTH(C1327),"")</f>
        <v>12</v>
      </c>
      <c r="C1327" s="586">
        <f t="shared" si="67"/>
        <v>42717</v>
      </c>
      <c r="D1327" s="569" t="s">
        <v>1022</v>
      </c>
      <c r="E1327" s="611">
        <v>42717</v>
      </c>
      <c r="F1327" s="614" t="s">
        <v>666</v>
      </c>
      <c r="G1327" s="612" t="s">
        <v>883</v>
      </c>
      <c r="H1327" s="572" t="s">
        <v>1075</v>
      </c>
      <c r="I1327" s="591">
        <v>22</v>
      </c>
      <c r="J1327" s="138">
        <v>64369.205186608619</v>
      </c>
      <c r="K1327" s="21">
        <f t="shared" si="68"/>
        <v>1416123</v>
      </c>
      <c r="L1327" s="567" t="s">
        <v>167</v>
      </c>
      <c r="M1327" s="567" t="s">
        <v>162</v>
      </c>
      <c r="N1327" s="22" t="str">
        <f>IF(AND('331-CT'!$E$7=TH!H1327,OR(L1327="331",M1327="331")),"331",IF(AND(OR(L1327="131",M1327="131"),H1327='131-CT'!$E$7),"131",""))</f>
        <v/>
      </c>
      <c r="O1327" s="22" t="str">
        <f>IF(AND($B1327&gt;='111'!$N$11,$B1327&lt;='111'!$O$11,OR($L1327=$O$7,$M1327=$O$7)),"x","")</f>
        <v/>
      </c>
      <c r="P1327" s="22" t="str">
        <f>IF(AND($L1327=$O$7,$B1327&lt;'111'!$N$11),"x","")</f>
        <v/>
      </c>
      <c r="Q1327" s="22" t="str">
        <f>IF(AND($M1327=$O$7,$B1327&lt;'111'!$N$11),"x","")</f>
        <v/>
      </c>
      <c r="R1327" s="22" t="str">
        <f>IF(ISERROR(FIND('112'!$M$9,G1327,1)),"",IF((AND(FIND('112'!$M$9,G1327,1)&gt;=1,$B1327&gt;='112'!$N$8,$B1327&lt;='112'!$O$8,OR($L1327='112'!$I$6,$M1327='112'!$I$6))),"x",""))</f>
        <v/>
      </c>
      <c r="S1327" s="22" t="str">
        <f>IF(ISERROR(FIND('112'!$M$9,G1327,1)),"",IF((AND(LEFT(G1327,2)=LEFT('112'!$M$9,2),B1327&lt;'112'!$N$8,$L1327='112'!$I$6)),"x",""))</f>
        <v/>
      </c>
      <c r="T1327" s="22" t="str">
        <f>IF(ISERROR(FIND('112'!$M$9,G1327,1)),"",IF((AND(RIGHT(G1327,2)=RIGHT('112'!$M$9,2),B1327&lt;'112'!$N$8,$M1327='112'!$I$6)),"x",""))</f>
        <v/>
      </c>
      <c r="U1327" s="22" t="str">
        <f>IF(AND(B1327&gt;='IN-NX'!$P$3,B1327&lt;='IN-NX'!$Q$3,'IN-NX'!$D$7=D1327,OR(LEFT(L1327,2)="15",AND(LEFT(M1327,2)&lt;&gt;"15",LEFT(M1327,2)&lt;&gt;"33"))),"x","")</f>
        <v/>
      </c>
      <c r="V1327" s="22" t="str">
        <f>IF(AND(OR(LEFT(TH!L1327,2)="15",LEFT(TH!M1327,2)="15"),'152-CT'!$J$8=TH!F1327),"x","")</f>
        <v/>
      </c>
      <c r="W1327" s="22" t="str">
        <f>IF(AND(OR(LEFT(TH!L1327,2)="15",LEFT(TH!M1327,2)="15"),TK!$E$7=TH!F1327),"x","")</f>
        <v/>
      </c>
      <c r="X1327" s="22" t="str">
        <f>IF(OR(TH!L1327=TH!$X$7,M1327=TH!$X$7),"x","")</f>
        <v/>
      </c>
      <c r="Y1327" s="22" t="str">
        <f>IF(AND(B1327&lt;=NKC!$N$8,B1327&gt;=NKC!$M$8),"x","")</f>
        <v/>
      </c>
      <c r="Z1327" s="580"/>
      <c r="AA1327" s="588"/>
    </row>
    <row r="1328" spans="1:29" s="589" customFormat="1" ht="15.75" customHeight="1">
      <c r="A1328" s="607" t="str">
        <f>IF(B1328&lt;&gt;"",IF(AND(B1328&gt;=_TM1,B1328&lt;=_TM2,OR(TH!L1328="1111",TH!M1328="1111")),TH!D1328,""),"")</f>
        <v/>
      </c>
      <c r="B1328" s="585">
        <f t="shared" si="69"/>
        <v>12</v>
      </c>
      <c r="C1328" s="586">
        <f t="shared" si="67"/>
        <v>42719</v>
      </c>
      <c r="D1328" s="569" t="s">
        <v>1022</v>
      </c>
      <c r="E1328" s="611">
        <v>42719</v>
      </c>
      <c r="F1328" s="614" t="s">
        <v>844</v>
      </c>
      <c r="G1328" s="612" t="s">
        <v>843</v>
      </c>
      <c r="H1328" s="572" t="s">
        <v>1075</v>
      </c>
      <c r="I1328" s="591">
        <v>103</v>
      </c>
      <c r="J1328" s="138">
        <v>12021.671890643216</v>
      </c>
      <c r="K1328" s="21">
        <f t="shared" si="68"/>
        <v>1238232</v>
      </c>
      <c r="L1328" s="567" t="s">
        <v>167</v>
      </c>
      <c r="M1328" s="567" t="s">
        <v>162</v>
      </c>
      <c r="N1328" s="22" t="str">
        <f>IF(AND('331-CT'!$E$7=TH!H1328,OR(L1328="331",M1328="331")),"331",IF(AND(OR(L1328="131",M1328="131"),H1328='131-CT'!$E$7),"131",""))</f>
        <v/>
      </c>
      <c r="O1328" s="22" t="str">
        <f>IF(AND($B1328&gt;='111'!$N$11,$B1328&lt;='111'!$O$11,OR($L1328=$O$7,$M1328=$O$7)),"x","")</f>
        <v/>
      </c>
      <c r="P1328" s="22" t="str">
        <f>IF(AND($L1328=$O$7,$B1328&lt;'111'!$N$11),"x","")</f>
        <v/>
      </c>
      <c r="Q1328" s="22" t="str">
        <f>IF(AND($M1328=$O$7,$B1328&lt;'111'!$N$11),"x","")</f>
        <v/>
      </c>
      <c r="R1328" s="22" t="str">
        <f>IF(ISERROR(FIND('112'!$M$9,G1328,1)),"",IF((AND(FIND('112'!$M$9,G1328,1)&gt;=1,$B1328&gt;='112'!$N$8,$B1328&lt;='112'!$O$8,OR($L1328='112'!$I$6,$M1328='112'!$I$6))),"x",""))</f>
        <v/>
      </c>
      <c r="S1328" s="22" t="str">
        <f>IF(ISERROR(FIND('112'!$M$9,G1328,1)),"",IF((AND(LEFT(G1328,2)=LEFT('112'!$M$9,2),B1328&lt;'112'!$N$8,$L1328='112'!$I$6)),"x",""))</f>
        <v/>
      </c>
      <c r="T1328" s="22" t="str">
        <f>IF(ISERROR(FIND('112'!$M$9,G1328,1)),"",IF((AND(RIGHT(G1328,2)=RIGHT('112'!$M$9,2),B1328&lt;'112'!$N$8,$M1328='112'!$I$6)),"x",""))</f>
        <v/>
      </c>
      <c r="U1328" s="22" t="str">
        <f>IF(AND(B1328&gt;='IN-NX'!$P$3,B1328&lt;='IN-NX'!$Q$3,'IN-NX'!$D$7=D1328,OR(LEFT(L1328,2)="15",AND(LEFT(M1328,2)&lt;&gt;"15",LEFT(M1328,2)&lt;&gt;"33"))),"x","")</f>
        <v/>
      </c>
      <c r="V1328" s="22" t="str">
        <f>IF(AND(OR(LEFT(TH!L1328,2)="15",LEFT(TH!M1328,2)="15"),'152-CT'!$J$8=TH!F1328),"x","")</f>
        <v/>
      </c>
      <c r="W1328" s="22" t="str">
        <f>IF(AND(OR(LEFT(TH!L1328,2)="15",LEFT(TH!M1328,2)="15"),TK!$E$7=TH!F1328),"x","")</f>
        <v/>
      </c>
      <c r="X1328" s="22" t="str">
        <f>IF(OR(TH!L1328=TH!$X$7,M1328=TH!$X$7),"x","")</f>
        <v/>
      </c>
      <c r="Y1328" s="22" t="str">
        <f>IF(AND(B1328&lt;=NKC!$N$8,B1328&gt;=NKC!$M$8),"x","")</f>
        <v/>
      </c>
      <c r="Z1328" s="580"/>
      <c r="AA1328" s="588"/>
      <c r="AB1328" s="588"/>
    </row>
    <row r="1329" spans="1:31" s="589" customFormat="1" ht="15.75" customHeight="1">
      <c r="A1329" s="607" t="str">
        <f>IF(B1329&lt;&gt;"",IF(AND(B1329&gt;=_TM1,B1329&lt;=_TM2,OR(TH!L1329="1111",TH!M1329="1111")),TH!D1329,""),"")</f>
        <v/>
      </c>
      <c r="B1329" s="585">
        <f t="shared" si="69"/>
        <v>12</v>
      </c>
      <c r="C1329" s="586">
        <f t="shared" ref="C1329:C1392" si="70">E1329</f>
        <v>42719</v>
      </c>
      <c r="D1329" s="569" t="s">
        <v>1022</v>
      </c>
      <c r="E1329" s="611">
        <v>42719</v>
      </c>
      <c r="F1329" s="614" t="s">
        <v>845</v>
      </c>
      <c r="G1329" s="612" t="s">
        <v>843</v>
      </c>
      <c r="H1329" s="572" t="s">
        <v>1075</v>
      </c>
      <c r="I1329" s="137">
        <v>273</v>
      </c>
      <c r="J1329" s="138">
        <v>18260.767428825136</v>
      </c>
      <c r="K1329" s="21">
        <f t="shared" si="68"/>
        <v>4985190</v>
      </c>
      <c r="L1329" s="567" t="s">
        <v>167</v>
      </c>
      <c r="M1329" s="567" t="s">
        <v>162</v>
      </c>
      <c r="N1329" s="22" t="str">
        <f>IF(AND('331-CT'!$E$7=TH!H1329,OR(L1329="331",M1329="331")),"331",IF(AND(OR(L1329="131",M1329="131"),H1329='131-CT'!$E$7),"131",""))</f>
        <v/>
      </c>
      <c r="O1329" s="22" t="str">
        <f>IF(AND($B1329&gt;='111'!$N$11,$B1329&lt;='111'!$O$11,OR($L1329=$O$7,$M1329=$O$7)),"x","")</f>
        <v/>
      </c>
      <c r="P1329" s="22" t="str">
        <f>IF(AND($L1329=$O$7,$B1329&lt;'111'!$N$11),"x","")</f>
        <v/>
      </c>
      <c r="Q1329" s="22" t="str">
        <f>IF(AND($M1329=$O$7,$B1329&lt;'111'!$N$11),"x","")</f>
        <v/>
      </c>
      <c r="R1329" s="22" t="str">
        <f>IF(ISERROR(FIND('112'!$M$9,G1329,1)),"",IF((AND(FIND('112'!$M$9,G1329,1)&gt;=1,$B1329&gt;='112'!$N$8,$B1329&lt;='112'!$O$8,OR($L1329='112'!$I$6,$M1329='112'!$I$6))),"x",""))</f>
        <v/>
      </c>
      <c r="S1329" s="22" t="str">
        <f>IF(ISERROR(FIND('112'!$M$9,G1329,1)),"",IF((AND(LEFT(G1329,2)=LEFT('112'!$M$9,2),B1329&lt;'112'!$N$8,$L1329='112'!$I$6)),"x",""))</f>
        <v/>
      </c>
      <c r="T1329" s="22" t="str">
        <f>IF(ISERROR(FIND('112'!$M$9,G1329,1)),"",IF((AND(RIGHT(G1329,2)=RIGHT('112'!$M$9,2),B1329&lt;'112'!$N$8,$M1329='112'!$I$6)),"x",""))</f>
        <v/>
      </c>
      <c r="U1329" s="22" t="str">
        <f>IF(AND(B1329&gt;='IN-NX'!$P$3,B1329&lt;='IN-NX'!$Q$3,'IN-NX'!$D$7=D1329,OR(LEFT(L1329,2)="15",AND(LEFT(M1329,2)&lt;&gt;"15",LEFT(M1329,2)&lt;&gt;"33"))),"x","")</f>
        <v/>
      </c>
      <c r="V1329" s="22" t="str">
        <f>IF(AND(OR(LEFT(TH!L1329,2)="15",LEFT(TH!M1329,2)="15"),'152-CT'!$J$8=TH!F1329),"x","")</f>
        <v/>
      </c>
      <c r="W1329" s="22" t="str">
        <f>IF(AND(OR(LEFT(TH!L1329,2)="15",LEFT(TH!M1329,2)="15"),TK!$E$7=TH!F1329),"x","")</f>
        <v/>
      </c>
      <c r="X1329" s="22" t="str">
        <f>IF(OR(TH!L1329=TH!$X$7,M1329=TH!$X$7),"x","")</f>
        <v/>
      </c>
      <c r="Y1329" s="22" t="str">
        <f>IF(AND(B1329&lt;=NKC!$N$8,B1329&gt;=NKC!$M$8),"x","")</f>
        <v/>
      </c>
      <c r="Z1329" s="580"/>
      <c r="AA1329" s="588"/>
      <c r="AB1329" s="588"/>
    </row>
    <row r="1330" spans="1:31" s="589" customFormat="1" ht="15.75" customHeight="1">
      <c r="A1330" s="607" t="str">
        <f>IF(B1330&lt;&gt;"",IF(AND(B1330&gt;=_TM1,B1330&lt;=_TM2,OR(TH!L1330="1111",TH!M1330="1111")),TH!D1330,""),"")</f>
        <v/>
      </c>
      <c r="B1330" s="585">
        <f t="shared" si="69"/>
        <v>12</v>
      </c>
      <c r="C1330" s="586">
        <f t="shared" si="70"/>
        <v>42719</v>
      </c>
      <c r="D1330" s="569" t="s">
        <v>1022</v>
      </c>
      <c r="E1330" s="611">
        <v>42719</v>
      </c>
      <c r="F1330" s="614" t="s">
        <v>813</v>
      </c>
      <c r="G1330" s="612" t="s">
        <v>884</v>
      </c>
      <c r="H1330" s="572" t="s">
        <v>1075</v>
      </c>
      <c r="I1330" s="138">
        <v>2400</v>
      </c>
      <c r="J1330" s="138">
        <v>6391.2686000887979</v>
      </c>
      <c r="K1330" s="21">
        <f t="shared" si="68"/>
        <v>15339045</v>
      </c>
      <c r="L1330" s="567" t="s">
        <v>167</v>
      </c>
      <c r="M1330" s="567" t="s">
        <v>162</v>
      </c>
      <c r="N1330" s="22" t="str">
        <f>IF(AND('331-CT'!$E$7=TH!H1330,OR(L1330="331",M1330="331")),"331",IF(AND(OR(L1330="131",M1330="131"),H1330='131-CT'!$E$7),"131",""))</f>
        <v/>
      </c>
      <c r="O1330" s="22" t="str">
        <f>IF(AND($B1330&gt;='111'!$N$11,$B1330&lt;='111'!$O$11,OR($L1330=$O$7,$M1330=$O$7)),"x","")</f>
        <v/>
      </c>
      <c r="P1330" s="22" t="str">
        <f>IF(AND($L1330=$O$7,$B1330&lt;'111'!$N$11),"x","")</f>
        <v/>
      </c>
      <c r="Q1330" s="22" t="str">
        <f>IF(AND($M1330=$O$7,$B1330&lt;'111'!$N$11),"x","")</f>
        <v/>
      </c>
      <c r="R1330" s="22" t="str">
        <f>IF(ISERROR(FIND('112'!$M$9,G1330,1)),"",IF((AND(FIND('112'!$M$9,G1330,1)&gt;=1,$B1330&gt;='112'!$N$8,$B1330&lt;='112'!$O$8,OR($L1330='112'!$I$6,$M1330='112'!$I$6))),"x",""))</f>
        <v/>
      </c>
      <c r="S1330" s="22" t="str">
        <f>IF(ISERROR(FIND('112'!$M$9,G1330,1)),"",IF((AND(LEFT(G1330,2)=LEFT('112'!$M$9,2),B1330&lt;'112'!$N$8,$L1330='112'!$I$6)),"x",""))</f>
        <v/>
      </c>
      <c r="T1330" s="22" t="str">
        <f>IF(ISERROR(FIND('112'!$M$9,G1330,1)),"",IF((AND(RIGHT(G1330,2)=RIGHT('112'!$M$9,2),B1330&lt;'112'!$N$8,$M1330='112'!$I$6)),"x",""))</f>
        <v/>
      </c>
      <c r="U1330" s="22" t="str">
        <f>IF(AND(B1330&gt;='IN-NX'!$P$3,B1330&lt;='IN-NX'!$Q$3,'IN-NX'!$D$7=D1330,OR(LEFT(L1330,2)="15",AND(LEFT(M1330,2)&lt;&gt;"15",LEFT(M1330,2)&lt;&gt;"33"))),"x","")</f>
        <v/>
      </c>
      <c r="V1330" s="22" t="str">
        <f>IF(AND(OR(LEFT(TH!L1330,2)="15",LEFT(TH!M1330,2)="15"),'152-CT'!$J$8=TH!F1330),"x","")</f>
        <v/>
      </c>
      <c r="W1330" s="22" t="str">
        <f>IF(AND(OR(LEFT(TH!L1330,2)="15",LEFT(TH!M1330,2)="15"),TK!$E$7=TH!F1330),"x","")</f>
        <v/>
      </c>
      <c r="X1330" s="22" t="str">
        <f>IF(OR(TH!L1330=TH!$X$7,M1330=TH!$X$7),"x","")</f>
        <v/>
      </c>
      <c r="Y1330" s="22" t="str">
        <f>IF(AND(B1330&lt;=NKC!$N$8,B1330&gt;=NKC!$M$8),"x","")</f>
        <v/>
      </c>
      <c r="Z1330" s="580"/>
      <c r="AA1330" s="588"/>
      <c r="AB1330" s="588"/>
    </row>
    <row r="1331" spans="1:31" s="589" customFormat="1" ht="15.75" customHeight="1">
      <c r="A1331" s="607" t="str">
        <f>IF(B1331&lt;&gt;"",IF(AND(B1331&gt;=_TM1,B1331&lt;=_TM2,OR(TH!L1331="1111",TH!M1331="1111")),TH!D1331,""),"")</f>
        <v/>
      </c>
      <c r="B1331" s="585">
        <f t="shared" si="69"/>
        <v>12</v>
      </c>
      <c r="C1331" s="586">
        <f t="shared" si="70"/>
        <v>42720</v>
      </c>
      <c r="D1331" s="569" t="s">
        <v>1022</v>
      </c>
      <c r="E1331" s="611">
        <v>42720</v>
      </c>
      <c r="F1331" s="614" t="s">
        <v>813</v>
      </c>
      <c r="G1331" s="612" t="s">
        <v>885</v>
      </c>
      <c r="H1331" s="572" t="s">
        <v>1075</v>
      </c>
      <c r="I1331" s="137">
        <v>2400</v>
      </c>
      <c r="J1331" s="138">
        <v>6391.2686000887979</v>
      </c>
      <c r="K1331" s="21">
        <f t="shared" si="68"/>
        <v>15339045</v>
      </c>
      <c r="L1331" s="567" t="s">
        <v>167</v>
      </c>
      <c r="M1331" s="567" t="s">
        <v>162</v>
      </c>
      <c r="N1331" s="22" t="str">
        <f>IF(AND('331-CT'!$E$7=TH!H1331,OR(L1331="331",M1331="331")),"331",IF(AND(OR(L1331="131",M1331="131"),H1331='131-CT'!$E$7),"131",""))</f>
        <v/>
      </c>
      <c r="O1331" s="22" t="str">
        <f>IF(AND($B1331&gt;='111'!$N$11,$B1331&lt;='111'!$O$11,OR($L1331=$O$7,$M1331=$O$7)),"x","")</f>
        <v/>
      </c>
      <c r="P1331" s="22" t="str">
        <f>IF(AND($L1331=$O$7,$B1331&lt;'111'!$N$11),"x","")</f>
        <v/>
      </c>
      <c r="Q1331" s="22" t="str">
        <f>IF(AND($M1331=$O$7,$B1331&lt;'111'!$N$11),"x","")</f>
        <v/>
      </c>
      <c r="R1331" s="22" t="str">
        <f>IF(ISERROR(FIND('112'!$M$9,G1331,1)),"",IF((AND(FIND('112'!$M$9,G1331,1)&gt;=1,$B1331&gt;='112'!$N$8,$B1331&lt;='112'!$O$8,OR($L1331='112'!$I$6,$M1331='112'!$I$6))),"x",""))</f>
        <v/>
      </c>
      <c r="S1331" s="22" t="str">
        <f>IF(ISERROR(FIND('112'!$M$9,G1331,1)),"",IF((AND(LEFT(G1331,2)=LEFT('112'!$M$9,2),B1331&lt;'112'!$N$8,$L1331='112'!$I$6)),"x",""))</f>
        <v/>
      </c>
      <c r="T1331" s="22" t="str">
        <f>IF(ISERROR(FIND('112'!$M$9,G1331,1)),"",IF((AND(RIGHT(G1331,2)=RIGHT('112'!$M$9,2),B1331&lt;'112'!$N$8,$M1331='112'!$I$6)),"x",""))</f>
        <v/>
      </c>
      <c r="U1331" s="22" t="str">
        <f>IF(AND(B1331&gt;='IN-NX'!$P$3,B1331&lt;='IN-NX'!$Q$3,'IN-NX'!$D$7=D1331,OR(LEFT(L1331,2)="15",AND(LEFT(M1331,2)&lt;&gt;"15",LEFT(M1331,2)&lt;&gt;"33"))),"x","")</f>
        <v/>
      </c>
      <c r="V1331" s="22" t="str">
        <f>IF(AND(OR(LEFT(TH!L1331,2)="15",LEFT(TH!M1331,2)="15"),'152-CT'!$J$8=TH!F1331),"x","")</f>
        <v/>
      </c>
      <c r="W1331" s="22" t="str">
        <f>IF(AND(OR(LEFT(TH!L1331,2)="15",LEFT(TH!M1331,2)="15"),TK!$E$7=TH!F1331),"x","")</f>
        <v/>
      </c>
      <c r="X1331" s="22" t="str">
        <f>IF(OR(TH!L1331=TH!$X$7,M1331=TH!$X$7),"x","")</f>
        <v/>
      </c>
      <c r="Y1331" s="22" t="str">
        <f>IF(AND(B1331&lt;=NKC!$N$8,B1331&gt;=NKC!$M$8),"x","")</f>
        <v/>
      </c>
      <c r="Z1331" s="580"/>
      <c r="AA1331" s="588"/>
      <c r="AB1331" s="588"/>
    </row>
    <row r="1332" spans="1:31" s="589" customFormat="1" ht="15.75" customHeight="1">
      <c r="A1332" s="607" t="str">
        <f>IF(B1332&lt;&gt;"",IF(AND(B1332&gt;=_TM1,B1332&lt;=_TM2,OR(TH!L1332="1111",TH!M1332="1111")),TH!D1332,""),"")</f>
        <v/>
      </c>
      <c r="B1332" s="585">
        <f t="shared" si="69"/>
        <v>12</v>
      </c>
      <c r="C1332" s="586">
        <f t="shared" si="70"/>
        <v>42721</v>
      </c>
      <c r="D1332" s="569" t="s">
        <v>1022</v>
      </c>
      <c r="E1332" s="611">
        <v>42721</v>
      </c>
      <c r="F1332" s="614" t="s">
        <v>848</v>
      </c>
      <c r="G1332" s="612" t="s">
        <v>847</v>
      </c>
      <c r="H1332" s="572" t="s">
        <v>1075</v>
      </c>
      <c r="I1332" s="137">
        <v>205</v>
      </c>
      <c r="J1332" s="138">
        <v>5173.8841048337899</v>
      </c>
      <c r="K1332" s="21">
        <f t="shared" si="68"/>
        <v>1060646</v>
      </c>
      <c r="L1332" s="567" t="s">
        <v>167</v>
      </c>
      <c r="M1332" s="567" t="s">
        <v>162</v>
      </c>
      <c r="N1332" s="22" t="str">
        <f>IF(AND('331-CT'!$E$7=TH!H1332,OR(L1332="331",M1332="331")),"331",IF(AND(OR(L1332="131",M1332="131"),H1332='131-CT'!$E$7),"131",""))</f>
        <v/>
      </c>
      <c r="O1332" s="22" t="str">
        <f>IF(AND($B1332&gt;='111'!$N$11,$B1332&lt;='111'!$O$11,OR($L1332=$O$7,$M1332=$O$7)),"x","")</f>
        <v/>
      </c>
      <c r="P1332" s="22" t="str">
        <f>IF(AND($L1332=$O$7,$B1332&lt;'111'!$N$11),"x","")</f>
        <v/>
      </c>
      <c r="Q1332" s="22" t="str">
        <f>IF(AND($M1332=$O$7,$B1332&lt;'111'!$N$11),"x","")</f>
        <v/>
      </c>
      <c r="R1332" s="22" t="str">
        <f>IF(ISERROR(FIND('112'!$M$9,G1332,1)),"",IF((AND(FIND('112'!$M$9,G1332,1)&gt;=1,$B1332&gt;='112'!$N$8,$B1332&lt;='112'!$O$8,OR($L1332='112'!$I$6,$M1332='112'!$I$6))),"x",""))</f>
        <v/>
      </c>
      <c r="S1332" s="22" t="str">
        <f>IF(ISERROR(FIND('112'!$M$9,G1332,1)),"",IF((AND(LEFT(G1332,2)=LEFT('112'!$M$9,2),B1332&lt;'112'!$N$8,$L1332='112'!$I$6)),"x",""))</f>
        <v/>
      </c>
      <c r="T1332" s="22" t="str">
        <f>IF(ISERROR(FIND('112'!$M$9,G1332,1)),"",IF((AND(RIGHT(G1332,2)=RIGHT('112'!$M$9,2),B1332&lt;'112'!$N$8,$M1332='112'!$I$6)),"x",""))</f>
        <v/>
      </c>
      <c r="U1332" s="22" t="str">
        <f>IF(AND(B1332&gt;='IN-NX'!$P$3,B1332&lt;='IN-NX'!$Q$3,'IN-NX'!$D$7=D1332,OR(LEFT(L1332,2)="15",AND(LEFT(M1332,2)&lt;&gt;"15",LEFT(M1332,2)&lt;&gt;"33"))),"x","")</f>
        <v/>
      </c>
      <c r="V1332" s="22" t="str">
        <f>IF(AND(OR(LEFT(TH!L1332,2)="15",LEFT(TH!M1332,2)="15"),'152-CT'!$J$8=TH!F1332),"x","")</f>
        <v/>
      </c>
      <c r="W1332" s="22" t="str">
        <f>IF(AND(OR(LEFT(TH!L1332,2)="15",LEFT(TH!M1332,2)="15"),TK!$E$7=TH!F1332),"x","")</f>
        <v/>
      </c>
      <c r="X1332" s="22" t="str">
        <f>IF(OR(TH!L1332=TH!$X$7,M1332=TH!$X$7),"x","")</f>
        <v/>
      </c>
      <c r="Y1332" s="22" t="str">
        <f>IF(AND(B1332&lt;=NKC!$N$8,B1332&gt;=NKC!$M$8),"x","")</f>
        <v/>
      </c>
      <c r="Z1332" s="580"/>
      <c r="AA1332" s="588"/>
      <c r="AB1332" s="588"/>
    </row>
    <row r="1333" spans="1:31" s="589" customFormat="1" ht="15.75" customHeight="1">
      <c r="A1333" s="607" t="str">
        <f>IF(B1333&lt;&gt;"",IF(AND(B1333&gt;=_TM1,B1333&lt;=_TM2,OR(TH!L1333="1111",TH!M1333="1111")),TH!D1333,""),"")</f>
        <v/>
      </c>
      <c r="B1333" s="585">
        <f t="shared" si="69"/>
        <v>12</v>
      </c>
      <c r="C1333" s="586">
        <f t="shared" si="70"/>
        <v>42721</v>
      </c>
      <c r="D1333" s="569" t="s">
        <v>1022</v>
      </c>
      <c r="E1333" s="611">
        <v>42721</v>
      </c>
      <c r="F1333" s="614" t="s">
        <v>849</v>
      </c>
      <c r="G1333" s="612" t="s">
        <v>847</v>
      </c>
      <c r="H1333" s="572" t="s">
        <v>1075</v>
      </c>
      <c r="I1333" s="137">
        <v>1160</v>
      </c>
      <c r="J1333" s="138">
        <v>6695.6147239025513</v>
      </c>
      <c r="K1333" s="21">
        <f t="shared" si="68"/>
        <v>7766913</v>
      </c>
      <c r="L1333" s="567" t="s">
        <v>167</v>
      </c>
      <c r="M1333" s="567" t="s">
        <v>162</v>
      </c>
      <c r="N1333" s="22" t="str">
        <f>IF(AND('331-CT'!$E$7=TH!H1333,OR(L1333="331",M1333="331")),"331",IF(AND(OR(L1333="131",M1333="131"),H1333='131-CT'!$E$7),"131",""))</f>
        <v/>
      </c>
      <c r="O1333" s="22" t="str">
        <f>IF(AND($B1333&gt;='111'!$N$11,$B1333&lt;='111'!$O$11,OR($L1333=$O$7,$M1333=$O$7)),"x","")</f>
        <v/>
      </c>
      <c r="P1333" s="22" t="str">
        <f>IF(AND($L1333=$O$7,$B1333&lt;'111'!$N$11),"x","")</f>
        <v/>
      </c>
      <c r="Q1333" s="22" t="str">
        <f>IF(AND($M1333=$O$7,$B1333&lt;'111'!$N$11),"x","")</f>
        <v/>
      </c>
      <c r="R1333" s="22" t="str">
        <f>IF(ISERROR(FIND('112'!$M$9,G1333,1)),"",IF((AND(FIND('112'!$M$9,G1333,1)&gt;=1,$B1333&gt;='112'!$N$8,$B1333&lt;='112'!$O$8,OR($L1333='112'!$I$6,$M1333='112'!$I$6))),"x",""))</f>
        <v/>
      </c>
      <c r="S1333" s="22" t="str">
        <f>IF(ISERROR(FIND('112'!$M$9,G1333,1)),"",IF((AND(LEFT(G1333,2)=LEFT('112'!$M$9,2),B1333&lt;'112'!$N$8,$L1333='112'!$I$6)),"x",""))</f>
        <v/>
      </c>
      <c r="T1333" s="22" t="str">
        <f>IF(ISERROR(FIND('112'!$M$9,G1333,1)),"",IF((AND(RIGHT(G1333,2)=RIGHT('112'!$M$9,2),B1333&lt;'112'!$N$8,$M1333='112'!$I$6)),"x",""))</f>
        <v/>
      </c>
      <c r="U1333" s="22" t="str">
        <f>IF(AND(B1333&gt;='IN-NX'!$P$3,B1333&lt;='IN-NX'!$Q$3,'IN-NX'!$D$7=D1333,OR(LEFT(L1333,2)="15",AND(LEFT(M1333,2)&lt;&gt;"15",LEFT(M1333,2)&lt;&gt;"33"))),"x","")</f>
        <v/>
      </c>
      <c r="V1333" s="22" t="str">
        <f>IF(AND(OR(LEFT(TH!L1333,2)="15",LEFT(TH!M1333,2)="15"),'152-CT'!$J$8=TH!F1333),"x","")</f>
        <v/>
      </c>
      <c r="W1333" s="22" t="str">
        <f>IF(AND(OR(LEFT(TH!L1333,2)="15",LEFT(TH!M1333,2)="15"),TK!$E$7=TH!F1333),"x","")</f>
        <v/>
      </c>
      <c r="X1333" s="22" t="str">
        <f>IF(OR(TH!L1333=TH!$X$7,M1333=TH!$X$7),"x","")</f>
        <v/>
      </c>
      <c r="Y1333" s="22" t="str">
        <f>IF(AND(B1333&lt;=NKC!$N$8,B1333&gt;=NKC!$M$8),"x","")</f>
        <v/>
      </c>
      <c r="Z1333" s="580"/>
      <c r="AA1333" s="588"/>
      <c r="AB1333" s="588"/>
    </row>
    <row r="1334" spans="1:31" s="589" customFormat="1" ht="15.75" customHeight="1">
      <c r="A1334" s="607" t="str">
        <f>IF(B1334&lt;&gt;"",IF(AND(B1334&gt;=_TM1,B1334&lt;=_TM2,OR(TH!L1334="1111",TH!M1334="1111")),TH!D1334,""),"")</f>
        <v/>
      </c>
      <c r="B1334" s="585">
        <f t="shared" si="69"/>
        <v>12</v>
      </c>
      <c r="C1334" s="586">
        <f t="shared" si="70"/>
        <v>42721</v>
      </c>
      <c r="D1334" s="569" t="s">
        <v>1022</v>
      </c>
      <c r="E1334" s="611">
        <v>42721</v>
      </c>
      <c r="F1334" s="614" t="s">
        <v>851</v>
      </c>
      <c r="G1334" s="612" t="s">
        <v>850</v>
      </c>
      <c r="H1334" s="572" t="s">
        <v>1075</v>
      </c>
      <c r="I1334" s="591">
        <v>292</v>
      </c>
      <c r="J1334" s="591">
        <v>6695.6147239025513</v>
      </c>
      <c r="K1334" s="21">
        <f t="shared" si="68"/>
        <v>1955119</v>
      </c>
      <c r="L1334" s="567" t="s">
        <v>167</v>
      </c>
      <c r="M1334" s="567" t="s">
        <v>162</v>
      </c>
      <c r="N1334" s="22" t="str">
        <f>IF(AND('331-CT'!$E$7=TH!H1334,OR(L1334="331",M1334="331")),"331",IF(AND(OR(L1334="131",M1334="131"),H1334='131-CT'!$E$7),"131",""))</f>
        <v/>
      </c>
      <c r="O1334" s="22" t="str">
        <f>IF(AND($B1334&gt;='111'!$N$11,$B1334&lt;='111'!$O$11,OR($L1334=$O$7,$M1334=$O$7)),"x","")</f>
        <v/>
      </c>
      <c r="P1334" s="22" t="str">
        <f>IF(AND($L1334=$O$7,$B1334&lt;'111'!$N$11),"x","")</f>
        <v/>
      </c>
      <c r="Q1334" s="22" t="str">
        <f>IF(AND($M1334=$O$7,$B1334&lt;'111'!$N$11),"x","")</f>
        <v/>
      </c>
      <c r="R1334" s="22" t="str">
        <f>IF(ISERROR(FIND('112'!$M$9,G1334,1)),"",IF((AND(FIND('112'!$M$9,G1334,1)&gt;=1,$B1334&gt;='112'!$N$8,$B1334&lt;='112'!$O$8,OR($L1334='112'!$I$6,$M1334='112'!$I$6))),"x",""))</f>
        <v/>
      </c>
      <c r="S1334" s="22" t="str">
        <f>IF(ISERROR(FIND('112'!$M$9,G1334,1)),"",IF((AND(LEFT(G1334,2)=LEFT('112'!$M$9,2),B1334&lt;'112'!$N$8,$L1334='112'!$I$6)),"x",""))</f>
        <v/>
      </c>
      <c r="T1334" s="22" t="str">
        <f>IF(ISERROR(FIND('112'!$M$9,G1334,1)),"",IF((AND(RIGHT(G1334,2)=RIGHT('112'!$M$9,2),B1334&lt;'112'!$N$8,$M1334='112'!$I$6)),"x",""))</f>
        <v/>
      </c>
      <c r="U1334" s="22" t="str">
        <f>IF(AND(B1334&gt;='IN-NX'!$P$3,B1334&lt;='IN-NX'!$Q$3,'IN-NX'!$D$7=D1334,OR(LEFT(L1334,2)="15",AND(LEFT(M1334,2)&lt;&gt;"15",LEFT(M1334,2)&lt;&gt;"33"))),"x","")</f>
        <v/>
      </c>
      <c r="V1334" s="22" t="str">
        <f>IF(AND(OR(LEFT(TH!L1334,2)="15",LEFT(TH!M1334,2)="15"),'152-CT'!$J$8=TH!F1334),"x","")</f>
        <v/>
      </c>
      <c r="W1334" s="22" t="str">
        <f>IF(AND(OR(LEFT(TH!L1334,2)="15",LEFT(TH!M1334,2)="15"),TK!$E$7=TH!F1334),"x","")</f>
        <v/>
      </c>
      <c r="X1334" s="22" t="str">
        <f>IF(OR(TH!L1334=TH!$X$7,M1334=TH!$X$7),"x","")</f>
        <v/>
      </c>
      <c r="Y1334" s="22" t="str">
        <f>IF(AND(B1334&lt;=NKC!$N$8,B1334&gt;=NKC!$M$8),"x","")</f>
        <v/>
      </c>
      <c r="Z1334" s="580"/>
      <c r="AA1334" s="588"/>
      <c r="AB1334" s="588"/>
    </row>
    <row r="1335" spans="1:31" s="589" customFormat="1" ht="15.75" customHeight="1">
      <c r="A1335" s="607" t="str">
        <f>IF(B1335&lt;&gt;"",IF(AND(B1335&gt;=_TM1,B1335&lt;=_TM2,OR(TH!L1335="1111",TH!M1335="1111")),TH!D1335,""),"")</f>
        <v/>
      </c>
      <c r="B1335" s="585">
        <f t="shared" si="69"/>
        <v>12</v>
      </c>
      <c r="C1335" s="586">
        <f t="shared" si="70"/>
        <v>42721</v>
      </c>
      <c r="D1335" s="569" t="s">
        <v>1022</v>
      </c>
      <c r="E1335" s="611">
        <v>42721</v>
      </c>
      <c r="F1335" s="614" t="s">
        <v>852</v>
      </c>
      <c r="G1335" s="612" t="s">
        <v>850</v>
      </c>
      <c r="H1335" s="572" t="s">
        <v>1075</v>
      </c>
      <c r="I1335" s="591">
        <v>180</v>
      </c>
      <c r="J1335" s="591">
        <v>5630.4032905544173</v>
      </c>
      <c r="K1335" s="21">
        <f t="shared" si="68"/>
        <v>1013473</v>
      </c>
      <c r="L1335" s="567" t="s">
        <v>167</v>
      </c>
      <c r="M1335" s="567" t="s">
        <v>162</v>
      </c>
      <c r="N1335" s="22" t="str">
        <f>IF(AND('331-CT'!$E$7=TH!H1335,OR(L1335="331",M1335="331")),"331",IF(AND(OR(L1335="131",M1335="131"),H1335='131-CT'!$E$7),"131",""))</f>
        <v/>
      </c>
      <c r="O1335" s="22" t="str">
        <f>IF(AND($B1335&gt;='111'!$N$11,$B1335&lt;='111'!$O$11,OR($L1335=$O$7,$M1335=$O$7)),"x","")</f>
        <v/>
      </c>
      <c r="P1335" s="22" t="str">
        <f>IF(AND($L1335=$O$7,$B1335&lt;'111'!$N$11),"x","")</f>
        <v/>
      </c>
      <c r="Q1335" s="22" t="str">
        <f>IF(AND($M1335=$O$7,$B1335&lt;'111'!$N$11),"x","")</f>
        <v/>
      </c>
      <c r="R1335" s="22" t="str">
        <f>IF(ISERROR(FIND('112'!$M$9,G1335,1)),"",IF((AND(FIND('112'!$M$9,G1335,1)&gt;=1,$B1335&gt;='112'!$N$8,$B1335&lt;='112'!$O$8,OR($L1335='112'!$I$6,$M1335='112'!$I$6))),"x",""))</f>
        <v/>
      </c>
      <c r="S1335" s="22" t="str">
        <f>IF(ISERROR(FIND('112'!$M$9,G1335,1)),"",IF((AND(LEFT(G1335,2)=LEFT('112'!$M$9,2),B1335&lt;'112'!$N$8,$L1335='112'!$I$6)),"x",""))</f>
        <v/>
      </c>
      <c r="T1335" s="22" t="str">
        <f>IF(ISERROR(FIND('112'!$M$9,G1335,1)),"",IF((AND(RIGHT(G1335,2)=RIGHT('112'!$M$9,2),B1335&lt;'112'!$N$8,$M1335='112'!$I$6)),"x",""))</f>
        <v/>
      </c>
      <c r="U1335" s="22" t="str">
        <f>IF(AND(B1335&gt;='IN-NX'!$P$3,B1335&lt;='IN-NX'!$Q$3,'IN-NX'!$D$7=D1335,OR(LEFT(L1335,2)="15",AND(LEFT(M1335,2)&lt;&gt;"15",LEFT(M1335,2)&lt;&gt;"33"))),"x","")</f>
        <v/>
      </c>
      <c r="V1335" s="22" t="str">
        <f>IF(AND(OR(LEFT(TH!L1335,2)="15",LEFT(TH!M1335,2)="15"),'152-CT'!$J$8=TH!F1335),"x","")</f>
        <v/>
      </c>
      <c r="W1335" s="22" t="str">
        <f>IF(AND(OR(LEFT(TH!L1335,2)="15",LEFT(TH!M1335,2)="15"),TK!$E$7=TH!F1335),"x","")</f>
        <v/>
      </c>
      <c r="X1335" s="22" t="str">
        <f>IF(OR(TH!L1335=TH!$X$7,M1335=TH!$X$7),"x","")</f>
        <v/>
      </c>
      <c r="Y1335" s="22" t="str">
        <f>IF(AND(B1335&lt;=NKC!$N$8,B1335&gt;=NKC!$M$8),"x","")</f>
        <v/>
      </c>
      <c r="Z1335" s="580"/>
      <c r="AA1335" s="588"/>
    </row>
    <row r="1336" spans="1:31" s="589" customFormat="1" ht="15.75" customHeight="1">
      <c r="A1336" s="607" t="str">
        <f>IF(B1336&lt;&gt;"",IF(AND(B1336&gt;=_TM1,B1336&lt;=_TM2,OR(TH!L1336="1111",TH!M1336="1111")),TH!D1336,""),"")</f>
        <v/>
      </c>
      <c r="B1336" s="585">
        <f t="shared" si="69"/>
        <v>12</v>
      </c>
      <c r="C1336" s="586">
        <f t="shared" si="70"/>
        <v>42721</v>
      </c>
      <c r="D1336" s="569" t="s">
        <v>1022</v>
      </c>
      <c r="E1336" s="611">
        <v>42721</v>
      </c>
      <c r="F1336" s="614" t="s">
        <v>853</v>
      </c>
      <c r="G1336" s="612" t="s">
        <v>850</v>
      </c>
      <c r="H1336" s="572" t="s">
        <v>1075</v>
      </c>
      <c r="I1336" s="591">
        <v>50</v>
      </c>
      <c r="J1336" s="591">
        <v>4565.1918572062841</v>
      </c>
      <c r="K1336" s="21">
        <f t="shared" si="68"/>
        <v>228260</v>
      </c>
      <c r="L1336" s="567" t="s">
        <v>167</v>
      </c>
      <c r="M1336" s="567" t="s">
        <v>162</v>
      </c>
      <c r="N1336" s="22" t="str">
        <f>IF(AND('331-CT'!$E$7=TH!H1336,OR(L1336="331",M1336="331")),"331",IF(AND(OR(L1336="131",M1336="131"),H1336='131-CT'!$E$7),"131",""))</f>
        <v/>
      </c>
      <c r="O1336" s="22" t="str">
        <f>IF(AND($B1336&gt;='111'!$N$11,$B1336&lt;='111'!$O$11,OR($L1336=$O$7,$M1336=$O$7)),"x","")</f>
        <v/>
      </c>
      <c r="P1336" s="22" t="str">
        <f>IF(AND($L1336=$O$7,$B1336&lt;'111'!$N$11),"x","")</f>
        <v/>
      </c>
      <c r="Q1336" s="22" t="str">
        <f>IF(AND($M1336=$O$7,$B1336&lt;'111'!$N$11),"x","")</f>
        <v/>
      </c>
      <c r="R1336" s="22" t="str">
        <f>IF(ISERROR(FIND('112'!$M$9,G1336,1)),"",IF((AND(FIND('112'!$M$9,G1336,1)&gt;=1,$B1336&gt;='112'!$N$8,$B1336&lt;='112'!$O$8,OR($L1336='112'!$I$6,$M1336='112'!$I$6))),"x",""))</f>
        <v/>
      </c>
      <c r="S1336" s="22" t="str">
        <f>IF(ISERROR(FIND('112'!$M$9,G1336,1)),"",IF((AND(LEFT(G1336,2)=LEFT('112'!$M$9,2),B1336&lt;'112'!$N$8,$L1336='112'!$I$6)),"x",""))</f>
        <v/>
      </c>
      <c r="T1336" s="22" t="str">
        <f>IF(ISERROR(FIND('112'!$M$9,G1336,1)),"",IF((AND(RIGHT(G1336,2)=RIGHT('112'!$M$9,2),B1336&lt;'112'!$N$8,$M1336='112'!$I$6)),"x",""))</f>
        <v/>
      </c>
      <c r="U1336" s="22" t="str">
        <f>IF(AND(B1336&gt;='IN-NX'!$P$3,B1336&lt;='IN-NX'!$Q$3,'IN-NX'!$D$7=D1336,OR(LEFT(L1336,2)="15",AND(LEFT(M1336,2)&lt;&gt;"15",LEFT(M1336,2)&lt;&gt;"33"))),"x","")</f>
        <v/>
      </c>
      <c r="V1336" s="22" t="str">
        <f>IF(AND(OR(LEFT(TH!L1336,2)="15",LEFT(TH!M1336,2)="15"),'152-CT'!$J$8=TH!F1336),"x","")</f>
        <v/>
      </c>
      <c r="W1336" s="22" t="str">
        <f>IF(AND(OR(LEFT(TH!L1336,2)="15",LEFT(TH!M1336,2)="15"),TK!$E$7=TH!F1336),"x","")</f>
        <v/>
      </c>
      <c r="X1336" s="22" t="str">
        <f>IF(OR(TH!L1336=TH!$X$7,M1336=TH!$X$7),"x","")</f>
        <v/>
      </c>
      <c r="Y1336" s="22" t="str">
        <f>IF(AND(B1336&lt;=NKC!$N$8,B1336&gt;=NKC!$M$8),"x","")</f>
        <v/>
      </c>
      <c r="Z1336" s="580"/>
      <c r="AA1336" s="588"/>
      <c r="AB1336" s="588"/>
      <c r="AD1336" s="588"/>
      <c r="AE1336" s="588"/>
    </row>
    <row r="1337" spans="1:31" s="589" customFormat="1" ht="15.75" customHeight="1">
      <c r="A1337" s="607" t="str">
        <f>IF(B1337&lt;&gt;"",IF(AND(B1337&gt;=_TM1,B1337&lt;=_TM2,OR(TH!L1337="1111",TH!M1337="1111")),TH!D1337,""),"")</f>
        <v/>
      </c>
      <c r="B1337" s="585">
        <f t="shared" ref="B1337:B1392" si="71">IF(C1337&lt;&gt;"",MONTH(C1337),"")</f>
        <v>12</v>
      </c>
      <c r="C1337" s="586">
        <f t="shared" si="70"/>
        <v>42721</v>
      </c>
      <c r="D1337" s="569" t="s">
        <v>1022</v>
      </c>
      <c r="E1337" s="611">
        <v>42721</v>
      </c>
      <c r="F1337" s="614" t="s">
        <v>854</v>
      </c>
      <c r="G1337" s="612" t="s">
        <v>850</v>
      </c>
      <c r="H1337" s="572" t="s">
        <v>1075</v>
      </c>
      <c r="I1337" s="591">
        <v>554</v>
      </c>
      <c r="J1337" s="591">
        <v>8978.2106525056934</v>
      </c>
      <c r="K1337" s="21">
        <f t="shared" si="68"/>
        <v>4973929</v>
      </c>
      <c r="L1337" s="567" t="s">
        <v>167</v>
      </c>
      <c r="M1337" s="567" t="s">
        <v>162</v>
      </c>
      <c r="N1337" s="22" t="str">
        <f>IF(AND('331-CT'!$E$7=TH!H1337,OR(L1337="331",M1337="331")),"331",IF(AND(OR(L1337="131",M1337="131"),H1337='131-CT'!$E$7),"131",""))</f>
        <v/>
      </c>
      <c r="O1337" s="22" t="str">
        <f>IF(AND($B1337&gt;='111'!$N$11,$B1337&lt;='111'!$O$11,OR($L1337=$O$7,$M1337=$O$7)),"x","")</f>
        <v/>
      </c>
      <c r="P1337" s="22" t="str">
        <f>IF(AND($L1337=$O$7,$B1337&lt;'111'!$N$11),"x","")</f>
        <v/>
      </c>
      <c r="Q1337" s="22" t="str">
        <f>IF(AND($M1337=$O$7,$B1337&lt;'111'!$N$11),"x","")</f>
        <v/>
      </c>
      <c r="R1337" s="22" t="str">
        <f>IF(ISERROR(FIND('112'!$M$9,G1337,1)),"",IF((AND(FIND('112'!$M$9,G1337,1)&gt;=1,$B1337&gt;='112'!$N$8,$B1337&lt;='112'!$O$8,OR($L1337='112'!$I$6,$M1337='112'!$I$6))),"x",""))</f>
        <v/>
      </c>
      <c r="S1337" s="22" t="str">
        <f>IF(ISERROR(FIND('112'!$M$9,G1337,1)),"",IF((AND(LEFT(G1337,2)=LEFT('112'!$M$9,2),B1337&lt;'112'!$N$8,$L1337='112'!$I$6)),"x",""))</f>
        <v/>
      </c>
      <c r="T1337" s="22" t="str">
        <f>IF(ISERROR(FIND('112'!$M$9,G1337,1)),"",IF((AND(RIGHT(G1337,2)=RIGHT('112'!$M$9,2),B1337&lt;'112'!$N$8,$M1337='112'!$I$6)),"x",""))</f>
        <v/>
      </c>
      <c r="U1337" s="22" t="str">
        <f>IF(AND(B1337&gt;='IN-NX'!$P$3,B1337&lt;='IN-NX'!$Q$3,'IN-NX'!$D$7=D1337,OR(LEFT(L1337,2)="15",AND(LEFT(M1337,2)&lt;&gt;"15",LEFT(M1337,2)&lt;&gt;"33"))),"x","")</f>
        <v/>
      </c>
      <c r="V1337" s="22" t="str">
        <f>IF(AND(OR(LEFT(TH!L1337,2)="15",LEFT(TH!M1337,2)="15"),'152-CT'!$J$8=TH!F1337),"x","")</f>
        <v/>
      </c>
      <c r="W1337" s="22" t="str">
        <f>IF(AND(OR(LEFT(TH!L1337,2)="15",LEFT(TH!M1337,2)="15"),TK!$E$7=TH!F1337),"x","")</f>
        <v/>
      </c>
      <c r="X1337" s="22" t="str">
        <f>IF(OR(TH!L1337=TH!$X$7,M1337=TH!$X$7),"x","")</f>
        <v/>
      </c>
      <c r="Y1337" s="22" t="str">
        <f>IF(AND(B1337&lt;=NKC!$N$8,B1337&gt;=NKC!$M$8),"x","")</f>
        <v/>
      </c>
      <c r="Z1337" s="580"/>
      <c r="AA1337" s="588"/>
      <c r="AB1337" s="588"/>
    </row>
    <row r="1338" spans="1:31" s="589" customFormat="1" ht="15.75" customHeight="1">
      <c r="A1338" s="607" t="str">
        <f>IF(B1338&lt;&gt;"",IF(AND(B1338&gt;=_TM1,B1338&lt;=_TM2,OR(TH!L1338="1111",TH!M1338="1111")),TH!D1338,""),"")</f>
        <v/>
      </c>
      <c r="B1338" s="585">
        <f t="shared" si="71"/>
        <v>12</v>
      </c>
      <c r="C1338" s="586">
        <f t="shared" si="70"/>
        <v>42721</v>
      </c>
      <c r="D1338" s="569" t="s">
        <v>1022</v>
      </c>
      <c r="E1338" s="611">
        <v>42721</v>
      </c>
      <c r="F1338" s="614" t="s">
        <v>857</v>
      </c>
      <c r="G1338" s="612" t="s">
        <v>855</v>
      </c>
      <c r="H1338" s="572" t="s">
        <v>1075</v>
      </c>
      <c r="I1338" s="137">
        <v>584</v>
      </c>
      <c r="J1338" s="137">
        <v>684.77877858094269</v>
      </c>
      <c r="K1338" s="21">
        <f t="shared" si="68"/>
        <v>399911</v>
      </c>
      <c r="L1338" s="567" t="s">
        <v>167</v>
      </c>
      <c r="M1338" s="567" t="s">
        <v>162</v>
      </c>
      <c r="N1338" s="22" t="str">
        <f>IF(AND('331-CT'!$E$7=TH!H1338,OR(L1338="331",M1338="331")),"331",IF(AND(OR(L1338="131",M1338="131"),H1338='131-CT'!$E$7),"131",""))</f>
        <v/>
      </c>
      <c r="O1338" s="22" t="str">
        <f>IF(AND($B1338&gt;='111'!$N$11,$B1338&lt;='111'!$O$11,OR($L1338=$O$7,$M1338=$O$7)),"x","")</f>
        <v/>
      </c>
      <c r="P1338" s="22" t="str">
        <f>IF(AND($L1338=$O$7,$B1338&lt;'111'!$N$11),"x","")</f>
        <v/>
      </c>
      <c r="Q1338" s="22" t="str">
        <f>IF(AND($M1338=$O$7,$B1338&lt;'111'!$N$11),"x","")</f>
        <v/>
      </c>
      <c r="R1338" s="22" t="str">
        <f>IF(ISERROR(FIND('112'!$M$9,G1338,1)),"",IF((AND(FIND('112'!$M$9,G1338,1)&gt;=1,$B1338&gt;='112'!$N$8,$B1338&lt;='112'!$O$8,OR($L1338='112'!$I$6,$M1338='112'!$I$6))),"x",""))</f>
        <v/>
      </c>
      <c r="S1338" s="22" t="str">
        <f>IF(ISERROR(FIND('112'!$M$9,G1338,1)),"",IF((AND(LEFT(G1338,2)=LEFT('112'!$M$9,2),B1338&lt;'112'!$N$8,$L1338='112'!$I$6)),"x",""))</f>
        <v/>
      </c>
      <c r="T1338" s="22" t="str">
        <f>IF(ISERROR(FIND('112'!$M$9,G1338,1)),"",IF((AND(RIGHT(G1338,2)=RIGHT('112'!$M$9,2),B1338&lt;'112'!$N$8,$M1338='112'!$I$6)),"x",""))</f>
        <v/>
      </c>
      <c r="U1338" s="22" t="str">
        <f>IF(AND(B1338&gt;='IN-NX'!$P$3,B1338&lt;='IN-NX'!$Q$3,'IN-NX'!$D$7=D1338,OR(LEFT(L1338,2)="15",AND(LEFT(M1338,2)&lt;&gt;"15",LEFT(M1338,2)&lt;&gt;"33"))),"x","")</f>
        <v/>
      </c>
      <c r="V1338" s="22" t="str">
        <f>IF(AND(OR(LEFT(TH!L1338,2)="15",LEFT(TH!M1338,2)="15"),'152-CT'!$J$8=TH!F1338),"x","")</f>
        <v/>
      </c>
      <c r="W1338" s="22" t="str">
        <f>IF(AND(OR(LEFT(TH!L1338,2)="15",LEFT(TH!M1338,2)="15"),TK!$E$7=TH!F1338),"x","")</f>
        <v/>
      </c>
      <c r="X1338" s="22" t="str">
        <f>IF(OR(TH!L1338=TH!$X$7,M1338=TH!$X$7),"x","")</f>
        <v/>
      </c>
      <c r="Y1338" s="22" t="str">
        <f>IF(AND(B1338&lt;=NKC!$N$8,B1338&gt;=NKC!$M$8),"x","")</f>
        <v/>
      </c>
      <c r="Z1338" s="580"/>
      <c r="AA1338" s="588"/>
      <c r="AB1338" s="588"/>
    </row>
    <row r="1339" spans="1:31" s="589" customFormat="1" ht="15.75" customHeight="1">
      <c r="A1339" s="607" t="str">
        <f>IF(B1339&lt;&gt;"",IF(AND(B1339&gt;=_TM1,B1339&lt;=_TM2,OR(TH!L1339="1111",TH!M1339="1111")),TH!D1339,""),"")</f>
        <v/>
      </c>
      <c r="B1339" s="585">
        <f t="shared" si="71"/>
        <v>12</v>
      </c>
      <c r="C1339" s="586">
        <f t="shared" si="70"/>
        <v>42721</v>
      </c>
      <c r="D1339" s="569" t="s">
        <v>1022</v>
      </c>
      <c r="E1339" s="611">
        <v>42721</v>
      </c>
      <c r="F1339" s="614" t="s">
        <v>858</v>
      </c>
      <c r="G1339" s="612" t="s">
        <v>855</v>
      </c>
      <c r="H1339" s="572" t="s">
        <v>1075</v>
      </c>
      <c r="I1339" s="137">
        <v>360</v>
      </c>
      <c r="J1339" s="137">
        <v>608.69224762750468</v>
      </c>
      <c r="K1339" s="21">
        <f t="shared" si="68"/>
        <v>219129</v>
      </c>
      <c r="L1339" s="567" t="s">
        <v>167</v>
      </c>
      <c r="M1339" s="567" t="s">
        <v>162</v>
      </c>
      <c r="N1339" s="22" t="str">
        <f>IF(AND('331-CT'!$E$7=TH!H1339,OR(L1339="331",M1339="331")),"331",IF(AND(OR(L1339="131",M1339="131"),H1339='131-CT'!$E$7),"131",""))</f>
        <v/>
      </c>
      <c r="O1339" s="22" t="str">
        <f>IF(AND($B1339&gt;='111'!$N$11,$B1339&lt;='111'!$O$11,OR($L1339=$O$7,$M1339=$O$7)),"x","")</f>
        <v/>
      </c>
      <c r="P1339" s="22" t="str">
        <f>IF(AND($L1339=$O$7,$B1339&lt;'111'!$N$11),"x","")</f>
        <v/>
      </c>
      <c r="Q1339" s="22" t="str">
        <f>IF(AND($M1339=$O$7,$B1339&lt;'111'!$N$11),"x","")</f>
        <v/>
      </c>
      <c r="R1339" s="22" t="str">
        <f>IF(ISERROR(FIND('112'!$M$9,G1339,1)),"",IF((AND(FIND('112'!$M$9,G1339,1)&gt;=1,$B1339&gt;='112'!$N$8,$B1339&lt;='112'!$O$8,OR($L1339='112'!$I$6,$M1339='112'!$I$6))),"x",""))</f>
        <v/>
      </c>
      <c r="S1339" s="22" t="str">
        <f>IF(ISERROR(FIND('112'!$M$9,G1339,1)),"",IF((AND(LEFT(G1339,2)=LEFT('112'!$M$9,2),B1339&lt;'112'!$N$8,$L1339='112'!$I$6)),"x",""))</f>
        <v/>
      </c>
      <c r="T1339" s="22" t="str">
        <f>IF(ISERROR(FIND('112'!$M$9,G1339,1)),"",IF((AND(RIGHT(G1339,2)=RIGHT('112'!$M$9,2),B1339&lt;'112'!$N$8,$M1339='112'!$I$6)),"x",""))</f>
        <v/>
      </c>
      <c r="U1339" s="22" t="str">
        <f>IF(AND(B1339&gt;='IN-NX'!$P$3,B1339&lt;='IN-NX'!$Q$3,'IN-NX'!$D$7=D1339,OR(LEFT(L1339,2)="15",AND(LEFT(M1339,2)&lt;&gt;"15",LEFT(M1339,2)&lt;&gt;"33"))),"x","")</f>
        <v/>
      </c>
      <c r="V1339" s="22" t="str">
        <f>IF(AND(OR(LEFT(TH!L1339,2)="15",LEFT(TH!M1339,2)="15"),'152-CT'!$J$8=TH!F1339),"x","")</f>
        <v/>
      </c>
      <c r="W1339" s="22" t="str">
        <f>IF(AND(OR(LEFT(TH!L1339,2)="15",LEFT(TH!M1339,2)="15"),TK!$E$7=TH!F1339),"x","")</f>
        <v/>
      </c>
      <c r="X1339" s="22" t="str">
        <f>IF(OR(TH!L1339=TH!$X$7,M1339=TH!$X$7),"x","")</f>
        <v/>
      </c>
      <c r="Y1339" s="22" t="str">
        <f>IF(AND(B1339&lt;=NKC!$N$8,B1339&gt;=NKC!$M$8),"x","")</f>
        <v/>
      </c>
      <c r="Z1339" s="580"/>
      <c r="AA1339" s="588"/>
      <c r="AD1339" s="588"/>
      <c r="AE1339" s="588"/>
    </row>
    <row r="1340" spans="1:31" s="589" customFormat="1" ht="15.75" customHeight="1">
      <c r="A1340" s="607" t="str">
        <f>IF(B1340&lt;&gt;"",IF(AND(B1340&gt;=_TM1,B1340&lt;=_TM2,OR(TH!L1340="1111",TH!M1340="1111")),TH!D1340,""),"")</f>
        <v/>
      </c>
      <c r="B1340" s="585">
        <f t="shared" si="71"/>
        <v>12</v>
      </c>
      <c r="C1340" s="586">
        <f t="shared" si="70"/>
        <v>42721</v>
      </c>
      <c r="D1340" s="569" t="s">
        <v>1022</v>
      </c>
      <c r="E1340" s="611">
        <v>42721</v>
      </c>
      <c r="F1340" s="614" t="s">
        <v>859</v>
      </c>
      <c r="G1340" s="612" t="s">
        <v>855</v>
      </c>
      <c r="H1340" s="572" t="s">
        <v>1075</v>
      </c>
      <c r="I1340" s="137">
        <v>100</v>
      </c>
      <c r="J1340" s="137">
        <v>456.51918572062846</v>
      </c>
      <c r="K1340" s="21">
        <f t="shared" si="68"/>
        <v>45652</v>
      </c>
      <c r="L1340" s="567" t="s">
        <v>167</v>
      </c>
      <c r="M1340" s="567" t="s">
        <v>162</v>
      </c>
      <c r="N1340" s="22" t="str">
        <f>IF(AND('331-CT'!$E$7=TH!H1340,OR(L1340="331",M1340="331")),"331",IF(AND(OR(L1340="131",M1340="131"),H1340='131-CT'!$E$7),"131",""))</f>
        <v/>
      </c>
      <c r="O1340" s="22" t="str">
        <f>IF(AND($B1340&gt;='111'!$N$11,$B1340&lt;='111'!$O$11,OR($L1340=$O$7,$M1340=$O$7)),"x","")</f>
        <v/>
      </c>
      <c r="P1340" s="22" t="str">
        <f>IF(AND($L1340=$O$7,$B1340&lt;'111'!$N$11),"x","")</f>
        <v/>
      </c>
      <c r="Q1340" s="22" t="str">
        <f>IF(AND($M1340=$O$7,$B1340&lt;'111'!$N$11),"x","")</f>
        <v/>
      </c>
      <c r="R1340" s="22" t="str">
        <f>IF(ISERROR(FIND('112'!$M$9,G1340,1)),"",IF((AND(FIND('112'!$M$9,G1340,1)&gt;=1,$B1340&gt;='112'!$N$8,$B1340&lt;='112'!$O$8,OR($L1340='112'!$I$6,$M1340='112'!$I$6))),"x",""))</f>
        <v/>
      </c>
      <c r="S1340" s="22" t="str">
        <f>IF(ISERROR(FIND('112'!$M$9,G1340,1)),"",IF((AND(LEFT(G1340,2)=LEFT('112'!$M$9,2),B1340&lt;'112'!$N$8,$L1340='112'!$I$6)),"x",""))</f>
        <v/>
      </c>
      <c r="T1340" s="22" t="str">
        <f>IF(ISERROR(FIND('112'!$M$9,G1340,1)),"",IF((AND(RIGHT(G1340,2)=RIGHT('112'!$M$9,2),B1340&lt;'112'!$N$8,$M1340='112'!$I$6)),"x",""))</f>
        <v/>
      </c>
      <c r="U1340" s="22" t="str">
        <f>IF(AND(B1340&gt;='IN-NX'!$P$3,B1340&lt;='IN-NX'!$Q$3,'IN-NX'!$D$7=D1340,OR(LEFT(L1340,2)="15",AND(LEFT(M1340,2)&lt;&gt;"15",LEFT(M1340,2)&lt;&gt;"33"))),"x","")</f>
        <v/>
      </c>
      <c r="V1340" s="22" t="str">
        <f>IF(AND(OR(LEFT(TH!L1340,2)="15",LEFT(TH!M1340,2)="15"),'152-CT'!$J$8=TH!F1340),"x","")</f>
        <v/>
      </c>
      <c r="W1340" s="22" t="str">
        <f>IF(AND(OR(LEFT(TH!L1340,2)="15",LEFT(TH!M1340,2)="15"),TK!$E$7=TH!F1340),"x","")</f>
        <v/>
      </c>
      <c r="X1340" s="22" t="str">
        <f>IF(OR(TH!L1340=TH!$X$7,M1340=TH!$X$7),"x","")</f>
        <v/>
      </c>
      <c r="Y1340" s="22" t="str">
        <f>IF(AND(B1340&lt;=NKC!$N$8,B1340&gt;=NKC!$M$8),"x","")</f>
        <v/>
      </c>
      <c r="Z1340" s="580"/>
      <c r="AA1340" s="588"/>
      <c r="AB1340" s="588"/>
      <c r="AD1340" s="588"/>
      <c r="AE1340" s="588"/>
    </row>
    <row r="1341" spans="1:31" s="589" customFormat="1" ht="15.75" customHeight="1">
      <c r="A1341" s="607" t="str">
        <f>IF(B1341&lt;&gt;"",IF(AND(B1341&gt;=_TM1,B1341&lt;=_TM2,OR(TH!L1341="1111",TH!M1341="1111")),TH!D1341,""),"")</f>
        <v/>
      </c>
      <c r="B1341" s="585">
        <f t="shared" si="71"/>
        <v>12</v>
      </c>
      <c r="C1341" s="586">
        <f t="shared" si="70"/>
        <v>42721</v>
      </c>
      <c r="D1341" s="569" t="s">
        <v>1022</v>
      </c>
      <c r="E1341" s="611">
        <v>42721</v>
      </c>
      <c r="F1341" s="614" t="s">
        <v>860</v>
      </c>
      <c r="G1341" s="612" t="s">
        <v>855</v>
      </c>
      <c r="H1341" s="572" t="s">
        <v>1075</v>
      </c>
      <c r="I1341" s="137">
        <v>1108</v>
      </c>
      <c r="J1341" s="137">
        <v>989.12490239469503</v>
      </c>
      <c r="K1341" s="21">
        <f t="shared" si="68"/>
        <v>1095950</v>
      </c>
      <c r="L1341" s="567" t="s">
        <v>167</v>
      </c>
      <c r="M1341" s="567" t="s">
        <v>162</v>
      </c>
      <c r="N1341" s="22" t="str">
        <f>IF(AND('331-CT'!$E$7=TH!H1341,OR(L1341="331",M1341="331")),"331",IF(AND(OR(L1341="131",M1341="131"),H1341='131-CT'!$E$7),"131",""))</f>
        <v/>
      </c>
      <c r="O1341" s="22" t="str">
        <f>IF(AND($B1341&gt;='111'!$N$11,$B1341&lt;='111'!$O$11,OR($L1341=$O$7,$M1341=$O$7)),"x","")</f>
        <v/>
      </c>
      <c r="P1341" s="22" t="str">
        <f>IF(AND($L1341=$O$7,$B1341&lt;'111'!$N$11),"x","")</f>
        <v/>
      </c>
      <c r="Q1341" s="22" t="str">
        <f>IF(AND($M1341=$O$7,$B1341&lt;'111'!$N$11),"x","")</f>
        <v/>
      </c>
      <c r="R1341" s="22" t="str">
        <f>IF(ISERROR(FIND('112'!$M$9,G1341,1)),"",IF((AND(FIND('112'!$M$9,G1341,1)&gt;=1,$B1341&gt;='112'!$N$8,$B1341&lt;='112'!$O$8,OR($L1341='112'!$I$6,$M1341='112'!$I$6))),"x",""))</f>
        <v/>
      </c>
      <c r="S1341" s="22" t="str">
        <f>IF(ISERROR(FIND('112'!$M$9,G1341,1)),"",IF((AND(LEFT(G1341,2)=LEFT('112'!$M$9,2),B1341&lt;'112'!$N$8,$L1341='112'!$I$6)),"x",""))</f>
        <v/>
      </c>
      <c r="T1341" s="22" t="str">
        <f>IF(ISERROR(FIND('112'!$M$9,G1341,1)),"",IF((AND(RIGHT(G1341,2)=RIGHT('112'!$M$9,2),B1341&lt;'112'!$N$8,$M1341='112'!$I$6)),"x",""))</f>
        <v/>
      </c>
      <c r="U1341" s="22" t="str">
        <f>IF(AND(B1341&gt;='IN-NX'!$P$3,B1341&lt;='IN-NX'!$Q$3,'IN-NX'!$D$7=D1341,OR(LEFT(L1341,2)="15",AND(LEFT(M1341,2)&lt;&gt;"15",LEFT(M1341,2)&lt;&gt;"33"))),"x","")</f>
        <v/>
      </c>
      <c r="V1341" s="22" t="str">
        <f>IF(AND(OR(LEFT(TH!L1341,2)="15",LEFT(TH!M1341,2)="15"),'152-CT'!$J$8=TH!F1341),"x","")</f>
        <v/>
      </c>
      <c r="W1341" s="22" t="str">
        <f>IF(AND(OR(LEFT(TH!L1341,2)="15",LEFT(TH!M1341,2)="15"),TK!$E$7=TH!F1341),"x","")</f>
        <v/>
      </c>
      <c r="X1341" s="22" t="str">
        <f>IF(OR(TH!L1341=TH!$X$7,M1341=TH!$X$7),"x","")</f>
        <v/>
      </c>
      <c r="Y1341" s="22" t="str">
        <f>IF(AND(B1341&lt;=NKC!$N$8,B1341&gt;=NKC!$M$8),"x","")</f>
        <v/>
      </c>
      <c r="Z1341" s="580"/>
      <c r="AA1341" s="588"/>
      <c r="AB1341" s="588"/>
      <c r="AD1341" s="588"/>
      <c r="AE1341" s="588"/>
    </row>
    <row r="1342" spans="1:31" s="589" customFormat="1" ht="15.75" customHeight="1">
      <c r="A1342" s="607" t="str">
        <f>IF(B1342&lt;&gt;"",IF(AND(B1342&gt;=_TM1,B1342&lt;=_TM2,OR(TH!L1342="1111",TH!M1342="1111")),TH!D1342,""),"")</f>
        <v/>
      </c>
      <c r="B1342" s="585">
        <f t="shared" si="71"/>
        <v>12</v>
      </c>
      <c r="C1342" s="586">
        <f t="shared" si="70"/>
        <v>42721</v>
      </c>
      <c r="D1342" s="569" t="s">
        <v>1022</v>
      </c>
      <c r="E1342" s="611">
        <v>42721</v>
      </c>
      <c r="F1342" s="614" t="s">
        <v>813</v>
      </c>
      <c r="G1342" s="612" t="s">
        <v>886</v>
      </c>
      <c r="H1342" s="572" t="s">
        <v>1075</v>
      </c>
      <c r="I1342" s="137">
        <v>2400</v>
      </c>
      <c r="J1342" s="137">
        <v>6391.2686000887979</v>
      </c>
      <c r="K1342" s="21">
        <f t="shared" si="68"/>
        <v>15339045</v>
      </c>
      <c r="L1342" s="567" t="s">
        <v>167</v>
      </c>
      <c r="M1342" s="567" t="s">
        <v>162</v>
      </c>
      <c r="N1342" s="22" t="str">
        <f>IF(AND('331-CT'!$E$7=TH!H1342,OR(L1342="331",M1342="331")),"331",IF(AND(OR(L1342="131",M1342="131"),H1342='131-CT'!$E$7),"131",""))</f>
        <v/>
      </c>
      <c r="O1342" s="22" t="str">
        <f>IF(AND($B1342&gt;='111'!$N$11,$B1342&lt;='111'!$O$11,OR($L1342=$O$7,$M1342=$O$7)),"x","")</f>
        <v/>
      </c>
      <c r="P1342" s="22" t="str">
        <f>IF(AND($L1342=$O$7,$B1342&lt;'111'!$N$11),"x","")</f>
        <v/>
      </c>
      <c r="Q1342" s="22" t="str">
        <f>IF(AND($M1342=$O$7,$B1342&lt;'111'!$N$11),"x","")</f>
        <v/>
      </c>
      <c r="R1342" s="22" t="str">
        <f>IF(ISERROR(FIND('112'!$M$9,G1342,1)),"",IF((AND(FIND('112'!$M$9,G1342,1)&gt;=1,$B1342&gt;='112'!$N$8,$B1342&lt;='112'!$O$8,OR($L1342='112'!$I$6,$M1342='112'!$I$6))),"x",""))</f>
        <v/>
      </c>
      <c r="S1342" s="22" t="str">
        <f>IF(ISERROR(FIND('112'!$M$9,G1342,1)),"",IF((AND(LEFT(G1342,2)=LEFT('112'!$M$9,2),B1342&lt;'112'!$N$8,$L1342='112'!$I$6)),"x",""))</f>
        <v/>
      </c>
      <c r="T1342" s="22" t="str">
        <f>IF(ISERROR(FIND('112'!$M$9,G1342,1)),"",IF((AND(RIGHT(G1342,2)=RIGHT('112'!$M$9,2),B1342&lt;'112'!$N$8,$M1342='112'!$I$6)),"x",""))</f>
        <v/>
      </c>
      <c r="U1342" s="22" t="str">
        <f>IF(AND(B1342&gt;='IN-NX'!$P$3,B1342&lt;='IN-NX'!$Q$3,'IN-NX'!$D$7=D1342,OR(LEFT(L1342,2)="15",AND(LEFT(M1342,2)&lt;&gt;"15",LEFT(M1342,2)&lt;&gt;"33"))),"x","")</f>
        <v/>
      </c>
      <c r="V1342" s="22" t="str">
        <f>IF(AND(OR(LEFT(TH!L1342,2)="15",LEFT(TH!M1342,2)="15"),'152-CT'!$J$8=TH!F1342),"x","")</f>
        <v/>
      </c>
      <c r="W1342" s="22" t="str">
        <f>IF(AND(OR(LEFT(TH!L1342,2)="15",LEFT(TH!M1342,2)="15"),TK!$E$7=TH!F1342),"x","")</f>
        <v/>
      </c>
      <c r="X1342" s="22" t="str">
        <f>IF(OR(TH!L1342=TH!$X$7,M1342=TH!$X$7),"x","")</f>
        <v/>
      </c>
      <c r="Y1342" s="22" t="str">
        <f>IF(AND(B1342&lt;=NKC!$N$8,B1342&gt;=NKC!$M$8),"x","")</f>
        <v/>
      </c>
      <c r="Z1342" s="580"/>
      <c r="AA1342" s="588"/>
      <c r="AD1342" s="588"/>
      <c r="AE1342" s="588"/>
    </row>
    <row r="1343" spans="1:31" s="589" customFormat="1" ht="15.75" customHeight="1">
      <c r="A1343" s="607" t="str">
        <f>IF(B1343&lt;&gt;"",IF(AND(B1343&gt;=_TM1,B1343&lt;=_TM2,OR(TH!L1343="1111",TH!M1343="1111")),TH!D1343,""),"")</f>
        <v/>
      </c>
      <c r="B1343" s="585">
        <f t="shared" si="71"/>
        <v>12</v>
      </c>
      <c r="C1343" s="586">
        <f t="shared" si="70"/>
        <v>42722</v>
      </c>
      <c r="D1343" s="569" t="s">
        <v>1022</v>
      </c>
      <c r="E1343" s="611">
        <v>42722</v>
      </c>
      <c r="F1343" s="614" t="s">
        <v>813</v>
      </c>
      <c r="G1343" s="612" t="s">
        <v>887</v>
      </c>
      <c r="H1343" s="572" t="s">
        <v>1075</v>
      </c>
      <c r="I1343" s="137">
        <v>2400</v>
      </c>
      <c r="J1343" s="137">
        <v>6391.2686000887979</v>
      </c>
      <c r="K1343" s="21">
        <f t="shared" si="68"/>
        <v>15339045</v>
      </c>
      <c r="L1343" s="567" t="s">
        <v>167</v>
      </c>
      <c r="M1343" s="567" t="s">
        <v>162</v>
      </c>
      <c r="N1343" s="22" t="str">
        <f>IF(AND('331-CT'!$E$7=TH!H1343,OR(L1343="331",M1343="331")),"331",IF(AND(OR(L1343="131",M1343="131"),H1343='131-CT'!$E$7),"131",""))</f>
        <v/>
      </c>
      <c r="O1343" s="22" t="str">
        <f>IF(AND($B1343&gt;='111'!$N$11,$B1343&lt;='111'!$O$11,OR($L1343=$O$7,$M1343=$O$7)),"x","")</f>
        <v/>
      </c>
      <c r="P1343" s="22" t="str">
        <f>IF(AND($L1343=$O$7,$B1343&lt;'111'!$N$11),"x","")</f>
        <v/>
      </c>
      <c r="Q1343" s="22" t="str">
        <f>IF(AND($M1343=$O$7,$B1343&lt;'111'!$N$11),"x","")</f>
        <v/>
      </c>
      <c r="R1343" s="22" t="str">
        <f>IF(ISERROR(FIND('112'!$M$9,G1343,1)),"",IF((AND(FIND('112'!$M$9,G1343,1)&gt;=1,$B1343&gt;='112'!$N$8,$B1343&lt;='112'!$O$8,OR($L1343='112'!$I$6,$M1343='112'!$I$6))),"x",""))</f>
        <v/>
      </c>
      <c r="S1343" s="22" t="str">
        <f>IF(ISERROR(FIND('112'!$M$9,G1343,1)),"",IF((AND(LEFT(G1343,2)=LEFT('112'!$M$9,2),B1343&lt;'112'!$N$8,$L1343='112'!$I$6)),"x",""))</f>
        <v/>
      </c>
      <c r="T1343" s="22" t="str">
        <f>IF(ISERROR(FIND('112'!$M$9,G1343,1)),"",IF((AND(RIGHT(G1343,2)=RIGHT('112'!$M$9,2),B1343&lt;'112'!$N$8,$M1343='112'!$I$6)),"x",""))</f>
        <v/>
      </c>
      <c r="U1343" s="22" t="str">
        <f>IF(AND(B1343&gt;='IN-NX'!$P$3,B1343&lt;='IN-NX'!$Q$3,'IN-NX'!$D$7=D1343,OR(LEFT(L1343,2)="15",AND(LEFT(M1343,2)&lt;&gt;"15",LEFT(M1343,2)&lt;&gt;"33"))),"x","")</f>
        <v/>
      </c>
      <c r="V1343" s="22" t="str">
        <f>IF(AND(OR(LEFT(TH!L1343,2)="15",LEFT(TH!M1343,2)="15"),'152-CT'!$J$8=TH!F1343),"x","")</f>
        <v/>
      </c>
      <c r="W1343" s="22" t="str">
        <f>IF(AND(OR(LEFT(TH!L1343,2)="15",LEFT(TH!M1343,2)="15"),TK!$E$7=TH!F1343),"x","")</f>
        <v/>
      </c>
      <c r="X1343" s="22" t="str">
        <f>IF(OR(TH!L1343=TH!$X$7,M1343=TH!$X$7),"x","")</f>
        <v/>
      </c>
      <c r="Y1343" s="22" t="str">
        <f>IF(AND(B1343&lt;=NKC!$N$8,B1343&gt;=NKC!$M$8),"x","")</f>
        <v/>
      </c>
      <c r="Z1343" s="580"/>
      <c r="AA1343" s="588"/>
      <c r="AB1343" s="588"/>
    </row>
    <row r="1344" spans="1:31" s="589" customFormat="1" ht="15.75" customHeight="1">
      <c r="A1344" s="607" t="str">
        <f>IF(B1344&lt;&gt;"",IF(AND(B1344&gt;=_TM1,B1344&lt;=_TM2,OR(TH!L1344="1111",TH!M1344="1111")),TH!D1344,""),"")</f>
        <v/>
      </c>
      <c r="B1344" s="585">
        <f t="shared" si="71"/>
        <v>12</v>
      </c>
      <c r="C1344" s="586">
        <f t="shared" si="70"/>
        <v>42723</v>
      </c>
      <c r="D1344" s="569" t="s">
        <v>1022</v>
      </c>
      <c r="E1344" s="611">
        <v>42723</v>
      </c>
      <c r="F1344" s="614" t="s">
        <v>813</v>
      </c>
      <c r="G1344" s="612" t="s">
        <v>888</v>
      </c>
      <c r="H1344" s="572" t="s">
        <v>1075</v>
      </c>
      <c r="I1344" s="137">
        <v>2400</v>
      </c>
      <c r="J1344" s="137">
        <v>6391.2686000887979</v>
      </c>
      <c r="K1344" s="21">
        <f t="shared" si="68"/>
        <v>15339045</v>
      </c>
      <c r="L1344" s="567" t="s">
        <v>167</v>
      </c>
      <c r="M1344" s="567" t="s">
        <v>162</v>
      </c>
      <c r="N1344" s="22" t="str">
        <f>IF(AND('331-CT'!$E$7=TH!H1344,OR(L1344="331",M1344="331")),"331",IF(AND(OR(L1344="131",M1344="131"),H1344='131-CT'!$E$7),"131",""))</f>
        <v/>
      </c>
      <c r="O1344" s="22" t="str">
        <f>IF(AND($B1344&gt;='111'!$N$11,$B1344&lt;='111'!$O$11,OR($L1344=$O$7,$M1344=$O$7)),"x","")</f>
        <v/>
      </c>
      <c r="P1344" s="22" t="str">
        <f>IF(AND($L1344=$O$7,$B1344&lt;'111'!$N$11),"x","")</f>
        <v/>
      </c>
      <c r="Q1344" s="22" t="str">
        <f>IF(AND($M1344=$O$7,$B1344&lt;'111'!$N$11),"x","")</f>
        <v/>
      </c>
      <c r="R1344" s="22" t="str">
        <f>IF(ISERROR(FIND('112'!$M$9,G1344,1)),"",IF((AND(FIND('112'!$M$9,G1344,1)&gt;=1,$B1344&gt;='112'!$N$8,$B1344&lt;='112'!$O$8,OR($L1344='112'!$I$6,$M1344='112'!$I$6))),"x",""))</f>
        <v/>
      </c>
      <c r="S1344" s="22" t="str">
        <f>IF(ISERROR(FIND('112'!$M$9,G1344,1)),"",IF((AND(LEFT(G1344,2)=LEFT('112'!$M$9,2),B1344&lt;'112'!$N$8,$L1344='112'!$I$6)),"x",""))</f>
        <v/>
      </c>
      <c r="T1344" s="22" t="str">
        <f>IF(ISERROR(FIND('112'!$M$9,G1344,1)),"",IF((AND(RIGHT(G1344,2)=RIGHT('112'!$M$9,2),B1344&lt;'112'!$N$8,$M1344='112'!$I$6)),"x",""))</f>
        <v/>
      </c>
      <c r="U1344" s="22" t="str">
        <f>IF(AND(B1344&gt;='IN-NX'!$P$3,B1344&lt;='IN-NX'!$Q$3,'IN-NX'!$D$7=D1344,OR(LEFT(L1344,2)="15",AND(LEFT(M1344,2)&lt;&gt;"15",LEFT(M1344,2)&lt;&gt;"33"))),"x","")</f>
        <v/>
      </c>
      <c r="V1344" s="22" t="str">
        <f>IF(AND(OR(LEFT(TH!L1344,2)="15",LEFT(TH!M1344,2)="15"),'152-CT'!$J$8=TH!F1344),"x","")</f>
        <v/>
      </c>
      <c r="W1344" s="22" t="str">
        <f>IF(AND(OR(LEFT(TH!L1344,2)="15",LEFT(TH!M1344,2)="15"),TK!$E$7=TH!F1344),"x","")</f>
        <v/>
      </c>
      <c r="X1344" s="22" t="str">
        <f>IF(OR(TH!L1344=TH!$X$7,M1344=TH!$X$7),"x","")</f>
        <v/>
      </c>
      <c r="Y1344" s="22" t="str">
        <f>IF(AND(B1344&lt;=NKC!$N$8,B1344&gt;=NKC!$M$8),"x","")</f>
        <v/>
      </c>
      <c r="Z1344" s="580"/>
      <c r="AA1344" s="588"/>
      <c r="AB1344" s="588"/>
    </row>
    <row r="1345" spans="1:28" s="589" customFormat="1" ht="15.75" customHeight="1">
      <c r="A1345" s="607" t="str">
        <f>IF(B1345&lt;&gt;"",IF(AND(B1345&gt;=_TM1,B1345&lt;=_TM2,OR(TH!L1345="1111",TH!M1345="1111")),TH!D1345,""),"")</f>
        <v/>
      </c>
      <c r="B1345" s="585">
        <f t="shared" si="71"/>
        <v>12</v>
      </c>
      <c r="C1345" s="586">
        <f t="shared" si="70"/>
        <v>42724</v>
      </c>
      <c r="D1345" s="569" t="s">
        <v>1022</v>
      </c>
      <c r="E1345" s="611">
        <v>42724</v>
      </c>
      <c r="F1345" s="614" t="s">
        <v>691</v>
      </c>
      <c r="G1345" s="612" t="s">
        <v>889</v>
      </c>
      <c r="H1345" s="572" t="s">
        <v>1075</v>
      </c>
      <c r="I1345" s="137">
        <v>872</v>
      </c>
      <c r="J1345" s="137">
        <v>5173.8841048337899</v>
      </c>
      <c r="K1345" s="21">
        <f t="shared" si="68"/>
        <v>4511627</v>
      </c>
      <c r="L1345" s="567" t="s">
        <v>167</v>
      </c>
      <c r="M1345" s="567" t="s">
        <v>162</v>
      </c>
      <c r="N1345" s="22" t="str">
        <f>IF(AND('331-CT'!$E$7=TH!H1345,OR(L1345="331",M1345="331")),"331",IF(AND(OR(L1345="131",M1345="131"),H1345='131-CT'!$E$7),"131",""))</f>
        <v/>
      </c>
      <c r="O1345" s="22" t="str">
        <f>IF(AND($B1345&gt;='111'!$N$11,$B1345&lt;='111'!$O$11,OR($L1345=$O$7,$M1345=$O$7)),"x","")</f>
        <v/>
      </c>
      <c r="P1345" s="22" t="str">
        <f>IF(AND($L1345=$O$7,$B1345&lt;'111'!$N$11),"x","")</f>
        <v/>
      </c>
      <c r="Q1345" s="22" t="str">
        <f>IF(AND($M1345=$O$7,$B1345&lt;'111'!$N$11),"x","")</f>
        <v/>
      </c>
      <c r="R1345" s="22" t="str">
        <f>IF(ISERROR(FIND('112'!$M$9,G1345,1)),"",IF((AND(FIND('112'!$M$9,G1345,1)&gt;=1,$B1345&gt;='112'!$N$8,$B1345&lt;='112'!$O$8,OR($L1345='112'!$I$6,$M1345='112'!$I$6))),"x",""))</f>
        <v/>
      </c>
      <c r="S1345" s="22" t="str">
        <f>IF(ISERROR(FIND('112'!$M$9,G1345,1)),"",IF((AND(LEFT(G1345,2)=LEFT('112'!$M$9,2),B1345&lt;'112'!$N$8,$L1345='112'!$I$6)),"x",""))</f>
        <v/>
      </c>
      <c r="T1345" s="22" t="str">
        <f>IF(ISERROR(FIND('112'!$M$9,G1345,1)),"",IF((AND(RIGHT(G1345,2)=RIGHT('112'!$M$9,2),B1345&lt;'112'!$N$8,$M1345='112'!$I$6)),"x",""))</f>
        <v/>
      </c>
      <c r="U1345" s="22" t="str">
        <f>IF(AND(B1345&gt;='IN-NX'!$P$3,B1345&lt;='IN-NX'!$Q$3,'IN-NX'!$D$7=D1345,OR(LEFT(L1345,2)="15",AND(LEFT(M1345,2)&lt;&gt;"15",LEFT(M1345,2)&lt;&gt;"33"))),"x","")</f>
        <v/>
      </c>
      <c r="V1345" s="22" t="str">
        <f>IF(AND(OR(LEFT(TH!L1345,2)="15",LEFT(TH!M1345,2)="15"),'152-CT'!$J$8=TH!F1345),"x","")</f>
        <v/>
      </c>
      <c r="W1345" s="22" t="str">
        <f>IF(AND(OR(LEFT(TH!L1345,2)="15",LEFT(TH!M1345,2)="15"),TK!$E$7=TH!F1345),"x","")</f>
        <v/>
      </c>
      <c r="X1345" s="22" t="str">
        <f>IF(OR(TH!L1345=TH!$X$7,M1345=TH!$X$7),"x","")</f>
        <v/>
      </c>
      <c r="Y1345" s="22" t="str">
        <f>IF(AND(B1345&lt;=NKC!$N$8,B1345&gt;=NKC!$M$8),"x","")</f>
        <v/>
      </c>
      <c r="Z1345" s="580"/>
      <c r="AA1345" s="588"/>
    </row>
    <row r="1346" spans="1:28" s="589" customFormat="1" ht="15.75" customHeight="1">
      <c r="A1346" s="607" t="str">
        <f>IF(B1346&lt;&gt;"",IF(AND(B1346&gt;=_TM1,B1346&lt;=_TM2,OR(TH!L1346="1111",TH!M1346="1111")),TH!D1346,""),"")</f>
        <v/>
      </c>
      <c r="B1346" s="585">
        <f t="shared" si="71"/>
        <v>12</v>
      </c>
      <c r="C1346" s="586">
        <f t="shared" si="70"/>
        <v>42724</v>
      </c>
      <c r="D1346" s="569" t="s">
        <v>1022</v>
      </c>
      <c r="E1346" s="611">
        <v>42724</v>
      </c>
      <c r="F1346" s="614" t="s">
        <v>893</v>
      </c>
      <c r="G1346" s="612" t="s">
        <v>892</v>
      </c>
      <c r="H1346" s="572" t="s">
        <v>1075</v>
      </c>
      <c r="I1346" s="137">
        <v>70</v>
      </c>
      <c r="J1346" s="137">
        <v>16358.604154989185</v>
      </c>
      <c r="K1346" s="21">
        <f t="shared" si="68"/>
        <v>1145102</v>
      </c>
      <c r="L1346" s="567" t="s">
        <v>167</v>
      </c>
      <c r="M1346" s="567" t="s">
        <v>162</v>
      </c>
      <c r="N1346" s="22" t="str">
        <f>IF(AND('331-CT'!$E$7=TH!H1346,OR(L1346="331",M1346="331")),"331",IF(AND(OR(L1346="131",M1346="131"),H1346='131-CT'!$E$7),"131",""))</f>
        <v/>
      </c>
      <c r="O1346" s="22" t="str">
        <f>IF(AND($B1346&gt;='111'!$N$11,$B1346&lt;='111'!$O$11,OR($L1346=$O$7,$M1346=$O$7)),"x","")</f>
        <v/>
      </c>
      <c r="P1346" s="22" t="str">
        <f>IF(AND($L1346=$O$7,$B1346&lt;'111'!$N$11),"x","")</f>
        <v/>
      </c>
      <c r="Q1346" s="22" t="str">
        <f>IF(AND($M1346=$O$7,$B1346&lt;'111'!$N$11),"x","")</f>
        <v/>
      </c>
      <c r="R1346" s="22" t="str">
        <f>IF(ISERROR(FIND('112'!$M$9,G1346,1)),"",IF((AND(FIND('112'!$M$9,G1346,1)&gt;=1,$B1346&gt;='112'!$N$8,$B1346&lt;='112'!$O$8,OR($L1346='112'!$I$6,$M1346='112'!$I$6))),"x",""))</f>
        <v/>
      </c>
      <c r="S1346" s="22" t="str">
        <f>IF(ISERROR(FIND('112'!$M$9,G1346,1)),"",IF((AND(LEFT(G1346,2)=LEFT('112'!$M$9,2),B1346&lt;'112'!$N$8,$L1346='112'!$I$6)),"x",""))</f>
        <v/>
      </c>
      <c r="T1346" s="22" t="str">
        <f>IF(ISERROR(FIND('112'!$M$9,G1346,1)),"",IF((AND(RIGHT(G1346,2)=RIGHT('112'!$M$9,2),B1346&lt;'112'!$N$8,$M1346='112'!$I$6)),"x",""))</f>
        <v/>
      </c>
      <c r="U1346" s="22" t="str">
        <f>IF(AND(B1346&gt;='IN-NX'!$P$3,B1346&lt;='IN-NX'!$Q$3,'IN-NX'!$D$7=D1346,OR(LEFT(L1346,2)="15",AND(LEFT(M1346,2)&lt;&gt;"15",LEFT(M1346,2)&lt;&gt;"33"))),"x","")</f>
        <v/>
      </c>
      <c r="V1346" s="22" t="str">
        <f>IF(AND(OR(LEFT(TH!L1346,2)="15",LEFT(TH!M1346,2)="15"),'152-CT'!$J$8=TH!F1346),"x","")</f>
        <v/>
      </c>
      <c r="W1346" s="22" t="str">
        <f>IF(AND(OR(LEFT(TH!L1346,2)="15",LEFT(TH!M1346,2)="15"),TK!$E$7=TH!F1346),"x","")</f>
        <v/>
      </c>
      <c r="X1346" s="22" t="str">
        <f>IF(OR(TH!L1346=TH!$X$7,M1346=TH!$X$7),"x","")</f>
        <v/>
      </c>
      <c r="Y1346" s="22" t="str">
        <f>IF(AND(B1346&lt;=NKC!$N$8,B1346&gt;=NKC!$M$8),"x","")</f>
        <v/>
      </c>
      <c r="Z1346" s="580"/>
      <c r="AA1346" s="588"/>
      <c r="AB1346" s="588"/>
    </row>
    <row r="1347" spans="1:28" s="589" customFormat="1" ht="15.75" customHeight="1">
      <c r="A1347" s="607" t="str">
        <f>IF(B1347&lt;&gt;"",IF(AND(B1347&gt;=_TM1,B1347&lt;=_TM2,OR(TH!L1347="1111",TH!M1347="1111")),TH!D1347,""),"")</f>
        <v/>
      </c>
      <c r="B1347" s="585">
        <f t="shared" si="71"/>
        <v>12</v>
      </c>
      <c r="C1347" s="586">
        <f t="shared" si="70"/>
        <v>42724</v>
      </c>
      <c r="D1347" s="569" t="s">
        <v>1022</v>
      </c>
      <c r="E1347" s="611">
        <v>42724</v>
      </c>
      <c r="F1347" s="614" t="s">
        <v>896</v>
      </c>
      <c r="G1347" s="612" t="s">
        <v>895</v>
      </c>
      <c r="H1347" s="572" t="s">
        <v>1075</v>
      </c>
      <c r="I1347" s="137">
        <v>126</v>
      </c>
      <c r="J1347" s="137">
        <v>13086.883323991349</v>
      </c>
      <c r="K1347" s="21">
        <f t="shared" si="68"/>
        <v>1648947</v>
      </c>
      <c r="L1347" s="567" t="s">
        <v>167</v>
      </c>
      <c r="M1347" s="567" t="s">
        <v>162</v>
      </c>
      <c r="N1347" s="22" t="str">
        <f>IF(AND('331-CT'!$E$7=TH!H1347,OR(L1347="331",M1347="331")),"331",IF(AND(OR(L1347="131",M1347="131"),H1347='131-CT'!$E$7),"131",""))</f>
        <v/>
      </c>
      <c r="O1347" s="22" t="str">
        <f>IF(AND($B1347&gt;='111'!$N$11,$B1347&lt;='111'!$O$11,OR($L1347=$O$7,$M1347=$O$7)),"x","")</f>
        <v/>
      </c>
      <c r="P1347" s="22" t="str">
        <f>IF(AND($L1347=$O$7,$B1347&lt;'111'!$N$11),"x","")</f>
        <v/>
      </c>
      <c r="Q1347" s="22" t="str">
        <f>IF(AND($M1347=$O$7,$B1347&lt;'111'!$N$11),"x","")</f>
        <v/>
      </c>
      <c r="R1347" s="22" t="str">
        <f>IF(ISERROR(FIND('112'!$M$9,G1347,1)),"",IF((AND(FIND('112'!$M$9,G1347,1)&gt;=1,$B1347&gt;='112'!$N$8,$B1347&lt;='112'!$O$8,OR($L1347='112'!$I$6,$M1347='112'!$I$6))),"x",""))</f>
        <v/>
      </c>
      <c r="S1347" s="22" t="str">
        <f>IF(ISERROR(FIND('112'!$M$9,G1347,1)),"",IF((AND(LEFT(G1347,2)=LEFT('112'!$M$9,2),B1347&lt;'112'!$N$8,$L1347='112'!$I$6)),"x",""))</f>
        <v/>
      </c>
      <c r="T1347" s="22" t="str">
        <f>IF(ISERROR(FIND('112'!$M$9,G1347,1)),"",IF((AND(RIGHT(G1347,2)=RIGHT('112'!$M$9,2),B1347&lt;'112'!$N$8,$M1347='112'!$I$6)),"x",""))</f>
        <v/>
      </c>
      <c r="U1347" s="22" t="str">
        <f>IF(AND(B1347&gt;='IN-NX'!$P$3,B1347&lt;='IN-NX'!$Q$3,'IN-NX'!$D$7=D1347,OR(LEFT(L1347,2)="15",AND(LEFT(M1347,2)&lt;&gt;"15",LEFT(M1347,2)&lt;&gt;"33"))),"x","")</f>
        <v/>
      </c>
      <c r="V1347" s="22" t="str">
        <f>IF(AND(OR(LEFT(TH!L1347,2)="15",LEFT(TH!M1347,2)="15"),'152-CT'!$J$8=TH!F1347),"x","")</f>
        <v/>
      </c>
      <c r="W1347" s="22" t="str">
        <f>IF(AND(OR(LEFT(TH!L1347,2)="15",LEFT(TH!M1347,2)="15"),TK!$E$7=TH!F1347),"x","")</f>
        <v/>
      </c>
      <c r="X1347" s="22" t="str">
        <f>IF(OR(TH!L1347=TH!$X$7,M1347=TH!$X$7),"x","")</f>
        <v/>
      </c>
      <c r="Y1347" s="22" t="str">
        <f>IF(AND(B1347&lt;=NKC!$N$8,B1347&gt;=NKC!$M$8),"x","")</f>
        <v/>
      </c>
      <c r="Z1347" s="580"/>
      <c r="AA1347" s="588"/>
      <c r="AB1347" s="588"/>
    </row>
    <row r="1348" spans="1:28" s="589" customFormat="1" ht="15.75" customHeight="1">
      <c r="A1348" s="607" t="str">
        <f>IF(B1348&lt;&gt;"",IF(AND(B1348&gt;=_TM1,B1348&lt;=_TM2,OR(TH!L1348="1111",TH!M1348="1111")),TH!D1348,""),"")</f>
        <v/>
      </c>
      <c r="B1348" s="585">
        <f t="shared" si="71"/>
        <v>12</v>
      </c>
      <c r="C1348" s="586">
        <f t="shared" si="70"/>
        <v>42724</v>
      </c>
      <c r="D1348" s="569" t="s">
        <v>1022</v>
      </c>
      <c r="E1348" s="611">
        <v>42724</v>
      </c>
      <c r="F1348" s="614" t="s">
        <v>897</v>
      </c>
      <c r="G1348" s="612" t="s">
        <v>895</v>
      </c>
      <c r="H1348" s="572" t="s">
        <v>1075</v>
      </c>
      <c r="I1348" s="591">
        <v>126</v>
      </c>
      <c r="J1348" s="591">
        <v>684.77877858094269</v>
      </c>
      <c r="K1348" s="21">
        <f t="shared" si="68"/>
        <v>86282</v>
      </c>
      <c r="L1348" s="567" t="s">
        <v>167</v>
      </c>
      <c r="M1348" s="567" t="s">
        <v>162</v>
      </c>
      <c r="N1348" s="22" t="str">
        <f>IF(AND('331-CT'!$E$7=TH!H1348,OR(L1348="331",M1348="331")),"331",IF(AND(OR(L1348="131",M1348="131"),H1348='131-CT'!$E$7),"131",""))</f>
        <v/>
      </c>
      <c r="O1348" s="22" t="str">
        <f>IF(AND($B1348&gt;='111'!$N$11,$B1348&lt;='111'!$O$11,OR($L1348=$O$7,$M1348=$O$7)),"x","")</f>
        <v/>
      </c>
      <c r="P1348" s="22" t="str">
        <f>IF(AND($L1348=$O$7,$B1348&lt;'111'!$N$11),"x","")</f>
        <v/>
      </c>
      <c r="Q1348" s="22" t="str">
        <f>IF(AND($M1348=$O$7,$B1348&lt;'111'!$N$11),"x","")</f>
        <v/>
      </c>
      <c r="R1348" s="22" t="str">
        <f>IF(ISERROR(FIND('112'!$M$9,G1348,1)),"",IF((AND(FIND('112'!$M$9,G1348,1)&gt;=1,$B1348&gt;='112'!$N$8,$B1348&lt;='112'!$O$8,OR($L1348='112'!$I$6,$M1348='112'!$I$6))),"x",""))</f>
        <v/>
      </c>
      <c r="S1348" s="22" t="str">
        <f>IF(ISERROR(FIND('112'!$M$9,G1348,1)),"",IF((AND(LEFT(G1348,2)=LEFT('112'!$M$9,2),B1348&lt;'112'!$N$8,$L1348='112'!$I$6)),"x",""))</f>
        <v/>
      </c>
      <c r="T1348" s="22" t="str">
        <f>IF(ISERROR(FIND('112'!$M$9,G1348,1)),"",IF((AND(RIGHT(G1348,2)=RIGHT('112'!$M$9,2),B1348&lt;'112'!$N$8,$M1348='112'!$I$6)),"x",""))</f>
        <v/>
      </c>
      <c r="U1348" s="22" t="str">
        <f>IF(AND(B1348&gt;='IN-NX'!$P$3,B1348&lt;='IN-NX'!$Q$3,'IN-NX'!$D$7=D1348,OR(LEFT(L1348,2)="15",AND(LEFT(M1348,2)&lt;&gt;"15",LEFT(M1348,2)&lt;&gt;"33"))),"x","")</f>
        <v/>
      </c>
      <c r="V1348" s="22" t="str">
        <f>IF(AND(OR(LEFT(TH!L1348,2)="15",LEFT(TH!M1348,2)="15"),'152-CT'!$J$8=TH!F1348),"x","")</f>
        <v/>
      </c>
      <c r="W1348" s="22" t="str">
        <f>IF(AND(OR(LEFT(TH!L1348,2)="15",LEFT(TH!M1348,2)="15"),TK!$E$7=TH!F1348),"x","")</f>
        <v/>
      </c>
      <c r="X1348" s="22" t="str">
        <f>IF(OR(TH!L1348=TH!$X$7,M1348=TH!$X$7),"x","")</f>
        <v/>
      </c>
      <c r="Y1348" s="22" t="str">
        <f>IF(AND(B1348&lt;=NKC!$N$8,B1348&gt;=NKC!$M$8),"x","")</f>
        <v/>
      </c>
      <c r="Z1348" s="580"/>
      <c r="AA1348" s="588"/>
      <c r="AB1348" s="588"/>
    </row>
    <row r="1349" spans="1:28" s="589" customFormat="1" ht="15.75" customHeight="1">
      <c r="A1349" s="607" t="str">
        <f>IF(B1349&lt;&gt;"",IF(AND(B1349&gt;=_TM1,B1349&lt;=_TM2,OR(TH!L1349="1111",TH!M1349="1111")),TH!D1349,""),"")</f>
        <v/>
      </c>
      <c r="B1349" s="585">
        <f t="shared" si="71"/>
        <v>12</v>
      </c>
      <c r="C1349" s="586">
        <f t="shared" si="70"/>
        <v>42724</v>
      </c>
      <c r="D1349" s="569" t="s">
        <v>1022</v>
      </c>
      <c r="E1349" s="611">
        <v>42724</v>
      </c>
      <c r="F1349" s="614" t="s">
        <v>813</v>
      </c>
      <c r="G1349" s="612" t="s">
        <v>899</v>
      </c>
      <c r="H1349" s="572" t="s">
        <v>1075</v>
      </c>
      <c r="I1349" s="137">
        <v>2400</v>
      </c>
      <c r="J1349" s="137">
        <v>6391.2686000887979</v>
      </c>
      <c r="K1349" s="21">
        <f t="shared" si="68"/>
        <v>15339045</v>
      </c>
      <c r="L1349" s="567" t="s">
        <v>167</v>
      </c>
      <c r="M1349" s="567" t="s">
        <v>162</v>
      </c>
      <c r="N1349" s="22" t="str">
        <f>IF(AND('331-CT'!$E$7=TH!H1349,OR(L1349="331",M1349="331")),"331",IF(AND(OR(L1349="131",M1349="131"),H1349='131-CT'!$E$7),"131",""))</f>
        <v/>
      </c>
      <c r="O1349" s="22" t="str">
        <f>IF(AND($B1349&gt;='111'!$N$11,$B1349&lt;='111'!$O$11,OR($L1349=$O$7,$M1349=$O$7)),"x","")</f>
        <v/>
      </c>
      <c r="P1349" s="22" t="str">
        <f>IF(AND($L1349=$O$7,$B1349&lt;'111'!$N$11),"x","")</f>
        <v/>
      </c>
      <c r="Q1349" s="22" t="str">
        <f>IF(AND($M1349=$O$7,$B1349&lt;'111'!$N$11),"x","")</f>
        <v/>
      </c>
      <c r="R1349" s="22" t="str">
        <f>IF(ISERROR(FIND('112'!$M$9,G1349,1)),"",IF((AND(FIND('112'!$M$9,G1349,1)&gt;=1,$B1349&gt;='112'!$N$8,$B1349&lt;='112'!$O$8,OR($L1349='112'!$I$6,$M1349='112'!$I$6))),"x",""))</f>
        <v/>
      </c>
      <c r="S1349" s="22" t="str">
        <f>IF(ISERROR(FIND('112'!$M$9,G1349,1)),"",IF((AND(LEFT(G1349,2)=LEFT('112'!$M$9,2),B1349&lt;'112'!$N$8,$L1349='112'!$I$6)),"x",""))</f>
        <v/>
      </c>
      <c r="T1349" s="22" t="str">
        <f>IF(ISERROR(FIND('112'!$M$9,G1349,1)),"",IF((AND(RIGHT(G1349,2)=RIGHT('112'!$M$9,2),B1349&lt;'112'!$N$8,$M1349='112'!$I$6)),"x",""))</f>
        <v/>
      </c>
      <c r="U1349" s="22" t="str">
        <f>IF(AND(B1349&gt;='IN-NX'!$P$3,B1349&lt;='IN-NX'!$Q$3,'IN-NX'!$D$7=D1349,OR(LEFT(L1349,2)="15",AND(LEFT(M1349,2)&lt;&gt;"15",LEFT(M1349,2)&lt;&gt;"33"))),"x","")</f>
        <v/>
      </c>
      <c r="V1349" s="22" t="str">
        <f>IF(AND(OR(LEFT(TH!L1349,2)="15",LEFT(TH!M1349,2)="15"),'152-CT'!$J$8=TH!F1349),"x","")</f>
        <v/>
      </c>
      <c r="W1349" s="22" t="str">
        <f>IF(AND(OR(LEFT(TH!L1349,2)="15",LEFT(TH!M1349,2)="15"),TK!$E$7=TH!F1349),"x","")</f>
        <v/>
      </c>
      <c r="X1349" s="22" t="str">
        <f>IF(OR(TH!L1349=TH!$X$7,M1349=TH!$X$7),"x","")</f>
        <v/>
      </c>
      <c r="Y1349" s="22" t="str">
        <f>IF(AND(B1349&lt;=NKC!$N$8,B1349&gt;=NKC!$M$8),"x","")</f>
        <v/>
      </c>
      <c r="Z1349" s="580"/>
      <c r="AA1349" s="588"/>
      <c r="AB1349" s="588"/>
    </row>
    <row r="1350" spans="1:28" s="589" customFormat="1" ht="15.75" customHeight="1">
      <c r="A1350" s="607" t="str">
        <f>IF(B1350&lt;&gt;"",IF(AND(B1350&gt;=_TM1,B1350&lt;=_TM2,OR(TH!L1350="1111",TH!M1350="1111")),TH!D1350,""),"")</f>
        <v/>
      </c>
      <c r="B1350" s="585">
        <f t="shared" si="71"/>
        <v>12</v>
      </c>
      <c r="C1350" s="586">
        <f t="shared" si="70"/>
        <v>42725</v>
      </c>
      <c r="D1350" s="569" t="s">
        <v>1022</v>
      </c>
      <c r="E1350" s="611">
        <v>42725</v>
      </c>
      <c r="F1350" s="614" t="s">
        <v>813</v>
      </c>
      <c r="G1350" s="612" t="s">
        <v>900</v>
      </c>
      <c r="H1350" s="572" t="s">
        <v>1075</v>
      </c>
      <c r="I1350" s="137">
        <v>2400</v>
      </c>
      <c r="J1350" s="137">
        <v>6391.2686000887979</v>
      </c>
      <c r="K1350" s="21">
        <f t="shared" si="68"/>
        <v>15339045</v>
      </c>
      <c r="L1350" s="567" t="s">
        <v>167</v>
      </c>
      <c r="M1350" s="567" t="s">
        <v>162</v>
      </c>
      <c r="N1350" s="22" t="str">
        <f>IF(AND('331-CT'!$E$7=TH!H1350,OR(L1350="331",M1350="331")),"331",IF(AND(OR(L1350="131",M1350="131"),H1350='131-CT'!$E$7),"131",""))</f>
        <v/>
      </c>
      <c r="O1350" s="22" t="str">
        <f>IF(AND($B1350&gt;='111'!$N$11,$B1350&lt;='111'!$O$11,OR($L1350=$O$7,$M1350=$O$7)),"x","")</f>
        <v/>
      </c>
      <c r="P1350" s="22" t="str">
        <f>IF(AND($L1350=$O$7,$B1350&lt;'111'!$N$11),"x","")</f>
        <v/>
      </c>
      <c r="Q1350" s="22" t="str">
        <f>IF(AND($M1350=$O$7,$B1350&lt;'111'!$N$11),"x","")</f>
        <v/>
      </c>
      <c r="R1350" s="22" t="str">
        <f>IF(ISERROR(FIND('112'!$M$9,G1350,1)),"",IF((AND(FIND('112'!$M$9,G1350,1)&gt;=1,$B1350&gt;='112'!$N$8,$B1350&lt;='112'!$O$8,OR($L1350='112'!$I$6,$M1350='112'!$I$6))),"x",""))</f>
        <v/>
      </c>
      <c r="S1350" s="22" t="str">
        <f>IF(ISERROR(FIND('112'!$M$9,G1350,1)),"",IF((AND(LEFT(G1350,2)=LEFT('112'!$M$9,2),B1350&lt;'112'!$N$8,$L1350='112'!$I$6)),"x",""))</f>
        <v/>
      </c>
      <c r="T1350" s="22" t="str">
        <f>IF(ISERROR(FIND('112'!$M$9,G1350,1)),"",IF((AND(RIGHT(G1350,2)=RIGHT('112'!$M$9,2),B1350&lt;'112'!$N$8,$M1350='112'!$I$6)),"x",""))</f>
        <v/>
      </c>
      <c r="U1350" s="22" t="str">
        <f>IF(AND(B1350&gt;='IN-NX'!$P$3,B1350&lt;='IN-NX'!$Q$3,'IN-NX'!$D$7=D1350,OR(LEFT(L1350,2)="15",AND(LEFT(M1350,2)&lt;&gt;"15",LEFT(M1350,2)&lt;&gt;"33"))),"x","")</f>
        <v/>
      </c>
      <c r="V1350" s="22" t="str">
        <f>IF(AND(OR(LEFT(TH!L1350,2)="15",LEFT(TH!M1350,2)="15"),'152-CT'!$J$8=TH!F1350),"x","")</f>
        <v/>
      </c>
      <c r="W1350" s="22" t="str">
        <f>IF(AND(OR(LEFT(TH!L1350,2)="15",LEFT(TH!M1350,2)="15"),TK!$E$7=TH!F1350),"x","")</f>
        <v/>
      </c>
      <c r="X1350" s="22" t="str">
        <f>IF(OR(TH!L1350=TH!$X$7,M1350=TH!$X$7),"x","")</f>
        <v/>
      </c>
      <c r="Y1350" s="22" t="str">
        <f>IF(AND(B1350&lt;=NKC!$N$8,B1350&gt;=NKC!$M$8),"x","")</f>
        <v/>
      </c>
      <c r="Z1350" s="580"/>
      <c r="AA1350" s="588"/>
      <c r="AB1350" s="588"/>
    </row>
    <row r="1351" spans="1:28" s="589" customFormat="1" ht="15.75" customHeight="1">
      <c r="A1351" s="607" t="str">
        <f>IF(B1351&lt;&gt;"",IF(AND(B1351&gt;=_TM1,B1351&lt;=_TM2,OR(TH!L1351="1111",TH!M1351="1111")),TH!D1351,""),"")</f>
        <v/>
      </c>
      <c r="B1351" s="585">
        <f t="shared" si="71"/>
        <v>12</v>
      </c>
      <c r="C1351" s="586">
        <f t="shared" si="70"/>
        <v>42726</v>
      </c>
      <c r="D1351" s="569" t="s">
        <v>1022</v>
      </c>
      <c r="E1351" s="611">
        <v>42726</v>
      </c>
      <c r="F1351" s="614" t="s">
        <v>902</v>
      </c>
      <c r="G1351" s="612" t="s">
        <v>901</v>
      </c>
      <c r="H1351" s="572" t="s">
        <v>1075</v>
      </c>
      <c r="I1351" s="591">
        <v>285</v>
      </c>
      <c r="J1351" s="591">
        <v>9891.2490239469498</v>
      </c>
      <c r="K1351" s="21">
        <f t="shared" si="68"/>
        <v>2819006</v>
      </c>
      <c r="L1351" s="567" t="s">
        <v>167</v>
      </c>
      <c r="M1351" s="567" t="s">
        <v>162</v>
      </c>
      <c r="N1351" s="22" t="str">
        <f>IF(AND('331-CT'!$E$7=TH!H1351,OR(L1351="331",M1351="331")),"331",IF(AND(OR(L1351="131",M1351="131"),H1351='131-CT'!$E$7),"131",""))</f>
        <v/>
      </c>
      <c r="O1351" s="22" t="str">
        <f>IF(AND($B1351&gt;='111'!$N$11,$B1351&lt;='111'!$O$11,OR($L1351=$O$7,$M1351=$O$7)),"x","")</f>
        <v/>
      </c>
      <c r="P1351" s="22" t="str">
        <f>IF(AND($L1351=$O$7,$B1351&lt;'111'!$N$11),"x","")</f>
        <v/>
      </c>
      <c r="Q1351" s="22" t="str">
        <f>IF(AND($M1351=$O$7,$B1351&lt;'111'!$N$11),"x","")</f>
        <v/>
      </c>
      <c r="R1351" s="22" t="str">
        <f>IF(ISERROR(FIND('112'!$M$9,G1351,1)),"",IF((AND(FIND('112'!$M$9,G1351,1)&gt;=1,$B1351&gt;='112'!$N$8,$B1351&lt;='112'!$O$8,OR($L1351='112'!$I$6,$M1351='112'!$I$6))),"x",""))</f>
        <v/>
      </c>
      <c r="S1351" s="22" t="str">
        <f>IF(ISERROR(FIND('112'!$M$9,G1351,1)),"",IF((AND(LEFT(G1351,2)=LEFT('112'!$M$9,2),B1351&lt;'112'!$N$8,$L1351='112'!$I$6)),"x",""))</f>
        <v/>
      </c>
      <c r="T1351" s="22" t="str">
        <f>IF(ISERROR(FIND('112'!$M$9,G1351,1)),"",IF((AND(RIGHT(G1351,2)=RIGHT('112'!$M$9,2),B1351&lt;'112'!$N$8,$M1351='112'!$I$6)),"x",""))</f>
        <v/>
      </c>
      <c r="U1351" s="22" t="str">
        <f>IF(AND(B1351&gt;='IN-NX'!$P$3,B1351&lt;='IN-NX'!$Q$3,'IN-NX'!$D$7=D1351,OR(LEFT(L1351,2)="15",AND(LEFT(M1351,2)&lt;&gt;"15",LEFT(M1351,2)&lt;&gt;"33"))),"x","")</f>
        <v/>
      </c>
      <c r="V1351" s="22" t="str">
        <f>IF(AND(OR(LEFT(TH!L1351,2)="15",LEFT(TH!M1351,2)="15"),'152-CT'!$J$8=TH!F1351),"x","")</f>
        <v/>
      </c>
      <c r="W1351" s="22" t="str">
        <f>IF(AND(OR(LEFT(TH!L1351,2)="15",LEFT(TH!M1351,2)="15"),TK!$E$7=TH!F1351),"x","")</f>
        <v/>
      </c>
      <c r="X1351" s="22" t="str">
        <f>IF(OR(TH!L1351=TH!$X$7,M1351=TH!$X$7),"x","")</f>
        <v/>
      </c>
      <c r="Y1351" s="22" t="str">
        <f>IF(AND(B1351&lt;=NKC!$N$8,B1351&gt;=NKC!$M$8),"x","")</f>
        <v/>
      </c>
      <c r="Z1351" s="580"/>
      <c r="AA1351" s="588"/>
      <c r="AB1351" s="588"/>
    </row>
    <row r="1352" spans="1:28" s="589" customFormat="1" ht="15.75" customHeight="1">
      <c r="A1352" s="607" t="str">
        <f>IF(B1352&lt;&gt;"",IF(AND(B1352&gt;=_TM1,B1352&lt;=_TM2,OR(TH!L1352="1111",TH!M1352="1111")),TH!D1352,""),"")</f>
        <v/>
      </c>
      <c r="B1352" s="585">
        <f t="shared" si="71"/>
        <v>12</v>
      </c>
      <c r="C1352" s="586">
        <f t="shared" si="70"/>
        <v>42726</v>
      </c>
      <c r="D1352" s="569" t="s">
        <v>1022</v>
      </c>
      <c r="E1352" s="611">
        <v>42726</v>
      </c>
      <c r="F1352" s="614" t="s">
        <v>903</v>
      </c>
      <c r="G1352" s="612" t="s">
        <v>901</v>
      </c>
      <c r="H1352" s="572" t="s">
        <v>1075</v>
      </c>
      <c r="I1352" s="137">
        <v>110</v>
      </c>
      <c r="J1352" s="137">
        <v>9434.7298382263216</v>
      </c>
      <c r="K1352" s="21">
        <f t="shared" si="68"/>
        <v>1037820</v>
      </c>
      <c r="L1352" s="567" t="s">
        <v>167</v>
      </c>
      <c r="M1352" s="567" t="s">
        <v>162</v>
      </c>
      <c r="N1352" s="22" t="str">
        <f>IF(AND('331-CT'!$E$7=TH!H1352,OR(L1352="331",M1352="331")),"331",IF(AND(OR(L1352="131",M1352="131"),H1352='131-CT'!$E$7),"131",""))</f>
        <v/>
      </c>
      <c r="O1352" s="22" t="str">
        <f>IF(AND($B1352&gt;='111'!$N$11,$B1352&lt;='111'!$O$11,OR($L1352=$O$7,$M1352=$O$7)),"x","")</f>
        <v/>
      </c>
      <c r="P1352" s="22" t="str">
        <f>IF(AND($L1352=$O$7,$B1352&lt;'111'!$N$11),"x","")</f>
        <v/>
      </c>
      <c r="Q1352" s="22" t="str">
        <f>IF(AND($M1352=$O$7,$B1352&lt;'111'!$N$11),"x","")</f>
        <v/>
      </c>
      <c r="R1352" s="22" t="str">
        <f>IF(ISERROR(FIND('112'!$M$9,G1352,1)),"",IF((AND(FIND('112'!$M$9,G1352,1)&gt;=1,$B1352&gt;='112'!$N$8,$B1352&lt;='112'!$O$8,OR($L1352='112'!$I$6,$M1352='112'!$I$6))),"x",""))</f>
        <v/>
      </c>
      <c r="S1352" s="22" t="str">
        <f>IF(ISERROR(FIND('112'!$M$9,G1352,1)),"",IF((AND(LEFT(G1352,2)=LEFT('112'!$M$9,2),B1352&lt;'112'!$N$8,$L1352='112'!$I$6)),"x",""))</f>
        <v/>
      </c>
      <c r="T1352" s="22" t="str">
        <f>IF(ISERROR(FIND('112'!$M$9,G1352,1)),"",IF((AND(RIGHT(G1352,2)=RIGHT('112'!$M$9,2),B1352&lt;'112'!$N$8,$M1352='112'!$I$6)),"x",""))</f>
        <v/>
      </c>
      <c r="U1352" s="22" t="str">
        <f>IF(AND(B1352&gt;='IN-NX'!$P$3,B1352&lt;='IN-NX'!$Q$3,'IN-NX'!$D$7=D1352,OR(LEFT(L1352,2)="15",AND(LEFT(M1352,2)&lt;&gt;"15",LEFT(M1352,2)&lt;&gt;"33"))),"x","")</f>
        <v/>
      </c>
      <c r="V1352" s="22" t="str">
        <f>IF(AND(OR(LEFT(TH!L1352,2)="15",LEFT(TH!M1352,2)="15"),'152-CT'!$J$8=TH!F1352),"x","")</f>
        <v/>
      </c>
      <c r="W1352" s="22" t="str">
        <f>IF(AND(OR(LEFT(TH!L1352,2)="15",LEFT(TH!M1352,2)="15"),TK!$E$7=TH!F1352),"x","")</f>
        <v/>
      </c>
      <c r="X1352" s="22" t="str">
        <f>IF(OR(TH!L1352=TH!$X$7,M1352=TH!$X$7),"x","")</f>
        <v/>
      </c>
      <c r="Y1352" s="22" t="str">
        <f>IF(AND(B1352&lt;=NKC!$N$8,B1352&gt;=NKC!$M$8),"x","")</f>
        <v/>
      </c>
      <c r="Z1352" s="580"/>
      <c r="AA1352" s="588"/>
    </row>
    <row r="1353" spans="1:28" s="589" customFormat="1" ht="15.75" customHeight="1">
      <c r="A1353" s="607" t="str">
        <f>IF(B1353&lt;&gt;"",IF(AND(B1353&gt;=_TM1,B1353&lt;=_TM2,OR(TH!L1353="1111",TH!M1353="1111")),TH!D1353,""),"")</f>
        <v/>
      </c>
      <c r="B1353" s="585">
        <f t="shared" si="71"/>
        <v>12</v>
      </c>
      <c r="C1353" s="586">
        <f t="shared" si="70"/>
        <v>42726</v>
      </c>
      <c r="D1353" s="569" t="s">
        <v>1022</v>
      </c>
      <c r="E1353" s="611">
        <v>42726</v>
      </c>
      <c r="F1353" s="614" t="s">
        <v>904</v>
      </c>
      <c r="G1353" s="612" t="s">
        <v>901</v>
      </c>
      <c r="H1353" s="572" t="s">
        <v>1075</v>
      </c>
      <c r="I1353" s="591">
        <v>160</v>
      </c>
      <c r="J1353" s="591">
        <v>9739.075962040075</v>
      </c>
      <c r="K1353" s="21">
        <f t="shared" si="68"/>
        <v>1558252</v>
      </c>
      <c r="L1353" s="567" t="s">
        <v>167</v>
      </c>
      <c r="M1353" s="567" t="s">
        <v>162</v>
      </c>
      <c r="N1353" s="22" t="str">
        <f>IF(AND('331-CT'!$E$7=TH!H1353,OR(L1353="331",M1353="331")),"331",IF(AND(OR(L1353="131",M1353="131"),H1353='131-CT'!$E$7),"131",""))</f>
        <v/>
      </c>
      <c r="O1353" s="22" t="str">
        <f>IF(AND($B1353&gt;='111'!$N$11,$B1353&lt;='111'!$O$11,OR($L1353=$O$7,$M1353=$O$7)),"x","")</f>
        <v/>
      </c>
      <c r="P1353" s="22" t="str">
        <f>IF(AND($L1353=$O$7,$B1353&lt;'111'!$N$11),"x","")</f>
        <v/>
      </c>
      <c r="Q1353" s="22" t="str">
        <f>IF(AND($M1353=$O$7,$B1353&lt;'111'!$N$11),"x","")</f>
        <v/>
      </c>
      <c r="R1353" s="22" t="str">
        <f>IF(ISERROR(FIND('112'!$M$9,G1353,1)),"",IF((AND(FIND('112'!$M$9,G1353,1)&gt;=1,$B1353&gt;='112'!$N$8,$B1353&lt;='112'!$O$8,OR($L1353='112'!$I$6,$M1353='112'!$I$6))),"x",""))</f>
        <v/>
      </c>
      <c r="S1353" s="22" t="str">
        <f>IF(ISERROR(FIND('112'!$M$9,G1353,1)),"",IF((AND(LEFT(G1353,2)=LEFT('112'!$M$9,2),B1353&lt;'112'!$N$8,$L1353='112'!$I$6)),"x",""))</f>
        <v/>
      </c>
      <c r="T1353" s="22" t="str">
        <f>IF(ISERROR(FIND('112'!$M$9,G1353,1)),"",IF((AND(RIGHT(G1353,2)=RIGHT('112'!$M$9,2),B1353&lt;'112'!$N$8,$M1353='112'!$I$6)),"x",""))</f>
        <v/>
      </c>
      <c r="U1353" s="22" t="str">
        <f>IF(AND(B1353&gt;='IN-NX'!$P$3,B1353&lt;='IN-NX'!$Q$3,'IN-NX'!$D$7=D1353,OR(LEFT(L1353,2)="15",AND(LEFT(M1353,2)&lt;&gt;"15",LEFT(M1353,2)&lt;&gt;"33"))),"x","")</f>
        <v/>
      </c>
      <c r="V1353" s="22" t="str">
        <f>IF(AND(OR(LEFT(TH!L1353,2)="15",LEFT(TH!M1353,2)="15"),'152-CT'!$J$8=TH!F1353),"x","")</f>
        <v/>
      </c>
      <c r="W1353" s="22" t="str">
        <f>IF(AND(OR(LEFT(TH!L1353,2)="15",LEFT(TH!M1353,2)="15"),TK!$E$7=TH!F1353),"x","")</f>
        <v/>
      </c>
      <c r="X1353" s="22" t="str">
        <f>IF(OR(TH!L1353=TH!$X$7,M1353=TH!$X$7),"x","")</f>
        <v/>
      </c>
      <c r="Y1353" s="22" t="str">
        <f>IF(AND(B1353&lt;=NKC!$N$8,B1353&gt;=NKC!$M$8),"x","")</f>
        <v/>
      </c>
      <c r="Z1353" s="580"/>
      <c r="AA1353" s="588"/>
      <c r="AB1353" s="588"/>
    </row>
    <row r="1354" spans="1:28" s="589" customFormat="1" ht="15.75" customHeight="1">
      <c r="A1354" s="607" t="str">
        <f>IF(B1354&lt;&gt;"",IF(AND(B1354&gt;=_TM1,B1354&lt;=_TM2,OR(TH!L1354="1111",TH!M1354="1111")),TH!D1354,""),"")</f>
        <v/>
      </c>
      <c r="B1354" s="585">
        <f t="shared" si="71"/>
        <v>12</v>
      </c>
      <c r="C1354" s="586">
        <f t="shared" si="70"/>
        <v>42726</v>
      </c>
      <c r="D1354" s="569" t="s">
        <v>1022</v>
      </c>
      <c r="E1354" s="611">
        <v>42726</v>
      </c>
      <c r="F1354" s="614" t="s">
        <v>501</v>
      </c>
      <c r="G1354" s="612" t="s">
        <v>901</v>
      </c>
      <c r="H1354" s="572" t="s">
        <v>1075</v>
      </c>
      <c r="I1354" s="137">
        <v>550</v>
      </c>
      <c r="J1354" s="137">
        <v>10195.595147760703</v>
      </c>
      <c r="K1354" s="21">
        <f t="shared" si="68"/>
        <v>5607577</v>
      </c>
      <c r="L1354" s="567" t="s">
        <v>167</v>
      </c>
      <c r="M1354" s="567" t="s">
        <v>162</v>
      </c>
      <c r="N1354" s="22" t="str">
        <f>IF(AND('331-CT'!$E$7=TH!H1354,OR(L1354="331",M1354="331")),"331",IF(AND(OR(L1354="131",M1354="131"),H1354='131-CT'!$E$7),"131",""))</f>
        <v/>
      </c>
      <c r="O1354" s="22" t="str">
        <f>IF(AND($B1354&gt;='111'!$N$11,$B1354&lt;='111'!$O$11,OR($L1354=$O$7,$M1354=$O$7)),"x","")</f>
        <v/>
      </c>
      <c r="P1354" s="22" t="str">
        <f>IF(AND($L1354=$O$7,$B1354&lt;'111'!$N$11),"x","")</f>
        <v/>
      </c>
      <c r="Q1354" s="22" t="str">
        <f>IF(AND($M1354=$O$7,$B1354&lt;'111'!$N$11),"x","")</f>
        <v/>
      </c>
      <c r="R1354" s="22" t="str">
        <f>IF(ISERROR(FIND('112'!$M$9,G1354,1)),"",IF((AND(FIND('112'!$M$9,G1354,1)&gt;=1,$B1354&gt;='112'!$N$8,$B1354&lt;='112'!$O$8,OR($L1354='112'!$I$6,$M1354='112'!$I$6))),"x",""))</f>
        <v/>
      </c>
      <c r="S1354" s="22" t="str">
        <f>IF(ISERROR(FIND('112'!$M$9,G1354,1)),"",IF((AND(LEFT(G1354,2)=LEFT('112'!$M$9,2),B1354&lt;'112'!$N$8,$L1354='112'!$I$6)),"x",""))</f>
        <v/>
      </c>
      <c r="T1354" s="22" t="str">
        <f>IF(ISERROR(FIND('112'!$M$9,G1354,1)),"",IF((AND(RIGHT(G1354,2)=RIGHT('112'!$M$9,2),B1354&lt;'112'!$N$8,$M1354='112'!$I$6)),"x",""))</f>
        <v/>
      </c>
      <c r="U1354" s="22" t="str">
        <f>IF(AND(B1354&gt;='IN-NX'!$P$3,B1354&lt;='IN-NX'!$Q$3,'IN-NX'!$D$7=D1354,OR(LEFT(L1354,2)="15",AND(LEFT(M1354,2)&lt;&gt;"15",LEFT(M1354,2)&lt;&gt;"33"))),"x","")</f>
        <v/>
      </c>
      <c r="V1354" s="22" t="str">
        <f>IF(AND(OR(LEFT(TH!L1354,2)="15",LEFT(TH!M1354,2)="15"),'152-CT'!$J$8=TH!F1354),"x","")</f>
        <v/>
      </c>
      <c r="W1354" s="22" t="str">
        <f>IF(AND(OR(LEFT(TH!L1354,2)="15",LEFT(TH!M1354,2)="15"),TK!$E$7=TH!F1354),"x","")</f>
        <v/>
      </c>
      <c r="X1354" s="22" t="str">
        <f>IF(OR(TH!L1354=TH!$X$7,M1354=TH!$X$7),"x","")</f>
        <v/>
      </c>
      <c r="Y1354" s="22" t="str">
        <f>IF(AND(B1354&lt;=NKC!$N$8,B1354&gt;=NKC!$M$8),"x","")</f>
        <v/>
      </c>
      <c r="Z1354" s="580"/>
      <c r="AA1354" s="588"/>
      <c r="AB1354" s="588"/>
    </row>
    <row r="1355" spans="1:28" s="589" customFormat="1" ht="15.75" customHeight="1">
      <c r="A1355" s="607" t="str">
        <f>IF(B1355&lt;&gt;"",IF(AND(B1355&gt;=_TM1,B1355&lt;=_TM2,OR(TH!L1355="1111",TH!M1355="1111")),TH!D1355,""),"")</f>
        <v/>
      </c>
      <c r="B1355" s="585">
        <f t="shared" si="71"/>
        <v>12</v>
      </c>
      <c r="C1355" s="586">
        <f t="shared" si="70"/>
        <v>42726</v>
      </c>
      <c r="D1355" s="569" t="s">
        <v>1022</v>
      </c>
      <c r="E1355" s="611">
        <v>42726</v>
      </c>
      <c r="F1355" s="614" t="s">
        <v>906</v>
      </c>
      <c r="G1355" s="612" t="s">
        <v>905</v>
      </c>
      <c r="H1355" s="572" t="s">
        <v>1075</v>
      </c>
      <c r="I1355" s="137">
        <v>275</v>
      </c>
      <c r="J1355" s="137">
        <v>12630.364138270721</v>
      </c>
      <c r="K1355" s="21">
        <f t="shared" si="68"/>
        <v>3473350</v>
      </c>
      <c r="L1355" s="567" t="s">
        <v>167</v>
      </c>
      <c r="M1355" s="567" t="s">
        <v>162</v>
      </c>
      <c r="N1355" s="22" t="str">
        <f>IF(AND('331-CT'!$E$7=TH!H1355,OR(L1355="331",M1355="331")),"331",IF(AND(OR(L1355="131",M1355="131"),H1355='131-CT'!$E$7),"131",""))</f>
        <v/>
      </c>
      <c r="O1355" s="22" t="str">
        <f>IF(AND($B1355&gt;='111'!$N$11,$B1355&lt;='111'!$O$11,OR($L1355=$O$7,$M1355=$O$7)),"x","")</f>
        <v/>
      </c>
      <c r="P1355" s="22" t="str">
        <f>IF(AND($L1355=$O$7,$B1355&lt;'111'!$N$11),"x","")</f>
        <v/>
      </c>
      <c r="Q1355" s="22" t="str">
        <f>IF(AND($M1355=$O$7,$B1355&lt;'111'!$N$11),"x","")</f>
        <v/>
      </c>
      <c r="R1355" s="22" t="str">
        <f>IF(ISERROR(FIND('112'!$M$9,G1355,1)),"",IF((AND(FIND('112'!$M$9,G1355,1)&gt;=1,$B1355&gt;='112'!$N$8,$B1355&lt;='112'!$O$8,OR($L1355='112'!$I$6,$M1355='112'!$I$6))),"x",""))</f>
        <v/>
      </c>
      <c r="S1355" s="22" t="str">
        <f>IF(ISERROR(FIND('112'!$M$9,G1355,1)),"",IF((AND(LEFT(G1355,2)=LEFT('112'!$M$9,2),B1355&lt;'112'!$N$8,$L1355='112'!$I$6)),"x",""))</f>
        <v/>
      </c>
      <c r="T1355" s="22" t="str">
        <f>IF(ISERROR(FIND('112'!$M$9,G1355,1)),"",IF((AND(RIGHT(G1355,2)=RIGHT('112'!$M$9,2),B1355&lt;'112'!$N$8,$M1355='112'!$I$6)),"x",""))</f>
        <v/>
      </c>
      <c r="U1355" s="22" t="str">
        <f>IF(AND(B1355&gt;='IN-NX'!$P$3,B1355&lt;='IN-NX'!$Q$3,'IN-NX'!$D$7=D1355,OR(LEFT(L1355,2)="15",AND(LEFT(M1355,2)&lt;&gt;"15",LEFT(M1355,2)&lt;&gt;"33"))),"x","")</f>
        <v/>
      </c>
      <c r="V1355" s="22" t="str">
        <f>IF(AND(OR(LEFT(TH!L1355,2)="15",LEFT(TH!M1355,2)="15"),'152-CT'!$J$8=TH!F1355),"x","")</f>
        <v/>
      </c>
      <c r="W1355" s="22" t="str">
        <f>IF(AND(OR(LEFT(TH!L1355,2)="15",LEFT(TH!M1355,2)="15"),TK!$E$7=TH!F1355),"x","")</f>
        <v/>
      </c>
      <c r="X1355" s="22" t="str">
        <f>IF(OR(TH!L1355=TH!$X$7,M1355=TH!$X$7),"x","")</f>
        <v/>
      </c>
      <c r="Y1355" s="22" t="str">
        <f>IF(AND(B1355&lt;=NKC!$N$8,B1355&gt;=NKC!$M$8),"x","")</f>
        <v/>
      </c>
      <c r="Z1355" s="580"/>
      <c r="AA1355" s="588"/>
      <c r="AB1355" s="588"/>
    </row>
    <row r="1356" spans="1:28" s="589" customFormat="1" ht="15.75" customHeight="1">
      <c r="A1356" s="607" t="str">
        <f>IF(B1356&lt;&gt;"",IF(AND(B1356&gt;=_TM1,B1356&lt;=_TM2,OR(TH!L1356="1111",TH!M1356="1111")),TH!D1356,""),"")</f>
        <v/>
      </c>
      <c r="B1356" s="585">
        <f t="shared" si="71"/>
        <v>12</v>
      </c>
      <c r="C1356" s="586">
        <f t="shared" si="70"/>
        <v>42726</v>
      </c>
      <c r="D1356" s="569" t="s">
        <v>1022</v>
      </c>
      <c r="E1356" s="611">
        <v>42726</v>
      </c>
      <c r="F1356" s="614" t="s">
        <v>907</v>
      </c>
      <c r="G1356" s="612" t="s">
        <v>905</v>
      </c>
      <c r="H1356" s="572" t="s">
        <v>1075</v>
      </c>
      <c r="I1356" s="137">
        <v>66</v>
      </c>
      <c r="J1356" s="137">
        <v>10728.200864434768</v>
      </c>
      <c r="K1356" s="21">
        <f t="shared" si="68"/>
        <v>708061</v>
      </c>
      <c r="L1356" s="567" t="s">
        <v>167</v>
      </c>
      <c r="M1356" s="567" t="s">
        <v>162</v>
      </c>
      <c r="N1356" s="22" t="str">
        <f>IF(AND('331-CT'!$E$7=TH!H1356,OR(L1356="331",M1356="331")),"331",IF(AND(OR(L1356="131",M1356="131"),H1356='131-CT'!$E$7),"131",""))</f>
        <v/>
      </c>
      <c r="O1356" s="22" t="str">
        <f>IF(AND($B1356&gt;='111'!$N$11,$B1356&lt;='111'!$O$11,OR($L1356=$O$7,$M1356=$O$7)),"x","")</f>
        <v/>
      </c>
      <c r="P1356" s="22" t="str">
        <f>IF(AND($L1356=$O$7,$B1356&lt;'111'!$N$11),"x","")</f>
        <v/>
      </c>
      <c r="Q1356" s="22" t="str">
        <f>IF(AND($M1356=$O$7,$B1356&lt;'111'!$N$11),"x","")</f>
        <v/>
      </c>
      <c r="R1356" s="22" t="str">
        <f>IF(ISERROR(FIND('112'!$M$9,G1356,1)),"",IF((AND(FIND('112'!$M$9,G1356,1)&gt;=1,$B1356&gt;='112'!$N$8,$B1356&lt;='112'!$O$8,OR($L1356='112'!$I$6,$M1356='112'!$I$6))),"x",""))</f>
        <v/>
      </c>
      <c r="S1356" s="22" t="str">
        <f>IF(ISERROR(FIND('112'!$M$9,G1356,1)),"",IF((AND(LEFT(G1356,2)=LEFT('112'!$M$9,2),B1356&lt;'112'!$N$8,$L1356='112'!$I$6)),"x",""))</f>
        <v/>
      </c>
      <c r="T1356" s="22" t="str">
        <f>IF(ISERROR(FIND('112'!$M$9,G1356,1)),"",IF((AND(RIGHT(G1356,2)=RIGHT('112'!$M$9,2),B1356&lt;'112'!$N$8,$M1356='112'!$I$6)),"x",""))</f>
        <v/>
      </c>
      <c r="U1356" s="22" t="str">
        <f>IF(AND(B1356&gt;='IN-NX'!$P$3,B1356&lt;='IN-NX'!$Q$3,'IN-NX'!$D$7=D1356,OR(LEFT(L1356,2)="15",AND(LEFT(M1356,2)&lt;&gt;"15",LEFT(M1356,2)&lt;&gt;"33"))),"x","")</f>
        <v/>
      </c>
      <c r="V1356" s="22" t="str">
        <f>IF(AND(OR(LEFT(TH!L1356,2)="15",LEFT(TH!M1356,2)="15"),'152-CT'!$J$8=TH!F1356),"x","")</f>
        <v/>
      </c>
      <c r="W1356" s="22" t="str">
        <f>IF(AND(OR(LEFT(TH!L1356,2)="15",LEFT(TH!M1356,2)="15"),TK!$E$7=TH!F1356),"x","")</f>
        <v/>
      </c>
      <c r="X1356" s="22" t="str">
        <f>IF(OR(TH!L1356=TH!$X$7,M1356=TH!$X$7),"x","")</f>
        <v/>
      </c>
      <c r="Y1356" s="22" t="str">
        <f>IF(AND(B1356&lt;=NKC!$N$8,B1356&gt;=NKC!$M$8),"x","")</f>
        <v/>
      </c>
      <c r="Z1356" s="580"/>
      <c r="AA1356" s="588"/>
      <c r="AB1356" s="588"/>
    </row>
    <row r="1357" spans="1:28" s="589" customFormat="1" ht="15.75" customHeight="1">
      <c r="A1357" s="607" t="str">
        <f>IF(B1357&lt;&gt;"",IF(AND(B1357&gt;=_TM1,B1357&lt;=_TM2,OR(TH!L1357="1111",TH!M1357="1111")),TH!D1357,""),"")</f>
        <v/>
      </c>
      <c r="B1357" s="585">
        <f t="shared" si="71"/>
        <v>12</v>
      </c>
      <c r="C1357" s="586">
        <f t="shared" si="70"/>
        <v>42726</v>
      </c>
      <c r="D1357" s="569" t="s">
        <v>1022</v>
      </c>
      <c r="E1357" s="611">
        <v>42726</v>
      </c>
      <c r="F1357" s="614" t="s">
        <v>501</v>
      </c>
      <c r="G1357" s="612" t="s">
        <v>905</v>
      </c>
      <c r="H1357" s="572" t="s">
        <v>1075</v>
      </c>
      <c r="I1357" s="137">
        <v>165</v>
      </c>
      <c r="J1357" s="137">
        <v>10195.595147760703</v>
      </c>
      <c r="K1357" s="21">
        <f t="shared" si="68"/>
        <v>1682273</v>
      </c>
      <c r="L1357" s="567" t="s">
        <v>167</v>
      </c>
      <c r="M1357" s="567" t="s">
        <v>162</v>
      </c>
      <c r="N1357" s="22" t="str">
        <f>IF(AND('331-CT'!$E$7=TH!H1357,OR(L1357="331",M1357="331")),"331",IF(AND(OR(L1357="131",M1357="131"),H1357='131-CT'!$E$7),"131",""))</f>
        <v/>
      </c>
      <c r="O1357" s="22" t="str">
        <f>IF(AND($B1357&gt;='111'!$N$11,$B1357&lt;='111'!$O$11,OR($L1357=$O$7,$M1357=$O$7)),"x","")</f>
        <v/>
      </c>
      <c r="P1357" s="22" t="str">
        <f>IF(AND($L1357=$O$7,$B1357&lt;'111'!$N$11),"x","")</f>
        <v/>
      </c>
      <c r="Q1357" s="22" t="str">
        <f>IF(AND($M1357=$O$7,$B1357&lt;'111'!$N$11),"x","")</f>
        <v/>
      </c>
      <c r="R1357" s="22" t="str">
        <f>IF(ISERROR(FIND('112'!$M$9,G1357,1)),"",IF((AND(FIND('112'!$M$9,G1357,1)&gt;=1,$B1357&gt;='112'!$N$8,$B1357&lt;='112'!$O$8,OR($L1357='112'!$I$6,$M1357='112'!$I$6))),"x",""))</f>
        <v/>
      </c>
      <c r="S1357" s="22" t="str">
        <f>IF(ISERROR(FIND('112'!$M$9,G1357,1)),"",IF((AND(LEFT(G1357,2)=LEFT('112'!$M$9,2),B1357&lt;'112'!$N$8,$L1357='112'!$I$6)),"x",""))</f>
        <v/>
      </c>
      <c r="T1357" s="22" t="str">
        <f>IF(ISERROR(FIND('112'!$M$9,G1357,1)),"",IF((AND(RIGHT(G1357,2)=RIGHT('112'!$M$9,2),B1357&lt;'112'!$N$8,$M1357='112'!$I$6)),"x",""))</f>
        <v/>
      </c>
      <c r="U1357" s="22" t="str">
        <f>IF(AND(B1357&gt;='IN-NX'!$P$3,B1357&lt;='IN-NX'!$Q$3,'IN-NX'!$D$7=D1357,OR(LEFT(L1357,2)="15",AND(LEFT(M1357,2)&lt;&gt;"15",LEFT(M1357,2)&lt;&gt;"33"))),"x","")</f>
        <v/>
      </c>
      <c r="V1357" s="22" t="str">
        <f>IF(AND(OR(LEFT(TH!L1357,2)="15",LEFT(TH!M1357,2)="15"),'152-CT'!$J$8=TH!F1357),"x","")</f>
        <v/>
      </c>
      <c r="W1357" s="22" t="str">
        <f>IF(AND(OR(LEFT(TH!L1357,2)="15",LEFT(TH!M1357,2)="15"),TK!$E$7=TH!F1357),"x","")</f>
        <v/>
      </c>
      <c r="X1357" s="22" t="str">
        <f>IF(OR(TH!L1357=TH!$X$7,M1357=TH!$X$7),"x","")</f>
        <v/>
      </c>
      <c r="Y1357" s="22" t="str">
        <f>IF(AND(B1357&lt;=NKC!$N$8,B1357&gt;=NKC!$M$8),"x","")</f>
        <v/>
      </c>
      <c r="Z1357" s="580"/>
      <c r="AA1357" s="588"/>
      <c r="AB1357" s="588"/>
    </row>
    <row r="1358" spans="1:28" s="589" customFormat="1" ht="15.75" customHeight="1">
      <c r="A1358" s="607" t="str">
        <f>IF(B1358&lt;&gt;"",IF(AND(B1358&gt;=_TM1,B1358&lt;=_TM2,OR(TH!L1358="1111",TH!M1358="1111")),TH!D1358,""),"")</f>
        <v/>
      </c>
      <c r="B1358" s="585">
        <f t="shared" si="71"/>
        <v>12</v>
      </c>
      <c r="C1358" s="586">
        <f t="shared" si="70"/>
        <v>42726</v>
      </c>
      <c r="D1358" s="569" t="s">
        <v>1022</v>
      </c>
      <c r="E1358" s="611">
        <v>42726</v>
      </c>
      <c r="F1358" s="614" t="s">
        <v>509</v>
      </c>
      <c r="G1358" s="612" t="s">
        <v>905</v>
      </c>
      <c r="H1358" s="572" t="s">
        <v>1075</v>
      </c>
      <c r="I1358" s="137">
        <v>550</v>
      </c>
      <c r="J1358" s="137">
        <v>1521.7306190687616</v>
      </c>
      <c r="K1358" s="21">
        <f t="shared" si="68"/>
        <v>836952</v>
      </c>
      <c r="L1358" s="567" t="s">
        <v>167</v>
      </c>
      <c r="M1358" s="567" t="s">
        <v>162</v>
      </c>
      <c r="N1358" s="22" t="str">
        <f>IF(AND('331-CT'!$E$7=TH!H1358,OR(L1358="331",M1358="331")),"331",IF(AND(OR(L1358="131",M1358="131"),H1358='131-CT'!$E$7),"131",""))</f>
        <v/>
      </c>
      <c r="O1358" s="22" t="str">
        <f>IF(AND($B1358&gt;='111'!$N$11,$B1358&lt;='111'!$O$11,OR($L1358=$O$7,$M1358=$O$7)),"x","")</f>
        <v/>
      </c>
      <c r="P1358" s="22" t="str">
        <f>IF(AND($L1358=$O$7,$B1358&lt;'111'!$N$11),"x","")</f>
        <v/>
      </c>
      <c r="Q1358" s="22" t="str">
        <f>IF(AND($M1358=$O$7,$B1358&lt;'111'!$N$11),"x","")</f>
        <v/>
      </c>
      <c r="R1358" s="22" t="str">
        <f>IF(ISERROR(FIND('112'!$M$9,G1358,1)),"",IF((AND(FIND('112'!$M$9,G1358,1)&gt;=1,$B1358&gt;='112'!$N$8,$B1358&lt;='112'!$O$8,OR($L1358='112'!$I$6,$M1358='112'!$I$6))),"x",""))</f>
        <v/>
      </c>
      <c r="S1358" s="22" t="str">
        <f>IF(ISERROR(FIND('112'!$M$9,G1358,1)),"",IF((AND(LEFT(G1358,2)=LEFT('112'!$M$9,2),B1358&lt;'112'!$N$8,$L1358='112'!$I$6)),"x",""))</f>
        <v/>
      </c>
      <c r="T1358" s="22" t="str">
        <f>IF(ISERROR(FIND('112'!$M$9,G1358,1)),"",IF((AND(RIGHT(G1358,2)=RIGHT('112'!$M$9,2),B1358&lt;'112'!$N$8,$M1358='112'!$I$6)),"x",""))</f>
        <v/>
      </c>
      <c r="U1358" s="22" t="str">
        <f>IF(AND(B1358&gt;='IN-NX'!$P$3,B1358&lt;='IN-NX'!$Q$3,'IN-NX'!$D$7=D1358,OR(LEFT(L1358,2)="15",AND(LEFT(M1358,2)&lt;&gt;"15",LEFT(M1358,2)&lt;&gt;"33"))),"x","")</f>
        <v/>
      </c>
      <c r="V1358" s="22" t="str">
        <f>IF(AND(OR(LEFT(TH!L1358,2)="15",LEFT(TH!M1358,2)="15"),'152-CT'!$J$8=TH!F1358),"x","")</f>
        <v/>
      </c>
      <c r="W1358" s="22" t="str">
        <f>IF(AND(OR(LEFT(TH!L1358,2)="15",LEFT(TH!M1358,2)="15"),TK!$E$7=TH!F1358),"x","")</f>
        <v/>
      </c>
      <c r="X1358" s="22" t="str">
        <f>IF(OR(TH!L1358=TH!$X$7,M1358=TH!$X$7),"x","")</f>
        <v/>
      </c>
      <c r="Y1358" s="22" t="str">
        <f>IF(AND(B1358&lt;=NKC!$N$8,B1358&gt;=NKC!$M$8),"x","")</f>
        <v/>
      </c>
      <c r="Z1358" s="580"/>
      <c r="AA1358" s="588"/>
      <c r="AB1358" s="588"/>
    </row>
    <row r="1359" spans="1:28" s="589" customFormat="1" ht="15.75" customHeight="1">
      <c r="A1359" s="607" t="str">
        <f>IF(B1359&lt;&gt;"",IF(AND(B1359&gt;=_TM1,B1359&lt;=_TM2,OR(TH!L1359="1111",TH!M1359="1111")),TH!D1359,""),"")</f>
        <v/>
      </c>
      <c r="B1359" s="585">
        <f t="shared" si="71"/>
        <v>12</v>
      </c>
      <c r="C1359" s="586">
        <f t="shared" si="70"/>
        <v>42726</v>
      </c>
      <c r="D1359" s="569" t="s">
        <v>1022</v>
      </c>
      <c r="E1359" s="611">
        <v>42726</v>
      </c>
      <c r="F1359" s="614" t="s">
        <v>908</v>
      </c>
      <c r="G1359" s="612" t="s">
        <v>905</v>
      </c>
      <c r="H1359" s="572" t="s">
        <v>1075</v>
      </c>
      <c r="I1359" s="137">
        <v>132</v>
      </c>
      <c r="J1359" s="137">
        <v>1369.5575571618854</v>
      </c>
      <c r="K1359" s="21">
        <f t="shared" si="68"/>
        <v>180782</v>
      </c>
      <c r="L1359" s="567" t="s">
        <v>167</v>
      </c>
      <c r="M1359" s="567" t="s">
        <v>162</v>
      </c>
      <c r="N1359" s="22" t="str">
        <f>IF(AND('331-CT'!$E$7=TH!H1359,OR(L1359="331",M1359="331")),"331",IF(AND(OR(L1359="131",M1359="131"),H1359='131-CT'!$E$7),"131",""))</f>
        <v/>
      </c>
      <c r="O1359" s="22" t="str">
        <f>IF(AND($B1359&gt;='111'!$N$11,$B1359&lt;='111'!$O$11,OR($L1359=$O$7,$M1359=$O$7)),"x","")</f>
        <v/>
      </c>
      <c r="P1359" s="22" t="str">
        <f>IF(AND($L1359=$O$7,$B1359&lt;'111'!$N$11),"x","")</f>
        <v/>
      </c>
      <c r="Q1359" s="22" t="str">
        <f>IF(AND($M1359=$O$7,$B1359&lt;'111'!$N$11),"x","")</f>
        <v/>
      </c>
      <c r="R1359" s="22" t="str">
        <f>IF(ISERROR(FIND('112'!$M$9,G1359,1)),"",IF((AND(FIND('112'!$M$9,G1359,1)&gt;=1,$B1359&gt;='112'!$N$8,$B1359&lt;='112'!$O$8,OR($L1359='112'!$I$6,$M1359='112'!$I$6))),"x",""))</f>
        <v/>
      </c>
      <c r="S1359" s="22" t="str">
        <f>IF(ISERROR(FIND('112'!$M$9,G1359,1)),"",IF((AND(LEFT(G1359,2)=LEFT('112'!$M$9,2),B1359&lt;'112'!$N$8,$L1359='112'!$I$6)),"x",""))</f>
        <v/>
      </c>
      <c r="T1359" s="22" t="str">
        <f>IF(ISERROR(FIND('112'!$M$9,G1359,1)),"",IF((AND(RIGHT(G1359,2)=RIGHT('112'!$M$9,2),B1359&lt;'112'!$N$8,$M1359='112'!$I$6)),"x",""))</f>
        <v/>
      </c>
      <c r="U1359" s="22" t="str">
        <f>IF(AND(B1359&gt;='IN-NX'!$P$3,B1359&lt;='IN-NX'!$Q$3,'IN-NX'!$D$7=D1359,OR(LEFT(L1359,2)="15",AND(LEFT(M1359,2)&lt;&gt;"15",LEFT(M1359,2)&lt;&gt;"33"))),"x","")</f>
        <v/>
      </c>
      <c r="V1359" s="22" t="str">
        <f>IF(AND(OR(LEFT(TH!L1359,2)="15",LEFT(TH!M1359,2)="15"),'152-CT'!$J$8=TH!F1359),"x","")</f>
        <v/>
      </c>
      <c r="W1359" s="22" t="str">
        <f>IF(AND(OR(LEFT(TH!L1359,2)="15",LEFT(TH!M1359,2)="15"),TK!$E$7=TH!F1359),"x","")</f>
        <v/>
      </c>
      <c r="X1359" s="22" t="str">
        <f>IF(OR(TH!L1359=TH!$X$7,M1359=TH!$X$7),"x","")</f>
        <v/>
      </c>
      <c r="Y1359" s="22" t="str">
        <f>IF(AND(B1359&lt;=NKC!$N$8,B1359&gt;=NKC!$M$8),"x","")</f>
        <v/>
      </c>
      <c r="Z1359" s="580"/>
      <c r="AA1359" s="588"/>
      <c r="AB1359" s="588"/>
    </row>
    <row r="1360" spans="1:28" s="589" customFormat="1" ht="15.75" customHeight="1">
      <c r="A1360" s="607" t="str">
        <f>IF(B1360&lt;&gt;"",IF(AND(B1360&gt;=_TM1,B1360&lt;=_TM2,OR(TH!L1360="1111",TH!M1360="1111")),TH!D1360,""),"")</f>
        <v/>
      </c>
      <c r="B1360" s="585">
        <f t="shared" si="71"/>
        <v>12</v>
      </c>
      <c r="C1360" s="586">
        <f t="shared" si="70"/>
        <v>42726</v>
      </c>
      <c r="D1360" s="569" t="s">
        <v>1022</v>
      </c>
      <c r="E1360" s="611">
        <v>42726</v>
      </c>
      <c r="F1360" s="614" t="s">
        <v>500</v>
      </c>
      <c r="G1360" s="612" t="s">
        <v>909</v>
      </c>
      <c r="H1360" s="572" t="s">
        <v>1075</v>
      </c>
      <c r="I1360" s="137">
        <v>571</v>
      </c>
      <c r="J1360" s="137">
        <v>9739.075962040075</v>
      </c>
      <c r="K1360" s="21">
        <f t="shared" si="68"/>
        <v>5561012</v>
      </c>
      <c r="L1360" s="567" t="s">
        <v>167</v>
      </c>
      <c r="M1360" s="567" t="s">
        <v>162</v>
      </c>
      <c r="N1360" s="22" t="str">
        <f>IF(AND('331-CT'!$E$7=TH!H1360,OR(L1360="331",M1360="331")),"331",IF(AND(OR(L1360="131",M1360="131"),H1360='131-CT'!$E$7),"131",""))</f>
        <v/>
      </c>
      <c r="O1360" s="22" t="str">
        <f>IF(AND($B1360&gt;='111'!$N$11,$B1360&lt;='111'!$O$11,OR($L1360=$O$7,$M1360=$O$7)),"x","")</f>
        <v/>
      </c>
      <c r="P1360" s="22" t="str">
        <f>IF(AND($L1360=$O$7,$B1360&lt;'111'!$N$11),"x","")</f>
        <v/>
      </c>
      <c r="Q1360" s="22" t="str">
        <f>IF(AND($M1360=$O$7,$B1360&lt;'111'!$N$11),"x","")</f>
        <v/>
      </c>
      <c r="R1360" s="22" t="str">
        <f>IF(ISERROR(FIND('112'!$M$9,G1360,1)),"",IF((AND(FIND('112'!$M$9,G1360,1)&gt;=1,$B1360&gt;='112'!$N$8,$B1360&lt;='112'!$O$8,OR($L1360='112'!$I$6,$M1360='112'!$I$6))),"x",""))</f>
        <v/>
      </c>
      <c r="S1360" s="22" t="str">
        <f>IF(ISERROR(FIND('112'!$M$9,G1360,1)),"",IF((AND(LEFT(G1360,2)=LEFT('112'!$M$9,2),B1360&lt;'112'!$N$8,$L1360='112'!$I$6)),"x",""))</f>
        <v/>
      </c>
      <c r="T1360" s="22" t="str">
        <f>IF(ISERROR(FIND('112'!$M$9,G1360,1)),"",IF((AND(RIGHT(G1360,2)=RIGHT('112'!$M$9,2),B1360&lt;'112'!$N$8,$M1360='112'!$I$6)),"x",""))</f>
        <v/>
      </c>
      <c r="U1360" s="22" t="str">
        <f>IF(AND(B1360&gt;='IN-NX'!$P$3,B1360&lt;='IN-NX'!$Q$3,'IN-NX'!$D$7=D1360,OR(LEFT(L1360,2)="15",AND(LEFT(M1360,2)&lt;&gt;"15",LEFT(M1360,2)&lt;&gt;"33"))),"x","")</f>
        <v/>
      </c>
      <c r="V1360" s="22" t="str">
        <f>IF(AND(OR(LEFT(TH!L1360,2)="15",LEFT(TH!M1360,2)="15"),'152-CT'!$J$8=TH!F1360),"x","")</f>
        <v/>
      </c>
      <c r="W1360" s="22" t="str">
        <f>IF(AND(OR(LEFT(TH!L1360,2)="15",LEFT(TH!M1360,2)="15"),TK!$E$7=TH!F1360),"x","")</f>
        <v/>
      </c>
      <c r="X1360" s="22" t="str">
        <f>IF(OR(TH!L1360=TH!$X$7,M1360=TH!$X$7),"x","")</f>
        <v/>
      </c>
      <c r="Y1360" s="22" t="str">
        <f>IF(AND(B1360&lt;=NKC!$N$8,B1360&gt;=NKC!$M$8),"x","")</f>
        <v/>
      </c>
      <c r="Z1360" s="580"/>
      <c r="AA1360" s="588"/>
      <c r="AB1360" s="588"/>
    </row>
    <row r="1361" spans="1:28" s="589" customFormat="1" ht="15.75" customHeight="1">
      <c r="A1361" s="607" t="str">
        <f>IF(B1361&lt;&gt;"",IF(AND(B1361&gt;=_TM1,B1361&lt;=_TM2,OR(TH!L1361="1111",TH!M1361="1111")),TH!D1361,""),"")</f>
        <v/>
      </c>
      <c r="B1361" s="585">
        <f t="shared" si="71"/>
        <v>12</v>
      </c>
      <c r="C1361" s="586">
        <f t="shared" si="70"/>
        <v>42726</v>
      </c>
      <c r="D1361" s="569" t="s">
        <v>1022</v>
      </c>
      <c r="E1361" s="611">
        <v>42726</v>
      </c>
      <c r="F1361" s="614" t="s">
        <v>500</v>
      </c>
      <c r="G1361" s="612" t="s">
        <v>910</v>
      </c>
      <c r="H1361" s="572" t="s">
        <v>1075</v>
      </c>
      <c r="I1361" s="138">
        <v>633</v>
      </c>
      <c r="J1361" s="137">
        <v>9739.075962040075</v>
      </c>
      <c r="K1361" s="21">
        <f t="shared" si="68"/>
        <v>6164835</v>
      </c>
      <c r="L1361" s="567" t="s">
        <v>167</v>
      </c>
      <c r="M1361" s="567" t="s">
        <v>162</v>
      </c>
      <c r="N1361" s="22" t="str">
        <f>IF(AND('331-CT'!$E$7=TH!H1361,OR(L1361="331",M1361="331")),"331",IF(AND(OR(L1361="131",M1361="131"),H1361='131-CT'!$E$7),"131",""))</f>
        <v/>
      </c>
      <c r="O1361" s="22" t="str">
        <f>IF(AND($B1361&gt;='111'!$N$11,$B1361&lt;='111'!$O$11,OR($L1361=$O$7,$M1361=$O$7)),"x","")</f>
        <v/>
      </c>
      <c r="P1361" s="22" t="str">
        <f>IF(AND($L1361=$O$7,$B1361&lt;'111'!$N$11),"x","")</f>
        <v/>
      </c>
      <c r="Q1361" s="22" t="str">
        <f>IF(AND($M1361=$O$7,$B1361&lt;'111'!$N$11),"x","")</f>
        <v/>
      </c>
      <c r="R1361" s="22" t="str">
        <f>IF(ISERROR(FIND('112'!$M$9,G1361,1)),"",IF((AND(FIND('112'!$M$9,G1361,1)&gt;=1,$B1361&gt;='112'!$N$8,$B1361&lt;='112'!$O$8,OR($L1361='112'!$I$6,$M1361='112'!$I$6))),"x",""))</f>
        <v/>
      </c>
      <c r="S1361" s="22" t="str">
        <f>IF(ISERROR(FIND('112'!$M$9,G1361,1)),"",IF((AND(LEFT(G1361,2)=LEFT('112'!$M$9,2),B1361&lt;'112'!$N$8,$L1361='112'!$I$6)),"x",""))</f>
        <v/>
      </c>
      <c r="T1361" s="22" t="str">
        <f>IF(ISERROR(FIND('112'!$M$9,G1361,1)),"",IF((AND(RIGHT(G1361,2)=RIGHT('112'!$M$9,2),B1361&lt;'112'!$N$8,$M1361='112'!$I$6)),"x",""))</f>
        <v/>
      </c>
      <c r="U1361" s="22" t="str">
        <f>IF(AND(B1361&gt;='IN-NX'!$P$3,B1361&lt;='IN-NX'!$Q$3,'IN-NX'!$D$7=D1361,OR(LEFT(L1361,2)="15",AND(LEFT(M1361,2)&lt;&gt;"15",LEFT(M1361,2)&lt;&gt;"33"))),"x","")</f>
        <v/>
      </c>
      <c r="V1361" s="22" t="str">
        <f>IF(AND(OR(LEFT(TH!L1361,2)="15",LEFT(TH!M1361,2)="15"),'152-CT'!$J$8=TH!F1361),"x","")</f>
        <v/>
      </c>
      <c r="W1361" s="22" t="str">
        <f>IF(AND(OR(LEFT(TH!L1361,2)="15",LEFT(TH!M1361,2)="15"),TK!$E$7=TH!F1361),"x","")</f>
        <v/>
      </c>
      <c r="X1361" s="22" t="str">
        <f>IF(OR(TH!L1361=TH!$X$7,M1361=TH!$X$7),"x","")</f>
        <v/>
      </c>
      <c r="Y1361" s="22" t="str">
        <f>IF(AND(B1361&lt;=NKC!$N$8,B1361&gt;=NKC!$M$8),"x","")</f>
        <v/>
      </c>
      <c r="Z1361" s="580"/>
      <c r="AA1361" s="588"/>
    </row>
    <row r="1362" spans="1:28" s="589" customFormat="1" ht="15.75" customHeight="1">
      <c r="A1362" s="607" t="str">
        <f>IF(B1362&lt;&gt;"",IF(AND(B1362&gt;=_TM1,B1362&lt;=_TM2,OR(TH!L1362="1111",TH!M1362="1111")),TH!D1362,""),"")</f>
        <v/>
      </c>
      <c r="B1362" s="585">
        <f t="shared" si="71"/>
        <v>12</v>
      </c>
      <c r="C1362" s="586">
        <f t="shared" si="70"/>
        <v>42726</v>
      </c>
      <c r="D1362" s="569" t="s">
        <v>1022</v>
      </c>
      <c r="E1362" s="611">
        <v>42726</v>
      </c>
      <c r="F1362" s="614" t="s">
        <v>529</v>
      </c>
      <c r="G1362" s="612" t="s">
        <v>911</v>
      </c>
      <c r="H1362" s="572" t="s">
        <v>1075</v>
      </c>
      <c r="I1362" s="137">
        <v>288</v>
      </c>
      <c r="J1362" s="137">
        <v>55162.734941242605</v>
      </c>
      <c r="K1362" s="21">
        <f t="shared" si="68"/>
        <v>15886868</v>
      </c>
      <c r="L1362" s="567" t="s">
        <v>167</v>
      </c>
      <c r="M1362" s="567" t="s">
        <v>162</v>
      </c>
      <c r="N1362" s="22" t="str">
        <f>IF(AND('331-CT'!$E$7=TH!H1362,OR(L1362="331",M1362="331")),"331",IF(AND(OR(L1362="131",M1362="131"),H1362='131-CT'!$E$7),"131",""))</f>
        <v/>
      </c>
      <c r="O1362" s="22" t="str">
        <f>IF(AND($B1362&gt;='111'!$N$11,$B1362&lt;='111'!$O$11,OR($L1362=$O$7,$M1362=$O$7)),"x","")</f>
        <v/>
      </c>
      <c r="P1362" s="22" t="str">
        <f>IF(AND($L1362=$O$7,$B1362&lt;'111'!$N$11),"x","")</f>
        <v/>
      </c>
      <c r="Q1362" s="22" t="str">
        <f>IF(AND($M1362=$O$7,$B1362&lt;'111'!$N$11),"x","")</f>
        <v/>
      </c>
      <c r="R1362" s="22" t="str">
        <f>IF(ISERROR(FIND('112'!$M$9,G1362,1)),"",IF((AND(FIND('112'!$M$9,G1362,1)&gt;=1,$B1362&gt;='112'!$N$8,$B1362&lt;='112'!$O$8,OR($L1362='112'!$I$6,$M1362='112'!$I$6))),"x",""))</f>
        <v/>
      </c>
      <c r="S1362" s="22" t="str">
        <f>IF(ISERROR(FIND('112'!$M$9,G1362,1)),"",IF((AND(LEFT(G1362,2)=LEFT('112'!$M$9,2),B1362&lt;'112'!$N$8,$L1362='112'!$I$6)),"x",""))</f>
        <v/>
      </c>
      <c r="T1362" s="22" t="str">
        <f>IF(ISERROR(FIND('112'!$M$9,G1362,1)),"",IF((AND(RIGHT(G1362,2)=RIGHT('112'!$M$9,2),B1362&lt;'112'!$N$8,$M1362='112'!$I$6)),"x",""))</f>
        <v/>
      </c>
      <c r="U1362" s="22" t="str">
        <f>IF(AND(B1362&gt;='IN-NX'!$P$3,B1362&lt;='IN-NX'!$Q$3,'IN-NX'!$D$7=D1362,OR(LEFT(L1362,2)="15",AND(LEFT(M1362,2)&lt;&gt;"15",LEFT(M1362,2)&lt;&gt;"33"))),"x","")</f>
        <v/>
      </c>
      <c r="V1362" s="22" t="str">
        <f>IF(AND(OR(LEFT(TH!L1362,2)="15",LEFT(TH!M1362,2)="15"),'152-CT'!$J$8=TH!F1362),"x","")</f>
        <v/>
      </c>
      <c r="W1362" s="22" t="str">
        <f>IF(AND(OR(LEFT(TH!L1362,2)="15",LEFT(TH!M1362,2)="15"),TK!$E$7=TH!F1362),"x","")</f>
        <v/>
      </c>
      <c r="X1362" s="22" t="str">
        <f>IF(OR(TH!L1362=TH!$X$7,M1362=TH!$X$7),"x","")</f>
        <v/>
      </c>
      <c r="Y1362" s="22" t="str">
        <f>IF(AND(B1362&lt;=NKC!$N$8,B1362&gt;=NKC!$M$8),"x","")</f>
        <v/>
      </c>
      <c r="Z1362" s="580"/>
      <c r="AA1362" s="588"/>
      <c r="AB1362" s="588"/>
    </row>
    <row r="1363" spans="1:28" s="589" customFormat="1" ht="15.75" customHeight="1">
      <c r="A1363" s="607" t="str">
        <f>IF(B1363&lt;&gt;"",IF(AND(B1363&gt;=_TM1,B1363&lt;=_TM2,OR(TH!L1363="1111",TH!M1363="1111")),TH!D1363,""),"")</f>
        <v/>
      </c>
      <c r="B1363" s="585">
        <f t="shared" si="71"/>
        <v>12</v>
      </c>
      <c r="C1363" s="586">
        <f t="shared" si="70"/>
        <v>42726</v>
      </c>
      <c r="D1363" s="569" t="s">
        <v>1022</v>
      </c>
      <c r="E1363" s="611">
        <v>42726</v>
      </c>
      <c r="F1363" s="614" t="s">
        <v>912</v>
      </c>
      <c r="G1363" s="612" t="s">
        <v>911</v>
      </c>
      <c r="H1363" s="572" t="s">
        <v>1075</v>
      </c>
      <c r="I1363" s="137">
        <v>24</v>
      </c>
      <c r="J1363" s="137">
        <v>39717.169157694676</v>
      </c>
      <c r="K1363" s="21">
        <f t="shared" si="68"/>
        <v>953212</v>
      </c>
      <c r="L1363" s="567" t="s">
        <v>167</v>
      </c>
      <c r="M1363" s="567" t="s">
        <v>162</v>
      </c>
      <c r="N1363" s="22" t="str">
        <f>IF(AND('331-CT'!$E$7=TH!H1363,OR(L1363="331",M1363="331")),"331",IF(AND(OR(L1363="131",M1363="131"),H1363='131-CT'!$E$7),"131",""))</f>
        <v/>
      </c>
      <c r="O1363" s="22" t="str">
        <f>IF(AND($B1363&gt;='111'!$N$11,$B1363&lt;='111'!$O$11,OR($L1363=$O$7,$M1363=$O$7)),"x","")</f>
        <v/>
      </c>
      <c r="P1363" s="22" t="str">
        <f>IF(AND($L1363=$O$7,$B1363&lt;'111'!$N$11),"x","")</f>
        <v/>
      </c>
      <c r="Q1363" s="22" t="str">
        <f>IF(AND($M1363=$O$7,$B1363&lt;'111'!$N$11),"x","")</f>
        <v/>
      </c>
      <c r="R1363" s="22" t="str">
        <f>IF(ISERROR(FIND('112'!$M$9,G1363,1)),"",IF((AND(FIND('112'!$M$9,G1363,1)&gt;=1,$B1363&gt;='112'!$N$8,$B1363&lt;='112'!$O$8,OR($L1363='112'!$I$6,$M1363='112'!$I$6))),"x",""))</f>
        <v/>
      </c>
      <c r="S1363" s="22" t="str">
        <f>IF(ISERROR(FIND('112'!$M$9,G1363,1)),"",IF((AND(LEFT(G1363,2)=LEFT('112'!$M$9,2),B1363&lt;'112'!$N$8,$L1363='112'!$I$6)),"x",""))</f>
        <v/>
      </c>
      <c r="T1363" s="22" t="str">
        <f>IF(ISERROR(FIND('112'!$M$9,G1363,1)),"",IF((AND(RIGHT(G1363,2)=RIGHT('112'!$M$9,2),B1363&lt;'112'!$N$8,$M1363='112'!$I$6)),"x",""))</f>
        <v/>
      </c>
      <c r="U1363" s="22" t="str">
        <f>IF(AND(B1363&gt;='IN-NX'!$P$3,B1363&lt;='IN-NX'!$Q$3,'IN-NX'!$D$7=D1363,OR(LEFT(L1363,2)="15",AND(LEFT(M1363,2)&lt;&gt;"15",LEFT(M1363,2)&lt;&gt;"33"))),"x","")</f>
        <v/>
      </c>
      <c r="V1363" s="22" t="str">
        <f>IF(AND(OR(LEFT(TH!L1363,2)="15",LEFT(TH!M1363,2)="15"),'152-CT'!$J$8=TH!F1363),"x","")</f>
        <v/>
      </c>
      <c r="W1363" s="22" t="str">
        <f>IF(AND(OR(LEFT(TH!L1363,2)="15",LEFT(TH!M1363,2)="15"),TK!$E$7=TH!F1363),"x","")</f>
        <v/>
      </c>
      <c r="X1363" s="22" t="str">
        <f>IF(OR(TH!L1363=TH!$X$7,M1363=TH!$X$7),"x","")</f>
        <v/>
      </c>
      <c r="Y1363" s="22" t="str">
        <f>IF(AND(B1363&lt;=NKC!$N$8,B1363&gt;=NKC!$M$8),"x","")</f>
        <v/>
      </c>
      <c r="Z1363" s="580"/>
      <c r="AA1363" s="588"/>
      <c r="AB1363" s="588"/>
    </row>
    <row r="1364" spans="1:28" s="589" customFormat="1" ht="15.75" customHeight="1">
      <c r="A1364" s="607" t="str">
        <f>IF(B1364&lt;&gt;"",IF(AND(B1364&gt;=_TM1,B1364&lt;=_TM2,OR(TH!L1364="1111",TH!M1364="1111")),TH!D1364,""),"")</f>
        <v/>
      </c>
      <c r="B1364" s="585">
        <f t="shared" si="71"/>
        <v>12</v>
      </c>
      <c r="C1364" s="586">
        <f t="shared" si="70"/>
        <v>42726</v>
      </c>
      <c r="D1364" s="569" t="s">
        <v>1022</v>
      </c>
      <c r="E1364" s="611">
        <v>42726</v>
      </c>
      <c r="F1364" s="614" t="s">
        <v>813</v>
      </c>
      <c r="G1364" s="612" t="s">
        <v>913</v>
      </c>
      <c r="H1364" s="572" t="s">
        <v>1075</v>
      </c>
      <c r="I1364" s="591">
        <v>550</v>
      </c>
      <c r="J1364" s="591">
        <v>6391.2686000887979</v>
      </c>
      <c r="K1364" s="21">
        <f t="shared" si="68"/>
        <v>3515198</v>
      </c>
      <c r="L1364" s="567" t="s">
        <v>167</v>
      </c>
      <c r="M1364" s="567" t="s">
        <v>162</v>
      </c>
      <c r="N1364" s="22" t="str">
        <f>IF(AND('331-CT'!$E$7=TH!H1364,OR(L1364="331",M1364="331")),"331",IF(AND(OR(L1364="131",M1364="131"),H1364='131-CT'!$E$7),"131",""))</f>
        <v/>
      </c>
      <c r="O1364" s="22" t="str">
        <f>IF(AND($B1364&gt;='111'!$N$11,$B1364&lt;='111'!$O$11,OR($L1364=$O$7,$M1364=$O$7)),"x","")</f>
        <v/>
      </c>
      <c r="P1364" s="22" t="str">
        <f>IF(AND($L1364=$O$7,$B1364&lt;'111'!$N$11),"x","")</f>
        <v/>
      </c>
      <c r="Q1364" s="22" t="str">
        <f>IF(AND($M1364=$O$7,$B1364&lt;'111'!$N$11),"x","")</f>
        <v/>
      </c>
      <c r="R1364" s="22" t="str">
        <f>IF(ISERROR(FIND('112'!$M$9,G1364,1)),"",IF((AND(FIND('112'!$M$9,G1364,1)&gt;=1,$B1364&gt;='112'!$N$8,$B1364&lt;='112'!$O$8,OR($L1364='112'!$I$6,$M1364='112'!$I$6))),"x",""))</f>
        <v/>
      </c>
      <c r="S1364" s="22" t="str">
        <f>IF(ISERROR(FIND('112'!$M$9,G1364,1)),"",IF((AND(LEFT(G1364,2)=LEFT('112'!$M$9,2),B1364&lt;'112'!$N$8,$L1364='112'!$I$6)),"x",""))</f>
        <v/>
      </c>
      <c r="T1364" s="22" t="str">
        <f>IF(ISERROR(FIND('112'!$M$9,G1364,1)),"",IF((AND(RIGHT(G1364,2)=RIGHT('112'!$M$9,2),B1364&lt;'112'!$N$8,$M1364='112'!$I$6)),"x",""))</f>
        <v/>
      </c>
      <c r="U1364" s="22" t="str">
        <f>IF(AND(B1364&gt;='IN-NX'!$P$3,B1364&lt;='IN-NX'!$Q$3,'IN-NX'!$D$7=D1364,OR(LEFT(L1364,2)="15",AND(LEFT(M1364,2)&lt;&gt;"15",LEFT(M1364,2)&lt;&gt;"33"))),"x","")</f>
        <v/>
      </c>
      <c r="V1364" s="22" t="str">
        <f>IF(AND(OR(LEFT(TH!L1364,2)="15",LEFT(TH!M1364,2)="15"),'152-CT'!$J$8=TH!F1364),"x","")</f>
        <v/>
      </c>
      <c r="W1364" s="22" t="str">
        <f>IF(AND(OR(LEFT(TH!L1364,2)="15",LEFT(TH!M1364,2)="15"),TK!$E$7=TH!F1364),"x","")</f>
        <v/>
      </c>
      <c r="X1364" s="22" t="str">
        <f>IF(OR(TH!L1364=TH!$X$7,M1364=TH!$X$7),"x","")</f>
        <v/>
      </c>
      <c r="Y1364" s="22" t="str">
        <f>IF(AND(B1364&lt;=NKC!$N$8,B1364&gt;=NKC!$M$8),"x","")</f>
        <v/>
      </c>
      <c r="Z1364" s="580"/>
      <c r="AA1364" s="588"/>
      <c r="AB1364" s="588"/>
    </row>
    <row r="1365" spans="1:28" s="589" customFormat="1" ht="15.75" customHeight="1">
      <c r="A1365" s="607" t="str">
        <f>IF(B1365&lt;&gt;"",IF(AND(B1365&gt;=_TM1,B1365&lt;=_TM2,OR(TH!L1365="1111",TH!M1365="1111")),TH!D1365,""),"")</f>
        <v/>
      </c>
      <c r="B1365" s="585">
        <f t="shared" si="71"/>
        <v>12</v>
      </c>
      <c r="C1365" s="586">
        <f t="shared" si="70"/>
        <v>42727</v>
      </c>
      <c r="D1365" s="569" t="s">
        <v>1022</v>
      </c>
      <c r="E1365" s="611">
        <v>42727</v>
      </c>
      <c r="F1365" s="614" t="s">
        <v>813</v>
      </c>
      <c r="G1365" s="612" t="s">
        <v>914</v>
      </c>
      <c r="H1365" s="572" t="s">
        <v>1075</v>
      </c>
      <c r="I1365" s="137">
        <v>2400</v>
      </c>
      <c r="J1365" s="137">
        <v>6391.2686000887979</v>
      </c>
      <c r="K1365" s="21">
        <f t="shared" si="68"/>
        <v>15339045</v>
      </c>
      <c r="L1365" s="567" t="s">
        <v>167</v>
      </c>
      <c r="M1365" s="567" t="s">
        <v>162</v>
      </c>
      <c r="N1365" s="22" t="str">
        <f>IF(AND('331-CT'!$E$7=TH!H1365,OR(L1365="331",M1365="331")),"331",IF(AND(OR(L1365="131",M1365="131"),H1365='131-CT'!$E$7),"131",""))</f>
        <v/>
      </c>
      <c r="O1365" s="22" t="str">
        <f>IF(AND($B1365&gt;='111'!$N$11,$B1365&lt;='111'!$O$11,OR($L1365=$O$7,$M1365=$O$7)),"x","")</f>
        <v/>
      </c>
      <c r="P1365" s="22" t="str">
        <f>IF(AND($L1365=$O$7,$B1365&lt;'111'!$N$11),"x","")</f>
        <v/>
      </c>
      <c r="Q1365" s="22" t="str">
        <f>IF(AND($M1365=$O$7,$B1365&lt;'111'!$N$11),"x","")</f>
        <v/>
      </c>
      <c r="R1365" s="22" t="str">
        <f>IF(ISERROR(FIND('112'!$M$9,G1365,1)),"",IF((AND(FIND('112'!$M$9,G1365,1)&gt;=1,$B1365&gt;='112'!$N$8,$B1365&lt;='112'!$O$8,OR($L1365='112'!$I$6,$M1365='112'!$I$6))),"x",""))</f>
        <v/>
      </c>
      <c r="S1365" s="22" t="str">
        <f>IF(ISERROR(FIND('112'!$M$9,G1365,1)),"",IF((AND(LEFT(G1365,2)=LEFT('112'!$M$9,2),B1365&lt;'112'!$N$8,$L1365='112'!$I$6)),"x",""))</f>
        <v/>
      </c>
      <c r="T1365" s="22" t="str">
        <f>IF(ISERROR(FIND('112'!$M$9,G1365,1)),"",IF((AND(RIGHT(G1365,2)=RIGHT('112'!$M$9,2),B1365&lt;'112'!$N$8,$M1365='112'!$I$6)),"x",""))</f>
        <v/>
      </c>
      <c r="U1365" s="22" t="str">
        <f>IF(AND(B1365&gt;='IN-NX'!$P$3,B1365&lt;='IN-NX'!$Q$3,'IN-NX'!$D$7=D1365,OR(LEFT(L1365,2)="15",AND(LEFT(M1365,2)&lt;&gt;"15",LEFT(M1365,2)&lt;&gt;"33"))),"x","")</f>
        <v/>
      </c>
      <c r="V1365" s="22" t="str">
        <f>IF(AND(OR(LEFT(TH!L1365,2)="15",LEFT(TH!M1365,2)="15"),'152-CT'!$J$8=TH!F1365),"x","")</f>
        <v/>
      </c>
      <c r="W1365" s="22" t="str">
        <f>IF(AND(OR(LEFT(TH!L1365,2)="15",LEFT(TH!M1365,2)="15"),TK!$E$7=TH!F1365),"x","")</f>
        <v/>
      </c>
      <c r="X1365" s="22" t="str">
        <f>IF(OR(TH!L1365=TH!$X$7,M1365=TH!$X$7),"x","")</f>
        <v/>
      </c>
      <c r="Y1365" s="22" t="str">
        <f>IF(AND(B1365&lt;=NKC!$N$8,B1365&gt;=NKC!$M$8),"x","")</f>
        <v/>
      </c>
      <c r="Z1365" s="580"/>
      <c r="AA1365" s="588"/>
    </row>
    <row r="1366" spans="1:28" s="589" customFormat="1" ht="15.75" customHeight="1">
      <c r="A1366" s="607" t="str">
        <f>IF(B1366&lt;&gt;"",IF(AND(B1366&gt;=_TM1,B1366&lt;=_TM2,OR(TH!L1366="1111",TH!M1366="1111")),TH!D1366,""),"")</f>
        <v/>
      </c>
      <c r="B1366" s="585">
        <f t="shared" si="71"/>
        <v>12</v>
      </c>
      <c r="C1366" s="586">
        <f t="shared" si="70"/>
        <v>42728</v>
      </c>
      <c r="D1366" s="569" t="s">
        <v>1022</v>
      </c>
      <c r="E1366" s="611">
        <v>42728</v>
      </c>
      <c r="F1366" s="614" t="s">
        <v>916</v>
      </c>
      <c r="G1366" s="612" t="s">
        <v>915</v>
      </c>
      <c r="H1366" s="572" t="s">
        <v>1075</v>
      </c>
      <c r="I1366" s="137">
        <v>1010</v>
      </c>
      <c r="J1366" s="137">
        <v>8673.86452869194</v>
      </c>
      <c r="K1366" s="21">
        <f t="shared" si="68"/>
        <v>8760603</v>
      </c>
      <c r="L1366" s="567" t="s">
        <v>167</v>
      </c>
      <c r="M1366" s="567" t="s">
        <v>162</v>
      </c>
      <c r="N1366" s="22" t="str">
        <f>IF(AND('331-CT'!$E$7=TH!H1366,OR(L1366="331",M1366="331")),"331",IF(AND(OR(L1366="131",M1366="131"),H1366='131-CT'!$E$7),"131",""))</f>
        <v/>
      </c>
      <c r="O1366" s="22" t="str">
        <f>IF(AND($B1366&gt;='111'!$N$11,$B1366&lt;='111'!$O$11,OR($L1366=$O$7,$M1366=$O$7)),"x","")</f>
        <v/>
      </c>
      <c r="P1366" s="22" t="str">
        <f>IF(AND($L1366=$O$7,$B1366&lt;'111'!$N$11),"x","")</f>
        <v/>
      </c>
      <c r="Q1366" s="22" t="str">
        <f>IF(AND($M1366=$O$7,$B1366&lt;'111'!$N$11),"x","")</f>
        <v/>
      </c>
      <c r="R1366" s="22" t="str">
        <f>IF(ISERROR(FIND('112'!$M$9,G1366,1)),"",IF((AND(FIND('112'!$M$9,G1366,1)&gt;=1,$B1366&gt;='112'!$N$8,$B1366&lt;='112'!$O$8,OR($L1366='112'!$I$6,$M1366='112'!$I$6))),"x",""))</f>
        <v/>
      </c>
      <c r="S1366" s="22" t="str">
        <f>IF(ISERROR(FIND('112'!$M$9,G1366,1)),"",IF((AND(LEFT(G1366,2)=LEFT('112'!$M$9,2),B1366&lt;'112'!$N$8,$L1366='112'!$I$6)),"x",""))</f>
        <v/>
      </c>
      <c r="T1366" s="22" t="str">
        <f>IF(ISERROR(FIND('112'!$M$9,G1366,1)),"",IF((AND(RIGHT(G1366,2)=RIGHT('112'!$M$9,2),B1366&lt;'112'!$N$8,$M1366='112'!$I$6)),"x",""))</f>
        <v/>
      </c>
      <c r="U1366" s="22" t="str">
        <f>IF(AND(B1366&gt;='IN-NX'!$P$3,B1366&lt;='IN-NX'!$Q$3,'IN-NX'!$D$7=D1366,OR(LEFT(L1366,2)="15",AND(LEFT(M1366,2)&lt;&gt;"15",LEFT(M1366,2)&lt;&gt;"33"))),"x","")</f>
        <v/>
      </c>
      <c r="V1366" s="22" t="str">
        <f>IF(AND(OR(LEFT(TH!L1366,2)="15",LEFT(TH!M1366,2)="15"),'152-CT'!$J$8=TH!F1366),"x","")</f>
        <v/>
      </c>
      <c r="W1366" s="22" t="str">
        <f>IF(AND(OR(LEFT(TH!L1366,2)="15",LEFT(TH!M1366,2)="15"),TK!$E$7=TH!F1366),"x","")</f>
        <v/>
      </c>
      <c r="X1366" s="22" t="str">
        <f>IF(OR(TH!L1366=TH!$X$7,M1366=TH!$X$7),"x","")</f>
        <v/>
      </c>
      <c r="Y1366" s="22" t="str">
        <f>IF(AND(B1366&lt;=NKC!$N$8,B1366&gt;=NKC!$M$8),"x","")</f>
        <v/>
      </c>
      <c r="Z1366" s="580"/>
      <c r="AA1366" s="588"/>
      <c r="AB1366" s="588"/>
    </row>
    <row r="1367" spans="1:28" s="589" customFormat="1" ht="15.75" customHeight="1">
      <c r="A1367" s="607" t="str">
        <f>IF(B1367&lt;&gt;"",IF(AND(B1367&gt;=_TM1,B1367&lt;=_TM2,OR(TH!L1367="1111",TH!M1367="1111")),TH!D1367,""),"")</f>
        <v/>
      </c>
      <c r="B1367" s="585">
        <f t="shared" si="71"/>
        <v>12</v>
      </c>
      <c r="C1367" s="586">
        <f t="shared" si="70"/>
        <v>42728</v>
      </c>
      <c r="D1367" s="569" t="s">
        <v>1022</v>
      </c>
      <c r="E1367" s="611">
        <v>42728</v>
      </c>
      <c r="F1367" s="614" t="s">
        <v>917</v>
      </c>
      <c r="G1367" s="612" t="s">
        <v>915</v>
      </c>
      <c r="H1367" s="572" t="s">
        <v>1075</v>
      </c>
      <c r="I1367" s="137">
        <v>1006</v>
      </c>
      <c r="J1367" s="137">
        <v>7456.4800334369311</v>
      </c>
      <c r="K1367" s="21">
        <f t="shared" si="68"/>
        <v>7501219</v>
      </c>
      <c r="L1367" s="567" t="s">
        <v>167</v>
      </c>
      <c r="M1367" s="567" t="s">
        <v>162</v>
      </c>
      <c r="N1367" s="22" t="str">
        <f>IF(AND('331-CT'!$E$7=TH!H1367,OR(L1367="331",M1367="331")),"331",IF(AND(OR(L1367="131",M1367="131"),H1367='131-CT'!$E$7),"131",""))</f>
        <v/>
      </c>
      <c r="O1367" s="22" t="str">
        <f>IF(AND($B1367&gt;='111'!$N$11,$B1367&lt;='111'!$O$11,OR($L1367=$O$7,$M1367=$O$7)),"x","")</f>
        <v/>
      </c>
      <c r="P1367" s="22" t="str">
        <f>IF(AND($L1367=$O$7,$B1367&lt;'111'!$N$11),"x","")</f>
        <v/>
      </c>
      <c r="Q1367" s="22" t="str">
        <f>IF(AND($M1367=$O$7,$B1367&lt;'111'!$N$11),"x","")</f>
        <v/>
      </c>
      <c r="R1367" s="22" t="str">
        <f>IF(ISERROR(FIND('112'!$M$9,G1367,1)),"",IF((AND(FIND('112'!$M$9,G1367,1)&gt;=1,$B1367&gt;='112'!$N$8,$B1367&lt;='112'!$O$8,OR($L1367='112'!$I$6,$M1367='112'!$I$6))),"x",""))</f>
        <v/>
      </c>
      <c r="S1367" s="22" t="str">
        <f>IF(ISERROR(FIND('112'!$M$9,G1367,1)),"",IF((AND(LEFT(G1367,2)=LEFT('112'!$M$9,2),B1367&lt;'112'!$N$8,$L1367='112'!$I$6)),"x",""))</f>
        <v/>
      </c>
      <c r="T1367" s="22" t="str">
        <f>IF(ISERROR(FIND('112'!$M$9,G1367,1)),"",IF((AND(RIGHT(G1367,2)=RIGHT('112'!$M$9,2),B1367&lt;'112'!$N$8,$M1367='112'!$I$6)),"x",""))</f>
        <v/>
      </c>
      <c r="U1367" s="22" t="str">
        <f>IF(AND(B1367&gt;='IN-NX'!$P$3,B1367&lt;='IN-NX'!$Q$3,'IN-NX'!$D$7=D1367,OR(LEFT(L1367,2)="15",AND(LEFT(M1367,2)&lt;&gt;"15",LEFT(M1367,2)&lt;&gt;"33"))),"x","")</f>
        <v/>
      </c>
      <c r="V1367" s="22" t="str">
        <f>IF(AND(OR(LEFT(TH!L1367,2)="15",LEFT(TH!M1367,2)="15"),'152-CT'!$J$8=TH!F1367),"x","")</f>
        <v/>
      </c>
      <c r="W1367" s="22" t="str">
        <f>IF(AND(OR(LEFT(TH!L1367,2)="15",LEFT(TH!M1367,2)="15"),TK!$E$7=TH!F1367),"x","")</f>
        <v/>
      </c>
      <c r="X1367" s="22" t="str">
        <f>IF(OR(TH!L1367=TH!$X$7,M1367=TH!$X$7),"x","")</f>
        <v/>
      </c>
      <c r="Y1367" s="22" t="str">
        <f>IF(AND(B1367&lt;=NKC!$N$8,B1367&gt;=NKC!$M$8),"x","")</f>
        <v/>
      </c>
      <c r="Z1367" s="580"/>
      <c r="AA1367" s="588"/>
    </row>
    <row r="1368" spans="1:28" s="589" customFormat="1" ht="15.75" customHeight="1">
      <c r="A1368" s="607" t="str">
        <f>IF(B1368&lt;&gt;"",IF(AND(B1368&gt;=_TM1,B1368&lt;=_TM2,OR(TH!L1368="1111",TH!M1368="1111")),TH!D1368,""),"")</f>
        <v/>
      </c>
      <c r="B1368" s="585">
        <f t="shared" si="71"/>
        <v>12</v>
      </c>
      <c r="C1368" s="586">
        <f t="shared" si="70"/>
        <v>42728</v>
      </c>
      <c r="D1368" s="569" t="s">
        <v>1022</v>
      </c>
      <c r="E1368" s="611">
        <v>42728</v>
      </c>
      <c r="F1368" s="614" t="s">
        <v>813</v>
      </c>
      <c r="G1368" s="612" t="s">
        <v>918</v>
      </c>
      <c r="H1368" s="572" t="s">
        <v>1075</v>
      </c>
      <c r="I1368" s="138">
        <v>2400</v>
      </c>
      <c r="J1368" s="138">
        <v>6391.2686000887979</v>
      </c>
      <c r="K1368" s="21">
        <f t="shared" si="68"/>
        <v>15339045</v>
      </c>
      <c r="L1368" s="567" t="s">
        <v>167</v>
      </c>
      <c r="M1368" s="567" t="s">
        <v>162</v>
      </c>
      <c r="N1368" s="22" t="str">
        <f>IF(AND('331-CT'!$E$7=TH!H1368,OR(L1368="331",M1368="331")),"331",IF(AND(OR(L1368="131",M1368="131"),H1368='131-CT'!$E$7),"131",""))</f>
        <v/>
      </c>
      <c r="O1368" s="22" t="str">
        <f>IF(AND($B1368&gt;='111'!$N$11,$B1368&lt;='111'!$O$11,OR($L1368=$O$7,$M1368=$O$7)),"x","")</f>
        <v/>
      </c>
      <c r="P1368" s="22" t="str">
        <f>IF(AND($L1368=$O$7,$B1368&lt;'111'!$N$11),"x","")</f>
        <v/>
      </c>
      <c r="Q1368" s="22" t="str">
        <f>IF(AND($M1368=$O$7,$B1368&lt;'111'!$N$11),"x","")</f>
        <v/>
      </c>
      <c r="R1368" s="22" t="str">
        <f>IF(ISERROR(FIND('112'!$M$9,G1368,1)),"",IF((AND(FIND('112'!$M$9,G1368,1)&gt;=1,$B1368&gt;='112'!$N$8,$B1368&lt;='112'!$O$8,OR($L1368='112'!$I$6,$M1368='112'!$I$6))),"x",""))</f>
        <v/>
      </c>
      <c r="S1368" s="22" t="str">
        <f>IF(ISERROR(FIND('112'!$M$9,G1368,1)),"",IF((AND(LEFT(G1368,2)=LEFT('112'!$M$9,2),B1368&lt;'112'!$N$8,$L1368='112'!$I$6)),"x",""))</f>
        <v/>
      </c>
      <c r="T1368" s="22" t="str">
        <f>IF(ISERROR(FIND('112'!$M$9,G1368,1)),"",IF((AND(RIGHT(G1368,2)=RIGHT('112'!$M$9,2),B1368&lt;'112'!$N$8,$M1368='112'!$I$6)),"x",""))</f>
        <v/>
      </c>
      <c r="U1368" s="22" t="str">
        <f>IF(AND(B1368&gt;='IN-NX'!$P$3,B1368&lt;='IN-NX'!$Q$3,'IN-NX'!$D$7=D1368,OR(LEFT(L1368,2)="15",AND(LEFT(M1368,2)&lt;&gt;"15",LEFT(M1368,2)&lt;&gt;"33"))),"x","")</f>
        <v/>
      </c>
      <c r="V1368" s="22" t="str">
        <f>IF(AND(OR(LEFT(TH!L1368,2)="15",LEFT(TH!M1368,2)="15"),'152-CT'!$J$8=TH!F1368),"x","")</f>
        <v/>
      </c>
      <c r="W1368" s="22" t="str">
        <f>IF(AND(OR(LEFT(TH!L1368,2)="15",LEFT(TH!M1368,2)="15"),TK!$E$7=TH!F1368),"x","")</f>
        <v/>
      </c>
      <c r="X1368" s="22" t="str">
        <f>IF(OR(TH!L1368=TH!$X$7,M1368=TH!$X$7),"x","")</f>
        <v/>
      </c>
      <c r="Y1368" s="22" t="str">
        <f>IF(AND(B1368&lt;=NKC!$N$8,B1368&gt;=NKC!$M$8),"x","")</f>
        <v/>
      </c>
      <c r="Z1368" s="580"/>
      <c r="AA1368" s="588"/>
      <c r="AB1368" s="588"/>
    </row>
    <row r="1369" spans="1:28" s="589" customFormat="1" ht="15.75" customHeight="1">
      <c r="A1369" s="607" t="str">
        <f>IF(B1369&lt;&gt;"",IF(AND(B1369&gt;=_TM1,B1369&lt;=_TM2,OR(TH!L1369="1111",TH!M1369="1111")),TH!D1369,""),"")</f>
        <v/>
      </c>
      <c r="B1369" s="585">
        <f t="shared" si="71"/>
        <v>12</v>
      </c>
      <c r="C1369" s="586">
        <f t="shared" si="70"/>
        <v>42729</v>
      </c>
      <c r="D1369" s="569" t="s">
        <v>1022</v>
      </c>
      <c r="E1369" s="611">
        <v>42729</v>
      </c>
      <c r="F1369" s="614" t="s">
        <v>920</v>
      </c>
      <c r="G1369" s="612" t="s">
        <v>919</v>
      </c>
      <c r="H1369" s="572" t="s">
        <v>1075</v>
      </c>
      <c r="I1369" s="137">
        <v>1070</v>
      </c>
      <c r="J1369" s="137">
        <v>7304.3069715300553</v>
      </c>
      <c r="K1369" s="21">
        <f t="shared" si="68"/>
        <v>7815608</v>
      </c>
      <c r="L1369" s="567" t="s">
        <v>167</v>
      </c>
      <c r="M1369" s="567" t="s">
        <v>162</v>
      </c>
      <c r="N1369" s="22" t="str">
        <f>IF(AND('331-CT'!$E$7=TH!H1369,OR(L1369="331",M1369="331")),"331",IF(AND(OR(L1369="131",M1369="131"),H1369='131-CT'!$E$7),"131",""))</f>
        <v/>
      </c>
      <c r="O1369" s="22" t="str">
        <f>IF(AND($B1369&gt;='111'!$N$11,$B1369&lt;='111'!$O$11,OR($L1369=$O$7,$M1369=$O$7)),"x","")</f>
        <v/>
      </c>
      <c r="P1369" s="22" t="str">
        <f>IF(AND($L1369=$O$7,$B1369&lt;'111'!$N$11),"x","")</f>
        <v/>
      </c>
      <c r="Q1369" s="22" t="str">
        <f>IF(AND($M1369=$O$7,$B1369&lt;'111'!$N$11),"x","")</f>
        <v/>
      </c>
      <c r="R1369" s="22" t="str">
        <f>IF(ISERROR(FIND('112'!$M$9,G1369,1)),"",IF((AND(FIND('112'!$M$9,G1369,1)&gt;=1,$B1369&gt;='112'!$N$8,$B1369&lt;='112'!$O$8,OR($L1369='112'!$I$6,$M1369='112'!$I$6))),"x",""))</f>
        <v/>
      </c>
      <c r="S1369" s="22" t="str">
        <f>IF(ISERROR(FIND('112'!$M$9,G1369,1)),"",IF((AND(LEFT(G1369,2)=LEFT('112'!$M$9,2),B1369&lt;'112'!$N$8,$L1369='112'!$I$6)),"x",""))</f>
        <v/>
      </c>
      <c r="T1369" s="22" t="str">
        <f>IF(ISERROR(FIND('112'!$M$9,G1369,1)),"",IF((AND(RIGHT(G1369,2)=RIGHT('112'!$M$9,2),B1369&lt;'112'!$N$8,$M1369='112'!$I$6)),"x",""))</f>
        <v/>
      </c>
      <c r="U1369" s="22" t="str">
        <f>IF(AND(B1369&gt;='IN-NX'!$P$3,B1369&lt;='IN-NX'!$Q$3,'IN-NX'!$D$7=D1369,OR(LEFT(L1369,2)="15",AND(LEFT(M1369,2)&lt;&gt;"15",LEFT(M1369,2)&lt;&gt;"33"))),"x","")</f>
        <v/>
      </c>
      <c r="V1369" s="22" t="str">
        <f>IF(AND(OR(LEFT(TH!L1369,2)="15",LEFT(TH!M1369,2)="15"),'152-CT'!$J$8=TH!F1369),"x","")</f>
        <v/>
      </c>
      <c r="W1369" s="22" t="str">
        <f>IF(AND(OR(LEFT(TH!L1369,2)="15",LEFT(TH!M1369,2)="15"),TK!$E$7=TH!F1369),"x","")</f>
        <v/>
      </c>
      <c r="X1369" s="22" t="str">
        <f>IF(OR(TH!L1369=TH!$X$7,M1369=TH!$X$7),"x","")</f>
        <v/>
      </c>
      <c r="Y1369" s="22" t="str">
        <f>IF(AND(B1369&lt;=NKC!$N$8,B1369&gt;=NKC!$M$8),"x","")</f>
        <v/>
      </c>
      <c r="Z1369" s="580"/>
      <c r="AA1369" s="588"/>
      <c r="AB1369" s="588"/>
    </row>
    <row r="1370" spans="1:28" s="589" customFormat="1" ht="15.75" customHeight="1">
      <c r="A1370" s="607" t="str">
        <f>IF(B1370&lt;&gt;"",IF(AND(B1370&gt;=_TM1,B1370&lt;=_TM2,OR(TH!L1370="1111",TH!M1370="1111")),TH!D1370,""),"")</f>
        <v/>
      </c>
      <c r="B1370" s="585">
        <f t="shared" si="71"/>
        <v>12</v>
      </c>
      <c r="C1370" s="586">
        <f t="shared" si="70"/>
        <v>42729</v>
      </c>
      <c r="D1370" s="569" t="s">
        <v>1022</v>
      </c>
      <c r="E1370" s="611">
        <v>42729</v>
      </c>
      <c r="F1370" s="614" t="s">
        <v>813</v>
      </c>
      <c r="G1370" s="612" t="s">
        <v>922</v>
      </c>
      <c r="H1370" s="572" t="s">
        <v>1075</v>
      </c>
      <c r="I1370" s="137">
        <v>2400</v>
      </c>
      <c r="J1370" s="137">
        <v>6391.2686000887979</v>
      </c>
      <c r="K1370" s="21">
        <f t="shared" si="68"/>
        <v>15339045</v>
      </c>
      <c r="L1370" s="567" t="s">
        <v>167</v>
      </c>
      <c r="M1370" s="567" t="s">
        <v>162</v>
      </c>
      <c r="N1370" s="22" t="str">
        <f>IF(AND('331-CT'!$E$7=TH!H1370,OR(L1370="331",M1370="331")),"331",IF(AND(OR(L1370="131",M1370="131"),H1370='131-CT'!$E$7),"131",""))</f>
        <v/>
      </c>
      <c r="O1370" s="22" t="str">
        <f>IF(AND($B1370&gt;='111'!$N$11,$B1370&lt;='111'!$O$11,OR($L1370=$O$7,$M1370=$O$7)),"x","")</f>
        <v/>
      </c>
      <c r="P1370" s="22" t="str">
        <f>IF(AND($L1370=$O$7,$B1370&lt;'111'!$N$11),"x","")</f>
        <v/>
      </c>
      <c r="Q1370" s="22" t="str">
        <f>IF(AND($M1370=$O$7,$B1370&lt;'111'!$N$11),"x","")</f>
        <v/>
      </c>
      <c r="R1370" s="22" t="str">
        <f>IF(ISERROR(FIND('112'!$M$9,G1370,1)),"",IF((AND(FIND('112'!$M$9,G1370,1)&gt;=1,$B1370&gt;='112'!$N$8,$B1370&lt;='112'!$O$8,OR($L1370='112'!$I$6,$M1370='112'!$I$6))),"x",""))</f>
        <v/>
      </c>
      <c r="S1370" s="22" t="str">
        <f>IF(ISERROR(FIND('112'!$M$9,G1370,1)),"",IF((AND(LEFT(G1370,2)=LEFT('112'!$M$9,2),B1370&lt;'112'!$N$8,$L1370='112'!$I$6)),"x",""))</f>
        <v/>
      </c>
      <c r="T1370" s="22" t="str">
        <f>IF(ISERROR(FIND('112'!$M$9,G1370,1)),"",IF((AND(RIGHT(G1370,2)=RIGHT('112'!$M$9,2),B1370&lt;'112'!$N$8,$M1370='112'!$I$6)),"x",""))</f>
        <v/>
      </c>
      <c r="U1370" s="22" t="str">
        <f>IF(AND(B1370&gt;='IN-NX'!$P$3,B1370&lt;='IN-NX'!$Q$3,'IN-NX'!$D$7=D1370,OR(LEFT(L1370,2)="15",AND(LEFT(M1370,2)&lt;&gt;"15",LEFT(M1370,2)&lt;&gt;"33"))),"x","")</f>
        <v/>
      </c>
      <c r="V1370" s="22" t="str">
        <f>IF(AND(OR(LEFT(TH!L1370,2)="15",LEFT(TH!M1370,2)="15"),'152-CT'!$J$8=TH!F1370),"x","")</f>
        <v/>
      </c>
      <c r="W1370" s="22" t="str">
        <f>IF(AND(OR(LEFT(TH!L1370,2)="15",LEFT(TH!M1370,2)="15"),TK!$E$7=TH!F1370),"x","")</f>
        <v/>
      </c>
      <c r="X1370" s="22" t="str">
        <f>IF(OR(TH!L1370=TH!$X$7,M1370=TH!$X$7),"x","")</f>
        <v/>
      </c>
      <c r="Y1370" s="22" t="str">
        <f>IF(AND(B1370&lt;=NKC!$N$8,B1370&gt;=NKC!$M$8),"x","")</f>
        <v/>
      </c>
      <c r="Z1370" s="580"/>
      <c r="AA1370" s="588"/>
      <c r="AB1370" s="588"/>
    </row>
    <row r="1371" spans="1:28" s="589" customFormat="1" ht="15.75" customHeight="1">
      <c r="A1371" s="607" t="str">
        <f>IF(B1371&lt;&gt;"",IF(AND(B1371&gt;=_TM1,B1371&lt;=_TM2,OR(TH!L1371="1111",TH!M1371="1111")),TH!D1371,""),"")</f>
        <v/>
      </c>
      <c r="B1371" s="585">
        <f t="shared" si="71"/>
        <v>12</v>
      </c>
      <c r="C1371" s="586">
        <f t="shared" si="70"/>
        <v>42730</v>
      </c>
      <c r="D1371" s="569" t="s">
        <v>1022</v>
      </c>
      <c r="E1371" s="611">
        <v>42730</v>
      </c>
      <c r="F1371" s="614" t="s">
        <v>813</v>
      </c>
      <c r="G1371" s="612" t="s">
        <v>923</v>
      </c>
      <c r="H1371" s="572" t="s">
        <v>1075</v>
      </c>
      <c r="I1371" s="137">
        <v>1200</v>
      </c>
      <c r="J1371" s="137">
        <v>6391.2686000887979</v>
      </c>
      <c r="K1371" s="21">
        <f t="shared" si="68"/>
        <v>7669522</v>
      </c>
      <c r="L1371" s="567" t="s">
        <v>167</v>
      </c>
      <c r="M1371" s="567" t="s">
        <v>162</v>
      </c>
      <c r="N1371" s="22" t="str">
        <f>IF(AND('331-CT'!$E$7=TH!H1371,OR(L1371="331",M1371="331")),"331",IF(AND(OR(L1371="131",M1371="131"),H1371='131-CT'!$E$7),"131",""))</f>
        <v/>
      </c>
      <c r="O1371" s="22" t="str">
        <f>IF(AND($B1371&gt;='111'!$N$11,$B1371&lt;='111'!$O$11,OR($L1371=$O$7,$M1371=$O$7)),"x","")</f>
        <v/>
      </c>
      <c r="P1371" s="22" t="str">
        <f>IF(AND($L1371=$O$7,$B1371&lt;'111'!$N$11),"x","")</f>
        <v/>
      </c>
      <c r="Q1371" s="22" t="str">
        <f>IF(AND($M1371=$O$7,$B1371&lt;'111'!$N$11),"x","")</f>
        <v/>
      </c>
      <c r="R1371" s="22" t="str">
        <f>IF(ISERROR(FIND('112'!$M$9,G1371,1)),"",IF((AND(FIND('112'!$M$9,G1371,1)&gt;=1,$B1371&gt;='112'!$N$8,$B1371&lt;='112'!$O$8,OR($L1371='112'!$I$6,$M1371='112'!$I$6))),"x",""))</f>
        <v/>
      </c>
      <c r="S1371" s="22" t="str">
        <f>IF(ISERROR(FIND('112'!$M$9,G1371,1)),"",IF((AND(LEFT(G1371,2)=LEFT('112'!$M$9,2),B1371&lt;'112'!$N$8,$L1371='112'!$I$6)),"x",""))</f>
        <v/>
      </c>
      <c r="T1371" s="22" t="str">
        <f>IF(ISERROR(FIND('112'!$M$9,G1371,1)),"",IF((AND(RIGHT(G1371,2)=RIGHT('112'!$M$9,2),B1371&lt;'112'!$N$8,$M1371='112'!$I$6)),"x",""))</f>
        <v/>
      </c>
      <c r="U1371" s="22" t="str">
        <f>IF(AND(B1371&gt;='IN-NX'!$P$3,B1371&lt;='IN-NX'!$Q$3,'IN-NX'!$D$7=D1371,OR(LEFT(L1371,2)="15",AND(LEFT(M1371,2)&lt;&gt;"15",LEFT(M1371,2)&lt;&gt;"33"))),"x","")</f>
        <v/>
      </c>
      <c r="V1371" s="22" t="str">
        <f>IF(AND(OR(LEFT(TH!L1371,2)="15",LEFT(TH!M1371,2)="15"),'152-CT'!$J$8=TH!F1371),"x","")</f>
        <v/>
      </c>
      <c r="W1371" s="22" t="str">
        <f>IF(AND(OR(LEFT(TH!L1371,2)="15",LEFT(TH!M1371,2)="15"),TK!$E$7=TH!F1371),"x","")</f>
        <v/>
      </c>
      <c r="X1371" s="22" t="str">
        <f>IF(OR(TH!L1371=TH!$X$7,M1371=TH!$X$7),"x","")</f>
        <v/>
      </c>
      <c r="Y1371" s="22" t="str">
        <f>IF(AND(B1371&lt;=NKC!$N$8,B1371&gt;=NKC!$M$8),"x","")</f>
        <v/>
      </c>
      <c r="Z1371" s="580"/>
      <c r="AA1371" s="588"/>
      <c r="AB1371" s="588"/>
    </row>
    <row r="1372" spans="1:28" s="589" customFormat="1" ht="15.75" customHeight="1">
      <c r="A1372" s="607" t="str">
        <f>IF(B1372&lt;&gt;"",IF(AND(B1372&gt;=_TM1,B1372&lt;=_TM2,OR(TH!L1372="1111",TH!M1372="1111")),TH!D1372,""),"")</f>
        <v/>
      </c>
      <c r="B1372" s="585">
        <f t="shared" si="71"/>
        <v>12</v>
      </c>
      <c r="C1372" s="586">
        <f t="shared" si="70"/>
        <v>42731</v>
      </c>
      <c r="D1372" s="569" t="s">
        <v>1022</v>
      </c>
      <c r="E1372" s="611">
        <v>42731</v>
      </c>
      <c r="F1372" s="614" t="s">
        <v>813</v>
      </c>
      <c r="G1372" s="612" t="s">
        <v>924</v>
      </c>
      <c r="H1372" s="572" t="s">
        <v>1075</v>
      </c>
      <c r="I1372" s="591">
        <v>1380</v>
      </c>
      <c r="J1372" s="138">
        <v>6391.2686000887979</v>
      </c>
      <c r="K1372" s="21">
        <f t="shared" si="68"/>
        <v>8819951</v>
      </c>
      <c r="L1372" s="567" t="s">
        <v>167</v>
      </c>
      <c r="M1372" s="567" t="s">
        <v>162</v>
      </c>
      <c r="N1372" s="22" t="str">
        <f>IF(AND('331-CT'!$E$7=TH!H1372,OR(L1372="331",M1372="331")),"331",IF(AND(OR(L1372="131",M1372="131"),H1372='131-CT'!$E$7),"131",""))</f>
        <v/>
      </c>
      <c r="O1372" s="22" t="str">
        <f>IF(AND($B1372&gt;='111'!$N$11,$B1372&lt;='111'!$O$11,OR($L1372=$O$7,$M1372=$O$7)),"x","")</f>
        <v/>
      </c>
      <c r="P1372" s="22" t="str">
        <f>IF(AND($L1372=$O$7,$B1372&lt;'111'!$N$11),"x","")</f>
        <v/>
      </c>
      <c r="Q1372" s="22" t="str">
        <f>IF(AND($M1372=$O$7,$B1372&lt;'111'!$N$11),"x","")</f>
        <v/>
      </c>
      <c r="R1372" s="22" t="str">
        <f>IF(ISERROR(FIND('112'!$M$9,G1372,1)),"",IF((AND(FIND('112'!$M$9,G1372,1)&gt;=1,$B1372&gt;='112'!$N$8,$B1372&lt;='112'!$O$8,OR($L1372='112'!$I$6,$M1372='112'!$I$6))),"x",""))</f>
        <v/>
      </c>
      <c r="S1372" s="22" t="str">
        <f>IF(ISERROR(FIND('112'!$M$9,G1372,1)),"",IF((AND(LEFT(G1372,2)=LEFT('112'!$M$9,2),B1372&lt;'112'!$N$8,$L1372='112'!$I$6)),"x",""))</f>
        <v/>
      </c>
      <c r="T1372" s="22" t="str">
        <f>IF(ISERROR(FIND('112'!$M$9,G1372,1)),"",IF((AND(RIGHT(G1372,2)=RIGHT('112'!$M$9,2),B1372&lt;'112'!$N$8,$M1372='112'!$I$6)),"x",""))</f>
        <v/>
      </c>
      <c r="U1372" s="22" t="str">
        <f>IF(AND(B1372&gt;='IN-NX'!$P$3,B1372&lt;='IN-NX'!$Q$3,'IN-NX'!$D$7=D1372,OR(LEFT(L1372,2)="15",AND(LEFT(M1372,2)&lt;&gt;"15",LEFT(M1372,2)&lt;&gt;"33"))),"x","")</f>
        <v/>
      </c>
      <c r="V1372" s="22" t="str">
        <f>IF(AND(OR(LEFT(TH!L1372,2)="15",LEFT(TH!M1372,2)="15"),'152-CT'!$J$8=TH!F1372),"x","")</f>
        <v/>
      </c>
      <c r="W1372" s="22" t="str">
        <f>IF(AND(OR(LEFT(TH!L1372,2)="15",LEFT(TH!M1372,2)="15"),TK!$E$7=TH!F1372),"x","")</f>
        <v/>
      </c>
      <c r="X1372" s="22" t="str">
        <f>IF(OR(TH!L1372=TH!$X$7,M1372=TH!$X$7),"x","")</f>
        <v/>
      </c>
      <c r="Y1372" s="22" t="str">
        <f>IF(AND(B1372&lt;=NKC!$N$8,B1372&gt;=NKC!$M$8),"x","")</f>
        <v/>
      </c>
      <c r="Z1372" s="580"/>
      <c r="AA1372" s="588"/>
      <c r="AB1372" s="588"/>
    </row>
    <row r="1373" spans="1:28" s="589" customFormat="1" ht="15.75" customHeight="1">
      <c r="A1373" s="607" t="str">
        <f>IF(B1373&lt;&gt;"",IF(AND(B1373&gt;=_TM1,B1373&lt;=_TM2,OR(TH!L1373="1111",TH!M1373="1111")),TH!D1373,""),"")</f>
        <v/>
      </c>
      <c r="B1373" s="585">
        <f t="shared" si="71"/>
        <v>12</v>
      </c>
      <c r="C1373" s="586">
        <f t="shared" si="70"/>
        <v>42732</v>
      </c>
      <c r="D1373" s="569" t="s">
        <v>1022</v>
      </c>
      <c r="E1373" s="611">
        <v>42732</v>
      </c>
      <c r="F1373" s="614" t="s">
        <v>813</v>
      </c>
      <c r="G1373" s="612" t="s">
        <v>925</v>
      </c>
      <c r="H1373" s="572" t="s">
        <v>1075</v>
      </c>
      <c r="I1373" s="137">
        <v>2030</v>
      </c>
      <c r="J1373" s="138">
        <v>6391.2686000887979</v>
      </c>
      <c r="K1373" s="21">
        <f t="shared" si="68"/>
        <v>12974275</v>
      </c>
      <c r="L1373" s="567" t="s">
        <v>167</v>
      </c>
      <c r="M1373" s="567" t="s">
        <v>162</v>
      </c>
      <c r="N1373" s="22" t="str">
        <f>IF(AND('331-CT'!$E$7=TH!H1373,OR(L1373="331",M1373="331")),"331",IF(AND(OR(L1373="131",M1373="131"),H1373='131-CT'!$E$7),"131",""))</f>
        <v/>
      </c>
      <c r="O1373" s="22" t="str">
        <f>IF(AND($B1373&gt;='111'!$N$11,$B1373&lt;='111'!$O$11,OR($L1373=$O$7,$M1373=$O$7)),"x","")</f>
        <v/>
      </c>
      <c r="P1373" s="22" t="str">
        <f>IF(AND($L1373=$O$7,$B1373&lt;'111'!$N$11),"x","")</f>
        <v/>
      </c>
      <c r="Q1373" s="22" t="str">
        <f>IF(AND($M1373=$O$7,$B1373&lt;'111'!$N$11),"x","")</f>
        <v/>
      </c>
      <c r="R1373" s="22" t="str">
        <f>IF(ISERROR(FIND('112'!$M$9,G1373,1)),"",IF((AND(FIND('112'!$M$9,G1373,1)&gt;=1,$B1373&gt;='112'!$N$8,$B1373&lt;='112'!$O$8,OR($L1373='112'!$I$6,$M1373='112'!$I$6))),"x",""))</f>
        <v/>
      </c>
      <c r="S1373" s="22" t="str">
        <f>IF(ISERROR(FIND('112'!$M$9,G1373,1)),"",IF((AND(LEFT(G1373,2)=LEFT('112'!$M$9,2),B1373&lt;'112'!$N$8,$L1373='112'!$I$6)),"x",""))</f>
        <v/>
      </c>
      <c r="T1373" s="22" t="str">
        <f>IF(ISERROR(FIND('112'!$M$9,G1373,1)),"",IF((AND(RIGHT(G1373,2)=RIGHT('112'!$M$9,2),B1373&lt;'112'!$N$8,$M1373='112'!$I$6)),"x",""))</f>
        <v/>
      </c>
      <c r="U1373" s="22" t="str">
        <f>IF(AND(B1373&gt;='IN-NX'!$P$3,B1373&lt;='IN-NX'!$Q$3,'IN-NX'!$D$7=D1373,OR(LEFT(L1373,2)="15",AND(LEFT(M1373,2)&lt;&gt;"15",LEFT(M1373,2)&lt;&gt;"33"))),"x","")</f>
        <v/>
      </c>
      <c r="V1373" s="22" t="str">
        <f>IF(AND(OR(LEFT(TH!L1373,2)="15",LEFT(TH!M1373,2)="15"),'152-CT'!$J$8=TH!F1373),"x","")</f>
        <v/>
      </c>
      <c r="W1373" s="22" t="str">
        <f>IF(AND(OR(LEFT(TH!L1373,2)="15",LEFT(TH!M1373,2)="15"),TK!$E$7=TH!F1373),"x","")</f>
        <v/>
      </c>
      <c r="X1373" s="22" t="str">
        <f>IF(OR(TH!L1373=TH!$X$7,M1373=TH!$X$7),"x","")</f>
        <v/>
      </c>
      <c r="Y1373" s="22" t="str">
        <f>IF(AND(B1373&lt;=NKC!$N$8,B1373&gt;=NKC!$M$8),"x","")</f>
        <v/>
      </c>
      <c r="Z1373" s="580"/>
      <c r="AA1373" s="588"/>
      <c r="AB1373" s="588"/>
    </row>
    <row r="1374" spans="1:28" s="589" customFormat="1" ht="15.75" customHeight="1">
      <c r="A1374" s="607" t="str">
        <f>IF(B1374&lt;&gt;"",IF(AND(B1374&gt;=_TM1,B1374&lt;=_TM2,OR(TH!L1374="1111",TH!M1374="1111")),TH!D1374,""),"")</f>
        <v/>
      </c>
      <c r="B1374" s="585">
        <f t="shared" si="71"/>
        <v>12</v>
      </c>
      <c r="C1374" s="586">
        <f t="shared" si="70"/>
        <v>42732</v>
      </c>
      <c r="D1374" s="569" t="s">
        <v>1022</v>
      </c>
      <c r="E1374" s="611">
        <v>42732</v>
      </c>
      <c r="F1374" s="614" t="s">
        <v>961</v>
      </c>
      <c r="G1374" s="612" t="s">
        <v>960</v>
      </c>
      <c r="H1374" s="572" t="s">
        <v>1075</v>
      </c>
      <c r="I1374" s="137">
        <v>188</v>
      </c>
      <c r="J1374" s="137">
        <v>9206.4702453660066</v>
      </c>
      <c r="K1374" s="21">
        <f t="shared" si="68"/>
        <v>1730816</v>
      </c>
      <c r="L1374" s="567" t="s">
        <v>167</v>
      </c>
      <c r="M1374" s="567" t="s">
        <v>162</v>
      </c>
      <c r="N1374" s="22" t="str">
        <f>IF(AND('331-CT'!$E$7=TH!H1374,OR(L1374="331",M1374="331")),"331",IF(AND(OR(L1374="131",M1374="131"),H1374='131-CT'!$E$7),"131",""))</f>
        <v/>
      </c>
      <c r="O1374" s="22" t="str">
        <f>IF(AND($B1374&gt;='111'!$N$11,$B1374&lt;='111'!$O$11,OR($L1374=$O$7,$M1374=$O$7)),"x","")</f>
        <v/>
      </c>
      <c r="P1374" s="22" t="str">
        <f>IF(AND($L1374=$O$7,$B1374&lt;'111'!$N$11),"x","")</f>
        <v/>
      </c>
      <c r="Q1374" s="22" t="str">
        <f>IF(AND($M1374=$O$7,$B1374&lt;'111'!$N$11),"x","")</f>
        <v/>
      </c>
      <c r="R1374" s="22" t="str">
        <f>IF(ISERROR(FIND('112'!$M$9,G1374,1)),"",IF((AND(FIND('112'!$M$9,G1374,1)&gt;=1,$B1374&gt;='112'!$N$8,$B1374&lt;='112'!$O$8,OR($L1374='112'!$I$6,$M1374='112'!$I$6))),"x",""))</f>
        <v/>
      </c>
      <c r="S1374" s="22" t="str">
        <f>IF(ISERROR(FIND('112'!$M$9,G1374,1)),"",IF((AND(LEFT(G1374,2)=LEFT('112'!$M$9,2),B1374&lt;'112'!$N$8,$L1374='112'!$I$6)),"x",""))</f>
        <v/>
      </c>
      <c r="T1374" s="22" t="str">
        <f>IF(ISERROR(FIND('112'!$M$9,G1374,1)),"",IF((AND(RIGHT(G1374,2)=RIGHT('112'!$M$9,2),B1374&lt;'112'!$N$8,$M1374='112'!$I$6)),"x",""))</f>
        <v/>
      </c>
      <c r="U1374" s="22" t="str">
        <f>IF(AND(B1374&gt;='IN-NX'!$P$3,B1374&lt;='IN-NX'!$Q$3,'IN-NX'!$D$7=D1374,OR(LEFT(L1374,2)="15",AND(LEFT(M1374,2)&lt;&gt;"15",LEFT(M1374,2)&lt;&gt;"33"))),"x","")</f>
        <v/>
      </c>
      <c r="V1374" s="22" t="str">
        <f>IF(AND(OR(LEFT(TH!L1374,2)="15",LEFT(TH!M1374,2)="15"),'152-CT'!$J$8=TH!F1374),"x","")</f>
        <v/>
      </c>
      <c r="W1374" s="22" t="str">
        <f>IF(AND(OR(LEFT(TH!L1374,2)="15",LEFT(TH!M1374,2)="15"),TK!$E$7=TH!F1374),"x","")</f>
        <v/>
      </c>
      <c r="X1374" s="22" t="str">
        <f>IF(OR(TH!L1374=TH!$X$7,M1374=TH!$X$7),"x","")</f>
        <v/>
      </c>
      <c r="Y1374" s="22" t="str">
        <f>IF(AND(B1374&lt;=NKC!$N$8,B1374&gt;=NKC!$M$8),"x","")</f>
        <v/>
      </c>
      <c r="Z1374" s="580"/>
      <c r="AA1374" s="588"/>
      <c r="AB1374" s="588"/>
    </row>
    <row r="1375" spans="1:28" s="589" customFormat="1" ht="15.75" customHeight="1">
      <c r="A1375" s="607" t="str">
        <f>IF(B1375&lt;&gt;"",IF(AND(B1375&gt;=_TM1,B1375&lt;=_TM2,OR(TH!L1375="1111",TH!M1375="1111")),TH!D1375,""),"")</f>
        <v/>
      </c>
      <c r="B1375" s="585">
        <f t="shared" si="71"/>
        <v>12</v>
      </c>
      <c r="C1375" s="586">
        <f t="shared" si="70"/>
        <v>42732</v>
      </c>
      <c r="D1375" s="569" t="s">
        <v>1022</v>
      </c>
      <c r="E1375" s="611">
        <v>42732</v>
      </c>
      <c r="F1375" s="614" t="s">
        <v>511</v>
      </c>
      <c r="G1375" s="612" t="s">
        <v>927</v>
      </c>
      <c r="H1375" s="572" t="s">
        <v>1075</v>
      </c>
      <c r="I1375" s="137">
        <v>209</v>
      </c>
      <c r="J1375" s="137">
        <v>10195.595147760703</v>
      </c>
      <c r="K1375" s="21">
        <f t="shared" si="68"/>
        <v>2130879</v>
      </c>
      <c r="L1375" s="567" t="s">
        <v>167</v>
      </c>
      <c r="M1375" s="567" t="s">
        <v>162</v>
      </c>
      <c r="N1375" s="22" t="str">
        <f>IF(AND('331-CT'!$E$7=TH!H1375,OR(L1375="331",M1375="331")),"331",IF(AND(OR(L1375="131",M1375="131"),H1375='131-CT'!$E$7),"131",""))</f>
        <v/>
      </c>
      <c r="O1375" s="22" t="str">
        <f>IF(AND($B1375&gt;='111'!$N$11,$B1375&lt;='111'!$O$11,OR($L1375=$O$7,$M1375=$O$7)),"x","")</f>
        <v/>
      </c>
      <c r="P1375" s="22" t="str">
        <f>IF(AND($L1375=$O$7,$B1375&lt;'111'!$N$11),"x","")</f>
        <v/>
      </c>
      <c r="Q1375" s="22" t="str">
        <f>IF(AND($M1375=$O$7,$B1375&lt;'111'!$N$11),"x","")</f>
        <v/>
      </c>
      <c r="R1375" s="22" t="str">
        <f>IF(ISERROR(FIND('112'!$M$9,G1375,1)),"",IF((AND(FIND('112'!$M$9,G1375,1)&gt;=1,$B1375&gt;='112'!$N$8,$B1375&lt;='112'!$O$8,OR($L1375='112'!$I$6,$M1375='112'!$I$6))),"x",""))</f>
        <v/>
      </c>
      <c r="S1375" s="22" t="str">
        <f>IF(ISERROR(FIND('112'!$M$9,G1375,1)),"",IF((AND(LEFT(G1375,2)=LEFT('112'!$M$9,2),B1375&lt;'112'!$N$8,$L1375='112'!$I$6)),"x",""))</f>
        <v/>
      </c>
      <c r="T1375" s="22" t="str">
        <f>IF(ISERROR(FIND('112'!$M$9,G1375,1)),"",IF((AND(RIGHT(G1375,2)=RIGHT('112'!$M$9,2),B1375&lt;'112'!$N$8,$M1375='112'!$I$6)),"x",""))</f>
        <v/>
      </c>
      <c r="U1375" s="22" t="str">
        <f>IF(AND(B1375&gt;='IN-NX'!$P$3,B1375&lt;='IN-NX'!$Q$3,'IN-NX'!$D$7=D1375,OR(LEFT(L1375,2)="15",AND(LEFT(M1375,2)&lt;&gt;"15",LEFT(M1375,2)&lt;&gt;"33"))),"x","")</f>
        <v/>
      </c>
      <c r="V1375" s="22" t="str">
        <f>IF(AND(OR(LEFT(TH!L1375,2)="15",LEFT(TH!M1375,2)="15"),'152-CT'!$J$8=TH!F1375),"x","")</f>
        <v/>
      </c>
      <c r="W1375" s="22" t="str">
        <f>IF(AND(OR(LEFT(TH!L1375,2)="15",LEFT(TH!M1375,2)="15"),TK!$E$7=TH!F1375),"x","")</f>
        <v/>
      </c>
      <c r="X1375" s="22" t="str">
        <f>IF(OR(TH!L1375=TH!$X$7,M1375=TH!$X$7),"x","")</f>
        <v/>
      </c>
      <c r="Y1375" s="22" t="str">
        <f>IF(AND(B1375&lt;=NKC!$N$8,B1375&gt;=NKC!$M$8),"x","")</f>
        <v/>
      </c>
      <c r="Z1375" s="580"/>
      <c r="AA1375" s="588"/>
      <c r="AB1375" s="588"/>
    </row>
    <row r="1376" spans="1:28" s="589" customFormat="1" ht="15.75" customHeight="1">
      <c r="A1376" s="607" t="str">
        <f>IF(B1376&lt;&gt;"",IF(AND(B1376&gt;=_TM1,B1376&lt;=_TM2,OR(TH!L1376="1111",TH!M1376="1111")),TH!D1376,""),"")</f>
        <v/>
      </c>
      <c r="B1376" s="585">
        <f t="shared" si="71"/>
        <v>12</v>
      </c>
      <c r="C1376" s="586">
        <f t="shared" si="70"/>
        <v>42732</v>
      </c>
      <c r="D1376" s="569" t="s">
        <v>1022</v>
      </c>
      <c r="E1376" s="611">
        <v>42732</v>
      </c>
      <c r="F1376" s="614" t="s">
        <v>928</v>
      </c>
      <c r="G1376" s="612" t="s">
        <v>926</v>
      </c>
      <c r="H1376" s="572" t="s">
        <v>1075</v>
      </c>
      <c r="I1376" s="137">
        <v>244</v>
      </c>
      <c r="J1376" s="137">
        <v>11108.63351920196</v>
      </c>
      <c r="K1376" s="21">
        <f t="shared" si="68"/>
        <v>2710507</v>
      </c>
      <c r="L1376" s="567" t="s">
        <v>167</v>
      </c>
      <c r="M1376" s="567" t="s">
        <v>162</v>
      </c>
      <c r="N1376" s="22" t="str">
        <f>IF(AND('331-CT'!$E$7=TH!H1376,OR(L1376="331",M1376="331")),"331",IF(AND(OR(L1376="131",M1376="131"),H1376='131-CT'!$E$7),"131",""))</f>
        <v/>
      </c>
      <c r="O1376" s="22" t="str">
        <f>IF(AND($B1376&gt;='111'!$N$11,$B1376&lt;='111'!$O$11,OR($L1376=$O$7,$M1376=$O$7)),"x","")</f>
        <v/>
      </c>
      <c r="P1376" s="22" t="str">
        <f>IF(AND($L1376=$O$7,$B1376&lt;'111'!$N$11),"x","")</f>
        <v/>
      </c>
      <c r="Q1376" s="22" t="str">
        <f>IF(AND($M1376=$O$7,$B1376&lt;'111'!$N$11),"x","")</f>
        <v/>
      </c>
      <c r="R1376" s="22" t="str">
        <f>IF(ISERROR(FIND('112'!$M$9,G1376,1)),"",IF((AND(FIND('112'!$M$9,G1376,1)&gt;=1,$B1376&gt;='112'!$N$8,$B1376&lt;='112'!$O$8,OR($L1376='112'!$I$6,$M1376='112'!$I$6))),"x",""))</f>
        <v/>
      </c>
      <c r="S1376" s="22" t="str">
        <f>IF(ISERROR(FIND('112'!$M$9,G1376,1)),"",IF((AND(LEFT(G1376,2)=LEFT('112'!$M$9,2),B1376&lt;'112'!$N$8,$L1376='112'!$I$6)),"x",""))</f>
        <v/>
      </c>
      <c r="T1376" s="22" t="str">
        <f>IF(ISERROR(FIND('112'!$M$9,G1376,1)),"",IF((AND(RIGHT(G1376,2)=RIGHT('112'!$M$9,2),B1376&lt;'112'!$N$8,$M1376='112'!$I$6)),"x",""))</f>
        <v/>
      </c>
      <c r="U1376" s="22" t="str">
        <f>IF(AND(B1376&gt;='IN-NX'!$P$3,B1376&lt;='IN-NX'!$Q$3,'IN-NX'!$D$7=D1376,OR(LEFT(L1376,2)="15",AND(LEFT(M1376,2)&lt;&gt;"15",LEFT(M1376,2)&lt;&gt;"33"))),"x","")</f>
        <v/>
      </c>
      <c r="V1376" s="22" t="str">
        <f>IF(AND(OR(LEFT(TH!L1376,2)="15",LEFT(TH!M1376,2)="15"),'152-CT'!$J$8=TH!F1376),"x","")</f>
        <v/>
      </c>
      <c r="W1376" s="22" t="str">
        <f>IF(AND(OR(LEFT(TH!L1376,2)="15",LEFT(TH!M1376,2)="15"),TK!$E$7=TH!F1376),"x","")</f>
        <v/>
      </c>
      <c r="X1376" s="22" t="str">
        <f>IF(OR(TH!L1376=TH!$X$7,M1376=TH!$X$7),"x","")</f>
        <v/>
      </c>
      <c r="Y1376" s="22" t="str">
        <f>IF(AND(B1376&lt;=NKC!$N$8,B1376&gt;=NKC!$M$8),"x","")</f>
        <v/>
      </c>
      <c r="Z1376" s="580"/>
      <c r="AA1376" s="588"/>
    </row>
    <row r="1377" spans="1:28" s="589" customFormat="1" ht="15.75" customHeight="1">
      <c r="A1377" s="607" t="str">
        <f>IF(B1377&lt;&gt;"",IF(AND(B1377&gt;=_TM1,B1377&lt;=_TM2,OR(TH!L1377="1111",TH!M1377="1111")),TH!D1377,""),"")</f>
        <v/>
      </c>
      <c r="B1377" s="585">
        <f t="shared" si="71"/>
        <v>12</v>
      </c>
      <c r="C1377" s="586">
        <f t="shared" si="70"/>
        <v>42732</v>
      </c>
      <c r="D1377" s="569" t="s">
        <v>1022</v>
      </c>
      <c r="E1377" s="611">
        <v>42732</v>
      </c>
      <c r="F1377" s="614" t="s">
        <v>929</v>
      </c>
      <c r="G1377" s="612" t="s">
        <v>926</v>
      </c>
      <c r="H1377" s="572" t="s">
        <v>1075</v>
      </c>
      <c r="I1377" s="137">
        <v>244</v>
      </c>
      <c r="J1377" s="137">
        <v>10423.854740621018</v>
      </c>
      <c r="K1377" s="21">
        <f t="shared" si="68"/>
        <v>2543421</v>
      </c>
      <c r="L1377" s="567" t="s">
        <v>167</v>
      </c>
      <c r="M1377" s="567" t="s">
        <v>162</v>
      </c>
      <c r="N1377" s="22" t="str">
        <f>IF(AND('331-CT'!$E$7=TH!H1377,OR(L1377="331",M1377="331")),"331",IF(AND(OR(L1377="131",M1377="131"),H1377='131-CT'!$E$7),"131",""))</f>
        <v/>
      </c>
      <c r="O1377" s="22" t="str">
        <f>IF(AND($B1377&gt;='111'!$N$11,$B1377&lt;='111'!$O$11,OR($L1377=$O$7,$M1377=$O$7)),"x","")</f>
        <v/>
      </c>
      <c r="P1377" s="22" t="str">
        <f>IF(AND($L1377=$O$7,$B1377&lt;'111'!$N$11),"x","")</f>
        <v/>
      </c>
      <c r="Q1377" s="22" t="str">
        <f>IF(AND($M1377=$O$7,$B1377&lt;'111'!$N$11),"x","")</f>
        <v/>
      </c>
      <c r="R1377" s="22" t="str">
        <f>IF(ISERROR(FIND('112'!$M$9,G1377,1)),"",IF((AND(FIND('112'!$M$9,G1377,1)&gt;=1,$B1377&gt;='112'!$N$8,$B1377&lt;='112'!$O$8,OR($L1377='112'!$I$6,$M1377='112'!$I$6))),"x",""))</f>
        <v/>
      </c>
      <c r="S1377" s="22" t="str">
        <f>IF(ISERROR(FIND('112'!$M$9,G1377,1)),"",IF((AND(LEFT(G1377,2)=LEFT('112'!$M$9,2),B1377&lt;'112'!$N$8,$L1377='112'!$I$6)),"x",""))</f>
        <v/>
      </c>
      <c r="T1377" s="22" t="str">
        <f>IF(ISERROR(FIND('112'!$M$9,G1377,1)),"",IF((AND(RIGHT(G1377,2)=RIGHT('112'!$M$9,2),B1377&lt;'112'!$N$8,$M1377='112'!$I$6)),"x",""))</f>
        <v/>
      </c>
      <c r="U1377" s="22" t="str">
        <f>IF(AND(B1377&gt;='IN-NX'!$P$3,B1377&lt;='IN-NX'!$Q$3,'IN-NX'!$D$7=D1377,OR(LEFT(L1377,2)="15",AND(LEFT(M1377,2)&lt;&gt;"15",LEFT(M1377,2)&lt;&gt;"33"))),"x","")</f>
        <v/>
      </c>
      <c r="V1377" s="22" t="str">
        <f>IF(AND(OR(LEFT(TH!L1377,2)="15",LEFT(TH!M1377,2)="15"),'152-CT'!$J$8=TH!F1377),"x","")</f>
        <v/>
      </c>
      <c r="W1377" s="22" t="str">
        <f>IF(AND(OR(LEFT(TH!L1377,2)="15",LEFT(TH!M1377,2)="15"),TK!$E$7=TH!F1377),"x","")</f>
        <v/>
      </c>
      <c r="X1377" s="22" t="str">
        <f>IF(OR(TH!L1377=TH!$X$7,M1377=TH!$X$7),"x","")</f>
        <v/>
      </c>
      <c r="Y1377" s="22" t="str">
        <f>IF(AND(B1377&lt;=NKC!$N$8,B1377&gt;=NKC!$M$8),"x","")</f>
        <v/>
      </c>
      <c r="Z1377" s="580"/>
      <c r="AA1377" s="588"/>
      <c r="AB1377" s="588"/>
    </row>
    <row r="1378" spans="1:28" s="589" customFormat="1" ht="15.75" customHeight="1">
      <c r="A1378" s="607" t="str">
        <f>IF(B1378&lt;&gt;"",IF(AND(B1378&gt;=_TM1,B1378&lt;=_TM2,OR(TH!L1378="1111",TH!M1378="1111")),TH!D1378,""),"")</f>
        <v/>
      </c>
      <c r="B1378" s="585">
        <f t="shared" si="71"/>
        <v>12</v>
      </c>
      <c r="C1378" s="586">
        <f t="shared" si="70"/>
        <v>42732</v>
      </c>
      <c r="D1378" s="569" t="s">
        <v>1022</v>
      </c>
      <c r="E1378" s="611">
        <v>42732</v>
      </c>
      <c r="F1378" s="614" t="s">
        <v>930</v>
      </c>
      <c r="G1378" s="612" t="s">
        <v>926</v>
      </c>
      <c r="H1378" s="572" t="s">
        <v>1075</v>
      </c>
      <c r="I1378" s="137">
        <v>244</v>
      </c>
      <c r="J1378" s="137">
        <v>1141.297964301571</v>
      </c>
      <c r="K1378" s="21">
        <f t="shared" si="68"/>
        <v>278477</v>
      </c>
      <c r="L1378" s="567" t="s">
        <v>167</v>
      </c>
      <c r="M1378" s="567" t="s">
        <v>162</v>
      </c>
      <c r="N1378" s="22" t="str">
        <f>IF(AND('331-CT'!$E$7=TH!H1378,OR(L1378="331",M1378="331")),"331",IF(AND(OR(L1378="131",M1378="131"),H1378='131-CT'!$E$7),"131",""))</f>
        <v/>
      </c>
      <c r="O1378" s="22" t="str">
        <f>IF(AND($B1378&gt;='111'!$N$11,$B1378&lt;='111'!$O$11,OR($L1378=$O$7,$M1378=$O$7)),"x","")</f>
        <v/>
      </c>
      <c r="P1378" s="22" t="str">
        <f>IF(AND($L1378=$O$7,$B1378&lt;'111'!$N$11),"x","")</f>
        <v/>
      </c>
      <c r="Q1378" s="22" t="str">
        <f>IF(AND($M1378=$O$7,$B1378&lt;'111'!$N$11),"x","")</f>
        <v/>
      </c>
      <c r="R1378" s="22" t="str">
        <f>IF(ISERROR(FIND('112'!$M$9,G1378,1)),"",IF((AND(FIND('112'!$M$9,G1378,1)&gt;=1,$B1378&gt;='112'!$N$8,$B1378&lt;='112'!$O$8,OR($L1378='112'!$I$6,$M1378='112'!$I$6))),"x",""))</f>
        <v/>
      </c>
      <c r="S1378" s="22" t="str">
        <f>IF(ISERROR(FIND('112'!$M$9,G1378,1)),"",IF((AND(LEFT(G1378,2)=LEFT('112'!$M$9,2),B1378&lt;'112'!$N$8,$L1378='112'!$I$6)),"x",""))</f>
        <v/>
      </c>
      <c r="T1378" s="22" t="str">
        <f>IF(ISERROR(FIND('112'!$M$9,G1378,1)),"",IF((AND(RIGHT(G1378,2)=RIGHT('112'!$M$9,2),B1378&lt;'112'!$N$8,$M1378='112'!$I$6)),"x",""))</f>
        <v/>
      </c>
      <c r="U1378" s="22" t="str">
        <f>IF(AND(B1378&gt;='IN-NX'!$P$3,B1378&lt;='IN-NX'!$Q$3,'IN-NX'!$D$7=D1378,OR(LEFT(L1378,2)="15",AND(LEFT(M1378,2)&lt;&gt;"15",LEFT(M1378,2)&lt;&gt;"33"))),"x","")</f>
        <v/>
      </c>
      <c r="V1378" s="22" t="str">
        <f>IF(AND(OR(LEFT(TH!L1378,2)="15",LEFT(TH!M1378,2)="15"),'152-CT'!$J$8=TH!F1378),"x","")</f>
        <v/>
      </c>
      <c r="W1378" s="22" t="str">
        <f>IF(AND(OR(LEFT(TH!L1378,2)="15",LEFT(TH!M1378,2)="15"),TK!$E$7=TH!F1378),"x","")</f>
        <v/>
      </c>
      <c r="X1378" s="22" t="str">
        <f>IF(OR(TH!L1378=TH!$X$7,M1378=TH!$X$7),"x","")</f>
        <v/>
      </c>
      <c r="Y1378" s="22" t="str">
        <f>IF(AND(B1378&lt;=NKC!$N$8,B1378&gt;=NKC!$M$8),"x","")</f>
        <v/>
      </c>
      <c r="Z1378" s="580"/>
      <c r="AA1378" s="588"/>
      <c r="AB1378" s="588"/>
    </row>
    <row r="1379" spans="1:28" s="589" customFormat="1" ht="15.75" customHeight="1">
      <c r="A1379" s="607" t="str">
        <f>IF(B1379&lt;&gt;"",IF(AND(B1379&gt;=_TM1,B1379&lt;=_TM2,OR(TH!L1379="1111",TH!M1379="1111")),TH!D1379,""),"")</f>
        <v/>
      </c>
      <c r="B1379" s="585">
        <f t="shared" si="71"/>
        <v>12</v>
      </c>
      <c r="C1379" s="586">
        <f t="shared" si="70"/>
        <v>42732</v>
      </c>
      <c r="D1379" s="569" t="s">
        <v>1022</v>
      </c>
      <c r="E1379" s="611">
        <v>42732</v>
      </c>
      <c r="F1379" s="614" t="s">
        <v>931</v>
      </c>
      <c r="G1379" s="612" t="s">
        <v>926</v>
      </c>
      <c r="H1379" s="572" t="s">
        <v>1075</v>
      </c>
      <c r="I1379" s="137">
        <v>244</v>
      </c>
      <c r="J1379" s="138">
        <v>989.12490239469503</v>
      </c>
      <c r="K1379" s="21">
        <f t="shared" si="68"/>
        <v>241346</v>
      </c>
      <c r="L1379" s="567" t="s">
        <v>167</v>
      </c>
      <c r="M1379" s="567" t="s">
        <v>162</v>
      </c>
      <c r="N1379" s="22" t="str">
        <f>IF(AND('331-CT'!$E$7=TH!H1379,OR(L1379="331",M1379="331")),"331",IF(AND(OR(L1379="131",M1379="131"),H1379='131-CT'!$E$7),"131",""))</f>
        <v/>
      </c>
      <c r="O1379" s="22" t="str">
        <f>IF(AND($B1379&gt;='111'!$N$11,$B1379&lt;='111'!$O$11,OR($L1379=$O$7,$M1379=$O$7)),"x","")</f>
        <v/>
      </c>
      <c r="P1379" s="22" t="str">
        <f>IF(AND($L1379=$O$7,$B1379&lt;'111'!$N$11),"x","")</f>
        <v/>
      </c>
      <c r="Q1379" s="22" t="str">
        <f>IF(AND($M1379=$O$7,$B1379&lt;'111'!$N$11),"x","")</f>
        <v/>
      </c>
      <c r="R1379" s="22" t="str">
        <f>IF(ISERROR(FIND('112'!$M$9,G1379,1)),"",IF((AND(FIND('112'!$M$9,G1379,1)&gt;=1,$B1379&gt;='112'!$N$8,$B1379&lt;='112'!$O$8,OR($L1379='112'!$I$6,$M1379='112'!$I$6))),"x",""))</f>
        <v/>
      </c>
      <c r="S1379" s="22" t="str">
        <f>IF(ISERROR(FIND('112'!$M$9,G1379,1)),"",IF((AND(LEFT(G1379,2)=LEFT('112'!$M$9,2),B1379&lt;'112'!$N$8,$L1379='112'!$I$6)),"x",""))</f>
        <v/>
      </c>
      <c r="T1379" s="22" t="str">
        <f>IF(ISERROR(FIND('112'!$M$9,G1379,1)),"",IF((AND(RIGHT(G1379,2)=RIGHT('112'!$M$9,2),B1379&lt;'112'!$N$8,$M1379='112'!$I$6)),"x",""))</f>
        <v/>
      </c>
      <c r="U1379" s="22" t="str">
        <f>IF(AND(B1379&gt;='IN-NX'!$P$3,B1379&lt;='IN-NX'!$Q$3,'IN-NX'!$D$7=D1379,OR(LEFT(L1379,2)="15",AND(LEFT(M1379,2)&lt;&gt;"15",LEFT(M1379,2)&lt;&gt;"33"))),"x","")</f>
        <v/>
      </c>
      <c r="V1379" s="22" t="str">
        <f>IF(AND(OR(LEFT(TH!L1379,2)="15",LEFT(TH!M1379,2)="15"),'152-CT'!$J$8=TH!F1379),"x","")</f>
        <v/>
      </c>
      <c r="W1379" s="22" t="str">
        <f>IF(AND(OR(LEFT(TH!L1379,2)="15",LEFT(TH!M1379,2)="15"),TK!$E$7=TH!F1379),"x","")</f>
        <v/>
      </c>
      <c r="X1379" s="22" t="str">
        <f>IF(OR(TH!L1379=TH!$X$7,M1379=TH!$X$7),"x","")</f>
        <v/>
      </c>
      <c r="Y1379" s="22" t="str">
        <f>IF(AND(B1379&lt;=NKC!$N$8,B1379&gt;=NKC!$M$8),"x","")</f>
        <v/>
      </c>
      <c r="Z1379" s="580"/>
      <c r="AA1379" s="588"/>
    </row>
    <row r="1380" spans="1:28" s="589" customFormat="1" ht="15.75" customHeight="1">
      <c r="A1380" s="607" t="str">
        <f>IF(B1380&lt;&gt;"",IF(AND(B1380&gt;=_TM1,B1380&lt;=_TM2,OR(TH!L1380="1111",TH!M1380="1111")),TH!D1380,""),"")</f>
        <v/>
      </c>
      <c r="B1380" s="585">
        <f t="shared" si="71"/>
        <v>12</v>
      </c>
      <c r="C1380" s="586">
        <f t="shared" si="70"/>
        <v>42732</v>
      </c>
      <c r="D1380" s="569" t="s">
        <v>1022</v>
      </c>
      <c r="E1380" s="611">
        <v>42732</v>
      </c>
      <c r="F1380" s="614" t="s">
        <v>932</v>
      </c>
      <c r="G1380" s="612" t="s">
        <v>926</v>
      </c>
      <c r="H1380" s="572" t="s">
        <v>1075</v>
      </c>
      <c r="I1380" s="137">
        <v>244</v>
      </c>
      <c r="J1380" s="137">
        <v>760.8653095343808</v>
      </c>
      <c r="K1380" s="21">
        <f t="shared" si="68"/>
        <v>185651</v>
      </c>
      <c r="L1380" s="567" t="s">
        <v>167</v>
      </c>
      <c r="M1380" s="567" t="s">
        <v>162</v>
      </c>
      <c r="N1380" s="22" t="str">
        <f>IF(AND('331-CT'!$E$7=TH!H1380,OR(L1380="331",M1380="331")),"331",IF(AND(OR(L1380="131",M1380="131"),H1380='131-CT'!$E$7),"131",""))</f>
        <v/>
      </c>
      <c r="O1380" s="22" t="str">
        <f>IF(AND($B1380&gt;='111'!$N$11,$B1380&lt;='111'!$O$11,OR($L1380=$O$7,$M1380=$O$7)),"x","")</f>
        <v/>
      </c>
      <c r="P1380" s="22" t="str">
        <f>IF(AND($L1380=$O$7,$B1380&lt;'111'!$N$11),"x","")</f>
        <v/>
      </c>
      <c r="Q1380" s="22" t="str">
        <f>IF(AND($M1380=$O$7,$B1380&lt;'111'!$N$11),"x","")</f>
        <v/>
      </c>
      <c r="R1380" s="22" t="str">
        <f>IF(ISERROR(FIND('112'!$M$9,G1380,1)),"",IF((AND(FIND('112'!$M$9,G1380,1)&gt;=1,$B1380&gt;='112'!$N$8,$B1380&lt;='112'!$O$8,OR($L1380='112'!$I$6,$M1380='112'!$I$6))),"x",""))</f>
        <v/>
      </c>
      <c r="S1380" s="22" t="str">
        <f>IF(ISERROR(FIND('112'!$M$9,G1380,1)),"",IF((AND(LEFT(G1380,2)=LEFT('112'!$M$9,2),B1380&lt;'112'!$N$8,$L1380='112'!$I$6)),"x",""))</f>
        <v/>
      </c>
      <c r="T1380" s="22" t="str">
        <f>IF(ISERROR(FIND('112'!$M$9,G1380,1)),"",IF((AND(RIGHT(G1380,2)=RIGHT('112'!$M$9,2),B1380&lt;'112'!$N$8,$M1380='112'!$I$6)),"x",""))</f>
        <v/>
      </c>
      <c r="U1380" s="22" t="str">
        <f>IF(AND(B1380&gt;='IN-NX'!$P$3,B1380&lt;='IN-NX'!$Q$3,'IN-NX'!$D$7=D1380,OR(LEFT(L1380,2)="15",AND(LEFT(M1380,2)&lt;&gt;"15",LEFT(M1380,2)&lt;&gt;"33"))),"x","")</f>
        <v/>
      </c>
      <c r="V1380" s="22" t="str">
        <f>IF(AND(OR(LEFT(TH!L1380,2)="15",LEFT(TH!M1380,2)="15"),'152-CT'!$J$8=TH!F1380),"x","")</f>
        <v/>
      </c>
      <c r="W1380" s="22" t="str">
        <f>IF(AND(OR(LEFT(TH!L1380,2)="15",LEFT(TH!M1380,2)="15"),TK!$E$7=TH!F1380),"x","")</f>
        <v/>
      </c>
      <c r="X1380" s="22" t="str">
        <f>IF(OR(TH!L1380=TH!$X$7,M1380=TH!$X$7),"x","")</f>
        <v/>
      </c>
      <c r="Y1380" s="22" t="str">
        <f>IF(AND(B1380&lt;=NKC!$N$8,B1380&gt;=NKC!$M$8),"x","")</f>
        <v/>
      </c>
      <c r="Z1380" s="580"/>
      <c r="AA1380" s="588"/>
      <c r="AB1380" s="588"/>
    </row>
    <row r="1381" spans="1:28" s="589" customFormat="1" ht="15.75" customHeight="1">
      <c r="A1381" s="607" t="str">
        <f>IF(B1381&lt;&gt;"",IF(AND(B1381&gt;=_TM1,B1381&lt;=_TM2,OR(TH!L1381="1111",TH!M1381="1111")),TH!D1381,""),"")</f>
        <v/>
      </c>
      <c r="B1381" s="585">
        <f t="shared" si="71"/>
        <v>12</v>
      </c>
      <c r="C1381" s="586">
        <f t="shared" si="70"/>
        <v>42732</v>
      </c>
      <c r="D1381" s="569" t="s">
        <v>1022</v>
      </c>
      <c r="E1381" s="611">
        <v>42732</v>
      </c>
      <c r="F1381" s="614" t="s">
        <v>933</v>
      </c>
      <c r="G1381" s="612" t="s">
        <v>926</v>
      </c>
      <c r="H1381" s="572" t="s">
        <v>1075</v>
      </c>
      <c r="I1381" s="137">
        <v>244</v>
      </c>
      <c r="J1381" s="137">
        <v>608.69224762750468</v>
      </c>
      <c r="K1381" s="21">
        <f t="shared" si="68"/>
        <v>148521</v>
      </c>
      <c r="L1381" s="567" t="s">
        <v>167</v>
      </c>
      <c r="M1381" s="567" t="s">
        <v>162</v>
      </c>
      <c r="N1381" s="22" t="str">
        <f>IF(AND('331-CT'!$E$7=TH!H1381,OR(L1381="331",M1381="331")),"331",IF(AND(OR(L1381="131",M1381="131"),H1381='131-CT'!$E$7),"131",""))</f>
        <v/>
      </c>
      <c r="O1381" s="22" t="str">
        <f>IF(AND($B1381&gt;='111'!$N$11,$B1381&lt;='111'!$O$11,OR($L1381=$O$7,$M1381=$O$7)),"x","")</f>
        <v/>
      </c>
      <c r="P1381" s="22" t="str">
        <f>IF(AND($L1381=$O$7,$B1381&lt;'111'!$N$11),"x","")</f>
        <v/>
      </c>
      <c r="Q1381" s="22" t="str">
        <f>IF(AND($M1381=$O$7,$B1381&lt;'111'!$N$11),"x","")</f>
        <v/>
      </c>
      <c r="R1381" s="22" t="str">
        <f>IF(ISERROR(FIND('112'!$M$9,G1381,1)),"",IF((AND(FIND('112'!$M$9,G1381,1)&gt;=1,$B1381&gt;='112'!$N$8,$B1381&lt;='112'!$O$8,OR($L1381='112'!$I$6,$M1381='112'!$I$6))),"x",""))</f>
        <v/>
      </c>
      <c r="S1381" s="22" t="str">
        <f>IF(ISERROR(FIND('112'!$M$9,G1381,1)),"",IF((AND(LEFT(G1381,2)=LEFT('112'!$M$9,2),B1381&lt;'112'!$N$8,$L1381='112'!$I$6)),"x",""))</f>
        <v/>
      </c>
      <c r="T1381" s="22" t="str">
        <f>IF(ISERROR(FIND('112'!$M$9,G1381,1)),"",IF((AND(RIGHT(G1381,2)=RIGHT('112'!$M$9,2),B1381&lt;'112'!$N$8,$M1381='112'!$I$6)),"x",""))</f>
        <v/>
      </c>
      <c r="U1381" s="22" t="str">
        <f>IF(AND(B1381&gt;='IN-NX'!$P$3,B1381&lt;='IN-NX'!$Q$3,'IN-NX'!$D$7=D1381,OR(LEFT(L1381,2)="15",AND(LEFT(M1381,2)&lt;&gt;"15",LEFT(M1381,2)&lt;&gt;"33"))),"x","")</f>
        <v/>
      </c>
      <c r="V1381" s="22" t="str">
        <f>IF(AND(OR(LEFT(TH!L1381,2)="15",LEFT(TH!M1381,2)="15"),'152-CT'!$J$8=TH!F1381),"x","")</f>
        <v/>
      </c>
      <c r="W1381" s="22" t="str">
        <f>IF(AND(OR(LEFT(TH!L1381,2)="15",LEFT(TH!M1381,2)="15"),TK!$E$7=TH!F1381),"x","")</f>
        <v/>
      </c>
      <c r="X1381" s="22" t="str">
        <f>IF(OR(TH!L1381=TH!$X$7,M1381=TH!$X$7),"x","")</f>
        <v/>
      </c>
      <c r="Y1381" s="22" t="str">
        <f>IF(AND(B1381&lt;=NKC!$N$8,B1381&gt;=NKC!$M$8),"x","")</f>
        <v/>
      </c>
      <c r="Z1381" s="580"/>
      <c r="AA1381" s="588"/>
    </row>
    <row r="1382" spans="1:28" s="589" customFormat="1" ht="15.75" customHeight="1">
      <c r="A1382" s="607" t="str">
        <f>IF(B1382&lt;&gt;"",IF(AND(B1382&gt;=_TM1,B1382&lt;=_TM2,OR(TH!L1382="1111",TH!M1382="1111")),TH!D1382,""),"")</f>
        <v/>
      </c>
      <c r="B1382" s="585">
        <f t="shared" si="71"/>
        <v>12</v>
      </c>
      <c r="C1382" s="586">
        <f t="shared" si="70"/>
        <v>42733</v>
      </c>
      <c r="D1382" s="569" t="s">
        <v>1022</v>
      </c>
      <c r="E1382" s="611">
        <v>42733</v>
      </c>
      <c r="F1382" s="614" t="s">
        <v>937</v>
      </c>
      <c r="G1382" s="612" t="s">
        <v>934</v>
      </c>
      <c r="H1382" s="572" t="s">
        <v>1075</v>
      </c>
      <c r="I1382" s="137">
        <v>650</v>
      </c>
      <c r="J1382" s="137">
        <v>836.95184048781891</v>
      </c>
      <c r="K1382" s="21">
        <f t="shared" si="68"/>
        <v>544019</v>
      </c>
      <c r="L1382" s="567" t="s">
        <v>167</v>
      </c>
      <c r="M1382" s="567" t="s">
        <v>162</v>
      </c>
      <c r="N1382" s="22" t="str">
        <f>IF(AND('331-CT'!$E$7=TH!H1382,OR(L1382="331",M1382="331")),"331",IF(AND(OR(L1382="131",M1382="131"),H1382='131-CT'!$E$7),"131",""))</f>
        <v/>
      </c>
      <c r="O1382" s="22" t="str">
        <f>IF(AND($B1382&gt;='111'!$N$11,$B1382&lt;='111'!$O$11,OR($L1382=$O$7,$M1382=$O$7)),"x","")</f>
        <v/>
      </c>
      <c r="P1382" s="22" t="str">
        <f>IF(AND($L1382=$O$7,$B1382&lt;'111'!$N$11),"x","")</f>
        <v/>
      </c>
      <c r="Q1382" s="22" t="str">
        <f>IF(AND($M1382=$O$7,$B1382&lt;'111'!$N$11),"x","")</f>
        <v/>
      </c>
      <c r="R1382" s="22" t="str">
        <f>IF(ISERROR(FIND('112'!$M$9,G1382,1)),"",IF((AND(FIND('112'!$M$9,G1382,1)&gt;=1,$B1382&gt;='112'!$N$8,$B1382&lt;='112'!$O$8,OR($L1382='112'!$I$6,$M1382='112'!$I$6))),"x",""))</f>
        <v/>
      </c>
      <c r="S1382" s="22" t="str">
        <f>IF(ISERROR(FIND('112'!$M$9,G1382,1)),"",IF((AND(LEFT(G1382,2)=LEFT('112'!$M$9,2),B1382&lt;'112'!$N$8,$L1382='112'!$I$6)),"x",""))</f>
        <v/>
      </c>
      <c r="T1382" s="22" t="str">
        <f>IF(ISERROR(FIND('112'!$M$9,G1382,1)),"",IF((AND(RIGHT(G1382,2)=RIGHT('112'!$M$9,2),B1382&lt;'112'!$N$8,$M1382='112'!$I$6)),"x",""))</f>
        <v/>
      </c>
      <c r="U1382" s="22" t="str">
        <f>IF(AND(B1382&gt;='IN-NX'!$P$3,B1382&lt;='IN-NX'!$Q$3,'IN-NX'!$D$7=D1382,OR(LEFT(L1382,2)="15",AND(LEFT(M1382,2)&lt;&gt;"15",LEFT(M1382,2)&lt;&gt;"33"))),"x","")</f>
        <v/>
      </c>
      <c r="V1382" s="22" t="str">
        <f>IF(AND(OR(LEFT(TH!L1382,2)="15",LEFT(TH!M1382,2)="15"),'152-CT'!$J$8=TH!F1382),"x","")</f>
        <v/>
      </c>
      <c r="W1382" s="22" t="str">
        <f>IF(AND(OR(LEFT(TH!L1382,2)="15",LEFT(TH!M1382,2)="15"),TK!$E$7=TH!F1382),"x","")</f>
        <v/>
      </c>
      <c r="X1382" s="22" t="str">
        <f>IF(OR(TH!L1382=TH!$X$7,M1382=TH!$X$7),"x","")</f>
        <v/>
      </c>
      <c r="Y1382" s="22" t="str">
        <f>IF(AND(B1382&lt;=NKC!$N$8,B1382&gt;=NKC!$M$8),"x","")</f>
        <v/>
      </c>
      <c r="Z1382" s="580"/>
      <c r="AA1382" s="588"/>
      <c r="AB1382" s="588"/>
    </row>
    <row r="1383" spans="1:28" s="589" customFormat="1" ht="15.75" customHeight="1">
      <c r="A1383" s="607" t="str">
        <f>IF(B1383&lt;&gt;"",IF(AND(B1383&gt;=_TM1,B1383&lt;=_TM2,OR(TH!L1383="1111",TH!M1383="1111")),TH!D1383,""),"")</f>
        <v/>
      </c>
      <c r="B1383" s="585">
        <f t="shared" si="71"/>
        <v>12</v>
      </c>
      <c r="C1383" s="586">
        <f t="shared" si="70"/>
        <v>42734</v>
      </c>
      <c r="D1383" s="569" t="s">
        <v>1022</v>
      </c>
      <c r="E1383" s="611">
        <v>42734</v>
      </c>
      <c r="F1383" s="614" t="s">
        <v>524</v>
      </c>
      <c r="G1383" s="612" t="s">
        <v>936</v>
      </c>
      <c r="H1383" s="572" t="s">
        <v>1075</v>
      </c>
      <c r="I1383" s="137">
        <v>525</v>
      </c>
      <c r="J1383" s="137">
        <v>5554.3167596009798</v>
      </c>
      <c r="K1383" s="21">
        <f t="shared" si="68"/>
        <v>2916016</v>
      </c>
      <c r="L1383" s="567" t="s">
        <v>167</v>
      </c>
      <c r="M1383" s="567" t="s">
        <v>162</v>
      </c>
      <c r="N1383" s="22" t="str">
        <f>IF(AND('331-CT'!$E$7=TH!H1383,OR(L1383="331",M1383="331")),"331",IF(AND(OR(L1383="131",M1383="131"),H1383='131-CT'!$E$7),"131",""))</f>
        <v/>
      </c>
      <c r="O1383" s="22" t="str">
        <f>IF(AND($B1383&gt;='111'!$N$11,$B1383&lt;='111'!$O$11,OR($L1383=$O$7,$M1383=$O$7)),"x","")</f>
        <v/>
      </c>
      <c r="P1383" s="22" t="str">
        <f>IF(AND($L1383=$O$7,$B1383&lt;'111'!$N$11),"x","")</f>
        <v/>
      </c>
      <c r="Q1383" s="22" t="str">
        <f>IF(AND($M1383=$O$7,$B1383&lt;'111'!$N$11),"x","")</f>
        <v/>
      </c>
      <c r="R1383" s="22" t="str">
        <f>IF(ISERROR(FIND('112'!$M$9,G1383,1)),"",IF((AND(FIND('112'!$M$9,G1383,1)&gt;=1,$B1383&gt;='112'!$N$8,$B1383&lt;='112'!$O$8,OR($L1383='112'!$I$6,$M1383='112'!$I$6))),"x",""))</f>
        <v/>
      </c>
      <c r="S1383" s="22" t="str">
        <f>IF(ISERROR(FIND('112'!$M$9,G1383,1)),"",IF((AND(LEFT(G1383,2)=LEFT('112'!$M$9,2),B1383&lt;'112'!$N$8,$L1383='112'!$I$6)),"x",""))</f>
        <v/>
      </c>
      <c r="T1383" s="22" t="str">
        <f>IF(ISERROR(FIND('112'!$M$9,G1383,1)),"",IF((AND(RIGHT(G1383,2)=RIGHT('112'!$M$9,2),B1383&lt;'112'!$N$8,$M1383='112'!$I$6)),"x",""))</f>
        <v/>
      </c>
      <c r="U1383" s="22" t="str">
        <f>IF(AND(B1383&gt;='IN-NX'!$P$3,B1383&lt;='IN-NX'!$Q$3,'IN-NX'!$D$7=D1383,OR(LEFT(L1383,2)="15",AND(LEFT(M1383,2)&lt;&gt;"15",LEFT(M1383,2)&lt;&gt;"33"))),"x","")</f>
        <v/>
      </c>
      <c r="V1383" s="22" t="str">
        <f>IF(AND(OR(LEFT(TH!L1383,2)="15",LEFT(TH!M1383,2)="15"),'152-CT'!$J$8=TH!F1383),"x","")</f>
        <v/>
      </c>
      <c r="W1383" s="22" t="str">
        <f>IF(AND(OR(LEFT(TH!L1383,2)="15",LEFT(TH!M1383,2)="15"),TK!$E$7=TH!F1383),"x","")</f>
        <v/>
      </c>
      <c r="X1383" s="22" t="str">
        <f>IF(OR(TH!L1383=TH!$X$7,M1383=TH!$X$7),"x","")</f>
        <v/>
      </c>
      <c r="Y1383" s="22" t="str">
        <f>IF(AND(B1383&lt;=NKC!$N$8,B1383&gt;=NKC!$M$8),"x","")</f>
        <v/>
      </c>
      <c r="Z1383" s="580"/>
      <c r="AA1383" s="588"/>
      <c r="AB1383" s="588"/>
    </row>
    <row r="1384" spans="1:28" s="589" customFormat="1" ht="15.75" customHeight="1">
      <c r="A1384" s="607" t="str">
        <f>IF(B1384&lt;&gt;"",IF(AND(B1384&gt;=_TM1,B1384&lt;=_TM2,OR(TH!L1384="1111",TH!M1384="1111")),TH!D1384,""),"")</f>
        <v/>
      </c>
      <c r="B1384" s="585">
        <f t="shared" ref="B1384:B1390" si="72">IF(C1384&lt;&gt;"",MONTH(C1384),"")</f>
        <v>12</v>
      </c>
      <c r="C1384" s="586">
        <f t="shared" ref="C1384:C1390" si="73">E1384</f>
        <v>42734</v>
      </c>
      <c r="D1384" s="569" t="s">
        <v>1022</v>
      </c>
      <c r="E1384" s="611">
        <v>42734</v>
      </c>
      <c r="F1384" s="614" t="s">
        <v>1085</v>
      </c>
      <c r="G1384" s="612" t="s">
        <v>1083</v>
      </c>
      <c r="H1384" s="572" t="s">
        <v>1075</v>
      </c>
      <c r="I1384" s="137">
        <v>7250</v>
      </c>
      <c r="J1384" s="138">
        <v>2130.4228666962663</v>
      </c>
      <c r="K1384" s="21">
        <f t="shared" ref="K1384:K1390" si="74">ROUND(I1384*J1384,0)</f>
        <v>15445566</v>
      </c>
      <c r="L1384" s="567" t="s">
        <v>167</v>
      </c>
      <c r="M1384" s="567" t="s">
        <v>162</v>
      </c>
      <c r="N1384" s="22" t="str">
        <f>IF(AND('331-CT'!$E$7=TH!H1384,OR(L1384="331",M1384="331")),"331",IF(AND(OR(L1384="131",M1384="131"),H1384='131-CT'!$E$7),"131",""))</f>
        <v/>
      </c>
      <c r="O1384" s="22" t="str">
        <f>IF(AND($B1384&gt;='111'!$N$11,$B1384&lt;='111'!$O$11,OR($L1384=$O$7,$M1384=$O$7)),"x","")</f>
        <v/>
      </c>
      <c r="P1384" s="22" t="str">
        <f>IF(AND($L1384=$O$7,$B1384&lt;'111'!$N$11),"x","")</f>
        <v/>
      </c>
      <c r="Q1384" s="22" t="str">
        <f>IF(AND($M1384=$O$7,$B1384&lt;'111'!$N$11),"x","")</f>
        <v/>
      </c>
      <c r="R1384" s="22" t="str">
        <f>IF(ISERROR(FIND('112'!$M$9,G1384,1)),"",IF((AND(FIND('112'!$M$9,G1384,1)&gt;=1,$B1384&gt;='112'!$N$8,$B1384&lt;='112'!$O$8,OR($L1384='112'!$I$6,$M1384='112'!$I$6))),"x",""))</f>
        <v/>
      </c>
      <c r="S1384" s="22" t="str">
        <f>IF(ISERROR(FIND('112'!$M$9,G1384,1)),"",IF((AND(LEFT(G1384,2)=LEFT('112'!$M$9,2),B1384&lt;'112'!$N$8,$L1384='112'!$I$6)),"x",""))</f>
        <v/>
      </c>
      <c r="T1384" s="22" t="str">
        <f>IF(ISERROR(FIND('112'!$M$9,G1384,1)),"",IF((AND(RIGHT(G1384,2)=RIGHT('112'!$M$9,2),B1384&lt;'112'!$N$8,$M1384='112'!$I$6)),"x",""))</f>
        <v/>
      </c>
      <c r="U1384" s="22" t="str">
        <f>IF(AND(B1384&gt;='IN-NX'!$P$3,B1384&lt;='IN-NX'!$Q$3,'IN-NX'!$D$7=D1384,OR(LEFT(L1384,2)="15",AND(LEFT(M1384,2)&lt;&gt;"15",LEFT(M1384,2)&lt;&gt;"33"))),"x","")</f>
        <v/>
      </c>
      <c r="V1384" s="22" t="str">
        <f>IF(AND(OR(LEFT(TH!L1384,2)="15",LEFT(TH!M1384,2)="15"),'152-CT'!$J$8=TH!F1384),"x","")</f>
        <v/>
      </c>
      <c r="W1384" s="22" t="str">
        <f>IF(AND(OR(LEFT(TH!L1384,2)="15",LEFT(TH!M1384,2)="15"),TK!$E$7=TH!F1384),"x","")</f>
        <v/>
      </c>
      <c r="X1384" s="22" t="str">
        <f>IF(OR(TH!L1384=TH!$X$7,M1384=TH!$X$7),"x","")</f>
        <v/>
      </c>
      <c r="Y1384" s="22" t="str">
        <f>IF(AND(B1384&lt;=NKC!$N$8,B1384&gt;=NKC!$M$8),"x","")</f>
        <v/>
      </c>
      <c r="Z1384" s="580"/>
      <c r="AA1384" s="588"/>
      <c r="AB1384" s="588"/>
    </row>
    <row r="1385" spans="1:28" s="589" customFormat="1" ht="15.75" customHeight="1">
      <c r="A1385" s="607" t="str">
        <f>IF(B1385&lt;&gt;"",IF(AND(B1385&gt;=_TM1,B1385&lt;=_TM2,OR(TH!L1385="1111",TH!M1385="1111")),TH!D1385,""),"")</f>
        <v/>
      </c>
      <c r="B1385" s="585">
        <f t="shared" si="72"/>
        <v>12</v>
      </c>
      <c r="C1385" s="586">
        <f t="shared" si="73"/>
        <v>42734</v>
      </c>
      <c r="D1385" s="569" t="s">
        <v>1022</v>
      </c>
      <c r="E1385" s="611">
        <v>42734</v>
      </c>
      <c r="F1385" s="614" t="s">
        <v>1086</v>
      </c>
      <c r="G1385" s="612" t="s">
        <v>1083</v>
      </c>
      <c r="H1385" s="572" t="s">
        <v>1075</v>
      </c>
      <c r="I1385" s="137">
        <v>9730</v>
      </c>
      <c r="J1385" s="137">
        <v>1673.9036809756378</v>
      </c>
      <c r="K1385" s="21">
        <f t="shared" si="74"/>
        <v>16287083</v>
      </c>
      <c r="L1385" s="567" t="s">
        <v>167</v>
      </c>
      <c r="M1385" s="567" t="s">
        <v>162</v>
      </c>
      <c r="N1385" s="22" t="str">
        <f>IF(AND('331-CT'!$E$7=TH!H1385,OR(L1385="331",M1385="331")),"331",IF(AND(OR(L1385="131",M1385="131"),H1385='131-CT'!$E$7),"131",""))</f>
        <v/>
      </c>
      <c r="O1385" s="22" t="str">
        <f>IF(AND($B1385&gt;='111'!$N$11,$B1385&lt;='111'!$O$11,OR($L1385=$O$7,$M1385=$O$7)),"x","")</f>
        <v/>
      </c>
      <c r="P1385" s="22" t="str">
        <f>IF(AND($L1385=$O$7,$B1385&lt;'111'!$N$11),"x","")</f>
        <v/>
      </c>
      <c r="Q1385" s="22" t="str">
        <f>IF(AND($M1385=$O$7,$B1385&lt;'111'!$N$11),"x","")</f>
        <v/>
      </c>
      <c r="R1385" s="22" t="str">
        <f>IF(ISERROR(FIND('112'!$M$9,G1385,1)),"",IF((AND(FIND('112'!$M$9,G1385,1)&gt;=1,$B1385&gt;='112'!$N$8,$B1385&lt;='112'!$O$8,OR($L1385='112'!$I$6,$M1385='112'!$I$6))),"x",""))</f>
        <v/>
      </c>
      <c r="S1385" s="22" t="str">
        <f>IF(ISERROR(FIND('112'!$M$9,G1385,1)),"",IF((AND(LEFT(G1385,2)=LEFT('112'!$M$9,2),B1385&lt;'112'!$N$8,$L1385='112'!$I$6)),"x",""))</f>
        <v/>
      </c>
      <c r="T1385" s="22" t="str">
        <f>IF(ISERROR(FIND('112'!$M$9,G1385,1)),"",IF((AND(RIGHT(G1385,2)=RIGHT('112'!$M$9,2),B1385&lt;'112'!$N$8,$M1385='112'!$I$6)),"x",""))</f>
        <v/>
      </c>
      <c r="U1385" s="22" t="str">
        <f>IF(AND(B1385&gt;='IN-NX'!$P$3,B1385&lt;='IN-NX'!$Q$3,'IN-NX'!$D$7=D1385,OR(LEFT(L1385,2)="15",AND(LEFT(M1385,2)&lt;&gt;"15",LEFT(M1385,2)&lt;&gt;"33"))),"x","")</f>
        <v/>
      </c>
      <c r="V1385" s="22" t="str">
        <f>IF(AND(OR(LEFT(TH!L1385,2)="15",LEFT(TH!M1385,2)="15"),'152-CT'!$J$8=TH!F1385),"x","")</f>
        <v/>
      </c>
      <c r="W1385" s="22" t="str">
        <f>IF(AND(OR(LEFT(TH!L1385,2)="15",LEFT(TH!M1385,2)="15"),TK!$E$7=TH!F1385),"x","")</f>
        <v/>
      </c>
      <c r="X1385" s="22" t="str">
        <f>IF(OR(TH!L1385=TH!$X$7,M1385=TH!$X$7),"x","")</f>
        <v/>
      </c>
      <c r="Y1385" s="22" t="str">
        <f>IF(AND(B1385&lt;=NKC!$N$8,B1385&gt;=NKC!$M$8),"x","")</f>
        <v/>
      </c>
      <c r="Z1385" s="580"/>
      <c r="AA1385" s="588"/>
      <c r="AB1385" s="588"/>
    </row>
    <row r="1386" spans="1:28" s="589" customFormat="1" ht="15.75" customHeight="1">
      <c r="A1386" s="607" t="str">
        <f>IF(B1386&lt;&gt;"",IF(AND(B1386&gt;=_TM1,B1386&lt;=_TM2,OR(TH!L1386="1111",TH!M1386="1111")),TH!D1386,""),"")</f>
        <v/>
      </c>
      <c r="B1386" s="585">
        <f t="shared" si="72"/>
        <v>12</v>
      </c>
      <c r="C1386" s="586">
        <f t="shared" si="73"/>
        <v>42734</v>
      </c>
      <c r="D1386" s="569" t="s">
        <v>1022</v>
      </c>
      <c r="E1386" s="611">
        <v>42734</v>
      </c>
      <c r="F1386" s="614" t="s">
        <v>1087</v>
      </c>
      <c r="G1386" s="612" t="s">
        <v>1083</v>
      </c>
      <c r="H1386" s="572" t="s">
        <v>1075</v>
      </c>
      <c r="I1386" s="137">
        <v>375</v>
      </c>
      <c r="J1386" s="137">
        <v>380.4326547671904</v>
      </c>
      <c r="K1386" s="21">
        <f t="shared" si="74"/>
        <v>142662</v>
      </c>
      <c r="L1386" s="567" t="s">
        <v>167</v>
      </c>
      <c r="M1386" s="567" t="s">
        <v>162</v>
      </c>
      <c r="N1386" s="22" t="str">
        <f>IF(AND('331-CT'!$E$7=TH!H1386,OR(L1386="331",M1386="331")),"331",IF(AND(OR(L1386="131",M1386="131"),H1386='131-CT'!$E$7),"131",""))</f>
        <v/>
      </c>
      <c r="O1386" s="22" t="str">
        <f>IF(AND($B1386&gt;='111'!$N$11,$B1386&lt;='111'!$O$11,OR($L1386=$O$7,$M1386=$O$7)),"x","")</f>
        <v/>
      </c>
      <c r="P1386" s="22" t="str">
        <f>IF(AND($L1386=$O$7,$B1386&lt;'111'!$N$11),"x","")</f>
        <v/>
      </c>
      <c r="Q1386" s="22" t="str">
        <f>IF(AND($M1386=$O$7,$B1386&lt;'111'!$N$11),"x","")</f>
        <v/>
      </c>
      <c r="R1386" s="22" t="str">
        <f>IF(ISERROR(FIND('112'!$M$9,G1386,1)),"",IF((AND(FIND('112'!$M$9,G1386,1)&gt;=1,$B1386&gt;='112'!$N$8,$B1386&lt;='112'!$O$8,OR($L1386='112'!$I$6,$M1386='112'!$I$6))),"x",""))</f>
        <v/>
      </c>
      <c r="S1386" s="22" t="str">
        <f>IF(ISERROR(FIND('112'!$M$9,G1386,1)),"",IF((AND(LEFT(G1386,2)=LEFT('112'!$M$9,2),B1386&lt;'112'!$N$8,$L1386='112'!$I$6)),"x",""))</f>
        <v/>
      </c>
      <c r="T1386" s="22" t="str">
        <f>IF(ISERROR(FIND('112'!$M$9,G1386,1)),"",IF((AND(RIGHT(G1386,2)=RIGHT('112'!$M$9,2),B1386&lt;'112'!$N$8,$M1386='112'!$I$6)),"x",""))</f>
        <v/>
      </c>
      <c r="U1386" s="22" t="str">
        <f>IF(AND(B1386&gt;='IN-NX'!$P$3,B1386&lt;='IN-NX'!$Q$3,'IN-NX'!$D$7=D1386,OR(LEFT(L1386,2)="15",AND(LEFT(M1386,2)&lt;&gt;"15",LEFT(M1386,2)&lt;&gt;"33"))),"x","")</f>
        <v/>
      </c>
      <c r="V1386" s="22" t="str">
        <f>IF(AND(OR(LEFT(TH!L1386,2)="15",LEFT(TH!M1386,2)="15"),'152-CT'!$J$8=TH!F1386),"x","")</f>
        <v/>
      </c>
      <c r="W1386" s="22" t="str">
        <f>IF(AND(OR(LEFT(TH!L1386,2)="15",LEFT(TH!M1386,2)="15"),TK!$E$7=TH!F1386),"x","")</f>
        <v/>
      </c>
      <c r="X1386" s="22" t="str">
        <f>IF(OR(TH!L1386=TH!$X$7,M1386=TH!$X$7),"x","")</f>
        <v/>
      </c>
      <c r="Y1386" s="22" t="str">
        <f>IF(AND(B1386&lt;=NKC!$N$8,B1386&gt;=NKC!$M$8),"x","")</f>
        <v/>
      </c>
      <c r="Z1386" s="580"/>
      <c r="AA1386" s="588"/>
      <c r="AB1386" s="588"/>
    </row>
    <row r="1387" spans="1:28" s="589" customFormat="1" ht="15.75" customHeight="1">
      <c r="A1387" s="607" t="str">
        <f>IF(B1387&lt;&gt;"",IF(AND(B1387&gt;=_TM1,B1387&lt;=_TM2,OR(TH!L1387="1111",TH!M1387="1111")),TH!D1387,""),"")</f>
        <v/>
      </c>
      <c r="B1387" s="585">
        <f t="shared" si="72"/>
        <v>12</v>
      </c>
      <c r="C1387" s="586">
        <f t="shared" si="73"/>
        <v>42734</v>
      </c>
      <c r="D1387" s="569" t="s">
        <v>1022</v>
      </c>
      <c r="E1387" s="611">
        <v>42734</v>
      </c>
      <c r="F1387" s="614" t="s">
        <v>1088</v>
      </c>
      <c r="G1387" s="612" t="s">
        <v>1083</v>
      </c>
      <c r="H1387" s="572" t="s">
        <v>1075</v>
      </c>
      <c r="I1387" s="137">
        <v>500</v>
      </c>
      <c r="J1387" s="137">
        <v>21912.920914590166</v>
      </c>
      <c r="K1387" s="21">
        <f t="shared" si="74"/>
        <v>10956460</v>
      </c>
      <c r="L1387" s="567" t="s">
        <v>167</v>
      </c>
      <c r="M1387" s="567" t="s">
        <v>162</v>
      </c>
      <c r="N1387" s="22" t="str">
        <f>IF(AND('331-CT'!$E$7=TH!H1387,OR(L1387="331",M1387="331")),"331",IF(AND(OR(L1387="131",M1387="131"),H1387='131-CT'!$E$7),"131",""))</f>
        <v/>
      </c>
      <c r="O1387" s="22" t="str">
        <f>IF(AND($B1387&gt;='111'!$N$11,$B1387&lt;='111'!$O$11,OR($L1387=$O$7,$M1387=$O$7)),"x","")</f>
        <v/>
      </c>
      <c r="P1387" s="22" t="str">
        <f>IF(AND($L1387=$O$7,$B1387&lt;'111'!$N$11),"x","")</f>
        <v/>
      </c>
      <c r="Q1387" s="22" t="str">
        <f>IF(AND($M1387=$O$7,$B1387&lt;'111'!$N$11),"x","")</f>
        <v/>
      </c>
      <c r="R1387" s="22" t="str">
        <f>IF(ISERROR(FIND('112'!$M$9,G1387,1)),"",IF((AND(FIND('112'!$M$9,G1387,1)&gt;=1,$B1387&gt;='112'!$N$8,$B1387&lt;='112'!$O$8,OR($L1387='112'!$I$6,$M1387='112'!$I$6))),"x",""))</f>
        <v/>
      </c>
      <c r="S1387" s="22" t="str">
        <f>IF(ISERROR(FIND('112'!$M$9,G1387,1)),"",IF((AND(LEFT(G1387,2)=LEFT('112'!$M$9,2),B1387&lt;'112'!$N$8,$L1387='112'!$I$6)),"x",""))</f>
        <v/>
      </c>
      <c r="T1387" s="22" t="str">
        <f>IF(ISERROR(FIND('112'!$M$9,G1387,1)),"",IF((AND(RIGHT(G1387,2)=RIGHT('112'!$M$9,2),B1387&lt;'112'!$N$8,$M1387='112'!$I$6)),"x",""))</f>
        <v/>
      </c>
      <c r="U1387" s="22" t="str">
        <f>IF(AND(B1387&gt;='IN-NX'!$P$3,B1387&lt;='IN-NX'!$Q$3,'IN-NX'!$D$7=D1387,OR(LEFT(L1387,2)="15",AND(LEFT(M1387,2)&lt;&gt;"15",LEFT(M1387,2)&lt;&gt;"33"))),"x","")</f>
        <v/>
      </c>
      <c r="V1387" s="22" t="str">
        <f>IF(AND(OR(LEFT(TH!L1387,2)="15",LEFT(TH!M1387,2)="15"),'152-CT'!$J$8=TH!F1387),"x","")</f>
        <v/>
      </c>
      <c r="W1387" s="22" t="str">
        <f>IF(AND(OR(LEFT(TH!L1387,2)="15",LEFT(TH!M1387,2)="15"),TK!$E$7=TH!F1387),"x","")</f>
        <v/>
      </c>
      <c r="X1387" s="22" t="str">
        <f>IF(OR(TH!L1387=TH!$X$7,M1387=TH!$X$7),"x","")</f>
        <v/>
      </c>
      <c r="Y1387" s="22" t="str">
        <f>IF(AND(B1387&lt;=NKC!$N$8,B1387&gt;=NKC!$M$8),"x","")</f>
        <v/>
      </c>
      <c r="Z1387" s="580"/>
      <c r="AA1387" s="588"/>
    </row>
    <row r="1388" spans="1:28" s="589" customFormat="1" ht="15.75" customHeight="1">
      <c r="A1388" s="607" t="str">
        <f>IF(B1388&lt;&gt;"",IF(AND(B1388&gt;=_TM1,B1388&lt;=_TM2,OR(TH!L1388="1111",TH!M1388="1111")),TH!D1388,""),"")</f>
        <v/>
      </c>
      <c r="B1388" s="585">
        <f t="shared" si="72"/>
        <v>12</v>
      </c>
      <c r="C1388" s="586">
        <f t="shared" si="73"/>
        <v>42734</v>
      </c>
      <c r="D1388" s="569" t="s">
        <v>1022</v>
      </c>
      <c r="E1388" s="611">
        <v>42734</v>
      </c>
      <c r="F1388" s="614" t="s">
        <v>1089</v>
      </c>
      <c r="G1388" s="612" t="s">
        <v>1083</v>
      </c>
      <c r="H1388" s="572" t="s">
        <v>1075</v>
      </c>
      <c r="I1388" s="137">
        <v>2375</v>
      </c>
      <c r="J1388" s="137">
        <v>1217.3844952550094</v>
      </c>
      <c r="K1388" s="21">
        <f t="shared" si="74"/>
        <v>2891288</v>
      </c>
      <c r="L1388" s="567" t="s">
        <v>167</v>
      </c>
      <c r="M1388" s="567" t="s">
        <v>162</v>
      </c>
      <c r="N1388" s="22" t="str">
        <f>IF(AND('331-CT'!$E$7=TH!H1388,OR(L1388="331",M1388="331")),"331",IF(AND(OR(L1388="131",M1388="131"),H1388='131-CT'!$E$7),"131",""))</f>
        <v/>
      </c>
      <c r="O1388" s="22" t="str">
        <f>IF(AND($B1388&gt;='111'!$N$11,$B1388&lt;='111'!$O$11,OR($L1388=$O$7,$M1388=$O$7)),"x","")</f>
        <v/>
      </c>
      <c r="P1388" s="22" t="str">
        <f>IF(AND($L1388=$O$7,$B1388&lt;'111'!$N$11),"x","")</f>
        <v/>
      </c>
      <c r="Q1388" s="22" t="str">
        <f>IF(AND($M1388=$O$7,$B1388&lt;'111'!$N$11),"x","")</f>
        <v/>
      </c>
      <c r="R1388" s="22" t="str">
        <f>IF(ISERROR(FIND('112'!$M$9,G1388,1)),"",IF((AND(FIND('112'!$M$9,G1388,1)&gt;=1,$B1388&gt;='112'!$N$8,$B1388&lt;='112'!$O$8,OR($L1388='112'!$I$6,$M1388='112'!$I$6))),"x",""))</f>
        <v/>
      </c>
      <c r="S1388" s="22" t="str">
        <f>IF(ISERROR(FIND('112'!$M$9,G1388,1)),"",IF((AND(LEFT(G1388,2)=LEFT('112'!$M$9,2),B1388&lt;'112'!$N$8,$L1388='112'!$I$6)),"x",""))</f>
        <v/>
      </c>
      <c r="T1388" s="22" t="str">
        <f>IF(ISERROR(FIND('112'!$M$9,G1388,1)),"",IF((AND(RIGHT(G1388,2)=RIGHT('112'!$M$9,2),B1388&lt;'112'!$N$8,$M1388='112'!$I$6)),"x",""))</f>
        <v/>
      </c>
      <c r="U1388" s="22" t="str">
        <f>IF(AND(B1388&gt;='IN-NX'!$P$3,B1388&lt;='IN-NX'!$Q$3,'IN-NX'!$D$7=D1388,OR(LEFT(L1388,2)="15",AND(LEFT(M1388,2)&lt;&gt;"15",LEFT(M1388,2)&lt;&gt;"33"))),"x","")</f>
        <v/>
      </c>
      <c r="V1388" s="22" t="str">
        <f>IF(AND(OR(LEFT(TH!L1388,2)="15",LEFT(TH!M1388,2)="15"),'152-CT'!$J$8=TH!F1388),"x","")</f>
        <v/>
      </c>
      <c r="W1388" s="22" t="str">
        <f>IF(AND(OR(LEFT(TH!L1388,2)="15",LEFT(TH!M1388,2)="15"),TK!$E$7=TH!F1388),"x","")</f>
        <v/>
      </c>
      <c r="X1388" s="22" t="str">
        <f>IF(OR(TH!L1388=TH!$X$7,M1388=TH!$X$7),"x","")</f>
        <v/>
      </c>
      <c r="Y1388" s="22" t="str">
        <f>IF(AND(B1388&lt;=NKC!$N$8,B1388&gt;=NKC!$M$8),"x","")</f>
        <v/>
      </c>
      <c r="Z1388" s="580"/>
      <c r="AA1388" s="588"/>
      <c r="AB1388" s="588"/>
    </row>
    <row r="1389" spans="1:28" s="589" customFormat="1" ht="15.75" customHeight="1">
      <c r="A1389" s="607" t="str">
        <f>IF(B1389&lt;&gt;"",IF(AND(B1389&gt;=_TM1,B1389&lt;=_TM2,OR(TH!L1389="1111",TH!M1389="1111")),TH!D1389,""),"")</f>
        <v/>
      </c>
      <c r="B1389" s="585">
        <f t="shared" si="72"/>
        <v>12</v>
      </c>
      <c r="C1389" s="586">
        <f t="shared" si="73"/>
        <v>42734</v>
      </c>
      <c r="D1389" s="569" t="s">
        <v>1022</v>
      </c>
      <c r="E1389" s="611">
        <v>42734</v>
      </c>
      <c r="F1389" s="614" t="s">
        <v>1090</v>
      </c>
      <c r="G1389" s="612" t="s">
        <v>1083</v>
      </c>
      <c r="H1389" s="572" t="s">
        <v>1075</v>
      </c>
      <c r="I1389" s="137">
        <v>200</v>
      </c>
      <c r="J1389" s="137">
        <v>2739.1151143237707</v>
      </c>
      <c r="K1389" s="21">
        <f t="shared" si="74"/>
        <v>547823</v>
      </c>
      <c r="L1389" s="567" t="s">
        <v>167</v>
      </c>
      <c r="M1389" s="567" t="s">
        <v>162</v>
      </c>
      <c r="N1389" s="22" t="str">
        <f>IF(AND('331-CT'!$E$7=TH!H1389,OR(L1389="331",M1389="331")),"331",IF(AND(OR(L1389="131",M1389="131"),H1389='131-CT'!$E$7),"131",""))</f>
        <v/>
      </c>
      <c r="O1389" s="22" t="str">
        <f>IF(AND($B1389&gt;='111'!$N$11,$B1389&lt;='111'!$O$11,OR($L1389=$O$7,$M1389=$O$7)),"x","")</f>
        <v/>
      </c>
      <c r="P1389" s="22" t="str">
        <f>IF(AND($L1389=$O$7,$B1389&lt;'111'!$N$11),"x","")</f>
        <v/>
      </c>
      <c r="Q1389" s="22" t="str">
        <f>IF(AND($M1389=$O$7,$B1389&lt;'111'!$N$11),"x","")</f>
        <v/>
      </c>
      <c r="R1389" s="22" t="str">
        <f>IF(ISERROR(FIND('112'!$M$9,G1389,1)),"",IF((AND(FIND('112'!$M$9,G1389,1)&gt;=1,$B1389&gt;='112'!$N$8,$B1389&lt;='112'!$O$8,OR($L1389='112'!$I$6,$M1389='112'!$I$6))),"x",""))</f>
        <v/>
      </c>
      <c r="S1389" s="22" t="str">
        <f>IF(ISERROR(FIND('112'!$M$9,G1389,1)),"",IF((AND(LEFT(G1389,2)=LEFT('112'!$M$9,2),B1389&lt;'112'!$N$8,$L1389='112'!$I$6)),"x",""))</f>
        <v/>
      </c>
      <c r="T1389" s="22" t="str">
        <f>IF(ISERROR(FIND('112'!$M$9,G1389,1)),"",IF((AND(RIGHT(G1389,2)=RIGHT('112'!$M$9,2),B1389&lt;'112'!$N$8,$M1389='112'!$I$6)),"x",""))</f>
        <v/>
      </c>
      <c r="U1389" s="22" t="str">
        <f>IF(AND(B1389&gt;='IN-NX'!$P$3,B1389&lt;='IN-NX'!$Q$3,'IN-NX'!$D$7=D1389,OR(LEFT(L1389,2)="15",AND(LEFT(M1389,2)&lt;&gt;"15",LEFT(M1389,2)&lt;&gt;"33"))),"x","")</f>
        <v/>
      </c>
      <c r="V1389" s="22" t="str">
        <f>IF(AND(OR(LEFT(TH!L1389,2)="15",LEFT(TH!M1389,2)="15"),'152-CT'!$J$8=TH!F1389),"x","")</f>
        <v/>
      </c>
      <c r="W1389" s="22" t="str">
        <f>IF(AND(OR(LEFT(TH!L1389,2)="15",LEFT(TH!M1389,2)="15"),TK!$E$7=TH!F1389),"x","")</f>
        <v/>
      </c>
      <c r="X1389" s="22" t="str">
        <f>IF(OR(TH!L1389=TH!$X$7,M1389=TH!$X$7),"x","")</f>
        <v/>
      </c>
      <c r="Y1389" s="22" t="str">
        <f>IF(AND(B1389&lt;=NKC!$N$8,B1389&gt;=NKC!$M$8),"x","")</f>
        <v/>
      </c>
      <c r="Z1389" s="580"/>
      <c r="AA1389" s="588"/>
      <c r="AB1389" s="588"/>
    </row>
    <row r="1390" spans="1:28" s="589" customFormat="1" ht="15.75" customHeight="1">
      <c r="A1390" s="607" t="str">
        <f>IF(B1390&lt;&gt;"",IF(AND(B1390&gt;=_TM1,B1390&lt;=_TM2,OR(TH!L1390="1111",TH!M1390="1111")),TH!D1390,""),"")</f>
        <v/>
      </c>
      <c r="B1390" s="585">
        <f t="shared" si="72"/>
        <v>12</v>
      </c>
      <c r="C1390" s="586">
        <f t="shared" si="73"/>
        <v>42734</v>
      </c>
      <c r="D1390" s="569" t="s">
        <v>1022</v>
      </c>
      <c r="E1390" s="611">
        <v>42734</v>
      </c>
      <c r="F1390" s="614" t="s">
        <v>1091</v>
      </c>
      <c r="G1390" s="612" t="s">
        <v>1083</v>
      </c>
      <c r="H1390" s="572" t="s">
        <v>1075</v>
      </c>
      <c r="I1390" s="137">
        <v>2000</v>
      </c>
      <c r="J1390" s="138">
        <v>1065.2114333481331</v>
      </c>
      <c r="K1390" s="21">
        <f t="shared" si="74"/>
        <v>2130423</v>
      </c>
      <c r="L1390" s="567" t="s">
        <v>167</v>
      </c>
      <c r="M1390" s="567" t="s">
        <v>162</v>
      </c>
      <c r="N1390" s="22" t="str">
        <f>IF(AND('331-CT'!$E$7=TH!H1390,OR(L1390="331",M1390="331")),"331",IF(AND(OR(L1390="131",M1390="131"),H1390='131-CT'!$E$7),"131",""))</f>
        <v/>
      </c>
      <c r="O1390" s="22" t="str">
        <f>IF(AND($B1390&gt;='111'!$N$11,$B1390&lt;='111'!$O$11,OR($L1390=$O$7,$M1390=$O$7)),"x","")</f>
        <v/>
      </c>
      <c r="P1390" s="22" t="str">
        <f>IF(AND($L1390=$O$7,$B1390&lt;'111'!$N$11),"x","")</f>
        <v/>
      </c>
      <c r="Q1390" s="22" t="str">
        <f>IF(AND($M1390=$O$7,$B1390&lt;'111'!$N$11),"x","")</f>
        <v/>
      </c>
      <c r="R1390" s="22" t="str">
        <f>IF(ISERROR(FIND('112'!$M$9,G1390,1)),"",IF((AND(FIND('112'!$M$9,G1390,1)&gt;=1,$B1390&gt;='112'!$N$8,$B1390&lt;='112'!$O$8,OR($L1390='112'!$I$6,$M1390='112'!$I$6))),"x",""))</f>
        <v/>
      </c>
      <c r="S1390" s="22" t="str">
        <f>IF(ISERROR(FIND('112'!$M$9,G1390,1)),"",IF((AND(LEFT(G1390,2)=LEFT('112'!$M$9,2),B1390&lt;'112'!$N$8,$L1390='112'!$I$6)),"x",""))</f>
        <v/>
      </c>
      <c r="T1390" s="22" t="str">
        <f>IF(ISERROR(FIND('112'!$M$9,G1390,1)),"",IF((AND(RIGHT(G1390,2)=RIGHT('112'!$M$9,2),B1390&lt;'112'!$N$8,$M1390='112'!$I$6)),"x",""))</f>
        <v/>
      </c>
      <c r="U1390" s="22" t="str">
        <f>IF(AND(B1390&gt;='IN-NX'!$P$3,B1390&lt;='IN-NX'!$Q$3,'IN-NX'!$D$7=D1390,OR(LEFT(L1390,2)="15",AND(LEFT(M1390,2)&lt;&gt;"15",LEFT(M1390,2)&lt;&gt;"33"))),"x","")</f>
        <v/>
      </c>
      <c r="V1390" s="22" t="str">
        <f>IF(AND(OR(LEFT(TH!L1390,2)="15",LEFT(TH!M1390,2)="15"),'152-CT'!$J$8=TH!F1390),"x","")</f>
        <v/>
      </c>
      <c r="W1390" s="22" t="str">
        <f>IF(AND(OR(LEFT(TH!L1390,2)="15",LEFT(TH!M1390,2)="15"),TK!$E$7=TH!F1390),"x","")</f>
        <v/>
      </c>
      <c r="X1390" s="22" t="str">
        <f>IF(OR(TH!L1390=TH!$X$7,M1390=TH!$X$7),"x","")</f>
        <v/>
      </c>
      <c r="Y1390" s="22" t="str">
        <f>IF(AND(B1390&lt;=NKC!$N$8,B1390&gt;=NKC!$M$8),"x","")</f>
        <v/>
      </c>
      <c r="Z1390" s="580"/>
      <c r="AA1390" s="588"/>
    </row>
    <row r="1391" spans="1:28" s="589" customFormat="1" ht="15.75" customHeight="1">
      <c r="A1391" s="607" t="str">
        <f>IF(B1391&lt;&gt;"",IF(AND(B1391&gt;=_TM1,B1391&lt;=_TM2,OR(TH!L1391="1111",TH!M1391="1111")),TH!D1391,""),"")</f>
        <v/>
      </c>
      <c r="B1391" s="585">
        <f t="shared" si="71"/>
        <v>12</v>
      </c>
      <c r="C1391" s="586">
        <f t="shared" si="70"/>
        <v>42735</v>
      </c>
      <c r="D1391" s="569" t="s">
        <v>1022</v>
      </c>
      <c r="E1391" s="611">
        <v>42735</v>
      </c>
      <c r="F1391" s="614" t="s">
        <v>502</v>
      </c>
      <c r="G1391" s="612" t="s">
        <v>944</v>
      </c>
      <c r="H1391" s="572" t="s">
        <v>1075</v>
      </c>
      <c r="I1391" s="137">
        <v>1808</v>
      </c>
      <c r="J1391" s="137">
        <v>8673.86452869194</v>
      </c>
      <c r="K1391" s="21">
        <f t="shared" si="68"/>
        <v>15682347</v>
      </c>
      <c r="L1391" s="567" t="s">
        <v>167</v>
      </c>
      <c r="M1391" s="567" t="s">
        <v>162</v>
      </c>
      <c r="N1391" s="22" t="str">
        <f>IF(AND('331-CT'!$E$7=TH!H1391,OR(L1391="331",M1391="331")),"331",IF(AND(OR(L1391="131",M1391="131"),H1391='131-CT'!$E$7),"131",""))</f>
        <v/>
      </c>
      <c r="O1391" s="22" t="str">
        <f>IF(AND($B1391&gt;='111'!$N$11,$B1391&lt;='111'!$O$11,OR($L1391=$O$7,$M1391=$O$7)),"x","")</f>
        <v/>
      </c>
      <c r="P1391" s="22" t="str">
        <f>IF(AND($L1391=$O$7,$B1391&lt;'111'!$N$11),"x","")</f>
        <v/>
      </c>
      <c r="Q1391" s="22" t="str">
        <f>IF(AND($M1391=$O$7,$B1391&lt;'111'!$N$11),"x","")</f>
        <v/>
      </c>
      <c r="R1391" s="22" t="str">
        <f>IF(ISERROR(FIND('112'!$M$9,G1391,1)),"",IF((AND(FIND('112'!$M$9,G1391,1)&gt;=1,$B1391&gt;='112'!$N$8,$B1391&lt;='112'!$O$8,OR($L1391='112'!$I$6,$M1391='112'!$I$6))),"x",""))</f>
        <v/>
      </c>
      <c r="S1391" s="22" t="str">
        <f>IF(ISERROR(FIND('112'!$M$9,G1391,1)),"",IF((AND(LEFT(G1391,2)=LEFT('112'!$M$9,2),B1391&lt;'112'!$N$8,$L1391='112'!$I$6)),"x",""))</f>
        <v/>
      </c>
      <c r="T1391" s="22" t="str">
        <f>IF(ISERROR(FIND('112'!$M$9,G1391,1)),"",IF((AND(RIGHT(G1391,2)=RIGHT('112'!$M$9,2),B1391&lt;'112'!$N$8,$M1391='112'!$I$6)),"x",""))</f>
        <v/>
      </c>
      <c r="U1391" s="22" t="str">
        <f>IF(AND(B1391&gt;='IN-NX'!$P$3,B1391&lt;='IN-NX'!$Q$3,'IN-NX'!$D$7=D1391,OR(LEFT(L1391,2)="15",AND(LEFT(M1391,2)&lt;&gt;"15",LEFT(M1391,2)&lt;&gt;"33"))),"x","")</f>
        <v/>
      </c>
      <c r="V1391" s="22" t="str">
        <f>IF(AND(OR(LEFT(TH!L1391,2)="15",LEFT(TH!M1391,2)="15"),'152-CT'!$J$8=TH!F1391),"x","")</f>
        <v/>
      </c>
      <c r="W1391" s="22" t="str">
        <f>IF(AND(OR(LEFT(TH!L1391,2)="15",LEFT(TH!M1391,2)="15"),TK!$E$7=TH!F1391),"x","")</f>
        <v/>
      </c>
      <c r="X1391" s="22" t="str">
        <f>IF(OR(TH!L1391=TH!$X$7,M1391=TH!$X$7),"x","")</f>
        <v/>
      </c>
      <c r="Y1391" s="22" t="str">
        <f>IF(AND(B1391&lt;=NKC!$N$8,B1391&gt;=NKC!$M$8),"x","")</f>
        <v/>
      </c>
      <c r="Z1391" s="580"/>
      <c r="AA1391" s="588"/>
      <c r="AB1391" s="588"/>
    </row>
    <row r="1392" spans="1:28" s="589" customFormat="1" ht="15.75" customHeight="1">
      <c r="A1392" s="607" t="str">
        <f>IF(B1392&lt;&gt;"",IF(AND(B1392&gt;=_TM1,B1392&lt;=_TM2,OR(TH!L1392="1111",TH!M1392="1111")),TH!D1392,""),"")</f>
        <v/>
      </c>
      <c r="B1392" s="585">
        <f t="shared" si="71"/>
        <v>12</v>
      </c>
      <c r="C1392" s="586">
        <f t="shared" si="70"/>
        <v>42735</v>
      </c>
      <c r="D1392" s="569" t="s">
        <v>1022</v>
      </c>
      <c r="E1392" s="611">
        <v>42735</v>
      </c>
      <c r="F1392" s="614" t="s">
        <v>377</v>
      </c>
      <c r="G1392" s="612" t="s">
        <v>944</v>
      </c>
      <c r="H1392" s="572" t="s">
        <v>1075</v>
      </c>
      <c r="I1392" s="137">
        <v>3616</v>
      </c>
      <c r="J1392" s="137">
        <v>684.77877858094269</v>
      </c>
      <c r="K1392" s="21">
        <f t="shared" si="68"/>
        <v>2476160</v>
      </c>
      <c r="L1392" s="567" t="s">
        <v>167</v>
      </c>
      <c r="M1392" s="567" t="s">
        <v>162</v>
      </c>
      <c r="N1392" s="22" t="str">
        <f>IF(AND('331-CT'!$E$7=TH!H1392,OR(L1392="331",M1392="331")),"331",IF(AND(OR(L1392="131",M1392="131"),H1392='131-CT'!$E$7),"131",""))</f>
        <v/>
      </c>
      <c r="O1392" s="22" t="str">
        <f>IF(AND($B1392&gt;='111'!$N$11,$B1392&lt;='111'!$O$11,OR($L1392=$O$7,$M1392=$O$7)),"x","")</f>
        <v/>
      </c>
      <c r="P1392" s="22" t="str">
        <f>IF(AND($L1392=$O$7,$B1392&lt;'111'!$N$11),"x","")</f>
        <v/>
      </c>
      <c r="Q1392" s="22" t="str">
        <f>IF(AND($M1392=$O$7,$B1392&lt;'111'!$N$11),"x","")</f>
        <v/>
      </c>
      <c r="R1392" s="22" t="str">
        <f>IF(ISERROR(FIND('112'!$M$9,G1392,1)),"",IF((AND(FIND('112'!$M$9,G1392,1)&gt;=1,$B1392&gt;='112'!$N$8,$B1392&lt;='112'!$O$8,OR($L1392='112'!$I$6,$M1392='112'!$I$6))),"x",""))</f>
        <v/>
      </c>
      <c r="S1392" s="22" t="str">
        <f>IF(ISERROR(FIND('112'!$M$9,G1392,1)),"",IF((AND(LEFT(G1392,2)=LEFT('112'!$M$9,2),B1392&lt;'112'!$N$8,$L1392='112'!$I$6)),"x",""))</f>
        <v/>
      </c>
      <c r="T1392" s="22" t="str">
        <f>IF(ISERROR(FIND('112'!$M$9,G1392,1)),"",IF((AND(RIGHT(G1392,2)=RIGHT('112'!$M$9,2),B1392&lt;'112'!$N$8,$M1392='112'!$I$6)),"x",""))</f>
        <v/>
      </c>
      <c r="U1392" s="22" t="str">
        <f>IF(AND(B1392&gt;='IN-NX'!$P$3,B1392&lt;='IN-NX'!$Q$3,'IN-NX'!$D$7=D1392,OR(LEFT(L1392,2)="15",AND(LEFT(M1392,2)&lt;&gt;"15",LEFT(M1392,2)&lt;&gt;"33"))),"x","")</f>
        <v/>
      </c>
      <c r="V1392" s="22" t="str">
        <f>IF(AND(OR(LEFT(TH!L1392,2)="15",LEFT(TH!M1392,2)="15"),'152-CT'!$J$8=TH!F1392),"x","")</f>
        <v/>
      </c>
      <c r="W1392" s="22" t="str">
        <f>IF(AND(OR(LEFT(TH!L1392,2)="15",LEFT(TH!M1392,2)="15"),TK!$E$7=TH!F1392),"x","")</f>
        <v/>
      </c>
      <c r="X1392" s="22" t="str">
        <f>IF(OR(TH!L1392=TH!$X$7,M1392=TH!$X$7),"x","")</f>
        <v/>
      </c>
      <c r="Y1392" s="22" t="str">
        <f>IF(AND(B1392&lt;=NKC!$N$8,B1392&gt;=NKC!$M$8),"x","")</f>
        <v/>
      </c>
      <c r="Z1392" s="580"/>
      <c r="AA1392" s="588"/>
    </row>
    <row r="1393" spans="1:31" s="130" customFormat="1" ht="15.75" customHeight="1">
      <c r="A1393" s="123" t="str">
        <f>IF(B1393&lt;&gt;"",IF(AND(B1393&gt;=_TM1,B1393&lt;=_TM2,OR(TH!L1393="1111",TH!M1393="1111")),TH!D1393,""),"")</f>
        <v/>
      </c>
      <c r="B1393" s="12" t="str">
        <f t="shared" ref="B1393:B1396" si="75">IF(C1393&lt;&gt;"",MONTH(C1393),"")</f>
        <v/>
      </c>
      <c r="C1393" s="108"/>
      <c r="D1393" s="113"/>
      <c r="E1393" s="108"/>
      <c r="F1393" s="114"/>
      <c r="G1393" s="305"/>
      <c r="H1393" s="4"/>
      <c r="I1393" s="139"/>
      <c r="J1393" s="139"/>
      <c r="K1393" s="13"/>
      <c r="L1393" s="116"/>
      <c r="M1393" s="116"/>
      <c r="N1393" s="22" t="str">
        <f>IF(AND('331-CT'!$E$7=TH!H1393,OR(L1393="331",M1393="331")),"331",IF(AND(OR(L1393="131",M1393="131"),H1393='131-CT'!$E$7),"131",""))</f>
        <v/>
      </c>
      <c r="O1393" s="22" t="str">
        <f>IF(AND($B1393&gt;='111'!$N$11,$B1393&lt;='111'!$O$11,OR($L1393=$O$7,$M1393=$O$7)),"x","")</f>
        <v/>
      </c>
      <c r="P1393" s="22" t="str">
        <f>IF(AND($L1393=$O$7,$B1393&lt;'111'!$N$11),"x","")</f>
        <v/>
      </c>
      <c r="Q1393" s="22" t="str">
        <f>IF(AND($M1393=$O$7,$B1393&lt;'111'!$N$11),"x","")</f>
        <v/>
      </c>
      <c r="R1393" s="22" t="str">
        <f>IF(ISERROR(FIND('112'!$M$9,G1393,1)),"",IF((AND(FIND('112'!$M$9,G1393,1)&gt;=1,$B1393&gt;='112'!$N$8,$B1393&lt;='112'!$O$8,OR($L1393='112'!$I$6,$M1393='112'!$I$6))),"x",""))</f>
        <v/>
      </c>
      <c r="S1393" s="22" t="str">
        <f>IF(ISERROR(FIND('112'!$M$9,G1393,1)),"",IF((AND(LEFT(G1393,2)=LEFT('112'!$M$9,2),B1393&lt;'112'!$N$8,$L1393='112'!$I$6)),"x",""))</f>
        <v/>
      </c>
      <c r="T1393" s="22" t="str">
        <f>IF(ISERROR(FIND('112'!$M$9,G1393,1)),"",IF((AND(RIGHT(G1393,2)=RIGHT('112'!$M$9,2),B1393&lt;'112'!$N$8,$M1393='112'!$I$6)),"x",""))</f>
        <v/>
      </c>
      <c r="U1393" s="22" t="str">
        <f>IF(AND(B1393&gt;='IN-NX'!$P$3,B1393&lt;='IN-NX'!$Q$3,'IN-NX'!$D$7=D1393,OR(LEFT(L1393,2)="15",AND(LEFT(M1393,2)&lt;&gt;"15",LEFT(M1393,2)&lt;&gt;"33"))),"x","")</f>
        <v/>
      </c>
      <c r="V1393" s="22" t="str">
        <f>IF(AND(OR(LEFT(TH!L1393,2)="15",LEFT(TH!M1393,2)="15"),'152-CT'!$J$8=TH!F1393),"x","")</f>
        <v/>
      </c>
      <c r="W1393" s="22" t="str">
        <f>IF(AND(OR(LEFT(TH!L1393,2)="15",LEFT(TH!M1393,2)="15"),TK!$E$7=TH!F1393),"x","")</f>
        <v/>
      </c>
      <c r="X1393" s="22" t="str">
        <f>IF(OR(TH!L1393=TH!$X$7,M1393=TH!$X$7),"x","")</f>
        <v/>
      </c>
      <c r="Y1393" s="22" t="str">
        <f>IF(AND(B1393&lt;=NKC!$N$8,B1393&gt;=NKC!$M$8),"x","")</f>
        <v/>
      </c>
      <c r="Z1393" s="580"/>
      <c r="AA1393" s="406"/>
      <c r="AB1393" s="406"/>
      <c r="AD1393" s="406"/>
      <c r="AE1393" s="406"/>
    </row>
    <row r="1394" spans="1:31" s="130" customFormat="1" ht="15.75" customHeight="1">
      <c r="A1394" s="123" t="str">
        <f>IF(B1394&lt;&gt;"",IF(AND(B1394&gt;=_TM1,B1394&lt;=_TM2,OR(TH!L1394="1111",TH!M1394="1111")),TH!D1394,""),"")</f>
        <v/>
      </c>
      <c r="B1394" s="12" t="str">
        <f t="shared" si="75"/>
        <v/>
      </c>
      <c r="C1394" s="108"/>
      <c r="D1394" s="113"/>
      <c r="E1394" s="108"/>
      <c r="F1394" s="112"/>
      <c r="G1394" s="305"/>
      <c r="H1394" s="4"/>
      <c r="I1394" s="139"/>
      <c r="J1394" s="139"/>
      <c r="K1394" s="410"/>
      <c r="L1394" s="116"/>
      <c r="M1394" s="116"/>
      <c r="N1394" s="22" t="str">
        <f>IF(AND('331-CT'!$E$7=TH!H1394,OR(L1394="331",M1394="331")),"331",IF(AND(OR(L1394="131",M1394="131"),H1394='131-CT'!$E$7),"131",""))</f>
        <v/>
      </c>
      <c r="O1394" s="22" t="str">
        <f>IF(AND($B1394&gt;='111'!$N$11,$B1394&lt;='111'!$O$11,OR($L1394=$O$7,$M1394=$O$7)),"x","")</f>
        <v/>
      </c>
      <c r="P1394" s="22" t="str">
        <f>IF(AND($L1394=$O$7,$B1394&lt;'111'!$N$11),"x","")</f>
        <v/>
      </c>
      <c r="Q1394" s="22" t="str">
        <f>IF(AND($M1394=$O$7,$B1394&lt;'111'!$N$11),"x","")</f>
        <v/>
      </c>
      <c r="R1394" s="22" t="str">
        <f>IF(ISERROR(FIND('112'!$M$9,G1394,1)),"",IF((AND(FIND('112'!$M$9,G1394,1)&gt;=1,$B1394&gt;='112'!$N$8,$B1394&lt;='112'!$O$8,OR($L1394='112'!$I$6,$M1394='112'!$I$6))),"x",""))</f>
        <v/>
      </c>
      <c r="S1394" s="22" t="str">
        <f>IF(ISERROR(FIND('112'!$M$9,G1394,1)),"",IF((AND(LEFT(G1394,2)=LEFT('112'!$M$9,2),B1394&lt;'112'!$N$8,$L1394='112'!$I$6)),"x",""))</f>
        <v/>
      </c>
      <c r="T1394" s="22" t="str">
        <f>IF(ISERROR(FIND('112'!$M$9,G1394,1)),"",IF((AND(RIGHT(G1394,2)=RIGHT('112'!$M$9,2),B1394&lt;'112'!$N$8,$M1394='112'!$I$6)),"x",""))</f>
        <v/>
      </c>
      <c r="U1394" s="22" t="str">
        <f>IF(AND(B1394&gt;='IN-NX'!$P$3,B1394&lt;='IN-NX'!$Q$3,'IN-NX'!$D$7=D1394,OR(LEFT(L1394,2)="15",AND(LEFT(M1394,2)&lt;&gt;"15",LEFT(M1394,2)&lt;&gt;"33"))),"x","")</f>
        <v/>
      </c>
      <c r="V1394" s="22" t="str">
        <f>IF(AND(OR(LEFT(TH!L1394,2)="15",LEFT(TH!M1394,2)="15"),'152-CT'!$J$8=TH!F1394),"x","")</f>
        <v/>
      </c>
      <c r="W1394" s="22" t="str">
        <f>IF(AND(OR(LEFT(TH!L1394,2)="15",LEFT(TH!M1394,2)="15"),TK!$E$7=TH!F1394),"x","")</f>
        <v/>
      </c>
      <c r="X1394" s="22" t="str">
        <f>IF(OR(TH!L1394=TH!$X$7,M1394=TH!$X$7),"x","")</f>
        <v/>
      </c>
      <c r="Y1394" s="22" t="str">
        <f>IF(AND(B1394&lt;=NKC!$N$8,B1394&gt;=NKC!$M$8),"x","")</f>
        <v/>
      </c>
      <c r="Z1394" s="580"/>
      <c r="AA1394" s="406"/>
      <c r="AD1394" s="406"/>
      <c r="AE1394" s="406"/>
    </row>
    <row r="1395" spans="1:31" s="130" customFormat="1" ht="15.75" customHeight="1">
      <c r="A1395" s="123" t="str">
        <f>IF(B1395&lt;&gt;"",IF(AND(B1395&gt;=_TM1,B1395&lt;=_TM2,OR(TH!L1395="1111",TH!M1395="1111")),TH!D1395,""),"")</f>
        <v/>
      </c>
      <c r="B1395" s="12" t="str">
        <f t="shared" si="75"/>
        <v/>
      </c>
      <c r="C1395" s="108"/>
      <c r="D1395" s="113"/>
      <c r="E1395" s="108"/>
      <c r="F1395" s="112"/>
      <c r="G1395" s="305"/>
      <c r="H1395" s="4"/>
      <c r="I1395" s="139"/>
      <c r="J1395" s="139"/>
      <c r="K1395" s="13"/>
      <c r="L1395" s="116"/>
      <c r="M1395" s="116"/>
      <c r="N1395" s="22" t="str">
        <f>IF(AND('331-CT'!$E$7=TH!H1395,OR(L1395="331",M1395="331")),"331",IF(AND(OR(L1395="131",M1395="131"),H1395='131-CT'!$E$7),"131",""))</f>
        <v/>
      </c>
      <c r="O1395" s="22" t="str">
        <f>IF(AND($B1395&gt;='111'!$N$11,$B1395&lt;='111'!$O$11,OR($L1395=$O$7,$M1395=$O$7)),"x","")</f>
        <v/>
      </c>
      <c r="P1395" s="22" t="str">
        <f>IF(AND($L1395=$O$7,$B1395&lt;'111'!$N$11),"x","")</f>
        <v/>
      </c>
      <c r="Q1395" s="22" t="str">
        <f>IF(AND($M1395=$O$7,$B1395&lt;'111'!$N$11),"x","")</f>
        <v/>
      </c>
      <c r="R1395" s="22" t="str">
        <f>IF(ISERROR(FIND('112'!$M$9,G1395,1)),"",IF((AND(FIND('112'!$M$9,G1395,1)&gt;=1,$B1395&gt;='112'!$N$8,$B1395&lt;='112'!$O$8,OR($L1395='112'!$I$6,$M1395='112'!$I$6))),"x",""))</f>
        <v/>
      </c>
      <c r="S1395" s="22" t="str">
        <f>IF(ISERROR(FIND('112'!$M$9,G1395,1)),"",IF((AND(LEFT(G1395,2)=LEFT('112'!$M$9,2),B1395&lt;'112'!$N$8,$L1395='112'!$I$6)),"x",""))</f>
        <v/>
      </c>
      <c r="T1395" s="22" t="str">
        <f>IF(ISERROR(FIND('112'!$M$9,G1395,1)),"",IF((AND(RIGHT(G1395,2)=RIGHT('112'!$M$9,2),B1395&lt;'112'!$N$8,$M1395='112'!$I$6)),"x",""))</f>
        <v/>
      </c>
      <c r="U1395" s="22" t="str">
        <f>IF(AND(B1395&gt;='IN-NX'!$P$3,B1395&lt;='IN-NX'!$Q$3,'IN-NX'!$D$7=D1395,OR(LEFT(L1395,2)="15",AND(LEFT(M1395,2)&lt;&gt;"15",LEFT(M1395,2)&lt;&gt;"33"))),"x","")</f>
        <v/>
      </c>
      <c r="V1395" s="22" t="str">
        <f>IF(AND(OR(LEFT(TH!L1395,2)="15",LEFT(TH!M1395,2)="15"),'152-CT'!$J$8=TH!F1395),"x","")</f>
        <v/>
      </c>
      <c r="W1395" s="22" t="str">
        <f>IF(AND(OR(LEFT(TH!L1395,2)="15",LEFT(TH!M1395,2)="15"),TK!$E$7=TH!F1395),"x","")</f>
        <v/>
      </c>
      <c r="X1395" s="22" t="str">
        <f>IF(OR(TH!L1395=TH!$X$7,M1395=TH!$X$7),"x","")</f>
        <v/>
      </c>
      <c r="Y1395" s="22" t="str">
        <f>IF(AND(B1395&lt;=NKC!$N$8,B1395&gt;=NKC!$M$8),"x","")</f>
        <v/>
      </c>
      <c r="Z1395" s="580"/>
      <c r="AA1395" s="406"/>
      <c r="AB1395" s="406"/>
    </row>
    <row r="1396" spans="1:31" s="130" customFormat="1" ht="15.75" customHeight="1">
      <c r="A1396" s="123" t="str">
        <f>IF(B1396&lt;&gt;"",IF(AND(B1396&gt;=_TM1,B1396&lt;=_TM2,OR(TH!L1396="1111",TH!M1396="1111")),TH!D1396,""),"")</f>
        <v/>
      </c>
      <c r="B1396" s="12" t="str">
        <f t="shared" si="75"/>
        <v/>
      </c>
      <c r="C1396" s="108"/>
      <c r="D1396" s="113"/>
      <c r="E1396" s="108"/>
      <c r="F1396" s="112"/>
      <c r="G1396" s="305"/>
      <c r="H1396" s="4"/>
      <c r="I1396" s="139"/>
      <c r="J1396" s="139"/>
      <c r="K1396" s="410"/>
      <c r="L1396" s="116"/>
      <c r="M1396" s="116"/>
      <c r="N1396" s="22" t="str">
        <f>IF(AND('331-CT'!$E$7=TH!H1396,OR(L1396="331",M1396="331")),"331",IF(AND(OR(L1396="131",M1396="131"),H1396='131-CT'!$E$7),"131",""))</f>
        <v/>
      </c>
      <c r="O1396" s="22" t="str">
        <f>IF(AND($B1396&gt;='111'!$N$11,$B1396&lt;='111'!$O$11,OR($L1396=$O$7,$M1396=$O$7)),"x","")</f>
        <v/>
      </c>
      <c r="P1396" s="22" t="str">
        <f>IF(AND($L1396=$O$7,$B1396&lt;'111'!$N$11),"x","")</f>
        <v/>
      </c>
      <c r="Q1396" s="22" t="str">
        <f>IF(AND($M1396=$O$7,$B1396&lt;'111'!$N$11),"x","")</f>
        <v/>
      </c>
      <c r="R1396" s="22" t="str">
        <f>IF(ISERROR(FIND('112'!$M$9,G1396,1)),"",IF((AND(FIND('112'!$M$9,G1396,1)&gt;=1,$B1396&gt;='112'!$N$8,$B1396&lt;='112'!$O$8,OR($L1396='112'!$I$6,$M1396='112'!$I$6))),"x",""))</f>
        <v/>
      </c>
      <c r="S1396" s="22" t="str">
        <f>IF(ISERROR(FIND('112'!$M$9,G1396,1)),"",IF((AND(LEFT(G1396,2)=LEFT('112'!$M$9,2),B1396&lt;'112'!$N$8,$L1396='112'!$I$6)),"x",""))</f>
        <v/>
      </c>
      <c r="T1396" s="22" t="str">
        <f>IF(ISERROR(FIND('112'!$M$9,G1396,1)),"",IF((AND(RIGHT(G1396,2)=RIGHT('112'!$M$9,2),B1396&lt;'112'!$N$8,$M1396='112'!$I$6)),"x",""))</f>
        <v/>
      </c>
      <c r="U1396" s="22" t="str">
        <f>IF(AND(B1396&gt;='IN-NX'!$P$3,B1396&lt;='IN-NX'!$Q$3,'IN-NX'!$D$7=D1396,OR(LEFT(L1396,2)="15",AND(LEFT(M1396,2)&lt;&gt;"15",LEFT(M1396,2)&lt;&gt;"33"))),"x","")</f>
        <v/>
      </c>
      <c r="V1396" s="22" t="str">
        <f>IF(AND(OR(LEFT(TH!L1396,2)="15",LEFT(TH!M1396,2)="15"),'152-CT'!$J$8=TH!F1396),"x","")</f>
        <v/>
      </c>
      <c r="W1396" s="22" t="str">
        <f>IF(AND(OR(LEFT(TH!L1396,2)="15",LEFT(TH!M1396,2)="15"),TK!$E$7=TH!F1396),"x","")</f>
        <v/>
      </c>
      <c r="X1396" s="22" t="str">
        <f>IF(OR(TH!L1396=TH!$X$7,M1396=TH!$X$7),"x","")</f>
        <v/>
      </c>
      <c r="Y1396" s="22" t="str">
        <f>IF(AND(B1396&lt;=NKC!$N$8,B1396&gt;=NKC!$M$8),"x","")</f>
        <v/>
      </c>
      <c r="Z1396" s="580"/>
      <c r="AA1396" s="406"/>
      <c r="AB1396" s="406"/>
    </row>
    <row r="1400" spans="1:31">
      <c r="H1400" s="511"/>
      <c r="K1400" s="302">
        <f>SUBTOTAL(9,K10:K1396)</f>
        <v>18563371756</v>
      </c>
    </row>
  </sheetData>
  <autoFilter ref="A9:AC1396"/>
  <sortState ref="A22:AE842">
    <sortCondition ref="C22:C842"/>
  </sortState>
  <mergeCells count="18"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  <mergeCell ref="A7:A8"/>
    <mergeCell ref="B7:B8"/>
    <mergeCell ref="H7:H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7"/>
  <sheetViews>
    <sheetView topLeftCell="A8" zoomScale="90" zoomScaleNormal="90" workbookViewId="0">
      <pane ySplit="3" topLeftCell="A11" activePane="bottomLeft" state="frozen"/>
      <selection activeCell="A8" sqref="A8"/>
      <selection pane="bottomLeft" activeCell="D20" sqref="D20"/>
    </sheetView>
  </sheetViews>
  <sheetFormatPr defaultRowHeight="15"/>
  <cols>
    <col min="1" max="1" width="10" style="518" customWidth="1"/>
    <col min="2" max="2" width="9.28515625" style="518" customWidth="1"/>
    <col min="3" max="3" width="10" style="518" customWidth="1"/>
    <col min="4" max="4" width="41.42578125" style="518" customWidth="1"/>
    <col min="5" max="5" width="6" style="518" customWidth="1"/>
    <col min="6" max="6" width="7.85546875" style="518" customWidth="1"/>
    <col min="7" max="7" width="8.5703125" style="518" customWidth="1"/>
    <col min="8" max="8" width="13.85546875" style="518" customWidth="1"/>
    <col min="9" max="9" width="14.140625" style="518" customWidth="1"/>
    <col min="10" max="11" width="9.140625" style="518"/>
    <col min="12" max="12" width="3.5703125" style="518" customWidth="1"/>
    <col min="13" max="256" width="9.140625" style="518"/>
    <col min="257" max="257" width="13" style="518" customWidth="1"/>
    <col min="258" max="258" width="9.140625" style="518"/>
    <col min="259" max="259" width="13" style="518" customWidth="1"/>
    <col min="260" max="260" width="29.7109375" style="518" customWidth="1"/>
    <col min="261" max="261" width="7.7109375" style="518" customWidth="1"/>
    <col min="262" max="262" width="6" style="518" customWidth="1"/>
    <col min="263" max="263" width="11.5703125" style="518" customWidth="1"/>
    <col min="264" max="264" width="13.42578125" style="518" customWidth="1"/>
    <col min="265" max="265" width="13.85546875" style="518" customWidth="1"/>
    <col min="266" max="512" width="9.140625" style="518"/>
    <col min="513" max="513" width="13" style="518" customWidth="1"/>
    <col min="514" max="514" width="9.140625" style="518"/>
    <col min="515" max="515" width="13" style="518" customWidth="1"/>
    <col min="516" max="516" width="29.7109375" style="518" customWidth="1"/>
    <col min="517" max="517" width="7.7109375" style="518" customWidth="1"/>
    <col min="518" max="518" width="6" style="518" customWidth="1"/>
    <col min="519" max="519" width="11.5703125" style="518" customWidth="1"/>
    <col min="520" max="520" width="13.42578125" style="518" customWidth="1"/>
    <col min="521" max="521" width="13.85546875" style="518" customWidth="1"/>
    <col min="522" max="768" width="9.140625" style="518"/>
    <col min="769" max="769" width="13" style="518" customWidth="1"/>
    <col min="770" max="770" width="9.140625" style="518"/>
    <col min="771" max="771" width="13" style="518" customWidth="1"/>
    <col min="772" max="772" width="29.7109375" style="518" customWidth="1"/>
    <col min="773" max="773" width="7.7109375" style="518" customWidth="1"/>
    <col min="774" max="774" width="6" style="518" customWidth="1"/>
    <col min="775" max="775" width="11.5703125" style="518" customWidth="1"/>
    <col min="776" max="776" width="13.42578125" style="518" customWidth="1"/>
    <col min="777" max="777" width="13.85546875" style="518" customWidth="1"/>
    <col min="778" max="1024" width="9.140625" style="518"/>
    <col min="1025" max="1025" width="13" style="518" customWidth="1"/>
    <col min="1026" max="1026" width="9.140625" style="518"/>
    <col min="1027" max="1027" width="13" style="518" customWidth="1"/>
    <col min="1028" max="1028" width="29.7109375" style="518" customWidth="1"/>
    <col min="1029" max="1029" width="7.7109375" style="518" customWidth="1"/>
    <col min="1030" max="1030" width="6" style="518" customWidth="1"/>
    <col min="1031" max="1031" width="11.5703125" style="518" customWidth="1"/>
    <col min="1032" max="1032" width="13.42578125" style="518" customWidth="1"/>
    <col min="1033" max="1033" width="13.85546875" style="518" customWidth="1"/>
    <col min="1034" max="1280" width="9.140625" style="518"/>
    <col min="1281" max="1281" width="13" style="518" customWidth="1"/>
    <col min="1282" max="1282" width="9.140625" style="518"/>
    <col min="1283" max="1283" width="13" style="518" customWidth="1"/>
    <col min="1284" max="1284" width="29.7109375" style="518" customWidth="1"/>
    <col min="1285" max="1285" width="7.7109375" style="518" customWidth="1"/>
    <col min="1286" max="1286" width="6" style="518" customWidth="1"/>
    <col min="1287" max="1287" width="11.5703125" style="518" customWidth="1"/>
    <col min="1288" max="1288" width="13.42578125" style="518" customWidth="1"/>
    <col min="1289" max="1289" width="13.85546875" style="518" customWidth="1"/>
    <col min="1290" max="1536" width="9.140625" style="518"/>
    <col min="1537" max="1537" width="13" style="518" customWidth="1"/>
    <col min="1538" max="1538" width="9.140625" style="518"/>
    <col min="1539" max="1539" width="13" style="518" customWidth="1"/>
    <col min="1540" max="1540" width="29.7109375" style="518" customWidth="1"/>
    <col min="1541" max="1541" width="7.7109375" style="518" customWidth="1"/>
    <col min="1542" max="1542" width="6" style="518" customWidth="1"/>
    <col min="1543" max="1543" width="11.5703125" style="518" customWidth="1"/>
    <col min="1544" max="1544" width="13.42578125" style="518" customWidth="1"/>
    <col min="1545" max="1545" width="13.85546875" style="518" customWidth="1"/>
    <col min="1546" max="1792" width="9.140625" style="518"/>
    <col min="1793" max="1793" width="13" style="518" customWidth="1"/>
    <col min="1794" max="1794" width="9.140625" style="518"/>
    <col min="1795" max="1795" width="13" style="518" customWidth="1"/>
    <col min="1796" max="1796" width="29.7109375" style="518" customWidth="1"/>
    <col min="1797" max="1797" width="7.7109375" style="518" customWidth="1"/>
    <col min="1798" max="1798" width="6" style="518" customWidth="1"/>
    <col min="1799" max="1799" width="11.5703125" style="518" customWidth="1"/>
    <col min="1800" max="1800" width="13.42578125" style="518" customWidth="1"/>
    <col min="1801" max="1801" width="13.85546875" style="518" customWidth="1"/>
    <col min="1802" max="2048" width="9.140625" style="518"/>
    <col min="2049" max="2049" width="13" style="518" customWidth="1"/>
    <col min="2050" max="2050" width="9.140625" style="518"/>
    <col min="2051" max="2051" width="13" style="518" customWidth="1"/>
    <col min="2052" max="2052" width="29.7109375" style="518" customWidth="1"/>
    <col min="2053" max="2053" width="7.7109375" style="518" customWidth="1"/>
    <col min="2054" max="2054" width="6" style="518" customWidth="1"/>
    <col min="2055" max="2055" width="11.5703125" style="518" customWidth="1"/>
    <col min="2056" max="2056" width="13.42578125" style="518" customWidth="1"/>
    <col min="2057" max="2057" width="13.85546875" style="518" customWidth="1"/>
    <col min="2058" max="2304" width="9.140625" style="518"/>
    <col min="2305" max="2305" width="13" style="518" customWidth="1"/>
    <col min="2306" max="2306" width="9.140625" style="518"/>
    <col min="2307" max="2307" width="13" style="518" customWidth="1"/>
    <col min="2308" max="2308" width="29.7109375" style="518" customWidth="1"/>
    <col min="2309" max="2309" width="7.7109375" style="518" customWidth="1"/>
    <col min="2310" max="2310" width="6" style="518" customWidth="1"/>
    <col min="2311" max="2311" width="11.5703125" style="518" customWidth="1"/>
    <col min="2312" max="2312" width="13.42578125" style="518" customWidth="1"/>
    <col min="2313" max="2313" width="13.85546875" style="518" customWidth="1"/>
    <col min="2314" max="2560" width="9.140625" style="518"/>
    <col min="2561" max="2561" width="13" style="518" customWidth="1"/>
    <col min="2562" max="2562" width="9.140625" style="518"/>
    <col min="2563" max="2563" width="13" style="518" customWidth="1"/>
    <col min="2564" max="2564" width="29.7109375" style="518" customWidth="1"/>
    <col min="2565" max="2565" width="7.7109375" style="518" customWidth="1"/>
    <col min="2566" max="2566" width="6" style="518" customWidth="1"/>
    <col min="2567" max="2567" width="11.5703125" style="518" customWidth="1"/>
    <col min="2568" max="2568" width="13.42578125" style="518" customWidth="1"/>
    <col min="2569" max="2569" width="13.85546875" style="518" customWidth="1"/>
    <col min="2570" max="2816" width="9.140625" style="518"/>
    <col min="2817" max="2817" width="13" style="518" customWidth="1"/>
    <col min="2818" max="2818" width="9.140625" style="518"/>
    <col min="2819" max="2819" width="13" style="518" customWidth="1"/>
    <col min="2820" max="2820" width="29.7109375" style="518" customWidth="1"/>
    <col min="2821" max="2821" width="7.7109375" style="518" customWidth="1"/>
    <col min="2822" max="2822" width="6" style="518" customWidth="1"/>
    <col min="2823" max="2823" width="11.5703125" style="518" customWidth="1"/>
    <col min="2824" max="2824" width="13.42578125" style="518" customWidth="1"/>
    <col min="2825" max="2825" width="13.85546875" style="518" customWidth="1"/>
    <col min="2826" max="3072" width="9.140625" style="518"/>
    <col min="3073" max="3073" width="13" style="518" customWidth="1"/>
    <col min="3074" max="3074" width="9.140625" style="518"/>
    <col min="3075" max="3075" width="13" style="518" customWidth="1"/>
    <col min="3076" max="3076" width="29.7109375" style="518" customWidth="1"/>
    <col min="3077" max="3077" width="7.7109375" style="518" customWidth="1"/>
    <col min="3078" max="3078" width="6" style="518" customWidth="1"/>
    <col min="3079" max="3079" width="11.5703125" style="518" customWidth="1"/>
    <col min="3080" max="3080" width="13.42578125" style="518" customWidth="1"/>
    <col min="3081" max="3081" width="13.85546875" style="518" customWidth="1"/>
    <col min="3082" max="3328" width="9.140625" style="518"/>
    <col min="3329" max="3329" width="13" style="518" customWidth="1"/>
    <col min="3330" max="3330" width="9.140625" style="518"/>
    <col min="3331" max="3331" width="13" style="518" customWidth="1"/>
    <col min="3332" max="3332" width="29.7109375" style="518" customWidth="1"/>
    <col min="3333" max="3333" width="7.7109375" style="518" customWidth="1"/>
    <col min="3334" max="3334" width="6" style="518" customWidth="1"/>
    <col min="3335" max="3335" width="11.5703125" style="518" customWidth="1"/>
    <col min="3336" max="3336" width="13.42578125" style="518" customWidth="1"/>
    <col min="3337" max="3337" width="13.85546875" style="518" customWidth="1"/>
    <col min="3338" max="3584" width="9.140625" style="518"/>
    <col min="3585" max="3585" width="13" style="518" customWidth="1"/>
    <col min="3586" max="3586" width="9.140625" style="518"/>
    <col min="3587" max="3587" width="13" style="518" customWidth="1"/>
    <col min="3588" max="3588" width="29.7109375" style="518" customWidth="1"/>
    <col min="3589" max="3589" width="7.7109375" style="518" customWidth="1"/>
    <col min="3590" max="3590" width="6" style="518" customWidth="1"/>
    <col min="3591" max="3591" width="11.5703125" style="518" customWidth="1"/>
    <col min="3592" max="3592" width="13.42578125" style="518" customWidth="1"/>
    <col min="3593" max="3593" width="13.85546875" style="518" customWidth="1"/>
    <col min="3594" max="3840" width="9.140625" style="518"/>
    <col min="3841" max="3841" width="13" style="518" customWidth="1"/>
    <col min="3842" max="3842" width="9.140625" style="518"/>
    <col min="3843" max="3843" width="13" style="518" customWidth="1"/>
    <col min="3844" max="3844" width="29.7109375" style="518" customWidth="1"/>
    <col min="3845" max="3845" width="7.7109375" style="518" customWidth="1"/>
    <col min="3846" max="3846" width="6" style="518" customWidth="1"/>
    <col min="3847" max="3847" width="11.5703125" style="518" customWidth="1"/>
    <col min="3848" max="3848" width="13.42578125" style="518" customWidth="1"/>
    <col min="3849" max="3849" width="13.85546875" style="518" customWidth="1"/>
    <col min="3850" max="4096" width="9.140625" style="518"/>
    <col min="4097" max="4097" width="13" style="518" customWidth="1"/>
    <col min="4098" max="4098" width="9.140625" style="518"/>
    <col min="4099" max="4099" width="13" style="518" customWidth="1"/>
    <col min="4100" max="4100" width="29.7109375" style="518" customWidth="1"/>
    <col min="4101" max="4101" width="7.7109375" style="518" customWidth="1"/>
    <col min="4102" max="4102" width="6" style="518" customWidth="1"/>
    <col min="4103" max="4103" width="11.5703125" style="518" customWidth="1"/>
    <col min="4104" max="4104" width="13.42578125" style="518" customWidth="1"/>
    <col min="4105" max="4105" width="13.85546875" style="518" customWidth="1"/>
    <col min="4106" max="4352" width="9.140625" style="518"/>
    <col min="4353" max="4353" width="13" style="518" customWidth="1"/>
    <col min="4354" max="4354" width="9.140625" style="518"/>
    <col min="4355" max="4355" width="13" style="518" customWidth="1"/>
    <col min="4356" max="4356" width="29.7109375" style="518" customWidth="1"/>
    <col min="4357" max="4357" width="7.7109375" style="518" customWidth="1"/>
    <col min="4358" max="4358" width="6" style="518" customWidth="1"/>
    <col min="4359" max="4359" width="11.5703125" style="518" customWidth="1"/>
    <col min="4360" max="4360" width="13.42578125" style="518" customWidth="1"/>
    <col min="4361" max="4361" width="13.85546875" style="518" customWidth="1"/>
    <col min="4362" max="4608" width="9.140625" style="518"/>
    <col min="4609" max="4609" width="13" style="518" customWidth="1"/>
    <col min="4610" max="4610" width="9.140625" style="518"/>
    <col min="4611" max="4611" width="13" style="518" customWidth="1"/>
    <col min="4612" max="4612" width="29.7109375" style="518" customWidth="1"/>
    <col min="4613" max="4613" width="7.7109375" style="518" customWidth="1"/>
    <col min="4614" max="4614" width="6" style="518" customWidth="1"/>
    <col min="4615" max="4615" width="11.5703125" style="518" customWidth="1"/>
    <col min="4616" max="4616" width="13.42578125" style="518" customWidth="1"/>
    <col min="4617" max="4617" width="13.85546875" style="518" customWidth="1"/>
    <col min="4618" max="4864" width="9.140625" style="518"/>
    <col min="4865" max="4865" width="13" style="518" customWidth="1"/>
    <col min="4866" max="4866" width="9.140625" style="518"/>
    <col min="4867" max="4867" width="13" style="518" customWidth="1"/>
    <col min="4868" max="4868" width="29.7109375" style="518" customWidth="1"/>
    <col min="4869" max="4869" width="7.7109375" style="518" customWidth="1"/>
    <col min="4870" max="4870" width="6" style="518" customWidth="1"/>
    <col min="4871" max="4871" width="11.5703125" style="518" customWidth="1"/>
    <col min="4872" max="4872" width="13.42578125" style="518" customWidth="1"/>
    <col min="4873" max="4873" width="13.85546875" style="518" customWidth="1"/>
    <col min="4874" max="5120" width="9.140625" style="518"/>
    <col min="5121" max="5121" width="13" style="518" customWidth="1"/>
    <col min="5122" max="5122" width="9.140625" style="518"/>
    <col min="5123" max="5123" width="13" style="518" customWidth="1"/>
    <col min="5124" max="5124" width="29.7109375" style="518" customWidth="1"/>
    <col min="5125" max="5125" width="7.7109375" style="518" customWidth="1"/>
    <col min="5126" max="5126" width="6" style="518" customWidth="1"/>
    <col min="5127" max="5127" width="11.5703125" style="518" customWidth="1"/>
    <col min="5128" max="5128" width="13.42578125" style="518" customWidth="1"/>
    <col min="5129" max="5129" width="13.85546875" style="518" customWidth="1"/>
    <col min="5130" max="5376" width="9.140625" style="518"/>
    <col min="5377" max="5377" width="13" style="518" customWidth="1"/>
    <col min="5378" max="5378" width="9.140625" style="518"/>
    <col min="5379" max="5379" width="13" style="518" customWidth="1"/>
    <col min="5380" max="5380" width="29.7109375" style="518" customWidth="1"/>
    <col min="5381" max="5381" width="7.7109375" style="518" customWidth="1"/>
    <col min="5382" max="5382" width="6" style="518" customWidth="1"/>
    <col min="5383" max="5383" width="11.5703125" style="518" customWidth="1"/>
    <col min="5384" max="5384" width="13.42578125" style="518" customWidth="1"/>
    <col min="5385" max="5385" width="13.85546875" style="518" customWidth="1"/>
    <col min="5386" max="5632" width="9.140625" style="518"/>
    <col min="5633" max="5633" width="13" style="518" customWidth="1"/>
    <col min="5634" max="5634" width="9.140625" style="518"/>
    <col min="5635" max="5635" width="13" style="518" customWidth="1"/>
    <col min="5636" max="5636" width="29.7109375" style="518" customWidth="1"/>
    <col min="5637" max="5637" width="7.7109375" style="518" customWidth="1"/>
    <col min="5638" max="5638" width="6" style="518" customWidth="1"/>
    <col min="5639" max="5639" width="11.5703125" style="518" customWidth="1"/>
    <col min="5640" max="5640" width="13.42578125" style="518" customWidth="1"/>
    <col min="5641" max="5641" width="13.85546875" style="518" customWidth="1"/>
    <col min="5642" max="5888" width="9.140625" style="518"/>
    <col min="5889" max="5889" width="13" style="518" customWidth="1"/>
    <col min="5890" max="5890" width="9.140625" style="518"/>
    <col min="5891" max="5891" width="13" style="518" customWidth="1"/>
    <col min="5892" max="5892" width="29.7109375" style="518" customWidth="1"/>
    <col min="5893" max="5893" width="7.7109375" style="518" customWidth="1"/>
    <col min="5894" max="5894" width="6" style="518" customWidth="1"/>
    <col min="5895" max="5895" width="11.5703125" style="518" customWidth="1"/>
    <col min="5896" max="5896" width="13.42578125" style="518" customWidth="1"/>
    <col min="5897" max="5897" width="13.85546875" style="518" customWidth="1"/>
    <col min="5898" max="6144" width="9.140625" style="518"/>
    <col min="6145" max="6145" width="13" style="518" customWidth="1"/>
    <col min="6146" max="6146" width="9.140625" style="518"/>
    <col min="6147" max="6147" width="13" style="518" customWidth="1"/>
    <col min="6148" max="6148" width="29.7109375" style="518" customWidth="1"/>
    <col min="6149" max="6149" width="7.7109375" style="518" customWidth="1"/>
    <col min="6150" max="6150" width="6" style="518" customWidth="1"/>
    <col min="6151" max="6151" width="11.5703125" style="518" customWidth="1"/>
    <col min="6152" max="6152" width="13.42578125" style="518" customWidth="1"/>
    <col min="6153" max="6153" width="13.85546875" style="518" customWidth="1"/>
    <col min="6154" max="6400" width="9.140625" style="518"/>
    <col min="6401" max="6401" width="13" style="518" customWidth="1"/>
    <col min="6402" max="6402" width="9.140625" style="518"/>
    <col min="6403" max="6403" width="13" style="518" customWidth="1"/>
    <col min="6404" max="6404" width="29.7109375" style="518" customWidth="1"/>
    <col min="6405" max="6405" width="7.7109375" style="518" customWidth="1"/>
    <col min="6406" max="6406" width="6" style="518" customWidth="1"/>
    <col min="6407" max="6407" width="11.5703125" style="518" customWidth="1"/>
    <col min="6408" max="6408" width="13.42578125" style="518" customWidth="1"/>
    <col min="6409" max="6409" width="13.85546875" style="518" customWidth="1"/>
    <col min="6410" max="6656" width="9.140625" style="518"/>
    <col min="6657" max="6657" width="13" style="518" customWidth="1"/>
    <col min="6658" max="6658" width="9.140625" style="518"/>
    <col min="6659" max="6659" width="13" style="518" customWidth="1"/>
    <col min="6660" max="6660" width="29.7109375" style="518" customWidth="1"/>
    <col min="6661" max="6661" width="7.7109375" style="518" customWidth="1"/>
    <col min="6662" max="6662" width="6" style="518" customWidth="1"/>
    <col min="6663" max="6663" width="11.5703125" style="518" customWidth="1"/>
    <col min="6664" max="6664" width="13.42578125" style="518" customWidth="1"/>
    <col min="6665" max="6665" width="13.85546875" style="518" customWidth="1"/>
    <col min="6666" max="6912" width="9.140625" style="518"/>
    <col min="6913" max="6913" width="13" style="518" customWidth="1"/>
    <col min="6914" max="6914" width="9.140625" style="518"/>
    <col min="6915" max="6915" width="13" style="518" customWidth="1"/>
    <col min="6916" max="6916" width="29.7109375" style="518" customWidth="1"/>
    <col min="6917" max="6917" width="7.7109375" style="518" customWidth="1"/>
    <col min="6918" max="6918" width="6" style="518" customWidth="1"/>
    <col min="6919" max="6919" width="11.5703125" style="518" customWidth="1"/>
    <col min="6920" max="6920" width="13.42578125" style="518" customWidth="1"/>
    <col min="6921" max="6921" width="13.85546875" style="518" customWidth="1"/>
    <col min="6922" max="7168" width="9.140625" style="518"/>
    <col min="7169" max="7169" width="13" style="518" customWidth="1"/>
    <col min="7170" max="7170" width="9.140625" style="518"/>
    <col min="7171" max="7171" width="13" style="518" customWidth="1"/>
    <col min="7172" max="7172" width="29.7109375" style="518" customWidth="1"/>
    <col min="7173" max="7173" width="7.7109375" style="518" customWidth="1"/>
    <col min="7174" max="7174" width="6" style="518" customWidth="1"/>
    <col min="7175" max="7175" width="11.5703125" style="518" customWidth="1"/>
    <col min="7176" max="7176" width="13.42578125" style="518" customWidth="1"/>
    <col min="7177" max="7177" width="13.85546875" style="518" customWidth="1"/>
    <col min="7178" max="7424" width="9.140625" style="518"/>
    <col min="7425" max="7425" width="13" style="518" customWidth="1"/>
    <col min="7426" max="7426" width="9.140625" style="518"/>
    <col min="7427" max="7427" width="13" style="518" customWidth="1"/>
    <col min="7428" max="7428" width="29.7109375" style="518" customWidth="1"/>
    <col min="7429" max="7429" width="7.7109375" style="518" customWidth="1"/>
    <col min="7430" max="7430" width="6" style="518" customWidth="1"/>
    <col min="7431" max="7431" width="11.5703125" style="518" customWidth="1"/>
    <col min="7432" max="7432" width="13.42578125" style="518" customWidth="1"/>
    <col min="7433" max="7433" width="13.85546875" style="518" customWidth="1"/>
    <col min="7434" max="7680" width="9.140625" style="518"/>
    <col min="7681" max="7681" width="13" style="518" customWidth="1"/>
    <col min="7682" max="7682" width="9.140625" style="518"/>
    <col min="7683" max="7683" width="13" style="518" customWidth="1"/>
    <col min="7684" max="7684" width="29.7109375" style="518" customWidth="1"/>
    <col min="7685" max="7685" width="7.7109375" style="518" customWidth="1"/>
    <col min="7686" max="7686" width="6" style="518" customWidth="1"/>
    <col min="7687" max="7687" width="11.5703125" style="518" customWidth="1"/>
    <col min="7688" max="7688" width="13.42578125" style="518" customWidth="1"/>
    <col min="7689" max="7689" width="13.85546875" style="518" customWidth="1"/>
    <col min="7690" max="7936" width="9.140625" style="518"/>
    <col min="7937" max="7937" width="13" style="518" customWidth="1"/>
    <col min="7938" max="7938" width="9.140625" style="518"/>
    <col min="7939" max="7939" width="13" style="518" customWidth="1"/>
    <col min="7940" max="7940" width="29.7109375" style="518" customWidth="1"/>
    <col min="7941" max="7941" width="7.7109375" style="518" customWidth="1"/>
    <col min="7942" max="7942" width="6" style="518" customWidth="1"/>
    <col min="7943" max="7943" width="11.5703125" style="518" customWidth="1"/>
    <col min="7944" max="7944" width="13.42578125" style="518" customWidth="1"/>
    <col min="7945" max="7945" width="13.85546875" style="518" customWidth="1"/>
    <col min="7946" max="8192" width="9.140625" style="518"/>
    <col min="8193" max="8193" width="13" style="518" customWidth="1"/>
    <col min="8194" max="8194" width="9.140625" style="518"/>
    <col min="8195" max="8195" width="13" style="518" customWidth="1"/>
    <col min="8196" max="8196" width="29.7109375" style="518" customWidth="1"/>
    <col min="8197" max="8197" width="7.7109375" style="518" customWidth="1"/>
    <col min="8198" max="8198" width="6" style="518" customWidth="1"/>
    <col min="8199" max="8199" width="11.5703125" style="518" customWidth="1"/>
    <col min="8200" max="8200" width="13.42578125" style="518" customWidth="1"/>
    <col min="8201" max="8201" width="13.85546875" style="518" customWidth="1"/>
    <col min="8202" max="8448" width="9.140625" style="518"/>
    <col min="8449" max="8449" width="13" style="518" customWidth="1"/>
    <col min="8450" max="8450" width="9.140625" style="518"/>
    <col min="8451" max="8451" width="13" style="518" customWidth="1"/>
    <col min="8452" max="8452" width="29.7109375" style="518" customWidth="1"/>
    <col min="8453" max="8453" width="7.7109375" style="518" customWidth="1"/>
    <col min="8454" max="8454" width="6" style="518" customWidth="1"/>
    <col min="8455" max="8455" width="11.5703125" style="518" customWidth="1"/>
    <col min="8456" max="8456" width="13.42578125" style="518" customWidth="1"/>
    <col min="8457" max="8457" width="13.85546875" style="518" customWidth="1"/>
    <col min="8458" max="8704" width="9.140625" style="518"/>
    <col min="8705" max="8705" width="13" style="518" customWidth="1"/>
    <col min="8706" max="8706" width="9.140625" style="518"/>
    <col min="8707" max="8707" width="13" style="518" customWidth="1"/>
    <col min="8708" max="8708" width="29.7109375" style="518" customWidth="1"/>
    <col min="8709" max="8709" width="7.7109375" style="518" customWidth="1"/>
    <col min="8710" max="8710" width="6" style="518" customWidth="1"/>
    <col min="8711" max="8711" width="11.5703125" style="518" customWidth="1"/>
    <col min="8712" max="8712" width="13.42578125" style="518" customWidth="1"/>
    <col min="8713" max="8713" width="13.85546875" style="518" customWidth="1"/>
    <col min="8714" max="8960" width="9.140625" style="518"/>
    <col min="8961" max="8961" width="13" style="518" customWidth="1"/>
    <col min="8962" max="8962" width="9.140625" style="518"/>
    <col min="8963" max="8963" width="13" style="518" customWidth="1"/>
    <col min="8964" max="8964" width="29.7109375" style="518" customWidth="1"/>
    <col min="8965" max="8965" width="7.7109375" style="518" customWidth="1"/>
    <col min="8966" max="8966" width="6" style="518" customWidth="1"/>
    <col min="8967" max="8967" width="11.5703125" style="518" customWidth="1"/>
    <col min="8968" max="8968" width="13.42578125" style="518" customWidth="1"/>
    <col min="8969" max="8969" width="13.85546875" style="518" customWidth="1"/>
    <col min="8970" max="9216" width="9.140625" style="518"/>
    <col min="9217" max="9217" width="13" style="518" customWidth="1"/>
    <col min="9218" max="9218" width="9.140625" style="518"/>
    <col min="9219" max="9219" width="13" style="518" customWidth="1"/>
    <col min="9220" max="9220" width="29.7109375" style="518" customWidth="1"/>
    <col min="9221" max="9221" width="7.7109375" style="518" customWidth="1"/>
    <col min="9222" max="9222" width="6" style="518" customWidth="1"/>
    <col min="9223" max="9223" width="11.5703125" style="518" customWidth="1"/>
    <col min="9224" max="9224" width="13.42578125" style="518" customWidth="1"/>
    <col min="9225" max="9225" width="13.85546875" style="518" customWidth="1"/>
    <col min="9226" max="9472" width="9.140625" style="518"/>
    <col min="9473" max="9473" width="13" style="518" customWidth="1"/>
    <col min="9474" max="9474" width="9.140625" style="518"/>
    <col min="9475" max="9475" width="13" style="518" customWidth="1"/>
    <col min="9476" max="9476" width="29.7109375" style="518" customWidth="1"/>
    <col min="9477" max="9477" width="7.7109375" style="518" customWidth="1"/>
    <col min="9478" max="9478" width="6" style="518" customWidth="1"/>
    <col min="9479" max="9479" width="11.5703125" style="518" customWidth="1"/>
    <col min="9480" max="9480" width="13.42578125" style="518" customWidth="1"/>
    <col min="9481" max="9481" width="13.85546875" style="518" customWidth="1"/>
    <col min="9482" max="9728" width="9.140625" style="518"/>
    <col min="9729" max="9729" width="13" style="518" customWidth="1"/>
    <col min="9730" max="9730" width="9.140625" style="518"/>
    <col min="9731" max="9731" width="13" style="518" customWidth="1"/>
    <col min="9732" max="9732" width="29.7109375" style="518" customWidth="1"/>
    <col min="9733" max="9733" width="7.7109375" style="518" customWidth="1"/>
    <col min="9734" max="9734" width="6" style="518" customWidth="1"/>
    <col min="9735" max="9735" width="11.5703125" style="518" customWidth="1"/>
    <col min="9736" max="9736" width="13.42578125" style="518" customWidth="1"/>
    <col min="9737" max="9737" width="13.85546875" style="518" customWidth="1"/>
    <col min="9738" max="9984" width="9.140625" style="518"/>
    <col min="9985" max="9985" width="13" style="518" customWidth="1"/>
    <col min="9986" max="9986" width="9.140625" style="518"/>
    <col min="9987" max="9987" width="13" style="518" customWidth="1"/>
    <col min="9988" max="9988" width="29.7109375" style="518" customWidth="1"/>
    <col min="9989" max="9989" width="7.7109375" style="518" customWidth="1"/>
    <col min="9990" max="9990" width="6" style="518" customWidth="1"/>
    <col min="9991" max="9991" width="11.5703125" style="518" customWidth="1"/>
    <col min="9992" max="9992" width="13.42578125" style="518" customWidth="1"/>
    <col min="9993" max="9993" width="13.85546875" style="518" customWidth="1"/>
    <col min="9994" max="10240" width="9.140625" style="518"/>
    <col min="10241" max="10241" width="13" style="518" customWidth="1"/>
    <col min="10242" max="10242" width="9.140625" style="518"/>
    <col min="10243" max="10243" width="13" style="518" customWidth="1"/>
    <col min="10244" max="10244" width="29.7109375" style="518" customWidth="1"/>
    <col min="10245" max="10245" width="7.7109375" style="518" customWidth="1"/>
    <col min="10246" max="10246" width="6" style="518" customWidth="1"/>
    <col min="10247" max="10247" width="11.5703125" style="518" customWidth="1"/>
    <col min="10248" max="10248" width="13.42578125" style="518" customWidth="1"/>
    <col min="10249" max="10249" width="13.85546875" style="518" customWidth="1"/>
    <col min="10250" max="10496" width="9.140625" style="518"/>
    <col min="10497" max="10497" width="13" style="518" customWidth="1"/>
    <col min="10498" max="10498" width="9.140625" style="518"/>
    <col min="10499" max="10499" width="13" style="518" customWidth="1"/>
    <col min="10500" max="10500" width="29.7109375" style="518" customWidth="1"/>
    <col min="10501" max="10501" width="7.7109375" style="518" customWidth="1"/>
    <col min="10502" max="10502" width="6" style="518" customWidth="1"/>
    <col min="10503" max="10503" width="11.5703125" style="518" customWidth="1"/>
    <col min="10504" max="10504" width="13.42578125" style="518" customWidth="1"/>
    <col min="10505" max="10505" width="13.85546875" style="518" customWidth="1"/>
    <col min="10506" max="10752" width="9.140625" style="518"/>
    <col min="10753" max="10753" width="13" style="518" customWidth="1"/>
    <col min="10754" max="10754" width="9.140625" style="518"/>
    <col min="10755" max="10755" width="13" style="518" customWidth="1"/>
    <col min="10756" max="10756" width="29.7109375" style="518" customWidth="1"/>
    <col min="10757" max="10757" width="7.7109375" style="518" customWidth="1"/>
    <col min="10758" max="10758" width="6" style="518" customWidth="1"/>
    <col min="10759" max="10759" width="11.5703125" style="518" customWidth="1"/>
    <col min="10760" max="10760" width="13.42578125" style="518" customWidth="1"/>
    <col min="10761" max="10761" width="13.85546875" style="518" customWidth="1"/>
    <col min="10762" max="11008" width="9.140625" style="518"/>
    <col min="11009" max="11009" width="13" style="518" customWidth="1"/>
    <col min="11010" max="11010" width="9.140625" style="518"/>
    <col min="11011" max="11011" width="13" style="518" customWidth="1"/>
    <col min="11012" max="11012" width="29.7109375" style="518" customWidth="1"/>
    <col min="11013" max="11013" width="7.7109375" style="518" customWidth="1"/>
    <col min="11014" max="11014" width="6" style="518" customWidth="1"/>
    <col min="11015" max="11015" width="11.5703125" style="518" customWidth="1"/>
    <col min="11016" max="11016" width="13.42578125" style="518" customWidth="1"/>
    <col min="11017" max="11017" width="13.85546875" style="518" customWidth="1"/>
    <col min="11018" max="11264" width="9.140625" style="518"/>
    <col min="11265" max="11265" width="13" style="518" customWidth="1"/>
    <col min="11266" max="11266" width="9.140625" style="518"/>
    <col min="11267" max="11267" width="13" style="518" customWidth="1"/>
    <col min="11268" max="11268" width="29.7109375" style="518" customWidth="1"/>
    <col min="11269" max="11269" width="7.7109375" style="518" customWidth="1"/>
    <col min="11270" max="11270" width="6" style="518" customWidth="1"/>
    <col min="11271" max="11271" width="11.5703125" style="518" customWidth="1"/>
    <col min="11272" max="11272" width="13.42578125" style="518" customWidth="1"/>
    <col min="11273" max="11273" width="13.85546875" style="518" customWidth="1"/>
    <col min="11274" max="11520" width="9.140625" style="518"/>
    <col min="11521" max="11521" width="13" style="518" customWidth="1"/>
    <col min="11522" max="11522" width="9.140625" style="518"/>
    <col min="11523" max="11523" width="13" style="518" customWidth="1"/>
    <col min="11524" max="11524" width="29.7109375" style="518" customWidth="1"/>
    <col min="11525" max="11525" width="7.7109375" style="518" customWidth="1"/>
    <col min="11526" max="11526" width="6" style="518" customWidth="1"/>
    <col min="11527" max="11527" width="11.5703125" style="518" customWidth="1"/>
    <col min="11528" max="11528" width="13.42578125" style="518" customWidth="1"/>
    <col min="11529" max="11529" width="13.85546875" style="518" customWidth="1"/>
    <col min="11530" max="11776" width="9.140625" style="518"/>
    <col min="11777" max="11777" width="13" style="518" customWidth="1"/>
    <col min="11778" max="11778" width="9.140625" style="518"/>
    <col min="11779" max="11779" width="13" style="518" customWidth="1"/>
    <col min="11780" max="11780" width="29.7109375" style="518" customWidth="1"/>
    <col min="11781" max="11781" width="7.7109375" style="518" customWidth="1"/>
    <col min="11782" max="11782" width="6" style="518" customWidth="1"/>
    <col min="11783" max="11783" width="11.5703125" style="518" customWidth="1"/>
    <col min="11784" max="11784" width="13.42578125" style="518" customWidth="1"/>
    <col min="11785" max="11785" width="13.85546875" style="518" customWidth="1"/>
    <col min="11786" max="12032" width="9.140625" style="518"/>
    <col min="12033" max="12033" width="13" style="518" customWidth="1"/>
    <col min="12034" max="12034" width="9.140625" style="518"/>
    <col min="12035" max="12035" width="13" style="518" customWidth="1"/>
    <col min="12036" max="12036" width="29.7109375" style="518" customWidth="1"/>
    <col min="12037" max="12037" width="7.7109375" style="518" customWidth="1"/>
    <col min="12038" max="12038" width="6" style="518" customWidth="1"/>
    <col min="12039" max="12039" width="11.5703125" style="518" customWidth="1"/>
    <col min="12040" max="12040" width="13.42578125" style="518" customWidth="1"/>
    <col min="12041" max="12041" width="13.85546875" style="518" customWidth="1"/>
    <col min="12042" max="12288" width="9.140625" style="518"/>
    <col min="12289" max="12289" width="13" style="518" customWidth="1"/>
    <col min="12290" max="12290" width="9.140625" style="518"/>
    <col min="12291" max="12291" width="13" style="518" customWidth="1"/>
    <col min="12292" max="12292" width="29.7109375" style="518" customWidth="1"/>
    <col min="12293" max="12293" width="7.7109375" style="518" customWidth="1"/>
    <col min="12294" max="12294" width="6" style="518" customWidth="1"/>
    <col min="12295" max="12295" width="11.5703125" style="518" customWidth="1"/>
    <col min="12296" max="12296" width="13.42578125" style="518" customWidth="1"/>
    <col min="12297" max="12297" width="13.85546875" style="518" customWidth="1"/>
    <col min="12298" max="12544" width="9.140625" style="518"/>
    <col min="12545" max="12545" width="13" style="518" customWidth="1"/>
    <col min="12546" max="12546" width="9.140625" style="518"/>
    <col min="12547" max="12547" width="13" style="518" customWidth="1"/>
    <col min="12548" max="12548" width="29.7109375" style="518" customWidth="1"/>
    <col min="12549" max="12549" width="7.7109375" style="518" customWidth="1"/>
    <col min="12550" max="12550" width="6" style="518" customWidth="1"/>
    <col min="12551" max="12551" width="11.5703125" style="518" customWidth="1"/>
    <col min="12552" max="12552" width="13.42578125" style="518" customWidth="1"/>
    <col min="12553" max="12553" width="13.85546875" style="518" customWidth="1"/>
    <col min="12554" max="12800" width="9.140625" style="518"/>
    <col min="12801" max="12801" width="13" style="518" customWidth="1"/>
    <col min="12802" max="12802" width="9.140625" style="518"/>
    <col min="12803" max="12803" width="13" style="518" customWidth="1"/>
    <col min="12804" max="12804" width="29.7109375" style="518" customWidth="1"/>
    <col min="12805" max="12805" width="7.7109375" style="518" customWidth="1"/>
    <col min="12806" max="12806" width="6" style="518" customWidth="1"/>
    <col min="12807" max="12807" width="11.5703125" style="518" customWidth="1"/>
    <col min="12808" max="12808" width="13.42578125" style="518" customWidth="1"/>
    <col min="12809" max="12809" width="13.85546875" style="518" customWidth="1"/>
    <col min="12810" max="13056" width="9.140625" style="518"/>
    <col min="13057" max="13057" width="13" style="518" customWidth="1"/>
    <col min="13058" max="13058" width="9.140625" style="518"/>
    <col min="13059" max="13059" width="13" style="518" customWidth="1"/>
    <col min="13060" max="13060" width="29.7109375" style="518" customWidth="1"/>
    <col min="13061" max="13061" width="7.7109375" style="518" customWidth="1"/>
    <col min="13062" max="13062" width="6" style="518" customWidth="1"/>
    <col min="13063" max="13063" width="11.5703125" style="518" customWidth="1"/>
    <col min="13064" max="13064" width="13.42578125" style="518" customWidth="1"/>
    <col min="13065" max="13065" width="13.85546875" style="518" customWidth="1"/>
    <col min="13066" max="13312" width="9.140625" style="518"/>
    <col min="13313" max="13313" width="13" style="518" customWidth="1"/>
    <col min="13314" max="13314" width="9.140625" style="518"/>
    <col min="13315" max="13315" width="13" style="518" customWidth="1"/>
    <col min="13316" max="13316" width="29.7109375" style="518" customWidth="1"/>
    <col min="13317" max="13317" width="7.7109375" style="518" customWidth="1"/>
    <col min="13318" max="13318" width="6" style="518" customWidth="1"/>
    <col min="13319" max="13319" width="11.5703125" style="518" customWidth="1"/>
    <col min="13320" max="13320" width="13.42578125" style="518" customWidth="1"/>
    <col min="13321" max="13321" width="13.85546875" style="518" customWidth="1"/>
    <col min="13322" max="13568" width="9.140625" style="518"/>
    <col min="13569" max="13569" width="13" style="518" customWidth="1"/>
    <col min="13570" max="13570" width="9.140625" style="518"/>
    <col min="13571" max="13571" width="13" style="518" customWidth="1"/>
    <col min="13572" max="13572" width="29.7109375" style="518" customWidth="1"/>
    <col min="13573" max="13573" width="7.7109375" style="518" customWidth="1"/>
    <col min="13574" max="13574" width="6" style="518" customWidth="1"/>
    <col min="13575" max="13575" width="11.5703125" style="518" customWidth="1"/>
    <col min="13576" max="13576" width="13.42578125" style="518" customWidth="1"/>
    <col min="13577" max="13577" width="13.85546875" style="518" customWidth="1"/>
    <col min="13578" max="13824" width="9.140625" style="518"/>
    <col min="13825" max="13825" width="13" style="518" customWidth="1"/>
    <col min="13826" max="13826" width="9.140625" style="518"/>
    <col min="13827" max="13827" width="13" style="518" customWidth="1"/>
    <col min="13828" max="13828" width="29.7109375" style="518" customWidth="1"/>
    <col min="13829" max="13829" width="7.7109375" style="518" customWidth="1"/>
    <col min="13830" max="13830" width="6" style="518" customWidth="1"/>
    <col min="13831" max="13831" width="11.5703125" style="518" customWidth="1"/>
    <col min="13832" max="13832" width="13.42578125" style="518" customWidth="1"/>
    <col min="13833" max="13833" width="13.85546875" style="518" customWidth="1"/>
    <col min="13834" max="14080" width="9.140625" style="518"/>
    <col min="14081" max="14081" width="13" style="518" customWidth="1"/>
    <col min="14082" max="14082" width="9.140625" style="518"/>
    <col min="14083" max="14083" width="13" style="518" customWidth="1"/>
    <col min="14084" max="14084" width="29.7109375" style="518" customWidth="1"/>
    <col min="14085" max="14085" width="7.7109375" style="518" customWidth="1"/>
    <col min="14086" max="14086" width="6" style="518" customWidth="1"/>
    <col min="14087" max="14087" width="11.5703125" style="518" customWidth="1"/>
    <col min="14088" max="14088" width="13.42578125" style="518" customWidth="1"/>
    <col min="14089" max="14089" width="13.85546875" style="518" customWidth="1"/>
    <col min="14090" max="14336" width="9.140625" style="518"/>
    <col min="14337" max="14337" width="13" style="518" customWidth="1"/>
    <col min="14338" max="14338" width="9.140625" style="518"/>
    <col min="14339" max="14339" width="13" style="518" customWidth="1"/>
    <col min="14340" max="14340" width="29.7109375" style="518" customWidth="1"/>
    <col min="14341" max="14341" width="7.7109375" style="518" customWidth="1"/>
    <col min="14342" max="14342" width="6" style="518" customWidth="1"/>
    <col min="14343" max="14343" width="11.5703125" style="518" customWidth="1"/>
    <col min="14344" max="14344" width="13.42578125" style="518" customWidth="1"/>
    <col min="14345" max="14345" width="13.85546875" style="518" customWidth="1"/>
    <col min="14346" max="14592" width="9.140625" style="518"/>
    <col min="14593" max="14593" width="13" style="518" customWidth="1"/>
    <col min="14594" max="14594" width="9.140625" style="518"/>
    <col min="14595" max="14595" width="13" style="518" customWidth="1"/>
    <col min="14596" max="14596" width="29.7109375" style="518" customWidth="1"/>
    <col min="14597" max="14597" width="7.7109375" style="518" customWidth="1"/>
    <col min="14598" max="14598" width="6" style="518" customWidth="1"/>
    <col min="14599" max="14599" width="11.5703125" style="518" customWidth="1"/>
    <col min="14600" max="14600" width="13.42578125" style="518" customWidth="1"/>
    <col min="14601" max="14601" width="13.85546875" style="518" customWidth="1"/>
    <col min="14602" max="14848" width="9.140625" style="518"/>
    <col min="14849" max="14849" width="13" style="518" customWidth="1"/>
    <col min="14850" max="14850" width="9.140625" style="518"/>
    <col min="14851" max="14851" width="13" style="518" customWidth="1"/>
    <col min="14852" max="14852" width="29.7109375" style="518" customWidth="1"/>
    <col min="14853" max="14853" width="7.7109375" style="518" customWidth="1"/>
    <col min="14854" max="14854" width="6" style="518" customWidth="1"/>
    <col min="14855" max="14855" width="11.5703125" style="518" customWidth="1"/>
    <col min="14856" max="14856" width="13.42578125" style="518" customWidth="1"/>
    <col min="14857" max="14857" width="13.85546875" style="518" customWidth="1"/>
    <col min="14858" max="15104" width="9.140625" style="518"/>
    <col min="15105" max="15105" width="13" style="518" customWidth="1"/>
    <col min="15106" max="15106" width="9.140625" style="518"/>
    <col min="15107" max="15107" width="13" style="518" customWidth="1"/>
    <col min="15108" max="15108" width="29.7109375" style="518" customWidth="1"/>
    <col min="15109" max="15109" width="7.7109375" style="518" customWidth="1"/>
    <col min="15110" max="15110" width="6" style="518" customWidth="1"/>
    <col min="15111" max="15111" width="11.5703125" style="518" customWidth="1"/>
    <col min="15112" max="15112" width="13.42578125" style="518" customWidth="1"/>
    <col min="15113" max="15113" width="13.85546875" style="518" customWidth="1"/>
    <col min="15114" max="15360" width="9.140625" style="518"/>
    <col min="15361" max="15361" width="13" style="518" customWidth="1"/>
    <col min="15362" max="15362" width="9.140625" style="518"/>
    <col min="15363" max="15363" width="13" style="518" customWidth="1"/>
    <col min="15364" max="15364" width="29.7109375" style="518" customWidth="1"/>
    <col min="15365" max="15365" width="7.7109375" style="518" customWidth="1"/>
    <col min="15366" max="15366" width="6" style="518" customWidth="1"/>
    <col min="15367" max="15367" width="11.5703125" style="518" customWidth="1"/>
    <col min="15368" max="15368" width="13.42578125" style="518" customWidth="1"/>
    <col min="15369" max="15369" width="13.85546875" style="518" customWidth="1"/>
    <col min="15370" max="15616" width="9.140625" style="518"/>
    <col min="15617" max="15617" width="13" style="518" customWidth="1"/>
    <col min="15618" max="15618" width="9.140625" style="518"/>
    <col min="15619" max="15619" width="13" style="518" customWidth="1"/>
    <col min="15620" max="15620" width="29.7109375" style="518" customWidth="1"/>
    <col min="15621" max="15621" width="7.7109375" style="518" customWidth="1"/>
    <col min="15622" max="15622" width="6" style="518" customWidth="1"/>
    <col min="15623" max="15623" width="11.5703125" style="518" customWidth="1"/>
    <col min="15624" max="15624" width="13.42578125" style="518" customWidth="1"/>
    <col min="15625" max="15625" width="13.85546875" style="518" customWidth="1"/>
    <col min="15626" max="15872" width="9.140625" style="518"/>
    <col min="15873" max="15873" width="13" style="518" customWidth="1"/>
    <col min="15874" max="15874" width="9.140625" style="518"/>
    <col min="15875" max="15875" width="13" style="518" customWidth="1"/>
    <col min="15876" max="15876" width="29.7109375" style="518" customWidth="1"/>
    <col min="15877" max="15877" width="7.7109375" style="518" customWidth="1"/>
    <col min="15878" max="15878" width="6" style="518" customWidth="1"/>
    <col min="15879" max="15879" width="11.5703125" style="518" customWidth="1"/>
    <col min="15880" max="15880" width="13.42578125" style="518" customWidth="1"/>
    <col min="15881" max="15881" width="13.85546875" style="518" customWidth="1"/>
    <col min="15882" max="16128" width="9.140625" style="518"/>
    <col min="16129" max="16129" width="13" style="518" customWidth="1"/>
    <col min="16130" max="16130" width="9.140625" style="518"/>
    <col min="16131" max="16131" width="13" style="518" customWidth="1"/>
    <col min="16132" max="16132" width="29.7109375" style="518" customWidth="1"/>
    <col min="16133" max="16133" width="7.7109375" style="518" customWidth="1"/>
    <col min="16134" max="16134" width="6" style="518" customWidth="1"/>
    <col min="16135" max="16135" width="11.5703125" style="518" customWidth="1"/>
    <col min="16136" max="16136" width="13.42578125" style="518" customWidth="1"/>
    <col min="16137" max="16137" width="13.85546875" style="518" customWidth="1"/>
    <col min="16138" max="16384" width="9.140625" style="518"/>
  </cols>
  <sheetData>
    <row r="1" spans="1:14">
      <c r="A1" s="676" t="str">
        <f>TH!A1</f>
        <v>Đơn vị: CÔNG TY TNHH BAO BÌ GIẤY KIM DUNG PHÁT</v>
      </c>
      <c r="F1" s="853" t="s">
        <v>331</v>
      </c>
      <c r="G1" s="853"/>
      <c r="H1" s="853"/>
      <c r="I1" s="853"/>
    </row>
    <row r="2" spans="1:14">
      <c r="A2" s="518" t="str">
        <f>TH!A2</f>
        <v>Địa chỉ: Ấp Rừng Sến, xã Mỹ Hạnh Bắc, Huyện Đức Hòa, Tỉnh Long An, Việt Nam</v>
      </c>
      <c r="F2" s="852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52"/>
      <c r="H2" s="852"/>
      <c r="I2" s="852"/>
    </row>
    <row r="3" spans="1:14">
      <c r="F3" s="852"/>
      <c r="G3" s="852"/>
      <c r="H3" s="852"/>
      <c r="I3" s="852"/>
    </row>
    <row r="4" spans="1:14">
      <c r="H4" s="534"/>
      <c r="I4" s="534"/>
    </row>
    <row r="5" spans="1:14" ht="26.25" customHeight="1">
      <c r="B5" s="676"/>
      <c r="C5" s="676"/>
      <c r="D5" s="679" t="s">
        <v>332</v>
      </c>
      <c r="E5" s="676"/>
      <c r="F5" s="676"/>
      <c r="G5" s="676"/>
      <c r="H5" s="676"/>
      <c r="I5" s="676"/>
      <c r="J5" s="676"/>
      <c r="K5" s="676"/>
    </row>
    <row r="6" spans="1:14">
      <c r="B6" s="677"/>
      <c r="C6" s="677"/>
      <c r="D6" s="678" t="str">
        <f ca="1">$K$9&amp;"   -   Năm:  " &amp;YEAR(A11)</f>
        <v>Quý III   -   Năm:  2016</v>
      </c>
      <c r="E6" s="677"/>
      <c r="F6" s="677"/>
      <c r="G6" s="677"/>
      <c r="H6" s="677"/>
      <c r="I6" s="677"/>
      <c r="J6" s="677"/>
      <c r="K6" s="677"/>
    </row>
    <row r="7" spans="1:14">
      <c r="A7" s="517"/>
      <c r="B7" s="517"/>
      <c r="C7" s="517"/>
      <c r="D7" s="517"/>
      <c r="E7" s="517"/>
      <c r="F7" s="517"/>
      <c r="G7" s="517"/>
      <c r="H7" s="856" t="s">
        <v>119</v>
      </c>
      <c r="I7" s="856"/>
      <c r="J7" s="517"/>
      <c r="K7" s="517"/>
      <c r="M7" s="855" t="s">
        <v>323</v>
      </c>
      <c r="N7" s="855"/>
    </row>
    <row r="8" spans="1:14" ht="23.25" customHeight="1" thickBot="1">
      <c r="A8" s="846" t="s">
        <v>333</v>
      </c>
      <c r="B8" s="848" t="s">
        <v>1</v>
      </c>
      <c r="C8" s="849"/>
      <c r="D8" s="850" t="s">
        <v>0</v>
      </c>
      <c r="E8" s="846" t="s">
        <v>334</v>
      </c>
      <c r="F8" s="854" t="s">
        <v>93</v>
      </c>
      <c r="G8" s="854"/>
      <c r="H8" s="848" t="s">
        <v>21</v>
      </c>
      <c r="I8" s="849"/>
      <c r="J8" s="517"/>
      <c r="K8" s="517"/>
      <c r="M8" s="519">
        <f>IF(K9="Quý I",1,IF(K9="Quý II",4,IF(K9="Quý III",7,IF(K9="Quý IV",10,""))))</f>
        <v>7</v>
      </c>
      <c r="N8" s="519">
        <f>IF(K9="Quý I",3,IF(K9="Quý II",6,IF(K9="Quý III",9,IF(K9="Quý IV",12,""))))</f>
        <v>9</v>
      </c>
    </row>
    <row r="9" spans="1:14" ht="28.5" customHeight="1" thickBot="1">
      <c r="A9" s="847"/>
      <c r="B9" s="520" t="s">
        <v>15</v>
      </c>
      <c r="C9" s="520" t="s">
        <v>31</v>
      </c>
      <c r="D9" s="851"/>
      <c r="E9" s="847"/>
      <c r="F9" s="655" t="s">
        <v>22</v>
      </c>
      <c r="G9" s="655" t="s">
        <v>23</v>
      </c>
      <c r="H9" s="520" t="s">
        <v>335</v>
      </c>
      <c r="I9" s="520" t="s">
        <v>23</v>
      </c>
      <c r="K9" s="457" t="s">
        <v>360</v>
      </c>
    </row>
    <row r="10" spans="1:14" ht="21" customHeight="1">
      <c r="A10" s="521"/>
      <c r="B10" s="521"/>
      <c r="C10" s="521"/>
      <c r="D10" s="522" t="s">
        <v>338</v>
      </c>
      <c r="E10" s="523"/>
      <c r="F10" s="521"/>
      <c r="G10" s="521"/>
      <c r="H10" s="524">
        <f>SUMIF(_M,"&lt;"&amp;$M$8,TH)</f>
        <v>2567290300</v>
      </c>
      <c r="I10" s="524">
        <f>SUMIF(_M,"&lt;"&amp;$M$8,TH)</f>
        <v>2567290300</v>
      </c>
    </row>
    <row r="11" spans="1:14" ht="21" customHeight="1">
      <c r="A11" s="525">
        <f ca="1">IF(ROWS($1:1)&gt;COUNT(Dong6),"",OFFSET(TH!C$1,SMALL(Dong6,ROWS($1:1)),))</f>
        <v>42552</v>
      </c>
      <c r="B11" s="526" t="str">
        <f ca="1">IF(ROWS($1:1)&gt;COUNT(Dong6),"",OFFSET(TH!D$1,SMALL(Dong6,ROWS($1:1)),))</f>
        <v>CTGS</v>
      </c>
      <c r="C11" s="525">
        <f ca="1">IF(ROWS($1:1)&gt;COUNT(Dong6),"",OFFSET(TH!E$1,SMALL(Dong6,ROWS($1:1)),))</f>
        <v>42552</v>
      </c>
      <c r="D11" s="527" t="str">
        <f ca="1">IF(ROWS($1:1)&gt;COUNT(Dong6),"",OFFSET(TH!F$1,SMALL(Dong6,ROWS($1:1)),))</f>
        <v>Trích khấu hao TSCĐ Hữu hình</v>
      </c>
      <c r="E11" s="526">
        <f t="shared" ref="E11:E40" ca="1" si="0">IF(D11&lt;&gt;"",ROW()-10,"")</f>
        <v>1</v>
      </c>
      <c r="F11" s="528" t="str">
        <f ca="1">IF(ROWS($1:1)&gt;COUNT(Dong6),"",OFFSET(TH!L$1,SMALL(Dong6,ROWS($1:1)),))</f>
        <v>154</v>
      </c>
      <c r="G11" s="528" t="str">
        <f ca="1">IF(ROWS($1:1)&gt;COUNT(Dong6),"",OFFSET(TH!M$1,SMALL(Dong6,ROWS($1:1)),))</f>
        <v>2141</v>
      </c>
      <c r="H11" s="456">
        <f ca="1">IF(ROWS($1:1)&gt;COUNT(Dong6),"",OFFSET(TH!K$1,SMALL(Dong6,ROWS($1:1)),))</f>
        <v>13250000</v>
      </c>
      <c r="I11" s="456">
        <f ca="1">IF(ROWS($1:1)&gt;COUNT(Dong6),"",OFFSET(TH!K$1,SMALL(Dong6,ROWS($1:1)),))</f>
        <v>13250000</v>
      </c>
    </row>
    <row r="12" spans="1:14" ht="21" customHeight="1">
      <c r="A12" s="525">
        <f ca="1">IF(ROWS($1:2)&gt;COUNT(Dong6),"",OFFSET(TH!C$1,SMALL(Dong6,ROWS($1:2)),))</f>
        <v>42559</v>
      </c>
      <c r="B12" s="526" t="str">
        <f ca="1">IF(ROWS($1:2)&gt;COUNT(Dong6),"",OFFSET(TH!D$1,SMALL(Dong6,ROWS($1:2)),))</f>
        <v>C01</v>
      </c>
      <c r="C12" s="525">
        <f ca="1">IF(ROWS($1:2)&gt;COUNT(Dong6),"",OFFSET(TH!E$1,SMALL(Dong6,ROWS($1:2)),))</f>
        <v>42559</v>
      </c>
      <c r="D12" s="527" t="str">
        <f ca="1">IF(ROWS($1:2)&gt;COUNT(Dong6),"",OFFSET(TH!F$1,SMALL(Dong6,ROWS($1:2)),))</f>
        <v>Nộp tiền mặt</v>
      </c>
      <c r="E12" s="526">
        <f t="shared" ca="1" si="0"/>
        <v>2</v>
      </c>
      <c r="F12" s="528" t="str">
        <f ca="1">IF(ROWS($1:2)&gt;COUNT(Dong6),"",OFFSET(TH!L$1,SMALL(Dong6,ROWS($1:2)),))</f>
        <v>1121</v>
      </c>
      <c r="G12" s="528" t="str">
        <f ca="1">IF(ROWS($1:2)&gt;COUNT(Dong6),"",OFFSET(TH!M$1,SMALL(Dong6,ROWS($1:2)),))</f>
        <v>1111</v>
      </c>
      <c r="H12" s="456">
        <f ca="1">IF(ROWS($1:2)&gt;COUNT(Dong6),"",OFFSET(TH!K$1,SMALL(Dong6,ROWS($1:2)),))</f>
        <v>40700000</v>
      </c>
      <c r="I12" s="456">
        <f ca="1">IF(ROWS($1:2)&gt;COUNT(Dong6),"",OFFSET(TH!K$1,SMALL(Dong6,ROWS($1:2)),))</f>
        <v>40700000</v>
      </c>
    </row>
    <row r="13" spans="1:14" ht="21" customHeight="1">
      <c r="A13" s="525">
        <f ca="1">IF(ROWS($1:3)&gt;COUNT(Dong6),"",OFFSET(TH!C$1,SMALL(Dong6,ROWS($1:3)),))</f>
        <v>42559</v>
      </c>
      <c r="B13" s="526" t="str">
        <f ca="1">IF(ROWS($1:3)&gt;COUNT(Dong6),"",OFFSET(TH!D$1,SMALL(Dong6,ROWS($1:3)),))</f>
        <v>GBN</v>
      </c>
      <c r="C13" s="525">
        <f ca="1">IF(ROWS($1:3)&gt;COUNT(Dong6),"",OFFSET(TH!E$1,SMALL(Dong6,ROWS($1:3)),))</f>
        <v>42559</v>
      </c>
      <c r="D13" s="527" t="str">
        <f ca="1">IF(ROWS($1:3)&gt;COUNT(Dong6),"",OFFSET(TH!F$1,SMALL(Dong6,ROWS($1:3)),))</f>
        <v>Thanh toán tiền thuê kho</v>
      </c>
      <c r="E13" s="526">
        <f t="shared" ca="1" si="0"/>
        <v>3</v>
      </c>
      <c r="F13" s="528" t="str">
        <f ca="1">IF(ROWS($1:3)&gt;COUNT(Dong6),"",OFFSET(TH!L$1,SMALL(Dong6,ROWS($1:3)),))</f>
        <v>331</v>
      </c>
      <c r="G13" s="528" t="str">
        <f ca="1">IF(ROWS($1:3)&gt;COUNT(Dong6),"",OFFSET(TH!M$1,SMALL(Dong6,ROWS($1:3)),))</f>
        <v>1121</v>
      </c>
      <c r="H13" s="456">
        <f ca="1">IF(ROWS($1:3)&gt;COUNT(Dong6),"",OFFSET(TH!K$1,SMALL(Dong6,ROWS($1:3)),))</f>
        <v>40700000</v>
      </c>
      <c r="I13" s="456">
        <f ca="1">IF(ROWS($1:3)&gt;COUNT(Dong6),"",OFFSET(TH!K$1,SMALL(Dong6,ROWS($1:3)),))</f>
        <v>40700000</v>
      </c>
    </row>
    <row r="14" spans="1:14" ht="21" customHeight="1">
      <c r="A14" s="525">
        <f ca="1">IF(ROWS($1:4)&gt;COUNT(Dong6),"",OFFSET(TH!C$1,SMALL(Dong6,ROWS($1:4)),))</f>
        <v>42559</v>
      </c>
      <c r="B14" s="526" t="str">
        <f ca="1">IF(ROWS($1:4)&gt;COUNT(Dong6),"",OFFSET(TH!D$1,SMALL(Dong6,ROWS($1:4)),))</f>
        <v>GBN</v>
      </c>
      <c r="C14" s="525">
        <f ca="1">IF(ROWS($1:4)&gt;COUNT(Dong6),"",OFFSET(TH!E$1,SMALL(Dong6,ROWS($1:4)),))</f>
        <v>42559</v>
      </c>
      <c r="D14" s="527" t="str">
        <f ca="1">IF(ROWS($1:4)&gt;COUNT(Dong6),"",OFFSET(TH!F$1,SMALL(Dong6,ROWS($1:4)),))</f>
        <v>Phí chuyển tiền</v>
      </c>
      <c r="E14" s="526">
        <f t="shared" ca="1" si="0"/>
        <v>4</v>
      </c>
      <c r="F14" s="528" t="str">
        <f ca="1">IF(ROWS($1:4)&gt;COUNT(Dong6),"",OFFSET(TH!L$1,SMALL(Dong6,ROWS($1:4)),))</f>
        <v>642</v>
      </c>
      <c r="G14" s="528" t="str">
        <f ca="1">IF(ROWS($1:4)&gt;COUNT(Dong6),"",OFFSET(TH!M$1,SMALL(Dong6,ROWS($1:4)),))</f>
        <v>1121</v>
      </c>
      <c r="H14" s="456">
        <f ca="1">IF(ROWS($1:4)&gt;COUNT(Dong6),"",OFFSET(TH!K$1,SMALL(Dong6,ROWS($1:4)),))</f>
        <v>20000</v>
      </c>
      <c r="I14" s="456">
        <f ca="1">IF(ROWS($1:4)&gt;COUNT(Dong6),"",OFFSET(TH!K$1,SMALL(Dong6,ROWS($1:4)),))</f>
        <v>20000</v>
      </c>
    </row>
    <row r="15" spans="1:14" ht="21" customHeight="1">
      <c r="A15" s="525">
        <f ca="1">IF(ROWS($1:5)&gt;COUNT(Dong6),"",OFFSET(TH!C$1,SMALL(Dong6,ROWS($1:5)),))</f>
        <v>42559</v>
      </c>
      <c r="B15" s="526" t="str">
        <f ca="1">IF(ROWS($1:5)&gt;COUNT(Dong6),"",OFFSET(TH!D$1,SMALL(Dong6,ROWS($1:5)),))</f>
        <v>GBN</v>
      </c>
      <c r="C15" s="525">
        <f ca="1">IF(ROWS($1:5)&gt;COUNT(Dong6),"",OFFSET(TH!E$1,SMALL(Dong6,ROWS($1:5)),))</f>
        <v>42559</v>
      </c>
      <c r="D15" s="527" t="str">
        <f ca="1">IF(ROWS($1:5)&gt;COUNT(Dong6),"",OFFSET(TH!F$1,SMALL(Dong6,ROWS($1:5)),))</f>
        <v>VAT Phí chuyển tiền</v>
      </c>
      <c r="E15" s="526">
        <f t="shared" ca="1" si="0"/>
        <v>5</v>
      </c>
      <c r="F15" s="528" t="str">
        <f ca="1">IF(ROWS($1:5)&gt;COUNT(Dong6),"",OFFSET(TH!L$1,SMALL(Dong6,ROWS($1:5)),))</f>
        <v>1331</v>
      </c>
      <c r="G15" s="528" t="str">
        <f ca="1">IF(ROWS($1:5)&gt;COUNT(Dong6),"",OFFSET(TH!M$1,SMALL(Dong6,ROWS($1:5)),))</f>
        <v>1121</v>
      </c>
      <c r="H15" s="456">
        <f ca="1">IF(ROWS($1:5)&gt;COUNT(Dong6),"",OFFSET(TH!K$1,SMALL(Dong6,ROWS($1:5)),))</f>
        <v>2000</v>
      </c>
      <c r="I15" s="456">
        <f ca="1">IF(ROWS($1:5)&gt;COUNT(Dong6),"",OFFSET(TH!K$1,SMALL(Dong6,ROWS($1:5)),))</f>
        <v>2000</v>
      </c>
    </row>
    <row r="16" spans="1:14" ht="21" customHeight="1">
      <c r="A16" s="525">
        <f ca="1">IF(ROWS($1:6)&gt;COUNT(Dong6),"",OFFSET(TH!C$1,SMALL(Dong6,ROWS($1:6)),))</f>
        <v>42559</v>
      </c>
      <c r="B16" s="526" t="str">
        <f ca="1">IF(ROWS($1:6)&gt;COUNT(Dong6),"",OFFSET(TH!D$1,SMALL(Dong6,ROWS($1:6)),))</f>
        <v>GBN</v>
      </c>
      <c r="C16" s="525">
        <f ca="1">IF(ROWS($1:6)&gt;COUNT(Dong6),"",OFFSET(TH!E$1,SMALL(Dong6,ROWS($1:6)),))</f>
        <v>42559</v>
      </c>
      <c r="D16" s="527" t="str">
        <f ca="1">IF(ROWS($1:6)&gt;COUNT(Dong6),"",OFFSET(TH!F$1,SMALL(Dong6,ROWS($1:6)),))</f>
        <v>Phí chuyển tiền trong ngày</v>
      </c>
      <c r="E16" s="526">
        <f t="shared" ca="1" si="0"/>
        <v>6</v>
      </c>
      <c r="F16" s="528" t="str">
        <f ca="1">IF(ROWS($1:6)&gt;COUNT(Dong6),"",OFFSET(TH!L$1,SMALL(Dong6,ROWS($1:6)),))</f>
        <v>642</v>
      </c>
      <c r="G16" s="528" t="str">
        <f ca="1">IF(ROWS($1:6)&gt;COUNT(Dong6),"",OFFSET(TH!M$1,SMALL(Dong6,ROWS($1:6)),))</f>
        <v>1121</v>
      </c>
      <c r="H16" s="456">
        <f ca="1">IF(ROWS($1:6)&gt;COUNT(Dong6),"",OFFSET(TH!K$1,SMALL(Dong6,ROWS($1:6)),))</f>
        <v>20000</v>
      </c>
      <c r="I16" s="456">
        <f ca="1">IF(ROWS($1:6)&gt;COUNT(Dong6),"",OFFSET(TH!K$1,SMALL(Dong6,ROWS($1:6)),))</f>
        <v>20000</v>
      </c>
    </row>
    <row r="17" spans="1:9" ht="21" customHeight="1">
      <c r="A17" s="525">
        <f ca="1">IF(ROWS($1:7)&gt;COUNT(Dong6),"",OFFSET(TH!C$1,SMALL(Dong6,ROWS($1:7)),))</f>
        <v>42559</v>
      </c>
      <c r="B17" s="526" t="str">
        <f ca="1">IF(ROWS($1:7)&gt;COUNT(Dong6),"",OFFSET(TH!D$1,SMALL(Dong6,ROWS($1:7)),))</f>
        <v>GBN</v>
      </c>
      <c r="C17" s="525">
        <f ca="1">IF(ROWS($1:7)&gt;COUNT(Dong6),"",OFFSET(TH!E$1,SMALL(Dong6,ROWS($1:7)),))</f>
        <v>42559</v>
      </c>
      <c r="D17" s="527" t="str">
        <f ca="1">IF(ROWS($1:7)&gt;COUNT(Dong6),"",OFFSET(TH!F$1,SMALL(Dong6,ROWS($1:7)),))</f>
        <v>VAT Phí chuyển tiền trong ngày</v>
      </c>
      <c r="E17" s="526">
        <f t="shared" ca="1" si="0"/>
        <v>7</v>
      </c>
      <c r="F17" s="528" t="str">
        <f ca="1">IF(ROWS($1:7)&gt;COUNT(Dong6),"",OFFSET(TH!L$1,SMALL(Dong6,ROWS($1:7)),))</f>
        <v>1331</v>
      </c>
      <c r="G17" s="528" t="str">
        <f ca="1">IF(ROWS($1:7)&gt;COUNT(Dong6),"",OFFSET(TH!M$1,SMALL(Dong6,ROWS($1:7)),))</f>
        <v>1121</v>
      </c>
      <c r="H17" s="456">
        <f ca="1">IF(ROWS($1:7)&gt;COUNT(Dong6),"",OFFSET(TH!K$1,SMALL(Dong6,ROWS($1:7)),))</f>
        <v>2000</v>
      </c>
      <c r="I17" s="456">
        <f ca="1">IF(ROWS($1:7)&gt;COUNT(Dong6),"",OFFSET(TH!K$1,SMALL(Dong6,ROWS($1:7)),))</f>
        <v>2000</v>
      </c>
    </row>
    <row r="18" spans="1:9" ht="21" customHeight="1">
      <c r="A18" s="525">
        <f ca="1">IF(ROWS($1:8)&gt;COUNT(Dong6),"",OFFSET(TH!C$1,SMALL(Dong6,ROWS($1:8)),))</f>
        <v>42563</v>
      </c>
      <c r="B18" s="526" t="str">
        <f ca="1">IF(ROWS($1:8)&gt;COUNT(Dong6),"",OFFSET(TH!D$1,SMALL(Dong6,ROWS($1:8)),))</f>
        <v>NL/N01</v>
      </c>
      <c r="C18" s="525">
        <f ca="1">IF(ROWS($1:8)&gt;COUNT(Dong6),"",OFFSET(TH!E$1,SMALL(Dong6,ROWS($1:8)),))</f>
        <v>42563</v>
      </c>
      <c r="D18" s="527" t="str">
        <f ca="1">IF(ROWS($1:8)&gt;COUNT(Dong6),"",OFFSET(TH!F$1,SMALL(Dong6,ROWS($1:8)),))</f>
        <v>Giấy cuộn xeo</v>
      </c>
      <c r="E18" s="526">
        <f t="shared" ca="1" si="0"/>
        <v>8</v>
      </c>
      <c r="F18" s="528" t="str">
        <f ca="1">IF(ROWS($1:8)&gt;COUNT(Dong6),"",OFFSET(TH!L$1,SMALL(Dong6,ROWS($1:8)),))</f>
        <v>1521</v>
      </c>
      <c r="G18" s="528" t="str">
        <f ca="1">IF(ROWS($1:8)&gt;COUNT(Dong6),"",OFFSET(TH!M$1,SMALL(Dong6,ROWS($1:8)),))</f>
        <v>331</v>
      </c>
      <c r="H18" s="456">
        <f ca="1">IF(ROWS($1:8)&gt;COUNT(Dong6),"",OFFSET(TH!K$1,SMALL(Dong6,ROWS($1:8)),))</f>
        <v>87673600</v>
      </c>
      <c r="I18" s="456">
        <f ca="1">IF(ROWS($1:8)&gt;COUNT(Dong6),"",OFFSET(TH!K$1,SMALL(Dong6,ROWS($1:8)),))</f>
        <v>87673600</v>
      </c>
    </row>
    <row r="19" spans="1:9" ht="21" customHeight="1">
      <c r="A19" s="525">
        <f ca="1">IF(ROWS($1:9)&gt;COUNT(Dong6),"",OFFSET(TH!C$1,SMALL(Dong6,ROWS($1:9)),))</f>
        <v>42563</v>
      </c>
      <c r="B19" s="526" t="str">
        <f ca="1">IF(ROWS($1:9)&gt;COUNT(Dong6),"",OFFSET(TH!D$1,SMALL(Dong6,ROWS($1:9)),))</f>
        <v>NL/N01</v>
      </c>
      <c r="C19" s="525">
        <f ca="1">IF(ROWS($1:9)&gt;COUNT(Dong6),"",OFFSET(TH!E$1,SMALL(Dong6,ROWS($1:9)),))</f>
        <v>42563</v>
      </c>
      <c r="D19" s="527" t="str">
        <f ca="1">IF(ROWS($1:9)&gt;COUNT(Dong6),"",OFFSET(TH!F$1,SMALL(Dong6,ROWS($1:9)),))</f>
        <v>Giấy nâu gia keo</v>
      </c>
      <c r="E19" s="526">
        <f t="shared" ca="1" si="0"/>
        <v>9</v>
      </c>
      <c r="F19" s="528" t="str">
        <f ca="1">IF(ROWS($1:9)&gt;COUNT(Dong6),"",OFFSET(TH!L$1,SMALL(Dong6,ROWS($1:9)),))</f>
        <v>1521</v>
      </c>
      <c r="G19" s="528" t="str">
        <f ca="1">IF(ROWS($1:9)&gt;COUNT(Dong6),"",OFFSET(TH!M$1,SMALL(Dong6,ROWS($1:9)),))</f>
        <v>331</v>
      </c>
      <c r="H19" s="456">
        <f ca="1">IF(ROWS($1:9)&gt;COUNT(Dong6),"",OFFSET(TH!K$1,SMALL(Dong6,ROWS($1:9)),))</f>
        <v>53213100</v>
      </c>
      <c r="I19" s="456">
        <f ca="1">IF(ROWS($1:9)&gt;COUNT(Dong6),"",OFFSET(TH!K$1,SMALL(Dong6,ROWS($1:9)),))</f>
        <v>53213100</v>
      </c>
    </row>
    <row r="20" spans="1:9" ht="21" customHeight="1">
      <c r="A20" s="525">
        <f ca="1">IF(ROWS($1:10)&gt;COUNT(Dong6),"",OFFSET(TH!C$1,SMALL(Dong6,ROWS($1:10)),))</f>
        <v>42563</v>
      </c>
      <c r="B20" s="526" t="str">
        <f ca="1">IF(ROWS($1:10)&gt;COUNT(Dong6),"",OFFSET(TH!D$1,SMALL(Dong6,ROWS($1:10)),))</f>
        <v>NL/N01</v>
      </c>
      <c r="C20" s="525">
        <f ca="1">IF(ROWS($1:10)&gt;COUNT(Dong6),"",OFFSET(TH!E$1,SMALL(Dong6,ROWS($1:10)),))</f>
        <v>42563</v>
      </c>
      <c r="D20" s="527" t="str">
        <f ca="1">IF(ROWS($1:10)&gt;COUNT(Dong6),"",OFFSET(TH!F$1,SMALL(Dong6,ROWS($1:10)),))</f>
        <v>Giấy xeo gia keo chống thấm</v>
      </c>
      <c r="E20" s="526">
        <f t="shared" ca="1" si="0"/>
        <v>10</v>
      </c>
      <c r="F20" s="528" t="str">
        <f ca="1">IF(ROWS($1:10)&gt;COUNT(Dong6),"",OFFSET(TH!L$1,SMALL(Dong6,ROWS($1:10)),))</f>
        <v>1521</v>
      </c>
      <c r="G20" s="528" t="str">
        <f ca="1">IF(ROWS($1:10)&gt;COUNT(Dong6),"",OFFSET(TH!M$1,SMALL(Dong6,ROWS($1:10)),))</f>
        <v>331</v>
      </c>
      <c r="H20" s="456">
        <f ca="1">IF(ROWS($1:10)&gt;COUNT(Dong6),"",OFFSET(TH!K$1,SMALL(Dong6,ROWS($1:10)),))</f>
        <v>34093500</v>
      </c>
      <c r="I20" s="456">
        <f ca="1">IF(ROWS($1:10)&gt;COUNT(Dong6),"",OFFSET(TH!K$1,SMALL(Dong6,ROWS($1:10)),))</f>
        <v>34093500</v>
      </c>
    </row>
    <row r="21" spans="1:9" ht="21" customHeight="1">
      <c r="A21" s="525">
        <f ca="1">IF(ROWS($1:11)&gt;COUNT(Dong6),"",OFFSET(TH!C$1,SMALL(Dong6,ROWS($1:11)),))</f>
        <v>42563</v>
      </c>
      <c r="B21" s="526" t="str">
        <f ca="1">IF(ROWS($1:11)&gt;COUNT(Dong6),"",OFFSET(TH!D$1,SMALL(Dong6,ROWS($1:11)),))</f>
        <v>NL/N04</v>
      </c>
      <c r="C21" s="525">
        <f ca="1">IF(ROWS($1:11)&gt;COUNT(Dong6),"",OFFSET(TH!E$1,SMALL(Dong6,ROWS($1:11)),))</f>
        <v>42563</v>
      </c>
      <c r="D21" s="527" t="str">
        <f ca="1">IF(ROWS($1:11)&gt;COUNT(Dong6),"",OFFSET(TH!F$1,SMALL(Dong6,ROWS($1:11)),))</f>
        <v>VAT Giấy màu vàng, xeo gia keo chống thấm</v>
      </c>
      <c r="E21" s="526">
        <f t="shared" ca="1" si="0"/>
        <v>11</v>
      </c>
      <c r="F21" s="528" t="str">
        <f ca="1">IF(ROWS($1:11)&gt;COUNT(Dong6),"",OFFSET(TH!L$1,SMALL(Dong6,ROWS($1:11)),))</f>
        <v>1331</v>
      </c>
      <c r="G21" s="528" t="str">
        <f ca="1">IF(ROWS($1:11)&gt;COUNT(Dong6),"",OFFSET(TH!M$1,SMALL(Dong6,ROWS($1:11)),))</f>
        <v>331</v>
      </c>
      <c r="H21" s="456">
        <f ca="1">IF(ROWS($1:11)&gt;COUNT(Dong6),"",OFFSET(TH!K$1,SMALL(Dong6,ROWS($1:11)),))</f>
        <v>17498020</v>
      </c>
      <c r="I21" s="456">
        <f ca="1">IF(ROWS($1:11)&gt;COUNT(Dong6),"",OFFSET(TH!K$1,SMALL(Dong6,ROWS($1:11)),))</f>
        <v>17498020</v>
      </c>
    </row>
    <row r="22" spans="1:9" ht="21" customHeight="1">
      <c r="A22" s="525">
        <f ca="1">IF(ROWS($1:12)&gt;COUNT(Dong6),"",OFFSET(TH!C$1,SMALL(Dong6,ROWS($1:12)),))</f>
        <v>42563</v>
      </c>
      <c r="B22" s="526" t="str">
        <f ca="1">IF(ROWS($1:12)&gt;COUNT(Dong6),"",OFFSET(TH!D$1,SMALL(Dong6,ROWS($1:12)),))</f>
        <v>CTGS</v>
      </c>
      <c r="C22" s="525">
        <f ca="1">IF(ROWS($1:12)&gt;COUNT(Dong6),"",OFFSET(TH!E$1,SMALL(Dong6,ROWS($1:12)),))</f>
        <v>42563</v>
      </c>
      <c r="D22" s="527" t="str">
        <f ca="1">IF(ROWS($1:12)&gt;COUNT(Dong6),"",OFFSET(TH!F$1,SMALL(Dong6,ROWS($1:12)),))</f>
        <v>Máy chap khe khổ 2m</v>
      </c>
      <c r="E22" s="526">
        <f t="shared" ca="1" si="0"/>
        <v>12</v>
      </c>
      <c r="F22" s="528" t="str">
        <f ca="1">IF(ROWS($1:12)&gt;COUNT(Dong6),"",OFFSET(TH!L$1,SMALL(Dong6,ROWS($1:12)),))</f>
        <v>2112</v>
      </c>
      <c r="G22" s="528" t="str">
        <f ca="1">IF(ROWS($1:12)&gt;COUNT(Dong6),"",OFFSET(TH!M$1,SMALL(Dong6,ROWS($1:12)),))</f>
        <v>331</v>
      </c>
      <c r="H22" s="456">
        <f ca="1">IF(ROWS($1:12)&gt;COUNT(Dong6),"",OFFSET(TH!K$1,SMALL(Dong6,ROWS($1:12)),))</f>
        <v>15000000</v>
      </c>
      <c r="I22" s="456">
        <f ca="1">IF(ROWS($1:12)&gt;COUNT(Dong6),"",OFFSET(TH!K$1,SMALL(Dong6,ROWS($1:12)),))</f>
        <v>15000000</v>
      </c>
    </row>
    <row r="23" spans="1:9" ht="21" customHeight="1">
      <c r="A23" s="525">
        <f ca="1">IF(ROWS($1:13)&gt;COUNT(Dong6),"",OFFSET(TH!C$1,SMALL(Dong6,ROWS($1:13)),))</f>
        <v>42563</v>
      </c>
      <c r="B23" s="526" t="str">
        <f ca="1">IF(ROWS($1:13)&gt;COUNT(Dong6),"",OFFSET(TH!D$1,SMALL(Dong6,ROWS($1:13)),))</f>
        <v>CTGS</v>
      </c>
      <c r="C23" s="525">
        <f ca="1">IF(ROWS($1:13)&gt;COUNT(Dong6),"",OFFSET(TH!E$1,SMALL(Dong6,ROWS($1:13)),))</f>
        <v>42563</v>
      </c>
      <c r="D23" s="527" t="str">
        <f ca="1">IF(ROWS($1:13)&gt;COUNT(Dong6),"",OFFSET(TH!F$1,SMALL(Dong6,ROWS($1:13)),))</f>
        <v>Máy đóng kẽm</v>
      </c>
      <c r="E23" s="526">
        <f t="shared" ca="1" si="0"/>
        <v>13</v>
      </c>
      <c r="F23" s="528" t="str">
        <f ca="1">IF(ROWS($1:13)&gt;COUNT(Dong6),"",OFFSET(TH!L$1,SMALL(Dong6,ROWS($1:13)),))</f>
        <v>2112</v>
      </c>
      <c r="G23" s="528" t="str">
        <f ca="1">IF(ROWS($1:13)&gt;COUNT(Dong6),"",OFFSET(TH!M$1,SMALL(Dong6,ROWS($1:13)),))</f>
        <v>331</v>
      </c>
      <c r="H23" s="456">
        <f ca="1">IF(ROWS($1:13)&gt;COUNT(Dong6),"",OFFSET(TH!K$1,SMALL(Dong6,ROWS($1:13)),))</f>
        <v>25000000</v>
      </c>
      <c r="I23" s="456">
        <f ca="1">IF(ROWS($1:13)&gt;COUNT(Dong6),"",OFFSET(TH!K$1,SMALL(Dong6,ROWS($1:13)),))</f>
        <v>25000000</v>
      </c>
    </row>
    <row r="24" spans="1:9" ht="21" customHeight="1">
      <c r="A24" s="525">
        <f ca="1">IF(ROWS($1:14)&gt;COUNT(Dong6),"",OFFSET(TH!C$1,SMALL(Dong6,ROWS($1:14)),))</f>
        <v>42563</v>
      </c>
      <c r="B24" s="526" t="str">
        <f ca="1">IF(ROWS($1:14)&gt;COUNT(Dong6),"",OFFSET(TH!D$1,SMALL(Dong6,ROWS($1:14)),))</f>
        <v>CTGS</v>
      </c>
      <c r="C24" s="525">
        <f ca="1">IF(ROWS($1:14)&gt;COUNT(Dong6),"",OFFSET(TH!E$1,SMALL(Dong6,ROWS($1:14)),))</f>
        <v>42563</v>
      </c>
      <c r="D24" s="527" t="str">
        <f ca="1">IF(ROWS($1:14)&gt;COUNT(Dong6),"",OFFSET(TH!F$1,SMALL(Dong6,ROWS($1:14)),))</f>
        <v>Máy In</v>
      </c>
      <c r="E24" s="526">
        <f t="shared" ca="1" si="0"/>
        <v>14</v>
      </c>
      <c r="F24" s="528" t="str">
        <f ca="1">IF(ROWS($1:14)&gt;COUNT(Dong6),"",OFFSET(TH!L$1,SMALL(Dong6,ROWS($1:14)),))</f>
        <v>2112</v>
      </c>
      <c r="G24" s="528" t="str">
        <f ca="1">IF(ROWS($1:14)&gt;COUNT(Dong6),"",OFFSET(TH!M$1,SMALL(Dong6,ROWS($1:14)),))</f>
        <v>331</v>
      </c>
      <c r="H24" s="456">
        <f ca="1">IF(ROWS($1:14)&gt;COUNT(Dong6),"",OFFSET(TH!K$1,SMALL(Dong6,ROWS($1:14)),))</f>
        <v>300000000</v>
      </c>
      <c r="I24" s="456">
        <f ca="1">IF(ROWS($1:14)&gt;COUNT(Dong6),"",OFFSET(TH!K$1,SMALL(Dong6,ROWS($1:14)),))</f>
        <v>300000000</v>
      </c>
    </row>
    <row r="25" spans="1:9" ht="21" customHeight="1">
      <c r="A25" s="525">
        <f ca="1">IF(ROWS($1:15)&gt;COUNT(Dong6),"",OFFSET(TH!C$1,SMALL(Dong6,ROWS($1:15)),))</f>
        <v>42563</v>
      </c>
      <c r="B25" s="526" t="str">
        <f ca="1">IF(ROWS($1:15)&gt;COUNT(Dong6),"",OFFSET(TH!D$1,SMALL(Dong6,ROWS($1:15)),))</f>
        <v>CTGS</v>
      </c>
      <c r="C25" s="525">
        <f ca="1">IF(ROWS($1:15)&gt;COUNT(Dong6),"",OFFSET(TH!E$1,SMALL(Dong6,ROWS($1:15)),))</f>
        <v>42563</v>
      </c>
      <c r="D25" s="527" t="str">
        <f ca="1">IF(ROWS($1:15)&gt;COUNT(Dong6),"",OFFSET(TH!F$1,SMALL(Dong6,ROWS($1:15)),))</f>
        <v>Máy sóng giấy carton đầu 5 lớp</v>
      </c>
      <c r="E25" s="526">
        <f t="shared" ca="1" si="0"/>
        <v>15</v>
      </c>
      <c r="F25" s="528" t="str">
        <f ca="1">IF(ROWS($1:15)&gt;COUNT(Dong6),"",OFFSET(TH!L$1,SMALL(Dong6,ROWS($1:15)),))</f>
        <v>2112</v>
      </c>
      <c r="G25" s="528" t="str">
        <f ca="1">IF(ROWS($1:15)&gt;COUNT(Dong6),"",OFFSET(TH!M$1,SMALL(Dong6,ROWS($1:15)),))</f>
        <v>331</v>
      </c>
      <c r="H25" s="456">
        <f ca="1">IF(ROWS($1:15)&gt;COUNT(Dong6),"",OFFSET(TH!K$1,SMALL(Dong6,ROWS($1:15)),))</f>
        <v>500000000</v>
      </c>
      <c r="I25" s="456">
        <f ca="1">IF(ROWS($1:15)&gt;COUNT(Dong6),"",OFFSET(TH!K$1,SMALL(Dong6,ROWS($1:15)),))</f>
        <v>500000000</v>
      </c>
    </row>
    <row r="26" spans="1:9" ht="21" customHeight="1">
      <c r="A26" s="525">
        <f ca="1">IF(ROWS($1:16)&gt;COUNT(Dong6),"",OFFSET(TH!C$1,SMALL(Dong6,ROWS($1:16)),))</f>
        <v>42563</v>
      </c>
      <c r="B26" s="526" t="str">
        <f ca="1">IF(ROWS($1:16)&gt;COUNT(Dong6),"",OFFSET(TH!D$1,SMALL(Dong6,ROWS($1:16)),))</f>
        <v>CTGS</v>
      </c>
      <c r="C26" s="525">
        <f ca="1">IF(ROWS($1:16)&gt;COUNT(Dong6),"",OFFSET(TH!E$1,SMALL(Dong6,ROWS($1:16)),))</f>
        <v>42563</v>
      </c>
      <c r="D26" s="527" t="str">
        <f ca="1">IF(ROWS($1:16)&gt;COUNT(Dong6),"",OFFSET(TH!F$1,SMALL(Dong6,ROWS($1:16)),))</f>
        <v>VAT máy móc tiết bị</v>
      </c>
      <c r="E26" s="526">
        <f t="shared" ca="1" si="0"/>
        <v>16</v>
      </c>
      <c r="F26" s="528" t="str">
        <f ca="1">IF(ROWS($1:16)&gt;COUNT(Dong6),"",OFFSET(TH!L$1,SMALL(Dong6,ROWS($1:16)),))</f>
        <v>1331</v>
      </c>
      <c r="G26" s="528" t="str">
        <f ca="1">IF(ROWS($1:16)&gt;COUNT(Dong6),"",OFFSET(TH!M$1,SMALL(Dong6,ROWS($1:16)),))</f>
        <v>331</v>
      </c>
      <c r="H26" s="456">
        <f ca="1">IF(ROWS($1:16)&gt;COUNT(Dong6),"",OFFSET(TH!K$1,SMALL(Dong6,ROWS($1:16)),))</f>
        <v>84000000</v>
      </c>
      <c r="I26" s="456">
        <f ca="1">IF(ROWS($1:16)&gt;COUNT(Dong6),"",OFFSET(TH!K$1,SMALL(Dong6,ROWS($1:16)),))</f>
        <v>84000000</v>
      </c>
    </row>
    <row r="27" spans="1:9" ht="21" customHeight="1">
      <c r="A27" s="525">
        <f ca="1">IF(ROWS($1:17)&gt;COUNT(Dong6),"",OFFSET(TH!C$1,SMALL(Dong6,ROWS($1:17)),))</f>
        <v>42566</v>
      </c>
      <c r="B27" s="526" t="str">
        <f ca="1">IF(ROWS($1:17)&gt;COUNT(Dong6),"",OFFSET(TH!D$1,SMALL(Dong6,ROWS($1:17)),))</f>
        <v>C02</v>
      </c>
      <c r="C27" s="525">
        <f ca="1">IF(ROWS($1:17)&gt;COUNT(Dong6),"",OFFSET(TH!E$1,SMALL(Dong6,ROWS($1:17)),))</f>
        <v>42566</v>
      </c>
      <c r="D27" s="527" t="str">
        <f ca="1">IF(ROWS($1:17)&gt;COUNT(Dong6),"",OFFSET(TH!F$1,SMALL(Dong6,ROWS($1:17)),))</f>
        <v>Dầu Do</v>
      </c>
      <c r="E27" s="526">
        <f t="shared" ca="1" si="0"/>
        <v>17</v>
      </c>
      <c r="F27" s="528" t="str">
        <f ca="1">IF(ROWS($1:17)&gt;COUNT(Dong6),"",OFFSET(TH!L$1,SMALL(Dong6,ROWS($1:17)),))</f>
        <v>641</v>
      </c>
      <c r="G27" s="528" t="str">
        <f ca="1">IF(ROWS($1:17)&gt;COUNT(Dong6),"",OFFSET(TH!M$1,SMALL(Dong6,ROWS($1:17)),))</f>
        <v>1111</v>
      </c>
      <c r="H27" s="456">
        <f ca="1">IF(ROWS($1:17)&gt;COUNT(Dong6),"",OFFSET(TH!K$1,SMALL(Dong6,ROWS($1:17)),))</f>
        <v>1454545</v>
      </c>
      <c r="I27" s="456">
        <f ca="1">IF(ROWS($1:17)&gt;COUNT(Dong6),"",OFFSET(TH!K$1,SMALL(Dong6,ROWS($1:17)),))</f>
        <v>1454545</v>
      </c>
    </row>
    <row r="28" spans="1:9" ht="21" customHeight="1">
      <c r="A28" s="525">
        <f ca="1">IF(ROWS($1:18)&gt;COUNT(Dong6),"",OFFSET(TH!C$1,SMALL(Dong6,ROWS($1:18)),))</f>
        <v>42566</v>
      </c>
      <c r="B28" s="526" t="str">
        <f ca="1">IF(ROWS($1:18)&gt;COUNT(Dong6),"",OFFSET(TH!D$1,SMALL(Dong6,ROWS($1:18)),))</f>
        <v>C02</v>
      </c>
      <c r="C28" s="525">
        <f ca="1">IF(ROWS($1:18)&gt;COUNT(Dong6),"",OFFSET(TH!E$1,SMALL(Dong6,ROWS($1:18)),))</f>
        <v>42566</v>
      </c>
      <c r="D28" s="527" t="str">
        <f ca="1">IF(ROWS($1:18)&gt;COUNT(Dong6),"",OFFSET(TH!F$1,SMALL(Dong6,ROWS($1:18)),))</f>
        <v>VAT Dầu Do</v>
      </c>
      <c r="E28" s="526">
        <f t="shared" ca="1" si="0"/>
        <v>18</v>
      </c>
      <c r="F28" s="528" t="str">
        <f ca="1">IF(ROWS($1:18)&gt;COUNT(Dong6),"",OFFSET(TH!L$1,SMALL(Dong6,ROWS($1:18)),))</f>
        <v>1331</v>
      </c>
      <c r="G28" s="528" t="str">
        <f ca="1">IF(ROWS($1:18)&gt;COUNT(Dong6),"",OFFSET(TH!M$1,SMALL(Dong6,ROWS($1:18)),))</f>
        <v>1111</v>
      </c>
      <c r="H28" s="456">
        <f ca="1">IF(ROWS($1:18)&gt;COUNT(Dong6),"",OFFSET(TH!K$1,SMALL(Dong6,ROWS($1:18)),))</f>
        <v>145455</v>
      </c>
      <c r="I28" s="456">
        <f ca="1">IF(ROWS($1:18)&gt;COUNT(Dong6),"",OFFSET(TH!K$1,SMALL(Dong6,ROWS($1:18)),))</f>
        <v>145455</v>
      </c>
    </row>
    <row r="29" spans="1:9" ht="21" customHeight="1">
      <c r="A29" s="525">
        <f ca="1">IF(ROWS($1:19)&gt;COUNT(Dong6),"",OFFSET(TH!C$1,SMALL(Dong6,ROWS($1:19)),))</f>
        <v>42566</v>
      </c>
      <c r="B29" s="526" t="str">
        <f ca="1">IF(ROWS($1:19)&gt;COUNT(Dong6),"",OFFSET(TH!D$1,SMALL(Dong6,ROWS($1:19)),))</f>
        <v>TP/X01</v>
      </c>
      <c r="C29" s="525">
        <f ca="1">IF(ROWS($1:19)&gt;COUNT(Dong6),"",OFFSET(TH!E$1,SMALL(Dong6,ROWS($1:19)),))</f>
        <v>42566</v>
      </c>
      <c r="D29" s="527" t="str">
        <f ca="1">IF(ROWS($1:19)&gt;COUNT(Dong6),"",OFFSET(TH!F$1,SMALL(Dong6,ROWS($1:19)),))</f>
        <v>Hộp âm dương (85.5x100.5x35)</v>
      </c>
      <c r="E29" s="526">
        <f t="shared" ca="1" si="0"/>
        <v>19</v>
      </c>
      <c r="F29" s="528" t="str">
        <f ca="1">IF(ROWS($1:19)&gt;COUNT(Dong6),"",OFFSET(TH!L$1,SMALL(Dong6,ROWS($1:19)),))</f>
        <v>131</v>
      </c>
      <c r="G29" s="528" t="str">
        <f ca="1">IF(ROWS($1:19)&gt;COUNT(Dong6),"",OFFSET(TH!M$1,SMALL(Dong6,ROWS($1:19)),))</f>
        <v>5112</v>
      </c>
      <c r="H29" s="456">
        <f ca="1">IF(ROWS($1:19)&gt;COUNT(Dong6),"",OFFSET(TH!K$1,SMALL(Dong6,ROWS($1:19)),))</f>
        <v>1594977</v>
      </c>
      <c r="I29" s="456">
        <f ca="1">IF(ROWS($1:19)&gt;COUNT(Dong6),"",OFFSET(TH!K$1,SMALL(Dong6,ROWS($1:19)),))</f>
        <v>1594977</v>
      </c>
    </row>
    <row r="30" spans="1:9" ht="21" customHeight="1">
      <c r="A30" s="525">
        <f ca="1">IF(ROWS($1:20)&gt;COUNT(Dong6),"",OFFSET(TH!C$1,SMALL(Dong6,ROWS($1:20)),))</f>
        <v>42566</v>
      </c>
      <c r="B30" s="526" t="str">
        <f ca="1">IF(ROWS($1:20)&gt;COUNT(Dong6),"",OFFSET(TH!D$1,SMALL(Dong6,ROWS($1:20)),))</f>
        <v>TP/X01</v>
      </c>
      <c r="C30" s="525">
        <f ca="1">IF(ROWS($1:20)&gt;COUNT(Dong6),"",OFFSET(TH!E$1,SMALL(Dong6,ROWS($1:20)),))</f>
        <v>42566</v>
      </c>
      <c r="D30" s="527" t="str">
        <f ca="1">IF(ROWS($1:20)&gt;COUNT(Dong6),"",OFFSET(TH!F$1,SMALL(Dong6,ROWS($1:20)),))</f>
        <v>VAT Hộp âm dương</v>
      </c>
      <c r="E30" s="526">
        <f t="shared" ca="1" si="0"/>
        <v>20</v>
      </c>
      <c r="F30" s="528" t="str">
        <f ca="1">IF(ROWS($1:20)&gt;COUNT(Dong6),"",OFFSET(TH!L$1,SMALL(Dong6,ROWS($1:20)),))</f>
        <v>131</v>
      </c>
      <c r="G30" s="528" t="str">
        <f ca="1">IF(ROWS($1:20)&gt;COUNT(Dong6),"",OFFSET(TH!M$1,SMALL(Dong6,ROWS($1:20)),))</f>
        <v>3331</v>
      </c>
      <c r="H30" s="456">
        <f ca="1">IF(ROWS($1:20)&gt;COUNT(Dong6),"",OFFSET(TH!K$1,SMALL(Dong6,ROWS($1:20)),))</f>
        <v>159497</v>
      </c>
      <c r="I30" s="456">
        <f ca="1">IF(ROWS($1:20)&gt;COUNT(Dong6),"",OFFSET(TH!K$1,SMALL(Dong6,ROWS($1:20)),))</f>
        <v>159497</v>
      </c>
    </row>
    <row r="31" spans="1:9" ht="21" customHeight="1">
      <c r="A31" s="525">
        <f ca="1">IF(ROWS($1:21)&gt;COUNT(Dong6),"",OFFSET(TH!C$1,SMALL(Dong6,ROWS($1:21)),))</f>
        <v>42566</v>
      </c>
      <c r="B31" s="526" t="str">
        <f ca="1">IF(ROWS($1:21)&gt;COUNT(Dong6),"",OFFSET(TH!D$1,SMALL(Dong6,ROWS($1:21)),))</f>
        <v>T01</v>
      </c>
      <c r="C31" s="525">
        <f ca="1">IF(ROWS($1:21)&gt;COUNT(Dong6),"",OFFSET(TH!E$1,SMALL(Dong6,ROWS($1:21)),))</f>
        <v>42566</v>
      </c>
      <c r="D31" s="527" t="str">
        <f ca="1">IF(ROWS($1:21)&gt;COUNT(Dong6),"",OFFSET(TH!F$1,SMALL(Dong6,ROWS($1:21)),))</f>
        <v>Thu tiền hàng</v>
      </c>
      <c r="E31" s="526">
        <f t="shared" ca="1" si="0"/>
        <v>21</v>
      </c>
      <c r="F31" s="528" t="str">
        <f ca="1">IF(ROWS($1:21)&gt;COUNT(Dong6),"",OFFSET(TH!L$1,SMALL(Dong6,ROWS($1:21)),))</f>
        <v>1111</v>
      </c>
      <c r="G31" s="528" t="str">
        <f ca="1">IF(ROWS($1:21)&gt;COUNT(Dong6),"",OFFSET(TH!M$1,SMALL(Dong6,ROWS($1:21)),))</f>
        <v>131</v>
      </c>
      <c r="H31" s="456">
        <f ca="1">IF(ROWS($1:21)&gt;COUNT(Dong6),"",OFFSET(TH!K$1,SMALL(Dong6,ROWS($1:21)),))</f>
        <v>1754474</v>
      </c>
      <c r="I31" s="456">
        <f ca="1">IF(ROWS($1:21)&gt;COUNT(Dong6),"",OFFSET(TH!K$1,SMALL(Dong6,ROWS($1:21)),))</f>
        <v>1754474</v>
      </c>
    </row>
    <row r="32" spans="1:9" ht="21" customHeight="1">
      <c r="A32" s="525">
        <f ca="1">IF(ROWS($1:22)&gt;COUNT(Dong6),"",OFFSET(TH!C$1,SMALL(Dong6,ROWS($1:22)),))</f>
        <v>42566</v>
      </c>
      <c r="B32" s="526" t="str">
        <f ca="1">IF(ROWS($1:22)&gt;COUNT(Dong6),"",OFFSET(TH!D$1,SMALL(Dong6,ROWS($1:22)),))</f>
        <v>TP/X02</v>
      </c>
      <c r="C32" s="525">
        <f ca="1">IF(ROWS($1:22)&gt;COUNT(Dong6),"",OFFSET(TH!E$1,SMALL(Dong6,ROWS($1:22)),))</f>
        <v>42566</v>
      </c>
      <c r="D32" s="527" t="str">
        <f ca="1">IF(ROWS($1:22)&gt;COUNT(Dong6),"",OFFSET(TH!F$1,SMALL(Dong6,ROWS($1:22)),))</f>
        <v>Thùng carton (117x87x5)</v>
      </c>
      <c r="E32" s="526">
        <f t="shared" ca="1" si="0"/>
        <v>22</v>
      </c>
      <c r="F32" s="528" t="str">
        <f ca="1">IF(ROWS($1:22)&gt;COUNT(Dong6),"",OFFSET(TH!L$1,SMALL(Dong6,ROWS($1:22)),))</f>
        <v>131</v>
      </c>
      <c r="G32" s="528" t="str">
        <f ca="1">IF(ROWS($1:22)&gt;COUNT(Dong6),"",OFFSET(TH!M$1,SMALL(Dong6,ROWS($1:22)),))</f>
        <v>5112</v>
      </c>
      <c r="H32" s="456">
        <f ca="1">IF(ROWS($1:22)&gt;COUNT(Dong6),"",OFFSET(TH!K$1,SMALL(Dong6,ROWS($1:22)),))</f>
        <v>1000000</v>
      </c>
      <c r="I32" s="456">
        <f ca="1">IF(ROWS($1:22)&gt;COUNT(Dong6),"",OFFSET(TH!K$1,SMALL(Dong6,ROWS($1:22)),))</f>
        <v>1000000</v>
      </c>
    </row>
    <row r="33" spans="1:9" ht="21" customHeight="1">
      <c r="A33" s="525">
        <f ca="1">IF(ROWS($1:23)&gt;COUNT(Dong6),"",OFFSET(TH!C$1,SMALL(Dong6,ROWS($1:23)),))</f>
        <v>42566</v>
      </c>
      <c r="B33" s="526" t="str">
        <f ca="1">IF(ROWS($1:23)&gt;COUNT(Dong6),"",OFFSET(TH!D$1,SMALL(Dong6,ROWS($1:23)),))</f>
        <v>TP/X02</v>
      </c>
      <c r="C33" s="525">
        <f ca="1">IF(ROWS($1:23)&gt;COUNT(Dong6),"",OFFSET(TH!E$1,SMALL(Dong6,ROWS($1:23)),))</f>
        <v>42566</v>
      </c>
      <c r="D33" s="527" t="str">
        <f ca="1">IF(ROWS($1:23)&gt;COUNT(Dong6),"",OFFSET(TH!F$1,SMALL(Dong6,ROWS($1:23)),))</f>
        <v>Thùng carton (103x54x180)</v>
      </c>
      <c r="E33" s="526">
        <f t="shared" ca="1" si="0"/>
        <v>23</v>
      </c>
      <c r="F33" s="528" t="str">
        <f ca="1">IF(ROWS($1:23)&gt;COUNT(Dong6),"",OFFSET(TH!L$1,SMALL(Dong6,ROWS($1:23)),))</f>
        <v>131</v>
      </c>
      <c r="G33" s="528" t="str">
        <f ca="1">IF(ROWS($1:23)&gt;COUNT(Dong6),"",OFFSET(TH!M$1,SMALL(Dong6,ROWS($1:23)),))</f>
        <v>5112</v>
      </c>
      <c r="H33" s="456">
        <f ca="1">IF(ROWS($1:23)&gt;COUNT(Dong6),"",OFFSET(TH!K$1,SMALL(Dong6,ROWS($1:23)),))</f>
        <v>8479600</v>
      </c>
      <c r="I33" s="456">
        <f ca="1">IF(ROWS($1:23)&gt;COUNT(Dong6),"",OFFSET(TH!K$1,SMALL(Dong6,ROWS($1:23)),))</f>
        <v>8479600</v>
      </c>
    </row>
    <row r="34" spans="1:9" ht="21" customHeight="1">
      <c r="A34" s="525">
        <f ca="1">IF(ROWS($1:24)&gt;COUNT(Dong6),"",OFFSET(TH!C$1,SMALL(Dong6,ROWS($1:24)),))</f>
        <v>42566</v>
      </c>
      <c r="B34" s="526" t="str">
        <f ca="1">IF(ROWS($1:24)&gt;COUNT(Dong6),"",OFFSET(TH!D$1,SMALL(Dong6,ROWS($1:24)),))</f>
        <v>TP/X02</v>
      </c>
      <c r="C34" s="525">
        <f ca="1">IF(ROWS($1:24)&gt;COUNT(Dong6),"",OFFSET(TH!E$1,SMALL(Dong6,ROWS($1:24)),))</f>
        <v>42566</v>
      </c>
      <c r="D34" s="527" t="str">
        <f ca="1">IF(ROWS($1:24)&gt;COUNT(Dong6),"",OFFSET(TH!F$1,SMALL(Dong6,ROWS($1:24)),))</f>
        <v>VAT Thùng carton</v>
      </c>
      <c r="E34" s="526">
        <f t="shared" ca="1" si="0"/>
        <v>24</v>
      </c>
      <c r="F34" s="528" t="str">
        <f ca="1">IF(ROWS($1:24)&gt;COUNT(Dong6),"",OFFSET(TH!L$1,SMALL(Dong6,ROWS($1:24)),))</f>
        <v>131</v>
      </c>
      <c r="G34" s="528" t="str">
        <f ca="1">IF(ROWS($1:24)&gt;COUNT(Dong6),"",OFFSET(TH!M$1,SMALL(Dong6,ROWS($1:24)),))</f>
        <v>3331</v>
      </c>
      <c r="H34" s="456">
        <f ca="1">IF(ROWS($1:24)&gt;COUNT(Dong6),"",OFFSET(TH!K$1,SMALL(Dong6,ROWS($1:24)),))</f>
        <v>947960</v>
      </c>
      <c r="I34" s="456">
        <f ca="1">IF(ROWS($1:24)&gt;COUNT(Dong6),"",OFFSET(TH!K$1,SMALL(Dong6,ROWS($1:24)),))</f>
        <v>947960</v>
      </c>
    </row>
    <row r="35" spans="1:9" ht="21" customHeight="1">
      <c r="A35" s="525">
        <f ca="1">IF(ROWS($1:25)&gt;COUNT(Dong6),"",OFFSET(TH!C$1,SMALL(Dong6,ROWS($1:25)),))</f>
        <v>42566</v>
      </c>
      <c r="B35" s="526" t="str">
        <f ca="1">IF(ROWS($1:25)&gt;COUNT(Dong6),"",OFFSET(TH!D$1,SMALL(Dong6,ROWS($1:25)),))</f>
        <v>T02</v>
      </c>
      <c r="C35" s="525">
        <f ca="1">IF(ROWS($1:25)&gt;COUNT(Dong6),"",OFFSET(TH!E$1,SMALL(Dong6,ROWS($1:25)),))</f>
        <v>42566</v>
      </c>
      <c r="D35" s="527" t="str">
        <f ca="1">IF(ROWS($1:25)&gt;COUNT(Dong6),"",OFFSET(TH!F$1,SMALL(Dong6,ROWS($1:25)),))</f>
        <v>Thu tiền hàng</v>
      </c>
      <c r="E35" s="526">
        <f t="shared" ca="1" si="0"/>
        <v>25</v>
      </c>
      <c r="F35" s="528" t="str">
        <f ca="1">IF(ROWS($1:25)&gt;COUNT(Dong6),"",OFFSET(TH!L$1,SMALL(Dong6,ROWS($1:25)),))</f>
        <v>1111</v>
      </c>
      <c r="G35" s="528" t="str">
        <f ca="1">IF(ROWS($1:25)&gt;COUNT(Dong6),"",OFFSET(TH!M$1,SMALL(Dong6,ROWS($1:25)),))</f>
        <v>131</v>
      </c>
      <c r="H35" s="456">
        <f ca="1">IF(ROWS($1:25)&gt;COUNT(Dong6),"",OFFSET(TH!K$1,SMALL(Dong6,ROWS($1:25)),))</f>
        <v>10427560</v>
      </c>
      <c r="I35" s="456">
        <f ca="1">IF(ROWS($1:25)&gt;COUNT(Dong6),"",OFFSET(TH!K$1,SMALL(Dong6,ROWS($1:25)),))</f>
        <v>10427560</v>
      </c>
    </row>
    <row r="36" spans="1:9" ht="21" customHeight="1">
      <c r="A36" s="525">
        <f ca="1">IF(ROWS($1:26)&gt;COUNT(Dong6),"",OFFSET(TH!C$1,SMALL(Dong6,ROWS($1:26)),))</f>
        <v>42566</v>
      </c>
      <c r="B36" s="526" t="str">
        <f ca="1">IF(ROWS($1:26)&gt;COUNT(Dong6),"",OFFSET(TH!D$1,SMALL(Dong6,ROWS($1:26)),))</f>
        <v>TP/X03</v>
      </c>
      <c r="C36" s="525">
        <f ca="1">IF(ROWS($1:26)&gt;COUNT(Dong6),"",OFFSET(TH!E$1,SMALL(Dong6,ROWS($1:26)),))</f>
        <v>42566</v>
      </c>
      <c r="D36" s="527" t="str">
        <f ca="1">IF(ROWS($1:26)&gt;COUNT(Dong6),"",OFFSET(TH!F$1,SMALL(Dong6,ROWS($1:26)),))</f>
        <v>Thùng carton (88x68x15)</v>
      </c>
      <c r="E36" s="526">
        <f t="shared" ca="1" si="0"/>
        <v>26</v>
      </c>
      <c r="F36" s="528" t="str">
        <f ca="1">IF(ROWS($1:26)&gt;COUNT(Dong6),"",OFFSET(TH!L$1,SMALL(Dong6,ROWS($1:26)),))</f>
        <v>131</v>
      </c>
      <c r="G36" s="528" t="str">
        <f ca="1">IF(ROWS($1:26)&gt;COUNT(Dong6),"",OFFSET(TH!M$1,SMALL(Dong6,ROWS($1:26)),))</f>
        <v>5112</v>
      </c>
      <c r="H36" s="456">
        <f ca="1">IF(ROWS($1:26)&gt;COUNT(Dong6),"",OFFSET(TH!K$1,SMALL(Dong6,ROWS($1:26)),))</f>
        <v>6160000</v>
      </c>
      <c r="I36" s="456">
        <f ca="1">IF(ROWS($1:26)&gt;COUNT(Dong6),"",OFFSET(TH!K$1,SMALL(Dong6,ROWS($1:26)),))</f>
        <v>6160000</v>
      </c>
    </row>
    <row r="37" spans="1:9" ht="21" customHeight="1">
      <c r="A37" s="525">
        <f ca="1">IF(ROWS($1:27)&gt;COUNT(Dong6),"",OFFSET(TH!C$1,SMALL(Dong6,ROWS($1:27)),))</f>
        <v>42566</v>
      </c>
      <c r="B37" s="526" t="str">
        <f ca="1">IF(ROWS($1:27)&gt;COUNT(Dong6),"",OFFSET(TH!D$1,SMALL(Dong6,ROWS($1:27)),))</f>
        <v>TP/X03</v>
      </c>
      <c r="C37" s="525">
        <f ca="1">IF(ROWS($1:27)&gt;COUNT(Dong6),"",OFFSET(TH!E$1,SMALL(Dong6,ROWS($1:27)),))</f>
        <v>42566</v>
      </c>
      <c r="D37" s="527" t="str">
        <f ca="1">IF(ROWS($1:27)&gt;COUNT(Dong6),"",OFFSET(TH!F$1,SMALL(Dong6,ROWS($1:27)),))</f>
        <v>Thùng carton (47x42x25)</v>
      </c>
      <c r="E37" s="526">
        <f t="shared" ca="1" si="0"/>
        <v>27</v>
      </c>
      <c r="F37" s="528" t="str">
        <f ca="1">IF(ROWS($1:27)&gt;COUNT(Dong6),"",OFFSET(TH!L$1,SMALL(Dong6,ROWS($1:27)),))</f>
        <v>131</v>
      </c>
      <c r="G37" s="528" t="str">
        <f ca="1">IF(ROWS($1:27)&gt;COUNT(Dong6),"",OFFSET(TH!M$1,SMALL(Dong6,ROWS($1:27)),))</f>
        <v>5112</v>
      </c>
      <c r="H37" s="456">
        <f ca="1">IF(ROWS($1:27)&gt;COUNT(Dong6),"",OFFSET(TH!K$1,SMALL(Dong6,ROWS($1:27)),))</f>
        <v>3427200</v>
      </c>
      <c r="I37" s="456">
        <f ca="1">IF(ROWS($1:27)&gt;COUNT(Dong6),"",OFFSET(TH!K$1,SMALL(Dong6,ROWS($1:27)),))</f>
        <v>3427200</v>
      </c>
    </row>
    <row r="38" spans="1:9" ht="21" customHeight="1">
      <c r="A38" s="525">
        <f ca="1">IF(ROWS($1:28)&gt;COUNT(Dong6),"",OFFSET(TH!C$1,SMALL(Dong6,ROWS($1:28)),))</f>
        <v>42566</v>
      </c>
      <c r="B38" s="526" t="str">
        <f ca="1">IF(ROWS($1:28)&gt;COUNT(Dong6),"",OFFSET(TH!D$1,SMALL(Dong6,ROWS($1:28)),))</f>
        <v>TP/X03</v>
      </c>
      <c r="C38" s="525">
        <f ca="1">IF(ROWS($1:28)&gt;COUNT(Dong6),"",OFFSET(TH!E$1,SMALL(Dong6,ROWS($1:28)),))</f>
        <v>42566</v>
      </c>
      <c r="D38" s="527" t="str">
        <f ca="1">IF(ROWS($1:28)&gt;COUNT(Dong6),"",OFFSET(TH!F$1,SMALL(Dong6,ROWS($1:28)),))</f>
        <v>Thùng carton (48x41x29)</v>
      </c>
      <c r="E38" s="526">
        <f t="shared" ca="1" si="0"/>
        <v>28</v>
      </c>
      <c r="F38" s="528" t="str">
        <f ca="1">IF(ROWS($1:28)&gt;COUNT(Dong6),"",OFFSET(TH!L$1,SMALL(Dong6,ROWS($1:28)),))</f>
        <v>131</v>
      </c>
      <c r="G38" s="528" t="str">
        <f ca="1">IF(ROWS($1:28)&gt;COUNT(Dong6),"",OFFSET(TH!M$1,SMALL(Dong6,ROWS($1:28)),))</f>
        <v>5112</v>
      </c>
      <c r="H38" s="456">
        <f ca="1">IF(ROWS($1:28)&gt;COUNT(Dong6),"",OFFSET(TH!K$1,SMALL(Dong6,ROWS($1:28)),))</f>
        <v>1008000</v>
      </c>
      <c r="I38" s="456">
        <f ca="1">IF(ROWS($1:28)&gt;COUNT(Dong6),"",OFFSET(TH!K$1,SMALL(Dong6,ROWS($1:28)),))</f>
        <v>1008000</v>
      </c>
    </row>
    <row r="39" spans="1:9" ht="21" customHeight="1">
      <c r="A39" s="525">
        <f ca="1">IF(ROWS($1:29)&gt;COUNT(Dong6),"",OFFSET(TH!C$1,SMALL(Dong6,ROWS($1:29)),))</f>
        <v>42567</v>
      </c>
      <c r="B39" s="526" t="str">
        <f ca="1">IF(ROWS($1:29)&gt;COUNT(Dong6),"",OFFSET(TH!D$1,SMALL(Dong6,ROWS($1:29)),))</f>
        <v>TP/X03</v>
      </c>
      <c r="C39" s="525">
        <f ca="1">IF(ROWS($1:29)&gt;COUNT(Dong6),"",OFFSET(TH!E$1,SMALL(Dong6,ROWS($1:29)),))</f>
        <v>42567</v>
      </c>
      <c r="D39" s="527" t="str">
        <f ca="1">IF(ROWS($1:29)&gt;COUNT(Dong6),"",OFFSET(TH!F$1,SMALL(Dong6,ROWS($1:29)),))</f>
        <v>VAT Thùng carton</v>
      </c>
      <c r="E39" s="526">
        <f t="shared" ca="1" si="0"/>
        <v>29</v>
      </c>
      <c r="F39" s="528" t="str">
        <f ca="1">IF(ROWS($1:29)&gt;COUNT(Dong6),"",OFFSET(TH!L$1,SMALL(Dong6,ROWS($1:29)),))</f>
        <v>131</v>
      </c>
      <c r="G39" s="528" t="str">
        <f ca="1">IF(ROWS($1:29)&gt;COUNT(Dong6),"",OFFSET(TH!M$1,SMALL(Dong6,ROWS($1:29)),))</f>
        <v>3331</v>
      </c>
      <c r="H39" s="456">
        <f ca="1">IF(ROWS($1:29)&gt;COUNT(Dong6),"",OFFSET(TH!K$1,SMALL(Dong6,ROWS($1:29)),))</f>
        <v>1059520</v>
      </c>
      <c r="I39" s="456">
        <f ca="1">IF(ROWS($1:29)&gt;COUNT(Dong6),"",OFFSET(TH!K$1,SMALL(Dong6,ROWS($1:29)),))</f>
        <v>1059520</v>
      </c>
    </row>
    <row r="40" spans="1:9" ht="21" customHeight="1">
      <c r="A40" s="525">
        <f ca="1">IF(ROWS($1:30)&gt;COUNT(Dong6),"",OFFSET(TH!C$1,SMALL(Dong6,ROWS($1:30)),))</f>
        <v>42567</v>
      </c>
      <c r="B40" s="526" t="str">
        <f ca="1">IF(ROWS($1:30)&gt;COUNT(Dong6),"",OFFSET(TH!D$1,SMALL(Dong6,ROWS($1:30)),))</f>
        <v>TP/X04</v>
      </c>
      <c r="C40" s="525">
        <f ca="1">IF(ROWS($1:30)&gt;COUNT(Dong6),"",OFFSET(TH!E$1,SMALL(Dong6,ROWS($1:30)),))</f>
        <v>42567</v>
      </c>
      <c r="D40" s="527" t="str">
        <f ca="1">IF(ROWS($1:30)&gt;COUNT(Dong6),"",OFFSET(TH!F$1,SMALL(Dong6,ROWS($1:30)),))</f>
        <v>Thùng carton (45x37x27.5)</v>
      </c>
      <c r="E40" s="526">
        <f t="shared" ca="1" si="0"/>
        <v>30</v>
      </c>
      <c r="F40" s="528" t="str">
        <f ca="1">IF(ROWS($1:30)&gt;COUNT(Dong6),"",OFFSET(TH!L$1,SMALL(Dong6,ROWS($1:30)),))</f>
        <v>131</v>
      </c>
      <c r="G40" s="528" t="str">
        <f ca="1">IF(ROWS($1:30)&gt;COUNT(Dong6),"",OFFSET(TH!M$1,SMALL(Dong6,ROWS($1:30)),))</f>
        <v>5112</v>
      </c>
      <c r="H40" s="456">
        <f ca="1">IF(ROWS($1:30)&gt;COUNT(Dong6),"",OFFSET(TH!K$1,SMALL(Dong6,ROWS($1:30)),))</f>
        <v>4020000</v>
      </c>
      <c r="I40" s="456">
        <f ca="1">IF(ROWS($1:30)&gt;COUNT(Dong6),"",OFFSET(TH!K$1,SMALL(Dong6,ROWS($1:30)),))</f>
        <v>4020000</v>
      </c>
    </row>
    <row r="41" spans="1:9" ht="21" customHeight="1">
      <c r="A41" s="525">
        <f ca="1">IF(ROWS($1:31)&gt;COUNT(Dong6),"",OFFSET(TH!C$1,SMALL(Dong6,ROWS($1:31)),))</f>
        <v>42567</v>
      </c>
      <c r="B41" s="526" t="str">
        <f ca="1">IF(ROWS($1:31)&gt;COUNT(Dong6),"",OFFSET(TH!D$1,SMALL(Dong6,ROWS($1:31)),))</f>
        <v>TP/X04</v>
      </c>
      <c r="C41" s="525">
        <f ca="1">IF(ROWS($1:31)&gt;COUNT(Dong6),"",OFFSET(TH!E$1,SMALL(Dong6,ROWS($1:31)),))</f>
        <v>42567</v>
      </c>
      <c r="D41" s="527" t="str">
        <f ca="1">IF(ROWS($1:31)&gt;COUNT(Dong6),"",OFFSET(TH!F$1,SMALL(Dong6,ROWS($1:31)),))</f>
        <v>Thùng carton (45x37x27.5)</v>
      </c>
      <c r="E41" s="526">
        <f t="shared" ref="E41:E50" ca="1" si="1">IF(D41&lt;&gt;"",ROW()-10,"")</f>
        <v>31</v>
      </c>
      <c r="F41" s="528" t="str">
        <f ca="1">IF(ROWS($1:31)&gt;COUNT(Dong6),"",OFFSET(TH!L$1,SMALL(Dong6,ROWS($1:31)),))</f>
        <v>131</v>
      </c>
      <c r="G41" s="528" t="str">
        <f ca="1">IF(ROWS($1:31)&gt;COUNT(Dong6),"",OFFSET(TH!M$1,SMALL(Dong6,ROWS($1:31)),))</f>
        <v>5112</v>
      </c>
      <c r="H41" s="456">
        <f ca="1">IF(ROWS($1:31)&gt;COUNT(Dong6),"",OFFSET(TH!K$1,SMALL(Dong6,ROWS($1:31)),))</f>
        <v>6900000</v>
      </c>
      <c r="I41" s="456">
        <f ca="1">IF(ROWS($1:31)&gt;COUNT(Dong6),"",OFFSET(TH!K$1,SMALL(Dong6,ROWS($1:31)),))</f>
        <v>6900000</v>
      </c>
    </row>
    <row r="42" spans="1:9" ht="21" customHeight="1">
      <c r="A42" s="525">
        <f ca="1">IF(ROWS($1:32)&gt;COUNT(Dong6),"",OFFSET(TH!C$1,SMALL(Dong6,ROWS($1:32)),))</f>
        <v>42567</v>
      </c>
      <c r="B42" s="526" t="str">
        <f ca="1">IF(ROWS($1:32)&gt;COUNT(Dong6),"",OFFSET(TH!D$1,SMALL(Dong6,ROWS($1:32)),))</f>
        <v>TP/X04</v>
      </c>
      <c r="C42" s="525">
        <f ca="1">IF(ROWS($1:32)&gt;COUNT(Dong6),"",OFFSET(TH!E$1,SMALL(Dong6,ROWS($1:32)),))</f>
        <v>42567</v>
      </c>
      <c r="D42" s="527" t="str">
        <f ca="1">IF(ROWS($1:32)&gt;COUNT(Dong6),"",OFFSET(TH!F$1,SMALL(Dong6,ROWS($1:32)),))</f>
        <v>Tấm lót (44x20)</v>
      </c>
      <c r="E42" s="526">
        <f t="shared" ca="1" si="1"/>
        <v>32</v>
      </c>
      <c r="F42" s="528" t="str">
        <f ca="1">IF(ROWS($1:32)&gt;COUNT(Dong6),"",OFFSET(TH!L$1,SMALL(Dong6,ROWS($1:32)),))</f>
        <v>131</v>
      </c>
      <c r="G42" s="528" t="str">
        <f ca="1">IF(ROWS($1:32)&gt;COUNT(Dong6),"",OFFSET(TH!M$1,SMALL(Dong6,ROWS($1:32)),))</f>
        <v>5112</v>
      </c>
      <c r="H42" s="456">
        <f ca="1">IF(ROWS($1:32)&gt;COUNT(Dong6),"",OFFSET(TH!K$1,SMALL(Dong6,ROWS($1:32)),))</f>
        <v>2080000</v>
      </c>
      <c r="I42" s="456">
        <f ca="1">IF(ROWS($1:32)&gt;COUNT(Dong6),"",OFFSET(TH!K$1,SMALL(Dong6,ROWS($1:32)),))</f>
        <v>2080000</v>
      </c>
    </row>
    <row r="43" spans="1:9" ht="21" customHeight="1">
      <c r="A43" s="525">
        <f ca="1">IF(ROWS($1:33)&gt;COUNT(Dong6),"",OFFSET(TH!C$1,SMALL(Dong6,ROWS($1:33)),))</f>
        <v>42567</v>
      </c>
      <c r="B43" s="526" t="str">
        <f ca="1">IF(ROWS($1:33)&gt;COUNT(Dong6),"",OFFSET(TH!D$1,SMALL(Dong6,ROWS($1:33)),))</f>
        <v>TP/X04</v>
      </c>
      <c r="C43" s="525">
        <f ca="1">IF(ROWS($1:33)&gt;COUNT(Dong6),"",OFFSET(TH!E$1,SMALL(Dong6,ROWS($1:33)),))</f>
        <v>42567</v>
      </c>
      <c r="D43" s="527" t="str">
        <f ca="1">IF(ROWS($1:33)&gt;COUNT(Dong6),"",OFFSET(TH!F$1,SMALL(Dong6,ROWS($1:33)),))</f>
        <v>VAT Thùng carton</v>
      </c>
      <c r="E43" s="526">
        <f t="shared" ca="1" si="1"/>
        <v>33</v>
      </c>
      <c r="F43" s="528" t="str">
        <f ca="1">IF(ROWS($1:33)&gt;COUNT(Dong6),"",OFFSET(TH!L$1,SMALL(Dong6,ROWS($1:33)),))</f>
        <v>131</v>
      </c>
      <c r="G43" s="528" t="str">
        <f ca="1">IF(ROWS($1:33)&gt;COUNT(Dong6),"",OFFSET(TH!M$1,SMALL(Dong6,ROWS($1:33)),))</f>
        <v>3331</v>
      </c>
      <c r="H43" s="456">
        <f ca="1">IF(ROWS($1:33)&gt;COUNT(Dong6),"",OFFSET(TH!K$1,SMALL(Dong6,ROWS($1:33)),))</f>
        <v>1300000</v>
      </c>
      <c r="I43" s="456">
        <f ca="1">IF(ROWS($1:33)&gt;COUNT(Dong6),"",OFFSET(TH!K$1,SMALL(Dong6,ROWS($1:33)),))</f>
        <v>1300000</v>
      </c>
    </row>
    <row r="44" spans="1:9" ht="21" customHeight="1">
      <c r="A44" s="525">
        <f ca="1">IF(ROWS($1:34)&gt;COUNT(Dong6),"",OFFSET(TH!C$1,SMALL(Dong6,ROWS($1:34)),))</f>
        <v>42567</v>
      </c>
      <c r="B44" s="526" t="str">
        <f ca="1">IF(ROWS($1:34)&gt;COUNT(Dong6),"",OFFSET(TH!D$1,SMALL(Dong6,ROWS($1:34)),))</f>
        <v>TP/X05</v>
      </c>
      <c r="C44" s="525">
        <f ca="1">IF(ROWS($1:34)&gt;COUNT(Dong6),"",OFFSET(TH!E$1,SMALL(Dong6,ROWS($1:34)),))</f>
        <v>42567</v>
      </c>
      <c r="D44" s="527" t="str">
        <f ca="1">IF(ROWS($1:34)&gt;COUNT(Dong6),"",OFFSET(TH!F$1,SMALL(Dong6,ROWS($1:34)),))</f>
        <v>Thùng carton (55x28x23.5)</v>
      </c>
      <c r="E44" s="526">
        <f t="shared" ca="1" si="1"/>
        <v>34</v>
      </c>
      <c r="F44" s="528" t="str">
        <f ca="1">IF(ROWS($1:34)&gt;COUNT(Dong6),"",OFFSET(TH!L$1,SMALL(Dong6,ROWS($1:34)),))</f>
        <v>131</v>
      </c>
      <c r="G44" s="528" t="str">
        <f ca="1">IF(ROWS($1:34)&gt;COUNT(Dong6),"",OFFSET(TH!M$1,SMALL(Dong6,ROWS($1:34)),))</f>
        <v>5112</v>
      </c>
      <c r="H44" s="456">
        <f ca="1">IF(ROWS($1:34)&gt;COUNT(Dong6),"",OFFSET(TH!K$1,SMALL(Dong6,ROWS($1:34)),))</f>
        <v>11055000</v>
      </c>
      <c r="I44" s="456">
        <f ca="1">IF(ROWS($1:34)&gt;COUNT(Dong6),"",OFFSET(TH!K$1,SMALL(Dong6,ROWS($1:34)),))</f>
        <v>11055000</v>
      </c>
    </row>
    <row r="45" spans="1:9" ht="21" customHeight="1">
      <c r="A45" s="525">
        <f ca="1">IF(ROWS($1:35)&gt;COUNT(Dong6),"",OFFSET(TH!C$1,SMALL(Dong6,ROWS($1:35)),))</f>
        <v>42567</v>
      </c>
      <c r="B45" s="526" t="str">
        <f ca="1">IF(ROWS($1:35)&gt;COUNT(Dong6),"",OFFSET(TH!D$1,SMALL(Dong6,ROWS($1:35)),))</f>
        <v>TP/X05</v>
      </c>
      <c r="C45" s="525">
        <f ca="1">IF(ROWS($1:35)&gt;COUNT(Dong6),"",OFFSET(TH!E$1,SMALL(Dong6,ROWS($1:35)),))</f>
        <v>42567</v>
      </c>
      <c r="D45" s="527" t="str">
        <f ca="1">IF(ROWS($1:35)&gt;COUNT(Dong6),"",OFFSET(TH!F$1,SMALL(Dong6,ROWS($1:35)),))</f>
        <v>VAT Thùng carton</v>
      </c>
      <c r="E45" s="526">
        <f t="shared" ca="1" si="1"/>
        <v>35</v>
      </c>
      <c r="F45" s="528" t="str">
        <f ca="1">IF(ROWS($1:35)&gt;COUNT(Dong6),"",OFFSET(TH!L$1,SMALL(Dong6,ROWS($1:35)),))</f>
        <v>131</v>
      </c>
      <c r="G45" s="528" t="str">
        <f ca="1">IF(ROWS($1:35)&gt;COUNT(Dong6),"",OFFSET(TH!M$1,SMALL(Dong6,ROWS($1:35)),))</f>
        <v>3331</v>
      </c>
      <c r="H45" s="456">
        <f ca="1">IF(ROWS($1:35)&gt;COUNT(Dong6),"",OFFSET(TH!K$1,SMALL(Dong6,ROWS($1:35)),))</f>
        <v>1105500</v>
      </c>
      <c r="I45" s="456">
        <f ca="1">IF(ROWS($1:35)&gt;COUNT(Dong6),"",OFFSET(TH!K$1,SMALL(Dong6,ROWS($1:35)),))</f>
        <v>1105500</v>
      </c>
    </row>
    <row r="46" spans="1:9" ht="21" customHeight="1">
      <c r="A46" s="525">
        <f ca="1">IF(ROWS($1:36)&gt;COUNT(Dong6),"",OFFSET(TH!C$1,SMALL(Dong6,ROWS($1:36)),))</f>
        <v>42569</v>
      </c>
      <c r="B46" s="526" t="str">
        <f ca="1">IF(ROWS($1:36)&gt;COUNT(Dong6),"",OFFSET(TH!D$1,SMALL(Dong6,ROWS($1:36)),))</f>
        <v>TP/X06</v>
      </c>
      <c r="C46" s="525">
        <f ca="1">IF(ROWS($1:36)&gt;COUNT(Dong6),"",OFFSET(TH!E$1,SMALL(Dong6,ROWS($1:36)),))</f>
        <v>42569</v>
      </c>
      <c r="D46" s="527" t="str">
        <f ca="1">IF(ROWS($1:36)&gt;COUNT(Dong6),"",OFFSET(TH!F$1,SMALL(Dong6,ROWS($1:36)),))</f>
        <v>Thùng carton (37.5x23.5x69.5)</v>
      </c>
      <c r="E46" s="526">
        <f t="shared" ca="1" si="1"/>
        <v>36</v>
      </c>
      <c r="F46" s="528" t="str">
        <f ca="1">IF(ROWS($1:36)&gt;COUNT(Dong6),"",OFFSET(TH!L$1,SMALL(Dong6,ROWS($1:36)),))</f>
        <v>131</v>
      </c>
      <c r="G46" s="528" t="str">
        <f ca="1">IF(ROWS($1:36)&gt;COUNT(Dong6),"",OFFSET(TH!M$1,SMALL(Dong6,ROWS($1:36)),))</f>
        <v>5112</v>
      </c>
      <c r="H46" s="456">
        <f ca="1">IF(ROWS($1:36)&gt;COUNT(Dong6),"",OFFSET(TH!K$1,SMALL(Dong6,ROWS($1:36)),))</f>
        <v>2616200</v>
      </c>
      <c r="I46" s="456">
        <f ca="1">IF(ROWS($1:36)&gt;COUNT(Dong6),"",OFFSET(TH!K$1,SMALL(Dong6,ROWS($1:36)),))</f>
        <v>2616200</v>
      </c>
    </row>
    <row r="47" spans="1:9" ht="21" customHeight="1">
      <c r="A47" s="525">
        <f ca="1">IF(ROWS($1:37)&gt;COUNT(Dong6),"",OFFSET(TH!C$1,SMALL(Dong6,ROWS($1:37)),))</f>
        <v>42569</v>
      </c>
      <c r="B47" s="526" t="str">
        <f ca="1">IF(ROWS($1:37)&gt;COUNT(Dong6),"",OFFSET(TH!D$1,SMALL(Dong6,ROWS($1:37)),))</f>
        <v>TP/X06</v>
      </c>
      <c r="C47" s="525">
        <f ca="1">IF(ROWS($1:37)&gt;COUNT(Dong6),"",OFFSET(TH!E$1,SMALL(Dong6,ROWS($1:37)),))</f>
        <v>42569</v>
      </c>
      <c r="D47" s="527" t="str">
        <f ca="1">IF(ROWS($1:37)&gt;COUNT(Dong6),"",OFFSET(TH!F$1,SMALL(Dong6,ROWS($1:37)),))</f>
        <v>VAT Thùng carton</v>
      </c>
      <c r="E47" s="526">
        <f t="shared" ca="1" si="1"/>
        <v>37</v>
      </c>
      <c r="F47" s="528" t="str">
        <f ca="1">IF(ROWS($1:37)&gt;COUNT(Dong6),"",OFFSET(TH!L$1,SMALL(Dong6,ROWS($1:37)),))</f>
        <v>131</v>
      </c>
      <c r="G47" s="528" t="str">
        <f ca="1">IF(ROWS($1:37)&gt;COUNT(Dong6),"",OFFSET(TH!M$1,SMALL(Dong6,ROWS($1:37)),))</f>
        <v>3331</v>
      </c>
      <c r="H47" s="456">
        <f ca="1">IF(ROWS($1:37)&gt;COUNT(Dong6),"",OFFSET(TH!K$1,SMALL(Dong6,ROWS($1:37)),))</f>
        <v>261620</v>
      </c>
      <c r="I47" s="456">
        <f ca="1">IF(ROWS($1:37)&gt;COUNT(Dong6),"",OFFSET(TH!K$1,SMALL(Dong6,ROWS($1:37)),))</f>
        <v>261620</v>
      </c>
    </row>
    <row r="48" spans="1:9" ht="21" customHeight="1">
      <c r="A48" s="525">
        <f ca="1">IF(ROWS($1:38)&gt;COUNT(Dong6),"",OFFSET(TH!C$1,SMALL(Dong6,ROWS($1:38)),))</f>
        <v>42569</v>
      </c>
      <c r="B48" s="526" t="str">
        <f ca="1">IF(ROWS($1:38)&gt;COUNT(Dong6),"",OFFSET(TH!D$1,SMALL(Dong6,ROWS($1:38)),))</f>
        <v>T03</v>
      </c>
      <c r="C48" s="525">
        <f ca="1">IF(ROWS($1:38)&gt;COUNT(Dong6),"",OFFSET(TH!E$1,SMALL(Dong6,ROWS($1:38)),))</f>
        <v>42569</v>
      </c>
      <c r="D48" s="527" t="str">
        <f ca="1">IF(ROWS($1:38)&gt;COUNT(Dong6),"",OFFSET(TH!F$1,SMALL(Dong6,ROWS($1:38)),))</f>
        <v>Thu tiền hàng</v>
      </c>
      <c r="E48" s="526">
        <f t="shared" ca="1" si="1"/>
        <v>38</v>
      </c>
      <c r="F48" s="528" t="str">
        <f ca="1">IF(ROWS($1:38)&gt;COUNT(Dong6),"",OFFSET(TH!L$1,SMALL(Dong6,ROWS($1:38)),))</f>
        <v>1111</v>
      </c>
      <c r="G48" s="528" t="str">
        <f ca="1">IF(ROWS($1:38)&gt;COUNT(Dong6),"",OFFSET(TH!M$1,SMALL(Dong6,ROWS($1:38)),))</f>
        <v>131</v>
      </c>
      <c r="H48" s="456">
        <f ca="1">IF(ROWS($1:38)&gt;COUNT(Dong6),"",OFFSET(TH!K$1,SMALL(Dong6,ROWS($1:38)),))</f>
        <v>2877820</v>
      </c>
      <c r="I48" s="456">
        <f ca="1">IF(ROWS($1:38)&gt;COUNT(Dong6),"",OFFSET(TH!K$1,SMALL(Dong6,ROWS($1:38)),))</f>
        <v>2877820</v>
      </c>
    </row>
    <row r="49" spans="1:10" ht="21" customHeight="1">
      <c r="A49" s="525">
        <f ca="1">IF(ROWS($1:39)&gt;COUNT(Dong6),"",OFFSET(TH!C$1,SMALL(Dong6,ROWS($1:39)),))</f>
        <v>42569</v>
      </c>
      <c r="B49" s="526" t="str">
        <f ca="1">IF(ROWS($1:39)&gt;COUNT(Dong6),"",OFFSET(TH!D$1,SMALL(Dong6,ROWS($1:39)),))</f>
        <v>TP/X07</v>
      </c>
      <c r="C49" s="525">
        <f ca="1">IF(ROWS($1:39)&gt;COUNT(Dong6),"",OFFSET(TH!E$1,SMALL(Dong6,ROWS($1:39)),))</f>
        <v>42569</v>
      </c>
      <c r="D49" s="527" t="str">
        <f ca="1">IF(ROWS($1:39)&gt;COUNT(Dong6),"",OFFSET(TH!F$1,SMALL(Dong6,ROWS($1:39)),))</f>
        <v>Thùng carton (40x25x72)</v>
      </c>
      <c r="E49" s="526">
        <f t="shared" ca="1" si="1"/>
        <v>39</v>
      </c>
      <c r="F49" s="528" t="str">
        <f ca="1">IF(ROWS($1:39)&gt;COUNT(Dong6),"",OFFSET(TH!L$1,SMALL(Dong6,ROWS($1:39)),))</f>
        <v>131</v>
      </c>
      <c r="G49" s="528" t="str">
        <f ca="1">IF(ROWS($1:39)&gt;COUNT(Dong6),"",OFFSET(TH!M$1,SMALL(Dong6,ROWS($1:39)),))</f>
        <v>5112</v>
      </c>
      <c r="H49" s="456">
        <f ca="1">IF(ROWS($1:39)&gt;COUNT(Dong6),"",OFFSET(TH!K$1,SMALL(Dong6,ROWS($1:39)),))</f>
        <v>810000</v>
      </c>
      <c r="I49" s="456">
        <f ca="1">IF(ROWS($1:39)&gt;COUNT(Dong6),"",OFFSET(TH!K$1,SMALL(Dong6,ROWS($1:39)),))</f>
        <v>810000</v>
      </c>
    </row>
    <row r="50" spans="1:10" ht="21" customHeight="1">
      <c r="A50" s="525">
        <f ca="1">IF(ROWS($1:40)&gt;COUNT(Dong6),"",OFFSET(TH!C$1,SMALL(Dong6,ROWS($1:40)),))</f>
        <v>42569</v>
      </c>
      <c r="B50" s="526" t="str">
        <f ca="1">IF(ROWS($1:40)&gt;COUNT(Dong6),"",OFFSET(TH!D$1,SMALL(Dong6,ROWS($1:40)),))</f>
        <v>TP/X07</v>
      </c>
      <c r="C50" s="525">
        <f ca="1">IF(ROWS($1:40)&gt;COUNT(Dong6),"",OFFSET(TH!E$1,SMALL(Dong6,ROWS($1:40)),))</f>
        <v>42569</v>
      </c>
      <c r="D50" s="527" t="str">
        <f ca="1">IF(ROWS($1:40)&gt;COUNT(Dong6),"",OFFSET(TH!F$1,SMALL(Dong6,ROWS($1:40)),))</f>
        <v>VAT Thùng carton</v>
      </c>
      <c r="E50" s="526">
        <f t="shared" ca="1" si="1"/>
        <v>40</v>
      </c>
      <c r="F50" s="528" t="str">
        <f ca="1">IF(ROWS($1:40)&gt;COUNT(Dong6),"",OFFSET(TH!L$1,SMALL(Dong6,ROWS($1:40)),))</f>
        <v>131</v>
      </c>
      <c r="G50" s="528" t="str">
        <f ca="1">IF(ROWS($1:40)&gt;COUNT(Dong6),"",OFFSET(TH!M$1,SMALL(Dong6,ROWS($1:40)),))</f>
        <v>3331</v>
      </c>
      <c r="H50" s="456">
        <f ca="1">IF(ROWS($1:40)&gt;COUNT(Dong6),"",OFFSET(TH!K$1,SMALL(Dong6,ROWS($1:40)),))</f>
        <v>81000</v>
      </c>
      <c r="I50" s="456">
        <f ca="1">IF(ROWS($1:40)&gt;COUNT(Dong6),"",OFFSET(TH!K$1,SMALL(Dong6,ROWS($1:40)),))</f>
        <v>81000</v>
      </c>
    </row>
    <row r="51" spans="1:10" ht="21" customHeight="1">
      <c r="A51" s="525"/>
      <c r="B51" s="526"/>
      <c r="C51" s="525"/>
      <c r="D51" s="527"/>
      <c r="E51" s="526"/>
      <c r="F51" s="528"/>
      <c r="G51" s="528"/>
      <c r="H51" s="456"/>
      <c r="I51" s="456"/>
    </row>
    <row r="52" spans="1:10" ht="21" customHeight="1">
      <c r="A52" s="529"/>
      <c r="B52" s="529"/>
      <c r="C52" s="529"/>
      <c r="D52" s="530" t="s">
        <v>339</v>
      </c>
      <c r="E52" s="531" t="s">
        <v>19</v>
      </c>
      <c r="F52" s="531"/>
      <c r="G52" s="531" t="s">
        <v>19</v>
      </c>
      <c r="H52" s="532">
        <f ca="1">SUBTOTAL(9,$H$10:$H$51)</f>
        <v>3849188448</v>
      </c>
      <c r="I52" s="532">
        <f ca="1">SUBTOTAL(9,I10:I51)</f>
        <v>3849188448</v>
      </c>
    </row>
    <row r="53" spans="1:10">
      <c r="A53" s="533" t="s">
        <v>364</v>
      </c>
    </row>
    <row r="54" spans="1:10">
      <c r="A54" s="533" t="str">
        <f ca="1">"- Ngày mở sổ: "&amp;DAY($A$11)&amp;"/"&amp;MONTH($A$11)&amp;"/ " &amp;YEAR($A$11)</f>
        <v>- Ngày mở sổ: 1/7/ 2016</v>
      </c>
    </row>
    <row r="55" spans="1:10">
      <c r="H55" s="99" t="str">
        <f ca="1">"Ngày "&amp;IF(OR($L$11=4,$L$11=6,$L$11=9,$L$11=11),"30",IF($L$11=2,"28","31"))&amp;" tháng "&amp;$N$8&amp;"  năm  "&amp;YEAR($A$14)</f>
        <v>Ngày 31 tháng 9  năm  2016</v>
      </c>
      <c r="I55" s="534"/>
      <c r="J55" s="534"/>
    </row>
    <row r="56" spans="1:10">
      <c r="B56" s="534" t="s">
        <v>336</v>
      </c>
      <c r="D56" s="534" t="s">
        <v>12</v>
      </c>
      <c r="H56" s="534" t="s">
        <v>337</v>
      </c>
      <c r="I56" s="534"/>
      <c r="J56" s="534"/>
    </row>
    <row r="57" spans="1:10">
      <c r="B57" s="534" t="s">
        <v>13</v>
      </c>
      <c r="D57" s="534" t="s">
        <v>13</v>
      </c>
      <c r="H57" s="534" t="s">
        <v>132</v>
      </c>
      <c r="I57" s="534"/>
      <c r="J57" s="534"/>
    </row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9"/>
  <sheetViews>
    <sheetView topLeftCell="A7" zoomScale="90" zoomScaleNormal="90" workbookViewId="0">
      <pane ySplit="8" topLeftCell="A15" activePane="bottomLeft" state="frozen"/>
      <selection activeCell="A7" sqref="A7"/>
      <selection pane="bottomLeft" activeCell="D63" sqref="D63"/>
    </sheetView>
  </sheetViews>
  <sheetFormatPr defaultRowHeight="15"/>
  <cols>
    <col min="1" max="1" width="8.7109375" style="659" customWidth="1"/>
    <col min="2" max="2" width="6.85546875" style="659" customWidth="1"/>
    <col min="3" max="3" width="8.7109375" style="659" customWidth="1"/>
    <col min="4" max="4" width="34.5703125" style="3" customWidth="1"/>
    <col min="5" max="5" width="6.28515625" style="659" customWidth="1"/>
    <col min="6" max="6" width="14.140625" style="3" customWidth="1"/>
    <col min="7" max="7" width="13.7109375" style="3" customWidth="1"/>
    <col min="8" max="8" width="14" style="3" customWidth="1"/>
    <col min="9" max="9" width="13.7109375" style="3" customWidth="1"/>
    <col min="10" max="16384" width="9.140625" style="3"/>
  </cols>
  <sheetData>
    <row r="2" spans="1:9" s="702" customFormat="1" ht="15.75" customHeight="1">
      <c r="A2" s="700" t="str">
        <f>TH!A1</f>
        <v>Đơn vị: CÔNG TY TNHH BAO BÌ GIẤY KIM DUNG PHÁT</v>
      </c>
      <c r="B2" s="701"/>
      <c r="C2" s="701"/>
      <c r="E2" s="701"/>
      <c r="G2" s="859" t="s">
        <v>141</v>
      </c>
      <c r="H2" s="859"/>
      <c r="I2" s="859"/>
    </row>
    <row r="3" spans="1:9" ht="15.75" customHeight="1">
      <c r="A3" s="1" t="str">
        <f>TH!A2</f>
        <v>Địa chỉ: Ấp Rừng Sến, xã Mỹ Hạnh Bắc, Huyện Đức Hòa, Tỉnh Long An, Việt Nam</v>
      </c>
      <c r="G3" s="860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860"/>
      <c r="I3" s="860"/>
    </row>
    <row r="4" spans="1:9">
      <c r="F4" s="6"/>
      <c r="G4" s="860"/>
      <c r="H4" s="860"/>
      <c r="I4" s="860"/>
    </row>
    <row r="5" spans="1:9" ht="31.5" customHeight="1">
      <c r="A5" s="861" t="s">
        <v>142</v>
      </c>
      <c r="B5" s="861"/>
      <c r="C5" s="861"/>
      <c r="D5" s="861"/>
      <c r="E5" s="861"/>
      <c r="F5" s="861"/>
      <c r="G5" s="861"/>
      <c r="H5" s="861"/>
      <c r="I5" s="861"/>
    </row>
    <row r="6" spans="1:9">
      <c r="A6" s="862" t="s">
        <v>143</v>
      </c>
      <c r="B6" s="863"/>
      <c r="C6" s="863"/>
      <c r="D6" s="863"/>
      <c r="E6" s="863"/>
      <c r="F6" s="863"/>
      <c r="G6" s="863"/>
      <c r="H6" s="863"/>
      <c r="I6" s="863"/>
    </row>
    <row r="7" spans="1:9">
      <c r="B7" s="3"/>
      <c r="C7" s="3"/>
      <c r="D7" s="109" t="s">
        <v>144</v>
      </c>
      <c r="E7" s="110" t="s">
        <v>82</v>
      </c>
    </row>
    <row r="8" spans="1:9">
      <c r="B8" s="3"/>
      <c r="C8" s="3"/>
      <c r="D8" s="109" t="s">
        <v>145</v>
      </c>
      <c r="E8" s="3" t="str">
        <f>VLOOKUP($E$7,DSTK,2,0)</f>
        <v xml:space="preserve"> Chi phí quản lý doanh nghiệp </v>
      </c>
    </row>
    <row r="9" spans="1:9">
      <c r="A9" s="863" t="s">
        <v>29</v>
      </c>
      <c r="B9" s="864"/>
      <c r="C9" s="864"/>
      <c r="D9" s="864"/>
      <c r="E9" s="864"/>
      <c r="F9" s="864"/>
      <c r="G9" s="864"/>
      <c r="H9" s="864"/>
      <c r="I9" s="864"/>
    </row>
    <row r="10" spans="1:9" ht="9.75" customHeight="1">
      <c r="C10" s="865"/>
      <c r="D10" s="866"/>
      <c r="E10" s="866"/>
      <c r="F10" s="866"/>
      <c r="G10" s="866"/>
      <c r="H10" s="866"/>
      <c r="I10" s="866"/>
    </row>
    <row r="11" spans="1:9" ht="19.5" customHeight="1">
      <c r="A11" s="867" t="s">
        <v>20</v>
      </c>
      <c r="B11" s="857" t="s">
        <v>1</v>
      </c>
      <c r="C11" s="868"/>
      <c r="D11" s="867" t="s">
        <v>0</v>
      </c>
      <c r="E11" s="867" t="s">
        <v>14</v>
      </c>
      <c r="F11" s="857" t="s">
        <v>21</v>
      </c>
      <c r="G11" s="868"/>
      <c r="H11" s="857" t="s">
        <v>30</v>
      </c>
      <c r="I11" s="858"/>
    </row>
    <row r="12" spans="1:9" ht="32.25" customHeight="1">
      <c r="A12" s="867"/>
      <c r="B12" s="680" t="s">
        <v>15</v>
      </c>
      <c r="C12" s="680" t="s">
        <v>31</v>
      </c>
      <c r="D12" s="867"/>
      <c r="E12" s="867"/>
      <c r="F12" s="680" t="s">
        <v>22</v>
      </c>
      <c r="G12" s="680" t="s">
        <v>23</v>
      </c>
      <c r="H12" s="680" t="s">
        <v>22</v>
      </c>
      <c r="I12" s="680" t="s">
        <v>23</v>
      </c>
    </row>
    <row r="13" spans="1:9" s="659" customFormat="1" ht="11.25" customHeight="1">
      <c r="A13" s="681" t="s">
        <v>2</v>
      </c>
      <c r="B13" s="682" t="s">
        <v>3</v>
      </c>
      <c r="C13" s="681" t="s">
        <v>4</v>
      </c>
      <c r="D13" s="681" t="s">
        <v>5</v>
      </c>
      <c r="E13" s="681" t="s">
        <v>6</v>
      </c>
      <c r="F13" s="681">
        <v>1</v>
      </c>
      <c r="G13" s="681">
        <v>2</v>
      </c>
      <c r="H13" s="681">
        <v>3</v>
      </c>
      <c r="I13" s="681">
        <v>4</v>
      </c>
    </row>
    <row r="14" spans="1:9" ht="18" customHeight="1">
      <c r="A14" s="683"/>
      <c r="B14" s="684"/>
      <c r="C14" s="683"/>
      <c r="D14" s="685" t="s">
        <v>7</v>
      </c>
      <c r="E14" s="684"/>
      <c r="F14" s="686"/>
      <c r="G14" s="686"/>
      <c r="H14" s="686">
        <f>VLOOKUP($E$7,DSTK,3,0)</f>
        <v>0</v>
      </c>
      <c r="I14" s="686">
        <f>VLOOKUP($E$7,DSTK,4,0)</f>
        <v>0</v>
      </c>
    </row>
    <row r="15" spans="1:9" ht="18" customHeight="1">
      <c r="A15" s="687">
        <f ca="1">IF(ROWS($1:1)&gt;COUNT(Dong5),"",OFFSET(TH!C$1,SMALL(Dong5,ROWS($1:1)),))</f>
        <v>42735</v>
      </c>
      <c r="B15" s="687" t="str">
        <f ca="1">IF(ROWS($1:1)&gt;COUNT(Dong5),"",OFFSET(TH!D$1,SMALL(Dong5,ROWS($1:1)),))</f>
        <v>BTKC</v>
      </c>
      <c r="C15" s="687">
        <f ca="1">IF(ROWS($1:1)&gt;COUNT(Dong5),"",OFFSET(TH!E$1,SMALL(Dong5,ROWS($1:1)),))</f>
        <v>42735</v>
      </c>
      <c r="D15" s="688" t="str">
        <f ca="1">IF(ROWS($1:1)&gt;COUNT(Dong5),"",OFFSET(TH!F$1,SMALL(Dong5,ROWS($1:1)),))</f>
        <v>K/C chi phí quản lý doanh nghiệp</v>
      </c>
      <c r="E15" s="687" t="str">
        <f ca="1">IF(ROWS($1:1)&gt;COUNT(Dong5),"",IF(OFFSET(TH!L$1,SMALL(Dong5,ROWS($1:1)),)=$E$7,OFFSET(TH!M$1,SMALL(Dong5,ROWS($1:1)),),OFFSET(TH!L$1,SMALL(Dong5,ROWS($1:1)),)))</f>
        <v>911</v>
      </c>
      <c r="F15" s="689">
        <f ca="1">IF(ROWS($1:1)&gt;COUNT(Dong5),0,IF(OFFSET(TH!L$1,SMALL(Dong5,ROWS($1:1)),)=$E$7,OFFSET(TH!K$1,SMALL(Dong5,ROWS($1:1)),),0))</f>
        <v>0</v>
      </c>
      <c r="G15" s="686">
        <f ca="1">IF(ROWS($1:1)&gt;COUNT(Dong5),0,IF(OFFSET(TH!M$1,SMALL(Dong5,ROWS($1:1)),)=$E$7,OFFSET(TH!K$1,SMALL(Dong5,ROWS($1:1)),),0))</f>
        <v>290737980</v>
      </c>
      <c r="H15" s="690">
        <f ca="1">IF(D15&lt;&gt;"",MAX(H14+F15-G15-I14,0),0)</f>
        <v>0</v>
      </c>
      <c r="I15" s="690">
        <f ca="1">IF(D15&lt;&gt;"",MAX(I14+G15-H14-F15,0),0)</f>
        <v>290737980</v>
      </c>
    </row>
    <row r="16" spans="1:9" ht="18" customHeight="1">
      <c r="A16" s="687">
        <f ca="1">IF(ROWS($1:2)&gt;COUNT(Dong5),"",OFFSET(TH!C$1,SMALL(Dong5,ROWS($1:2)),))</f>
        <v>42516</v>
      </c>
      <c r="B16" s="687" t="str">
        <f ca="1">IF(ROWS($1:2)&gt;COUNT(Dong5),"",OFFSET(TH!D$1,SMALL(Dong5,ROWS($1:2)),))</f>
        <v>C02</v>
      </c>
      <c r="C16" s="687">
        <f ca="1">IF(ROWS($1:2)&gt;COUNT(Dong5),"",OFFSET(TH!E$1,SMALL(Dong5,ROWS($1:2)),))</f>
        <v>42508</v>
      </c>
      <c r="D16" s="688" t="str">
        <f ca="1">IF(ROWS($1:2)&gt;COUNT(Dong5),"",OFFSET(TH!F$1,SMALL(Dong5,ROWS($1:2)),))</f>
        <v>Chữ ký số</v>
      </c>
      <c r="E16" s="687" t="str">
        <f ca="1">IF(ROWS($1:2)&gt;COUNT(Dong5),"",IF(OFFSET(TH!L$1,SMALL(Dong5,ROWS($1:2)),)=$E$7,OFFSET(TH!M$1,SMALL(Dong5,ROWS($1:2)),),OFFSET(TH!L$1,SMALL(Dong5,ROWS($1:2)),)))</f>
        <v>1111</v>
      </c>
      <c r="F16" s="689">
        <f ca="1">IF(ROWS($1:2)&gt;COUNT(Dong5),0,IF(OFFSET(TH!L$1,SMALL(Dong5,ROWS($1:2)),)=$E$7,OFFSET(TH!K$1,SMALL(Dong5,ROWS($1:2)),),0))</f>
        <v>2160000</v>
      </c>
      <c r="G16" s="686">
        <f ca="1">IF(ROWS($1:2)&gt;COUNT(Dong5),0,IF(OFFSET(TH!M$1,SMALL(Dong5,ROWS($1:2)),)=$E$7,OFFSET(TH!K$1,SMALL(Dong5,ROWS($1:2)),),0))</f>
        <v>0</v>
      </c>
      <c r="H16" s="690">
        <f t="shared" ref="H16:H20" ca="1" si="0">IF(D16&lt;&gt;"",MAX(H15+F16-G16-I15,0),0)</f>
        <v>0</v>
      </c>
      <c r="I16" s="690">
        <f t="shared" ref="I16:I20" ca="1" si="1">IF(D16&lt;&gt;"",MAX(I15+G16-H15-F16,0),0)</f>
        <v>288577980</v>
      </c>
    </row>
    <row r="17" spans="1:9" ht="18" customHeight="1">
      <c r="A17" s="687">
        <f ca="1">IF(ROWS($1:3)&gt;COUNT(Dong5),"",OFFSET(TH!C$1,SMALL(Dong5,ROWS($1:3)),))</f>
        <v>42516</v>
      </c>
      <c r="B17" s="687" t="str">
        <f ca="1">IF(ROWS($1:3)&gt;COUNT(Dong5),"",OFFSET(TH!D$1,SMALL(Dong5,ROWS($1:3)),))</f>
        <v>GBN</v>
      </c>
      <c r="C17" s="687">
        <f ca="1">IF(ROWS($1:3)&gt;COUNT(Dong5),"",OFFSET(TH!E$1,SMALL(Dong5,ROWS($1:3)),))</f>
        <v>42516</v>
      </c>
      <c r="D17" s="688" t="str">
        <f ca="1">IF(ROWS($1:3)&gt;COUNT(Dong5),"",OFFSET(TH!F$1,SMALL(Dong5,ROWS($1:3)),))</f>
        <v>Phí bán 2 cuốn sec</v>
      </c>
      <c r="E17" s="687" t="str">
        <f ca="1">IF(ROWS($1:3)&gt;COUNT(Dong5),"",IF(OFFSET(TH!L$1,SMALL(Dong5,ROWS($1:3)),)=$E$7,OFFSET(TH!M$1,SMALL(Dong5,ROWS($1:3)),),OFFSET(TH!L$1,SMALL(Dong5,ROWS($1:3)),)))</f>
        <v>1121</v>
      </c>
      <c r="F17" s="689">
        <f ca="1">IF(ROWS($1:3)&gt;COUNT(Dong5),0,IF(OFFSET(TH!L$1,SMALL(Dong5,ROWS($1:3)),)=$E$7,OFFSET(TH!K$1,SMALL(Dong5,ROWS($1:3)),),0))</f>
        <v>20000</v>
      </c>
      <c r="G17" s="686">
        <f ca="1">IF(ROWS($1:3)&gt;COUNT(Dong5),0,IF(OFFSET(TH!M$1,SMALL(Dong5,ROWS($1:3)),)=$E$7,OFFSET(TH!K$1,SMALL(Dong5,ROWS($1:3)),),0))</f>
        <v>0</v>
      </c>
      <c r="H17" s="690">
        <f t="shared" ca="1" si="0"/>
        <v>0</v>
      </c>
      <c r="I17" s="690">
        <f t="shared" ca="1" si="1"/>
        <v>288557980</v>
      </c>
    </row>
    <row r="18" spans="1:9" ht="18" customHeight="1">
      <c r="A18" s="687">
        <f ca="1">IF(ROWS($1:4)&gt;COUNT(Dong5),"",OFFSET(TH!C$1,SMALL(Dong5,ROWS($1:4)),))</f>
        <v>42516</v>
      </c>
      <c r="B18" s="687" t="str">
        <f ca="1">IF(ROWS($1:4)&gt;COUNT(Dong5),"",OFFSET(TH!D$1,SMALL(Dong5,ROWS($1:4)),))</f>
        <v>CTGS</v>
      </c>
      <c r="C18" s="687">
        <f ca="1">IF(ROWS($1:4)&gt;COUNT(Dong5),"",OFFSET(TH!E$1,SMALL(Dong5,ROWS($1:4)),))</f>
        <v>42508</v>
      </c>
      <c r="D18" s="688" t="str">
        <f ca="1">IF(ROWS($1:4)&gt;COUNT(Dong5),"",OFFSET(TH!F$1,SMALL(Dong5,ROWS($1:4)),))</f>
        <v>Thuế môn bài phải nộp</v>
      </c>
      <c r="E18" s="687" t="str">
        <f ca="1">IF(ROWS($1:4)&gt;COUNT(Dong5),"",IF(OFFSET(TH!L$1,SMALL(Dong5,ROWS($1:4)),)=$E$7,OFFSET(TH!M$1,SMALL(Dong5,ROWS($1:4)),),OFFSET(TH!L$1,SMALL(Dong5,ROWS($1:4)),)))</f>
        <v>33382</v>
      </c>
      <c r="F18" s="689">
        <f ca="1">IF(ROWS($1:4)&gt;COUNT(Dong5),0,IF(OFFSET(TH!L$1,SMALL(Dong5,ROWS($1:4)),)=$E$7,OFFSET(TH!K$1,SMALL(Dong5,ROWS($1:4)),),0))</f>
        <v>1000000</v>
      </c>
      <c r="G18" s="686">
        <f ca="1">IF(ROWS($1:4)&gt;COUNT(Dong5),0,IF(OFFSET(TH!M$1,SMALL(Dong5,ROWS($1:4)),)=$E$7,OFFSET(TH!K$1,SMALL(Dong5,ROWS($1:4)),),0))</f>
        <v>0</v>
      </c>
      <c r="H18" s="690">
        <f t="shared" ca="1" si="0"/>
        <v>0</v>
      </c>
      <c r="I18" s="690">
        <f t="shared" ca="1" si="1"/>
        <v>287557980</v>
      </c>
    </row>
    <row r="19" spans="1:9" ht="18" customHeight="1">
      <c r="A19" s="687">
        <f ca="1">IF(ROWS($1:5)&gt;COUNT(Dong5),"",OFFSET(TH!C$1,SMALL(Dong5,ROWS($1:5)),))</f>
        <v>42532</v>
      </c>
      <c r="B19" s="687" t="str">
        <f ca="1">IF(ROWS($1:5)&gt;COUNT(Dong5),"",OFFSET(TH!D$1,SMALL(Dong5,ROWS($1:5)),))</f>
        <v>C03</v>
      </c>
      <c r="C19" s="687">
        <f ca="1">IF(ROWS($1:5)&gt;COUNT(Dong5),"",OFFSET(TH!E$1,SMALL(Dong5,ROWS($1:5)),))</f>
        <v>42532</v>
      </c>
      <c r="D19" s="688" t="str">
        <f ca="1">IF(ROWS($1:5)&gt;COUNT(Dong5),"",OFFSET(TH!F$1,SMALL(Dong5,ROWS($1:5)),))</f>
        <v>Đặt in hóa đơn</v>
      </c>
      <c r="E19" s="687" t="str">
        <f ca="1">IF(ROWS($1:5)&gt;COUNT(Dong5),"",IF(OFFSET(TH!L$1,SMALL(Dong5,ROWS($1:5)),)=$E$7,OFFSET(TH!M$1,SMALL(Dong5,ROWS($1:5)),),OFFSET(TH!L$1,SMALL(Dong5,ROWS($1:5)),)))</f>
        <v>1111</v>
      </c>
      <c r="F19" s="689">
        <f ca="1">IF(ROWS($1:5)&gt;COUNT(Dong5),0,IF(OFFSET(TH!L$1,SMALL(Dong5,ROWS($1:5)),)=$E$7,OFFSET(TH!K$1,SMALL(Dong5,ROWS($1:5)),),0))</f>
        <v>3800000</v>
      </c>
      <c r="G19" s="686">
        <f ca="1">IF(ROWS($1:5)&gt;COUNT(Dong5),0,IF(OFFSET(TH!M$1,SMALL(Dong5,ROWS($1:5)),)=$E$7,OFFSET(TH!K$1,SMALL(Dong5,ROWS($1:5)),),0))</f>
        <v>0</v>
      </c>
      <c r="H19" s="690">
        <f t="shared" ca="1" si="0"/>
        <v>0</v>
      </c>
      <c r="I19" s="690">
        <f t="shared" ca="1" si="1"/>
        <v>283757980</v>
      </c>
    </row>
    <row r="20" spans="1:9" ht="18" customHeight="1">
      <c r="A20" s="687">
        <f ca="1">IF(ROWS($1:6)&gt;COUNT(Dong5),"",OFFSET(TH!C$1,SMALL(Dong5,ROWS($1:6)),))</f>
        <v>42546</v>
      </c>
      <c r="B20" s="687" t="str">
        <f ca="1">IF(ROWS($1:6)&gt;COUNT(Dong5),"",OFFSET(TH!D$1,SMALL(Dong5,ROWS($1:6)),))</f>
        <v>GBN</v>
      </c>
      <c r="C20" s="687">
        <f ca="1">IF(ROWS($1:6)&gt;COUNT(Dong5),"",OFFSET(TH!E$1,SMALL(Dong5,ROWS($1:6)),))</f>
        <v>42546</v>
      </c>
      <c r="D20" s="688" t="str">
        <f ca="1">IF(ROWS($1:6)&gt;COUNT(Dong5),"",OFFSET(TH!F$1,SMALL(Dong5,ROWS($1:6)),))</f>
        <v>Phí quản lý tài khoản</v>
      </c>
      <c r="E20" s="687" t="str">
        <f ca="1">IF(ROWS($1:6)&gt;COUNT(Dong5),"",IF(OFFSET(TH!L$1,SMALL(Dong5,ROWS($1:6)),)=$E$7,OFFSET(TH!M$1,SMALL(Dong5,ROWS($1:6)),),OFFSET(TH!L$1,SMALL(Dong5,ROWS($1:6)),)))</f>
        <v>1121</v>
      </c>
      <c r="F20" s="689">
        <f ca="1">IF(ROWS($1:6)&gt;COUNT(Dong5),0,IF(OFFSET(TH!L$1,SMALL(Dong5,ROWS($1:6)),)=$E$7,OFFSET(TH!K$1,SMALL(Dong5,ROWS($1:6)),),0))</f>
        <v>10000</v>
      </c>
      <c r="G20" s="686">
        <f ca="1">IF(ROWS($1:6)&gt;COUNT(Dong5),0,IF(OFFSET(TH!M$1,SMALL(Dong5,ROWS($1:6)),)=$E$7,OFFSET(TH!K$1,SMALL(Dong5,ROWS($1:6)),),0))</f>
        <v>0</v>
      </c>
      <c r="H20" s="690">
        <f t="shared" ca="1" si="0"/>
        <v>0</v>
      </c>
      <c r="I20" s="690">
        <f t="shared" ca="1" si="1"/>
        <v>283747980</v>
      </c>
    </row>
    <row r="21" spans="1:9" ht="18" customHeight="1">
      <c r="A21" s="687">
        <f ca="1">IF(ROWS($1:7)&gt;COUNT(Dong5),"",OFFSET(TH!C$1,SMALL(Dong5,ROWS($1:7)),))</f>
        <v>42559</v>
      </c>
      <c r="B21" s="687" t="str">
        <f ca="1">IF(ROWS($1:7)&gt;COUNT(Dong5),"",OFFSET(TH!D$1,SMALL(Dong5,ROWS($1:7)),))</f>
        <v>GBN</v>
      </c>
      <c r="C21" s="687">
        <f ca="1">IF(ROWS($1:7)&gt;COUNT(Dong5),"",OFFSET(TH!E$1,SMALL(Dong5,ROWS($1:7)),))</f>
        <v>42559</v>
      </c>
      <c r="D21" s="688" t="str">
        <f ca="1">IF(ROWS($1:7)&gt;COUNT(Dong5),"",OFFSET(TH!F$1,SMALL(Dong5,ROWS($1:7)),))</f>
        <v>Phí chuyển tiền</v>
      </c>
      <c r="E21" s="687" t="str">
        <f ca="1">IF(ROWS($1:7)&gt;COUNT(Dong5),"",IF(OFFSET(TH!L$1,SMALL(Dong5,ROWS($1:7)),)=$E$7,OFFSET(TH!M$1,SMALL(Dong5,ROWS($1:7)),),OFFSET(TH!L$1,SMALL(Dong5,ROWS($1:7)),)))</f>
        <v>1121</v>
      </c>
      <c r="F21" s="689">
        <f ca="1">IF(ROWS($1:7)&gt;COUNT(Dong5),0,IF(OFFSET(TH!L$1,SMALL(Dong5,ROWS($1:7)),)=$E$7,OFFSET(TH!K$1,SMALL(Dong5,ROWS($1:7)),),0))</f>
        <v>20000</v>
      </c>
      <c r="G21" s="686">
        <f ca="1">IF(ROWS($1:7)&gt;COUNT(Dong5),0,IF(OFFSET(TH!M$1,SMALL(Dong5,ROWS($1:7)),)=$E$7,OFFSET(TH!K$1,SMALL(Dong5,ROWS($1:7)),),0))</f>
        <v>0</v>
      </c>
      <c r="H21" s="690">
        <f t="shared" ref="H21:H29" ca="1" si="2">IF(D21&lt;&gt;"",MAX(H20+F21-G21-I20,0),0)</f>
        <v>0</v>
      </c>
      <c r="I21" s="690">
        <f t="shared" ref="I21:I29" ca="1" si="3">IF(D21&lt;&gt;"",MAX(I20+G21-H20-F21,0),0)</f>
        <v>283727980</v>
      </c>
    </row>
    <row r="22" spans="1:9" ht="18" customHeight="1">
      <c r="A22" s="687">
        <f ca="1">IF(ROWS($1:8)&gt;COUNT(Dong5),"",OFFSET(TH!C$1,SMALL(Dong5,ROWS($1:8)),))</f>
        <v>42559</v>
      </c>
      <c r="B22" s="687" t="str">
        <f ca="1">IF(ROWS($1:8)&gt;COUNT(Dong5),"",OFFSET(TH!D$1,SMALL(Dong5,ROWS($1:8)),))</f>
        <v>GBN</v>
      </c>
      <c r="C22" s="687">
        <f ca="1">IF(ROWS($1:8)&gt;COUNT(Dong5),"",OFFSET(TH!E$1,SMALL(Dong5,ROWS($1:8)),))</f>
        <v>42559</v>
      </c>
      <c r="D22" s="688" t="str">
        <f ca="1">IF(ROWS($1:8)&gt;COUNT(Dong5),"",OFFSET(TH!F$1,SMALL(Dong5,ROWS($1:8)),))</f>
        <v>Phí chuyển tiền trong ngày</v>
      </c>
      <c r="E22" s="687" t="str">
        <f ca="1">IF(ROWS($1:8)&gt;COUNT(Dong5),"",IF(OFFSET(TH!L$1,SMALL(Dong5,ROWS($1:8)),)=$E$7,OFFSET(TH!M$1,SMALL(Dong5,ROWS($1:8)),),OFFSET(TH!L$1,SMALL(Dong5,ROWS($1:8)),)))</f>
        <v>1121</v>
      </c>
      <c r="F22" s="689">
        <f ca="1">IF(ROWS($1:8)&gt;COUNT(Dong5),0,IF(OFFSET(TH!L$1,SMALL(Dong5,ROWS($1:8)),)=$E$7,OFFSET(TH!K$1,SMALL(Dong5,ROWS($1:8)),),0))</f>
        <v>20000</v>
      </c>
      <c r="G22" s="686">
        <f ca="1">IF(ROWS($1:8)&gt;COUNT(Dong5),0,IF(OFFSET(TH!M$1,SMALL(Dong5,ROWS($1:8)),)=$E$7,OFFSET(TH!K$1,SMALL(Dong5,ROWS($1:8)),),0))</f>
        <v>0</v>
      </c>
      <c r="H22" s="690">
        <f t="shared" ca="1" si="2"/>
        <v>0</v>
      </c>
      <c r="I22" s="690">
        <f t="shared" ca="1" si="3"/>
        <v>283707980</v>
      </c>
    </row>
    <row r="23" spans="1:9" ht="18" customHeight="1">
      <c r="A23" s="687">
        <f ca="1">IF(ROWS($1:9)&gt;COUNT(Dong5),"",OFFSET(TH!C$1,SMALL(Dong5,ROWS($1:9)),))</f>
        <v>42576</v>
      </c>
      <c r="B23" s="687" t="str">
        <f ca="1">IF(ROWS($1:9)&gt;COUNT(Dong5),"",OFFSET(TH!D$1,SMALL(Dong5,ROWS($1:9)),))</f>
        <v>GBN</v>
      </c>
      <c r="C23" s="687">
        <f ca="1">IF(ROWS($1:9)&gt;COUNT(Dong5),"",OFFSET(TH!E$1,SMALL(Dong5,ROWS($1:9)),))</f>
        <v>42576</v>
      </c>
      <c r="D23" s="688" t="str">
        <f ca="1">IF(ROWS($1:9)&gt;COUNT(Dong5),"",OFFSET(TH!F$1,SMALL(Dong5,ROWS($1:9)),))</f>
        <v>Phí quản lý tài khoản</v>
      </c>
      <c r="E23" s="687" t="str">
        <f ca="1">IF(ROWS($1:9)&gt;COUNT(Dong5),"",IF(OFFSET(TH!L$1,SMALL(Dong5,ROWS($1:9)),)=$E$7,OFFSET(TH!M$1,SMALL(Dong5,ROWS($1:9)),),OFFSET(TH!L$1,SMALL(Dong5,ROWS($1:9)),)))</f>
        <v>1121</v>
      </c>
      <c r="F23" s="689">
        <f ca="1">IF(ROWS($1:9)&gt;COUNT(Dong5),0,IF(OFFSET(TH!L$1,SMALL(Dong5,ROWS($1:9)),)=$E$7,OFFSET(TH!K$1,SMALL(Dong5,ROWS($1:9)),),0))</f>
        <v>10000</v>
      </c>
      <c r="G23" s="686">
        <f ca="1">IF(ROWS($1:9)&gt;COUNT(Dong5),0,IF(OFFSET(TH!M$1,SMALL(Dong5,ROWS($1:9)),)=$E$7,OFFSET(TH!K$1,SMALL(Dong5,ROWS($1:9)),),0))</f>
        <v>0</v>
      </c>
      <c r="H23" s="690">
        <f t="shared" ca="1" si="2"/>
        <v>0</v>
      </c>
      <c r="I23" s="690">
        <f t="shared" ca="1" si="3"/>
        <v>283697980</v>
      </c>
    </row>
    <row r="24" spans="1:9" ht="18" customHeight="1">
      <c r="A24" s="687">
        <f ca="1">IF(ROWS($1:10)&gt;COUNT(Dong5),"",OFFSET(TH!C$1,SMALL(Dong5,ROWS($1:10)),))</f>
        <v>42582</v>
      </c>
      <c r="B24" s="687" t="str">
        <f ca="1">IF(ROWS($1:10)&gt;COUNT(Dong5),"",OFFSET(TH!D$1,SMALL(Dong5,ROWS($1:10)),))</f>
        <v>CTGS</v>
      </c>
      <c r="C24" s="687">
        <f ca="1">IF(ROWS($1:10)&gt;COUNT(Dong5),"",OFFSET(TH!E$1,SMALL(Dong5,ROWS($1:10)),))</f>
        <v>42582</v>
      </c>
      <c r="D24" s="688" t="str">
        <f ca="1">IF(ROWS($1:10)&gt;COUNT(Dong5),"",OFFSET(TH!F$1,SMALL(Dong5,ROWS($1:10)),))</f>
        <v>Tiền lương BP Văn phòng</v>
      </c>
      <c r="E24" s="687" t="str">
        <f ca="1">IF(ROWS($1:10)&gt;COUNT(Dong5),"",IF(OFFSET(TH!L$1,SMALL(Dong5,ROWS($1:10)),)=$E$7,OFFSET(TH!M$1,SMALL(Dong5,ROWS($1:10)),),OFFSET(TH!L$1,SMALL(Dong5,ROWS($1:10)),)))</f>
        <v>3341</v>
      </c>
      <c r="F24" s="689">
        <f ca="1">IF(ROWS($1:10)&gt;COUNT(Dong5),0,IF(OFFSET(TH!L$1,SMALL(Dong5,ROWS($1:10)),)=$E$7,OFFSET(TH!K$1,SMALL(Dong5,ROWS($1:10)),),0))</f>
        <v>4390000</v>
      </c>
      <c r="G24" s="686">
        <f ca="1">IF(ROWS($1:10)&gt;COUNT(Dong5),0,IF(OFFSET(TH!M$1,SMALL(Dong5,ROWS($1:10)),)=$E$7,OFFSET(TH!K$1,SMALL(Dong5,ROWS($1:10)),),0))</f>
        <v>0</v>
      </c>
      <c r="H24" s="690">
        <f t="shared" ca="1" si="2"/>
        <v>0</v>
      </c>
      <c r="I24" s="690">
        <f t="shared" ca="1" si="3"/>
        <v>279307980</v>
      </c>
    </row>
    <row r="25" spans="1:9" ht="18" customHeight="1">
      <c r="A25" s="687">
        <f ca="1">IF(ROWS($1:11)&gt;COUNT(Dong5),"",OFFSET(TH!C$1,SMALL(Dong5,ROWS($1:11)),))</f>
        <v>42590</v>
      </c>
      <c r="B25" s="687" t="str">
        <f ca="1">IF(ROWS($1:11)&gt;COUNT(Dong5),"",OFFSET(TH!D$1,SMALL(Dong5,ROWS($1:11)),))</f>
        <v>C07</v>
      </c>
      <c r="C25" s="687">
        <f ca="1">IF(ROWS($1:11)&gt;COUNT(Dong5),"",OFFSET(TH!E$1,SMALL(Dong5,ROWS($1:11)),))</f>
        <v>42590</v>
      </c>
      <c r="D25" s="688" t="str">
        <f ca="1">IF(ROWS($1:11)&gt;COUNT(Dong5),"",OFFSET(TH!F$1,SMALL(Dong5,ROWS($1:11)),))</f>
        <v>Khuông hộp</v>
      </c>
      <c r="E25" s="687" t="str">
        <f ca="1">IF(ROWS($1:11)&gt;COUNT(Dong5),"",IF(OFFSET(TH!L$1,SMALL(Dong5,ROWS($1:11)),)=$E$7,OFFSET(TH!M$1,SMALL(Dong5,ROWS($1:11)),),OFFSET(TH!L$1,SMALL(Dong5,ROWS($1:11)),)))</f>
        <v>1111</v>
      </c>
      <c r="F25" s="689">
        <f ca="1">IF(ROWS($1:11)&gt;COUNT(Dong5),0,IF(OFFSET(TH!L$1,SMALL(Dong5,ROWS($1:11)),)=$E$7,OFFSET(TH!K$1,SMALL(Dong5,ROWS($1:11)),),0))</f>
        <v>1400000</v>
      </c>
      <c r="G25" s="686">
        <f ca="1">IF(ROWS($1:11)&gt;COUNT(Dong5),0,IF(OFFSET(TH!M$1,SMALL(Dong5,ROWS($1:11)),)=$E$7,OFFSET(TH!K$1,SMALL(Dong5,ROWS($1:11)),),0))</f>
        <v>0</v>
      </c>
      <c r="H25" s="690">
        <f t="shared" ca="1" si="2"/>
        <v>0</v>
      </c>
      <c r="I25" s="690">
        <f t="shared" ca="1" si="3"/>
        <v>277907980</v>
      </c>
    </row>
    <row r="26" spans="1:9" ht="18" customHeight="1">
      <c r="A26" s="687">
        <f ca="1">IF(ROWS($1:12)&gt;COUNT(Dong5),"",OFFSET(TH!C$1,SMALL(Dong5,ROWS($1:12)),))</f>
        <v>42601</v>
      </c>
      <c r="B26" s="687" t="str">
        <f ca="1">IF(ROWS($1:12)&gt;COUNT(Dong5),"",OFFSET(TH!D$1,SMALL(Dong5,ROWS($1:12)),))</f>
        <v>GBN</v>
      </c>
      <c r="C26" s="687">
        <f ca="1">IF(ROWS($1:12)&gt;COUNT(Dong5),"",OFFSET(TH!E$1,SMALL(Dong5,ROWS($1:12)),))</f>
        <v>42601</v>
      </c>
      <c r="D26" s="688" t="str">
        <f ca="1">IF(ROWS($1:12)&gt;COUNT(Dong5),"",OFFSET(TH!F$1,SMALL(Dong5,ROWS($1:12)),))</f>
        <v>Phí chuyển tiền</v>
      </c>
      <c r="E26" s="687" t="str">
        <f ca="1">IF(ROWS($1:12)&gt;COUNT(Dong5),"",IF(OFFSET(TH!L$1,SMALL(Dong5,ROWS($1:12)),)=$E$7,OFFSET(TH!M$1,SMALL(Dong5,ROWS($1:12)),),OFFSET(TH!L$1,SMALL(Dong5,ROWS($1:12)),)))</f>
        <v>1121</v>
      </c>
      <c r="F26" s="689">
        <f ca="1">IF(ROWS($1:12)&gt;COUNT(Dong5),0,IF(OFFSET(TH!L$1,SMALL(Dong5,ROWS($1:12)),)=$E$7,OFFSET(TH!K$1,SMALL(Dong5,ROWS($1:12)),),0))</f>
        <v>10000</v>
      </c>
      <c r="G26" s="686">
        <f ca="1">IF(ROWS($1:12)&gt;COUNT(Dong5),0,IF(OFFSET(TH!M$1,SMALL(Dong5,ROWS($1:12)),)=$E$7,OFFSET(TH!K$1,SMALL(Dong5,ROWS($1:12)),),0))</f>
        <v>0</v>
      </c>
      <c r="H26" s="690">
        <f t="shared" ca="1" si="2"/>
        <v>0</v>
      </c>
      <c r="I26" s="690">
        <f t="shared" ca="1" si="3"/>
        <v>277897980</v>
      </c>
    </row>
    <row r="27" spans="1:9" ht="18" customHeight="1">
      <c r="A27" s="687">
        <f ca="1">IF(ROWS($1:13)&gt;COUNT(Dong5),"",OFFSET(TH!C$1,SMALL(Dong5,ROWS($1:13)),))</f>
        <v>42601</v>
      </c>
      <c r="B27" s="687" t="str">
        <f ca="1">IF(ROWS($1:13)&gt;COUNT(Dong5),"",OFFSET(TH!D$1,SMALL(Dong5,ROWS($1:13)),))</f>
        <v>GBN</v>
      </c>
      <c r="C27" s="687">
        <f ca="1">IF(ROWS($1:13)&gt;COUNT(Dong5),"",OFFSET(TH!E$1,SMALL(Dong5,ROWS($1:13)),))</f>
        <v>42601</v>
      </c>
      <c r="D27" s="688" t="str">
        <f ca="1">IF(ROWS($1:13)&gt;COUNT(Dong5),"",OFFSET(TH!F$1,SMALL(Dong5,ROWS($1:13)),))</f>
        <v>Phí chuyển tiền</v>
      </c>
      <c r="E27" s="687" t="str">
        <f ca="1">IF(ROWS($1:13)&gt;COUNT(Dong5),"",IF(OFFSET(TH!L$1,SMALL(Dong5,ROWS($1:13)),)=$E$7,OFFSET(TH!M$1,SMALL(Dong5,ROWS($1:13)),),OFFSET(TH!L$1,SMALL(Dong5,ROWS($1:13)),)))</f>
        <v>1121</v>
      </c>
      <c r="F27" s="689">
        <f ca="1">IF(ROWS($1:13)&gt;COUNT(Dong5),0,IF(OFFSET(TH!L$1,SMALL(Dong5,ROWS($1:13)),)=$E$7,OFFSET(TH!K$1,SMALL(Dong5,ROWS($1:13)),),0))</f>
        <v>20000</v>
      </c>
      <c r="G27" s="686">
        <f ca="1">IF(ROWS($1:13)&gt;COUNT(Dong5),0,IF(OFFSET(TH!M$1,SMALL(Dong5,ROWS($1:13)),)=$E$7,OFFSET(TH!K$1,SMALL(Dong5,ROWS($1:13)),),0))</f>
        <v>0</v>
      </c>
      <c r="H27" s="690">
        <f t="shared" ca="1" si="2"/>
        <v>0</v>
      </c>
      <c r="I27" s="690">
        <f t="shared" ca="1" si="3"/>
        <v>277877980</v>
      </c>
    </row>
    <row r="28" spans="1:9" ht="18" customHeight="1">
      <c r="A28" s="687">
        <f ca="1">IF(ROWS($1:14)&gt;COUNT(Dong5),"",OFFSET(TH!C$1,SMALL(Dong5,ROWS($1:14)),))</f>
        <v>42601</v>
      </c>
      <c r="B28" s="687" t="str">
        <f ca="1">IF(ROWS($1:14)&gt;COUNT(Dong5),"",OFFSET(TH!D$1,SMALL(Dong5,ROWS($1:14)),))</f>
        <v>GBN</v>
      </c>
      <c r="C28" s="687">
        <f ca="1">IF(ROWS($1:14)&gt;COUNT(Dong5),"",OFFSET(TH!E$1,SMALL(Dong5,ROWS($1:14)),))</f>
        <v>42601</v>
      </c>
      <c r="D28" s="688" t="str">
        <f ca="1">IF(ROWS($1:14)&gt;COUNT(Dong5),"",OFFSET(TH!F$1,SMALL(Dong5,ROWS($1:14)),))</f>
        <v>Phí chuyển tiền</v>
      </c>
      <c r="E28" s="687" t="str">
        <f ca="1">IF(ROWS($1:14)&gt;COUNT(Dong5),"",IF(OFFSET(TH!L$1,SMALL(Dong5,ROWS($1:14)),)=$E$7,OFFSET(TH!M$1,SMALL(Dong5,ROWS($1:14)),),OFFSET(TH!L$1,SMALL(Dong5,ROWS($1:14)),)))</f>
        <v>1121</v>
      </c>
      <c r="F28" s="689">
        <f ca="1">IF(ROWS($1:14)&gt;COUNT(Dong5),0,IF(OFFSET(TH!L$1,SMALL(Dong5,ROWS($1:14)),)=$E$7,OFFSET(TH!K$1,SMALL(Dong5,ROWS($1:14)),),0))</f>
        <v>20000</v>
      </c>
      <c r="G28" s="686">
        <f ca="1">IF(ROWS($1:14)&gt;COUNT(Dong5),0,IF(OFFSET(TH!M$1,SMALL(Dong5,ROWS($1:14)),)=$E$7,OFFSET(TH!K$1,SMALL(Dong5,ROWS($1:14)),),0))</f>
        <v>0</v>
      </c>
      <c r="H28" s="690">
        <f t="shared" ca="1" si="2"/>
        <v>0</v>
      </c>
      <c r="I28" s="690">
        <f t="shared" ca="1" si="3"/>
        <v>277857980</v>
      </c>
    </row>
    <row r="29" spans="1:9" ht="18" customHeight="1">
      <c r="A29" s="687">
        <f ca="1">IF(ROWS($1:15)&gt;COUNT(Dong5),"",OFFSET(TH!C$1,SMALL(Dong5,ROWS($1:15)),))</f>
        <v>42601</v>
      </c>
      <c r="B29" s="687" t="str">
        <f ca="1">IF(ROWS($1:15)&gt;COUNT(Dong5),"",OFFSET(TH!D$1,SMALL(Dong5,ROWS($1:15)),))</f>
        <v>GBN</v>
      </c>
      <c r="C29" s="687">
        <f ca="1">IF(ROWS($1:15)&gt;COUNT(Dong5),"",OFFSET(TH!E$1,SMALL(Dong5,ROWS($1:15)),))</f>
        <v>42601</v>
      </c>
      <c r="D29" s="688" t="str">
        <f ca="1">IF(ROWS($1:15)&gt;COUNT(Dong5),"",OFFSET(TH!F$1,SMALL(Dong5,ROWS($1:15)),))</f>
        <v>Phí kiểm đếm</v>
      </c>
      <c r="E29" s="687" t="str">
        <f ca="1">IF(ROWS($1:15)&gt;COUNT(Dong5),"",IF(OFFSET(TH!L$1,SMALL(Dong5,ROWS($1:15)),)=$E$7,OFFSET(TH!M$1,SMALL(Dong5,ROWS($1:15)),),OFFSET(TH!L$1,SMALL(Dong5,ROWS($1:15)),)))</f>
        <v>1121</v>
      </c>
      <c r="F29" s="689">
        <f ca="1">IF(ROWS($1:15)&gt;COUNT(Dong5),0,IF(OFFSET(TH!L$1,SMALL(Dong5,ROWS($1:15)),)=$E$7,OFFSET(TH!K$1,SMALL(Dong5,ROWS($1:15)),),0))</f>
        <v>83010</v>
      </c>
      <c r="G29" s="686">
        <f ca="1">IF(ROWS($1:15)&gt;COUNT(Dong5),0,IF(OFFSET(TH!M$1,SMALL(Dong5,ROWS($1:15)),)=$E$7,OFFSET(TH!K$1,SMALL(Dong5,ROWS($1:15)),),0))</f>
        <v>0</v>
      </c>
      <c r="H29" s="690">
        <f t="shared" ca="1" si="2"/>
        <v>0</v>
      </c>
      <c r="I29" s="690">
        <f t="shared" ca="1" si="3"/>
        <v>277774970</v>
      </c>
    </row>
    <row r="30" spans="1:9" ht="18" customHeight="1">
      <c r="A30" s="687">
        <f ca="1">IF(ROWS($1:16)&gt;COUNT(Dong5),"",OFFSET(TH!C$1,SMALL(Dong5,ROWS($1:16)),))</f>
        <v>42604</v>
      </c>
      <c r="B30" s="687" t="str">
        <f ca="1">IF(ROWS($1:16)&gt;COUNT(Dong5),"",OFFSET(TH!D$1,SMALL(Dong5,ROWS($1:16)),))</f>
        <v>C11</v>
      </c>
      <c r="C30" s="687">
        <f ca="1">IF(ROWS($1:16)&gt;COUNT(Dong5),"",OFFSET(TH!E$1,SMALL(Dong5,ROWS($1:16)),))</f>
        <v>42604</v>
      </c>
      <c r="D30" s="688" t="str">
        <f ca="1">IF(ROWS($1:16)&gt;COUNT(Dong5),"",OFFSET(TH!F$1,SMALL(Dong5,ROWS($1:16)),))</f>
        <v>Khuông hộp</v>
      </c>
      <c r="E30" s="687" t="str">
        <f ca="1">IF(ROWS($1:16)&gt;COUNT(Dong5),"",IF(OFFSET(TH!L$1,SMALL(Dong5,ROWS($1:16)),)=$E$7,OFFSET(TH!M$1,SMALL(Dong5,ROWS($1:16)),),OFFSET(TH!L$1,SMALL(Dong5,ROWS($1:16)),)))</f>
        <v>1111</v>
      </c>
      <c r="F30" s="689">
        <f ca="1">IF(ROWS($1:16)&gt;COUNT(Dong5),0,IF(OFFSET(TH!L$1,SMALL(Dong5,ROWS($1:16)),)=$E$7,OFFSET(TH!K$1,SMALL(Dong5,ROWS($1:16)),),0))</f>
        <v>1840000</v>
      </c>
      <c r="G30" s="686">
        <f ca="1">IF(ROWS($1:16)&gt;COUNT(Dong5),0,IF(OFFSET(TH!M$1,SMALL(Dong5,ROWS($1:16)),)=$E$7,OFFSET(TH!K$1,SMALL(Dong5,ROWS($1:16)),),0))</f>
        <v>0</v>
      </c>
      <c r="H30" s="690">
        <f t="shared" ref="H30:H38" ca="1" si="4">IF(D30&lt;&gt;"",MAX(H29+F30-G30-I29,0),0)</f>
        <v>0</v>
      </c>
      <c r="I30" s="690">
        <f t="shared" ref="I30:I38" ca="1" si="5">IF(D30&lt;&gt;"",MAX(I29+G30-H29-F30,0),0)</f>
        <v>275934970</v>
      </c>
    </row>
    <row r="31" spans="1:9" ht="18" customHeight="1">
      <c r="A31" s="687">
        <f ca="1">IF(ROWS($1:17)&gt;COUNT(Dong5),"",OFFSET(TH!C$1,SMALL(Dong5,ROWS($1:17)),))</f>
        <v>42607</v>
      </c>
      <c r="B31" s="687" t="str">
        <f ca="1">IF(ROWS($1:17)&gt;COUNT(Dong5),"",OFFSET(TH!D$1,SMALL(Dong5,ROWS($1:17)),))</f>
        <v>GBN</v>
      </c>
      <c r="C31" s="687">
        <f ca="1">IF(ROWS($1:17)&gt;COUNT(Dong5),"",OFFSET(TH!E$1,SMALL(Dong5,ROWS($1:17)),))</f>
        <v>42607</v>
      </c>
      <c r="D31" s="688" t="str">
        <f ca="1">IF(ROWS($1:17)&gt;COUNT(Dong5),"",OFFSET(TH!F$1,SMALL(Dong5,ROWS($1:17)),))</f>
        <v>Phí rút tiền</v>
      </c>
      <c r="E31" s="687" t="str">
        <f ca="1">IF(ROWS($1:17)&gt;COUNT(Dong5),"",IF(OFFSET(TH!L$1,SMALL(Dong5,ROWS($1:17)),)=$E$7,OFFSET(TH!M$1,SMALL(Dong5,ROWS($1:17)),),OFFSET(TH!L$1,SMALL(Dong5,ROWS($1:17)),)))</f>
        <v>1121</v>
      </c>
      <c r="F31" s="689">
        <f ca="1">IF(ROWS($1:17)&gt;COUNT(Dong5),0,IF(OFFSET(TH!L$1,SMALL(Dong5,ROWS($1:17)),)=$E$7,OFFSET(TH!K$1,SMALL(Dong5,ROWS($1:17)),),0))</f>
        <v>20000</v>
      </c>
      <c r="G31" s="686">
        <f ca="1">IF(ROWS($1:17)&gt;COUNT(Dong5),0,IF(OFFSET(TH!M$1,SMALL(Dong5,ROWS($1:17)),)=$E$7,OFFSET(TH!K$1,SMALL(Dong5,ROWS($1:17)),),0))</f>
        <v>0</v>
      </c>
      <c r="H31" s="690">
        <f t="shared" ca="1" si="4"/>
        <v>0</v>
      </c>
      <c r="I31" s="690">
        <f t="shared" ca="1" si="5"/>
        <v>275914970</v>
      </c>
    </row>
    <row r="32" spans="1:9" ht="18" customHeight="1">
      <c r="A32" s="687">
        <f ca="1">IF(ROWS($1:18)&gt;COUNT(Dong5),"",OFFSET(TH!C$1,SMALL(Dong5,ROWS($1:18)),))</f>
        <v>42607</v>
      </c>
      <c r="B32" s="687" t="str">
        <f ca="1">IF(ROWS($1:18)&gt;COUNT(Dong5),"",OFFSET(TH!D$1,SMALL(Dong5,ROWS($1:18)),))</f>
        <v>GBN</v>
      </c>
      <c r="C32" s="687">
        <f ca="1">IF(ROWS($1:18)&gt;COUNT(Dong5),"",OFFSET(TH!E$1,SMALL(Dong5,ROWS($1:18)),))</f>
        <v>42607</v>
      </c>
      <c r="D32" s="688" t="str">
        <f ca="1">IF(ROWS($1:18)&gt;COUNT(Dong5),"",OFFSET(TH!F$1,SMALL(Dong5,ROWS($1:18)),))</f>
        <v>Phí quản lý tài khoản</v>
      </c>
      <c r="E32" s="687" t="str">
        <f ca="1">IF(ROWS($1:18)&gt;COUNT(Dong5),"",IF(OFFSET(TH!L$1,SMALL(Dong5,ROWS($1:18)),)=$E$7,OFFSET(TH!M$1,SMALL(Dong5,ROWS($1:18)),),OFFSET(TH!L$1,SMALL(Dong5,ROWS($1:18)),)))</f>
        <v>1121</v>
      </c>
      <c r="F32" s="689">
        <f ca="1">IF(ROWS($1:18)&gt;COUNT(Dong5),0,IF(OFFSET(TH!L$1,SMALL(Dong5,ROWS($1:18)),)=$E$7,OFFSET(TH!K$1,SMALL(Dong5,ROWS($1:18)),),0))</f>
        <v>10000</v>
      </c>
      <c r="G32" s="686">
        <f ca="1">IF(ROWS($1:18)&gt;COUNT(Dong5),0,IF(OFFSET(TH!M$1,SMALL(Dong5,ROWS($1:18)),)=$E$7,OFFSET(TH!K$1,SMALL(Dong5,ROWS($1:18)),),0))</f>
        <v>0</v>
      </c>
      <c r="H32" s="690">
        <f t="shared" ca="1" si="4"/>
        <v>0</v>
      </c>
      <c r="I32" s="690">
        <f t="shared" ca="1" si="5"/>
        <v>275904970</v>
      </c>
    </row>
    <row r="33" spans="1:9" ht="18" customHeight="1">
      <c r="A33" s="687">
        <f ca="1">IF(ROWS($1:19)&gt;COUNT(Dong5),"",OFFSET(TH!C$1,SMALL(Dong5,ROWS($1:19)),))</f>
        <v>42613</v>
      </c>
      <c r="B33" s="687" t="str">
        <f ca="1">IF(ROWS($1:19)&gt;COUNT(Dong5),"",OFFSET(TH!D$1,SMALL(Dong5,ROWS($1:19)),))</f>
        <v>CTGS</v>
      </c>
      <c r="C33" s="687">
        <f ca="1">IF(ROWS($1:19)&gt;COUNT(Dong5),"",OFFSET(TH!E$1,SMALL(Dong5,ROWS($1:19)),))</f>
        <v>42613</v>
      </c>
      <c r="D33" s="688" t="str">
        <f ca="1">IF(ROWS($1:19)&gt;COUNT(Dong5),"",OFFSET(TH!F$1,SMALL(Dong5,ROWS($1:19)),))</f>
        <v>Tiền lương BP Văn phòng</v>
      </c>
      <c r="E33" s="687" t="str">
        <f ca="1">IF(ROWS($1:19)&gt;COUNT(Dong5),"",IF(OFFSET(TH!L$1,SMALL(Dong5,ROWS($1:19)),)=$E$7,OFFSET(TH!M$1,SMALL(Dong5,ROWS($1:19)),),OFFSET(TH!L$1,SMALL(Dong5,ROWS($1:19)),)))</f>
        <v>3341</v>
      </c>
      <c r="F33" s="689">
        <f ca="1">IF(ROWS($1:19)&gt;COUNT(Dong5),0,IF(OFFSET(TH!L$1,SMALL(Dong5,ROWS($1:19)),)=$E$7,OFFSET(TH!K$1,SMALL(Dong5,ROWS($1:19)),),0))</f>
        <v>4405000</v>
      </c>
      <c r="G33" s="686">
        <f ca="1">IF(ROWS($1:19)&gt;COUNT(Dong5),0,IF(OFFSET(TH!M$1,SMALL(Dong5,ROWS($1:19)),)=$E$7,OFFSET(TH!K$1,SMALL(Dong5,ROWS($1:19)),),0))</f>
        <v>0</v>
      </c>
      <c r="H33" s="690">
        <f t="shared" ca="1" si="4"/>
        <v>0</v>
      </c>
      <c r="I33" s="690">
        <f t="shared" ca="1" si="5"/>
        <v>271499970</v>
      </c>
    </row>
    <row r="34" spans="1:9" ht="18" customHeight="1">
      <c r="A34" s="687">
        <f ca="1">IF(ROWS($1:20)&gt;COUNT(Dong5),"",OFFSET(TH!C$1,SMALL(Dong5,ROWS($1:20)),))</f>
        <v>42614</v>
      </c>
      <c r="B34" s="687" t="str">
        <f ca="1">IF(ROWS($1:20)&gt;COUNT(Dong5),"",OFFSET(TH!D$1,SMALL(Dong5,ROWS($1:20)),))</f>
        <v>GBN</v>
      </c>
      <c r="C34" s="687">
        <f ca="1">IF(ROWS($1:20)&gt;COUNT(Dong5),"",OFFSET(TH!E$1,SMALL(Dong5,ROWS($1:20)),))</f>
        <v>42614</v>
      </c>
      <c r="D34" s="688" t="str">
        <f ca="1">IF(ROWS($1:20)&gt;COUNT(Dong5),"",OFFSET(TH!F$1,SMALL(Dong5,ROWS($1:20)),))</f>
        <v>Phí chuyển tiền</v>
      </c>
      <c r="E34" s="687" t="str">
        <f ca="1">IF(ROWS($1:20)&gt;COUNT(Dong5),"",IF(OFFSET(TH!L$1,SMALL(Dong5,ROWS($1:20)),)=$E$7,OFFSET(TH!M$1,SMALL(Dong5,ROWS($1:20)),),OFFSET(TH!L$1,SMALL(Dong5,ROWS($1:20)),)))</f>
        <v>1121</v>
      </c>
      <c r="F34" s="689">
        <f ca="1">IF(ROWS($1:20)&gt;COUNT(Dong5),0,IF(OFFSET(TH!L$1,SMALL(Dong5,ROWS($1:20)),)=$E$7,OFFSET(TH!K$1,SMALL(Dong5,ROWS($1:20)),),0))</f>
        <v>20000</v>
      </c>
      <c r="G34" s="686">
        <f ca="1">IF(ROWS($1:20)&gt;COUNT(Dong5),0,IF(OFFSET(TH!M$1,SMALL(Dong5,ROWS($1:20)),)=$E$7,OFFSET(TH!K$1,SMALL(Dong5,ROWS($1:20)),),0))</f>
        <v>0</v>
      </c>
      <c r="H34" s="690">
        <f t="shared" ca="1" si="4"/>
        <v>0</v>
      </c>
      <c r="I34" s="690">
        <f t="shared" ca="1" si="5"/>
        <v>271479970</v>
      </c>
    </row>
    <row r="35" spans="1:9" ht="18" customHeight="1">
      <c r="A35" s="687">
        <f ca="1">IF(ROWS($1:21)&gt;COUNT(Dong5),"",OFFSET(TH!C$1,SMALL(Dong5,ROWS($1:21)),))</f>
        <v>42622</v>
      </c>
      <c r="B35" s="687" t="str">
        <f ca="1">IF(ROWS($1:21)&gt;COUNT(Dong5),"",OFFSET(TH!D$1,SMALL(Dong5,ROWS($1:21)),))</f>
        <v>GBN</v>
      </c>
      <c r="C35" s="687">
        <f ca="1">IF(ROWS($1:21)&gt;COUNT(Dong5),"",OFFSET(TH!E$1,SMALL(Dong5,ROWS($1:21)),))</f>
        <v>42622</v>
      </c>
      <c r="D35" s="688" t="str">
        <f ca="1">IF(ROWS($1:21)&gt;COUNT(Dong5),"",OFFSET(TH!F$1,SMALL(Dong5,ROWS($1:21)),))</f>
        <v>Phí chuyển tiền</v>
      </c>
      <c r="E35" s="687" t="str">
        <f ca="1">IF(ROWS($1:21)&gt;COUNT(Dong5),"",IF(OFFSET(TH!L$1,SMALL(Dong5,ROWS($1:21)),)=$E$7,OFFSET(TH!M$1,SMALL(Dong5,ROWS($1:21)),),OFFSET(TH!L$1,SMALL(Dong5,ROWS($1:21)),)))</f>
        <v>1121</v>
      </c>
      <c r="F35" s="689">
        <f ca="1">IF(ROWS($1:21)&gt;COUNT(Dong5),0,IF(OFFSET(TH!L$1,SMALL(Dong5,ROWS($1:21)),)=$E$7,OFFSET(TH!K$1,SMALL(Dong5,ROWS($1:21)),),0))</f>
        <v>10000</v>
      </c>
      <c r="G35" s="686">
        <f ca="1">IF(ROWS($1:21)&gt;COUNT(Dong5),0,IF(OFFSET(TH!M$1,SMALL(Dong5,ROWS($1:21)),)=$E$7,OFFSET(TH!K$1,SMALL(Dong5,ROWS($1:21)),),0))</f>
        <v>0</v>
      </c>
      <c r="H35" s="690">
        <f t="shared" ca="1" si="4"/>
        <v>0</v>
      </c>
      <c r="I35" s="690">
        <f t="shared" ca="1" si="5"/>
        <v>271469970</v>
      </c>
    </row>
    <row r="36" spans="1:9" ht="18" customHeight="1">
      <c r="A36" s="687">
        <f ca="1">IF(ROWS($1:22)&gt;COUNT(Dong5),"",OFFSET(TH!C$1,SMALL(Dong5,ROWS($1:22)),))</f>
        <v>42626</v>
      </c>
      <c r="B36" s="687" t="str">
        <f ca="1">IF(ROWS($1:22)&gt;COUNT(Dong5),"",OFFSET(TH!D$1,SMALL(Dong5,ROWS($1:22)),))</f>
        <v>GBN</v>
      </c>
      <c r="C36" s="687">
        <f ca="1">IF(ROWS($1:22)&gt;COUNT(Dong5),"",OFFSET(TH!E$1,SMALL(Dong5,ROWS($1:22)),))</f>
        <v>42626</v>
      </c>
      <c r="D36" s="688" t="str">
        <f ca="1">IF(ROWS($1:22)&gt;COUNT(Dong5),"",OFFSET(TH!F$1,SMALL(Dong5,ROWS($1:22)),))</f>
        <v>Phí rút tiền</v>
      </c>
      <c r="E36" s="687" t="str">
        <f ca="1">IF(ROWS($1:22)&gt;COUNT(Dong5),"",IF(OFFSET(TH!L$1,SMALL(Dong5,ROWS($1:22)),)=$E$7,OFFSET(TH!M$1,SMALL(Dong5,ROWS($1:22)),),OFFSET(TH!L$1,SMALL(Dong5,ROWS($1:22)),)))</f>
        <v>1121</v>
      </c>
      <c r="F36" s="689">
        <f ca="1">IF(ROWS($1:22)&gt;COUNT(Dong5),0,IF(OFFSET(TH!L$1,SMALL(Dong5,ROWS($1:22)),)=$E$7,OFFSET(TH!K$1,SMALL(Dong5,ROWS($1:22)),),0))</f>
        <v>20000</v>
      </c>
      <c r="G36" s="686">
        <f ca="1">IF(ROWS($1:22)&gt;COUNT(Dong5),0,IF(OFFSET(TH!M$1,SMALL(Dong5,ROWS($1:22)),)=$E$7,OFFSET(TH!K$1,SMALL(Dong5,ROWS($1:22)),),0))</f>
        <v>0</v>
      </c>
      <c r="H36" s="690">
        <f t="shared" ca="1" si="4"/>
        <v>0</v>
      </c>
      <c r="I36" s="690">
        <f t="shared" ca="1" si="5"/>
        <v>271449970</v>
      </c>
    </row>
    <row r="37" spans="1:9" ht="18" customHeight="1">
      <c r="A37" s="687">
        <f ca="1">IF(ROWS($1:23)&gt;COUNT(Dong5),"",OFFSET(TH!C$1,SMALL(Dong5,ROWS($1:23)),))</f>
        <v>42628</v>
      </c>
      <c r="B37" s="687" t="str">
        <f ca="1">IF(ROWS($1:23)&gt;COUNT(Dong5),"",OFFSET(TH!D$1,SMALL(Dong5,ROWS($1:23)),))</f>
        <v>GBN</v>
      </c>
      <c r="C37" s="687">
        <f ca="1">IF(ROWS($1:23)&gt;COUNT(Dong5),"",OFFSET(TH!E$1,SMALL(Dong5,ROWS($1:23)),))</f>
        <v>42628</v>
      </c>
      <c r="D37" s="688" t="str">
        <f ca="1">IF(ROWS($1:23)&gt;COUNT(Dong5),"",OFFSET(TH!F$1,SMALL(Dong5,ROWS($1:23)),))</f>
        <v>Phí điều chỉnh chuyển tiền lại</v>
      </c>
      <c r="E37" s="687" t="str">
        <f ca="1">IF(ROWS($1:23)&gt;COUNT(Dong5),"",IF(OFFSET(TH!L$1,SMALL(Dong5,ROWS($1:23)),)=$E$7,OFFSET(TH!M$1,SMALL(Dong5,ROWS($1:23)),),OFFSET(TH!L$1,SMALL(Dong5,ROWS($1:23)),)))</f>
        <v>1121</v>
      </c>
      <c r="F37" s="689">
        <f ca="1">IF(ROWS($1:23)&gt;COUNT(Dong5),0,IF(OFFSET(TH!L$1,SMALL(Dong5,ROWS($1:23)),)=$E$7,OFFSET(TH!K$1,SMALL(Dong5,ROWS($1:23)),),0))</f>
        <v>30000</v>
      </c>
      <c r="G37" s="686">
        <f ca="1">IF(ROWS($1:23)&gt;COUNT(Dong5),0,IF(OFFSET(TH!M$1,SMALL(Dong5,ROWS($1:23)),)=$E$7,OFFSET(TH!K$1,SMALL(Dong5,ROWS($1:23)),),0))</f>
        <v>0</v>
      </c>
      <c r="H37" s="690">
        <f t="shared" ca="1" si="4"/>
        <v>0</v>
      </c>
      <c r="I37" s="690">
        <f t="shared" ca="1" si="5"/>
        <v>271419970</v>
      </c>
    </row>
    <row r="38" spans="1:9" ht="18" customHeight="1">
      <c r="A38" s="687">
        <f ca="1">IF(ROWS($1:24)&gt;COUNT(Dong5),"",OFFSET(TH!C$1,SMALL(Dong5,ROWS($1:24)),))</f>
        <v>42633</v>
      </c>
      <c r="B38" s="687" t="str">
        <f ca="1">IF(ROWS($1:24)&gt;COUNT(Dong5),"",OFFSET(TH!D$1,SMALL(Dong5,ROWS($1:24)),))</f>
        <v>GBN</v>
      </c>
      <c r="C38" s="687">
        <f ca="1">IF(ROWS($1:24)&gt;COUNT(Dong5),"",OFFSET(TH!E$1,SMALL(Dong5,ROWS($1:24)),))</f>
        <v>42633</v>
      </c>
      <c r="D38" s="688" t="str">
        <f ca="1">IF(ROWS($1:24)&gt;COUNT(Dong5),"",OFFSET(TH!F$1,SMALL(Dong5,ROWS($1:24)),))</f>
        <v>Phí chuyển tiền</v>
      </c>
      <c r="E38" s="687" t="str">
        <f ca="1">IF(ROWS($1:24)&gt;COUNT(Dong5),"",IF(OFFSET(TH!L$1,SMALL(Dong5,ROWS($1:24)),)=$E$7,OFFSET(TH!M$1,SMALL(Dong5,ROWS($1:24)),),OFFSET(TH!L$1,SMALL(Dong5,ROWS($1:24)),)))</f>
        <v>1121</v>
      </c>
      <c r="F38" s="689">
        <f ca="1">IF(ROWS($1:24)&gt;COUNT(Dong5),0,IF(OFFSET(TH!L$1,SMALL(Dong5,ROWS($1:24)),)=$E$7,OFFSET(TH!K$1,SMALL(Dong5,ROWS($1:24)),),0))</f>
        <v>20000</v>
      </c>
      <c r="G38" s="686">
        <f ca="1">IF(ROWS($1:24)&gt;COUNT(Dong5),0,IF(OFFSET(TH!M$1,SMALL(Dong5,ROWS($1:24)),)=$E$7,OFFSET(TH!K$1,SMALL(Dong5,ROWS($1:24)),),0))</f>
        <v>0</v>
      </c>
      <c r="H38" s="690">
        <f t="shared" ca="1" si="4"/>
        <v>0</v>
      </c>
      <c r="I38" s="690">
        <f t="shared" ca="1" si="5"/>
        <v>271399970</v>
      </c>
    </row>
    <row r="39" spans="1:9" ht="18" customHeight="1">
      <c r="A39" s="687">
        <f ca="1">IF(ROWS($1:25)&gt;COUNT(Dong5),"",OFFSET(TH!C$1,SMALL(Dong5,ROWS($1:25)),))</f>
        <v>42633</v>
      </c>
      <c r="B39" s="687" t="str">
        <f ca="1">IF(ROWS($1:25)&gt;COUNT(Dong5),"",OFFSET(TH!D$1,SMALL(Dong5,ROWS($1:25)),))</f>
        <v>GBN</v>
      </c>
      <c r="C39" s="687">
        <f ca="1">IF(ROWS($1:25)&gt;COUNT(Dong5),"",OFFSET(TH!E$1,SMALL(Dong5,ROWS($1:25)),))</f>
        <v>42633</v>
      </c>
      <c r="D39" s="688" t="str">
        <f ca="1">IF(ROWS($1:25)&gt;COUNT(Dong5),"",OFFSET(TH!F$1,SMALL(Dong5,ROWS($1:25)),))</f>
        <v>Phí kiểm đếm</v>
      </c>
      <c r="E39" s="687" t="str">
        <f ca="1">IF(ROWS($1:25)&gt;COUNT(Dong5),"",IF(OFFSET(TH!L$1,SMALL(Dong5,ROWS($1:25)),)=$E$7,OFFSET(TH!M$1,SMALL(Dong5,ROWS($1:25)),),OFFSET(TH!L$1,SMALL(Dong5,ROWS($1:25)),)))</f>
        <v>1121</v>
      </c>
      <c r="F39" s="689">
        <f ca="1">IF(ROWS($1:25)&gt;COUNT(Dong5),0,IF(OFFSET(TH!L$1,SMALL(Dong5,ROWS($1:25)),)=$E$7,OFFSET(TH!K$1,SMALL(Dong5,ROWS($1:25)),),0))</f>
        <v>20000</v>
      </c>
      <c r="G39" s="686">
        <f ca="1">IF(ROWS($1:25)&gt;COUNT(Dong5),0,IF(OFFSET(TH!M$1,SMALL(Dong5,ROWS($1:25)),)=$E$7,OFFSET(TH!K$1,SMALL(Dong5,ROWS($1:25)),),0))</f>
        <v>0</v>
      </c>
      <c r="H39" s="690">
        <f t="shared" ref="H39:H60" ca="1" si="6">IF(D39&lt;&gt;"",MAX(H38+F39-G39-I38,0),0)</f>
        <v>0</v>
      </c>
      <c r="I39" s="690">
        <f t="shared" ref="I39:I60" ca="1" si="7">IF(D39&lt;&gt;"",MAX(I38+G39-H38-F39,0),0)</f>
        <v>271379970</v>
      </c>
    </row>
    <row r="40" spans="1:9" ht="18" customHeight="1">
      <c r="A40" s="687">
        <f ca="1">IF(ROWS($1:26)&gt;COUNT(Dong5),"",OFFSET(TH!C$1,SMALL(Dong5,ROWS($1:26)),))</f>
        <v>42635</v>
      </c>
      <c r="B40" s="687" t="str">
        <f ca="1">IF(ROWS($1:26)&gt;COUNT(Dong5),"",OFFSET(TH!D$1,SMALL(Dong5,ROWS($1:26)),))</f>
        <v>GBN</v>
      </c>
      <c r="C40" s="687">
        <f ca="1">IF(ROWS($1:26)&gt;COUNT(Dong5),"",OFFSET(TH!E$1,SMALL(Dong5,ROWS($1:26)),))</f>
        <v>42635</v>
      </c>
      <c r="D40" s="688" t="str">
        <f ca="1">IF(ROWS($1:26)&gt;COUNT(Dong5),"",OFFSET(TH!F$1,SMALL(Dong5,ROWS($1:26)),))</f>
        <v>Phí chuyển tiền</v>
      </c>
      <c r="E40" s="687" t="str">
        <f ca="1">IF(ROWS($1:26)&gt;COUNT(Dong5),"",IF(OFFSET(TH!L$1,SMALL(Dong5,ROWS($1:26)),)=$E$7,OFFSET(TH!M$1,SMALL(Dong5,ROWS($1:26)),),OFFSET(TH!L$1,SMALL(Dong5,ROWS($1:26)),)))</f>
        <v>1121</v>
      </c>
      <c r="F40" s="689">
        <f ca="1">IF(ROWS($1:26)&gt;COUNT(Dong5),0,IF(OFFSET(TH!L$1,SMALL(Dong5,ROWS($1:26)),)=$E$7,OFFSET(TH!K$1,SMALL(Dong5,ROWS($1:26)),),0))</f>
        <v>20000</v>
      </c>
      <c r="G40" s="686">
        <f ca="1">IF(ROWS($1:26)&gt;COUNT(Dong5),0,IF(OFFSET(TH!M$1,SMALL(Dong5,ROWS($1:26)),)=$E$7,OFFSET(TH!K$1,SMALL(Dong5,ROWS($1:26)),),0))</f>
        <v>0</v>
      </c>
      <c r="H40" s="690">
        <f t="shared" ca="1" si="6"/>
        <v>0</v>
      </c>
      <c r="I40" s="690">
        <f t="shared" ca="1" si="7"/>
        <v>271359970</v>
      </c>
    </row>
    <row r="41" spans="1:9" ht="18" customHeight="1">
      <c r="A41" s="687">
        <f ca="1">IF(ROWS($1:27)&gt;COUNT(Dong5),"",OFFSET(TH!C$1,SMALL(Dong5,ROWS($1:27)),))</f>
        <v>42635</v>
      </c>
      <c r="B41" s="687" t="str">
        <f ca="1">IF(ROWS($1:27)&gt;COUNT(Dong5),"",OFFSET(TH!D$1,SMALL(Dong5,ROWS($1:27)),))</f>
        <v>GBN</v>
      </c>
      <c r="C41" s="687">
        <f ca="1">IF(ROWS($1:27)&gt;COUNT(Dong5),"",OFFSET(TH!E$1,SMALL(Dong5,ROWS($1:27)),))</f>
        <v>42635</v>
      </c>
      <c r="D41" s="688" t="str">
        <f ca="1">IF(ROWS($1:27)&gt;COUNT(Dong5),"",OFFSET(TH!F$1,SMALL(Dong5,ROWS($1:27)),))</f>
        <v>Phí kiểm đếm</v>
      </c>
      <c r="E41" s="687" t="str">
        <f ca="1">IF(ROWS($1:27)&gt;COUNT(Dong5),"",IF(OFFSET(TH!L$1,SMALL(Dong5,ROWS($1:27)),)=$E$7,OFFSET(TH!M$1,SMALL(Dong5,ROWS($1:27)),),OFFSET(TH!L$1,SMALL(Dong5,ROWS($1:27)),)))</f>
        <v>1121</v>
      </c>
      <c r="F41" s="689">
        <f ca="1">IF(ROWS($1:27)&gt;COUNT(Dong5),0,IF(OFFSET(TH!L$1,SMALL(Dong5,ROWS($1:27)),)=$E$7,OFFSET(TH!K$1,SMALL(Dong5,ROWS($1:27)),),0))</f>
        <v>20000</v>
      </c>
      <c r="G41" s="686">
        <f ca="1">IF(ROWS($1:27)&gt;COUNT(Dong5),0,IF(OFFSET(TH!M$1,SMALL(Dong5,ROWS($1:27)),)=$E$7,OFFSET(TH!K$1,SMALL(Dong5,ROWS($1:27)),),0))</f>
        <v>0</v>
      </c>
      <c r="H41" s="690">
        <f t="shared" ca="1" si="6"/>
        <v>0</v>
      </c>
      <c r="I41" s="690">
        <f t="shared" ca="1" si="7"/>
        <v>271339970</v>
      </c>
    </row>
    <row r="42" spans="1:9" ht="18" customHeight="1">
      <c r="A42" s="687">
        <f ca="1">IF(ROWS($1:28)&gt;COUNT(Dong5),"",OFFSET(TH!C$1,SMALL(Dong5,ROWS($1:28)),))</f>
        <v>42638</v>
      </c>
      <c r="B42" s="687" t="str">
        <f ca="1">IF(ROWS($1:28)&gt;COUNT(Dong5),"",OFFSET(TH!D$1,SMALL(Dong5,ROWS($1:28)),))</f>
        <v>GBN</v>
      </c>
      <c r="C42" s="687">
        <f ca="1">IF(ROWS($1:28)&gt;COUNT(Dong5),"",OFFSET(TH!E$1,SMALL(Dong5,ROWS($1:28)),))</f>
        <v>42638</v>
      </c>
      <c r="D42" s="688" t="str">
        <f ca="1">IF(ROWS($1:28)&gt;COUNT(Dong5),"",OFFSET(TH!F$1,SMALL(Dong5,ROWS($1:28)),))</f>
        <v>Phí quản lý tài khoản</v>
      </c>
      <c r="E42" s="687" t="str">
        <f ca="1">IF(ROWS($1:28)&gt;COUNT(Dong5),"",IF(OFFSET(TH!L$1,SMALL(Dong5,ROWS($1:28)),)=$E$7,OFFSET(TH!M$1,SMALL(Dong5,ROWS($1:28)),),OFFSET(TH!L$1,SMALL(Dong5,ROWS($1:28)),)))</f>
        <v>1121</v>
      </c>
      <c r="F42" s="689">
        <f ca="1">IF(ROWS($1:28)&gt;COUNT(Dong5),0,IF(OFFSET(TH!L$1,SMALL(Dong5,ROWS($1:28)),)=$E$7,OFFSET(TH!K$1,SMALL(Dong5,ROWS($1:28)),),0))</f>
        <v>10000</v>
      </c>
      <c r="G42" s="686">
        <f ca="1">IF(ROWS($1:28)&gt;COUNT(Dong5),0,IF(OFFSET(TH!M$1,SMALL(Dong5,ROWS($1:28)),)=$E$7,OFFSET(TH!K$1,SMALL(Dong5,ROWS($1:28)),),0))</f>
        <v>0</v>
      </c>
      <c r="H42" s="690">
        <f t="shared" ca="1" si="6"/>
        <v>0</v>
      </c>
      <c r="I42" s="690">
        <f t="shared" ca="1" si="7"/>
        <v>271329970</v>
      </c>
    </row>
    <row r="43" spans="1:9" ht="18" customHeight="1">
      <c r="A43" s="687">
        <f ca="1">IF(ROWS($1:29)&gt;COUNT(Dong5),"",OFFSET(TH!C$1,SMALL(Dong5,ROWS($1:29)),))</f>
        <v>42643</v>
      </c>
      <c r="B43" s="687" t="str">
        <f ca="1">IF(ROWS($1:29)&gt;COUNT(Dong5),"",OFFSET(TH!D$1,SMALL(Dong5,ROWS($1:29)),))</f>
        <v>CTGS</v>
      </c>
      <c r="C43" s="687">
        <f ca="1">IF(ROWS($1:29)&gt;COUNT(Dong5),"",OFFSET(TH!E$1,SMALL(Dong5,ROWS($1:29)),))</f>
        <v>42643</v>
      </c>
      <c r="D43" s="688" t="str">
        <f ca="1">IF(ROWS($1:29)&gt;COUNT(Dong5),"",OFFSET(TH!F$1,SMALL(Dong5,ROWS($1:29)),))</f>
        <v>Tiền lương BP Văn phòng</v>
      </c>
      <c r="E43" s="687" t="str">
        <f ca="1">IF(ROWS($1:29)&gt;COUNT(Dong5),"",IF(OFFSET(TH!L$1,SMALL(Dong5,ROWS($1:29)),)=$E$7,OFFSET(TH!M$1,SMALL(Dong5,ROWS($1:29)),),OFFSET(TH!L$1,SMALL(Dong5,ROWS($1:29)),)))</f>
        <v>3341</v>
      </c>
      <c r="F43" s="689">
        <f ca="1">IF(ROWS($1:29)&gt;COUNT(Dong5),0,IF(OFFSET(TH!L$1,SMALL(Dong5,ROWS($1:29)),)=$E$7,OFFSET(TH!K$1,SMALL(Dong5,ROWS($1:29)),),0))</f>
        <v>4375000</v>
      </c>
      <c r="G43" s="686">
        <f ca="1">IF(ROWS($1:29)&gt;COUNT(Dong5),0,IF(OFFSET(TH!M$1,SMALL(Dong5,ROWS($1:29)),)=$E$7,OFFSET(TH!K$1,SMALL(Dong5,ROWS($1:29)),),0))</f>
        <v>0</v>
      </c>
      <c r="H43" s="690">
        <f t="shared" ca="1" si="6"/>
        <v>0</v>
      </c>
      <c r="I43" s="690">
        <f t="shared" ca="1" si="7"/>
        <v>266954970</v>
      </c>
    </row>
    <row r="44" spans="1:9" ht="18" customHeight="1">
      <c r="A44" s="687">
        <f ca="1">IF(ROWS($1:30)&gt;COUNT(Dong5),"",OFFSET(TH!C$1,SMALL(Dong5,ROWS($1:30)),))</f>
        <v>42643</v>
      </c>
      <c r="B44" s="687" t="str">
        <f ca="1">IF(ROWS($1:30)&gt;COUNT(Dong5),"",OFFSET(TH!D$1,SMALL(Dong5,ROWS($1:30)),))</f>
        <v>CTGS</v>
      </c>
      <c r="C44" s="687">
        <f ca="1">IF(ROWS($1:30)&gt;COUNT(Dong5),"",OFFSET(TH!E$1,SMALL(Dong5,ROWS($1:30)),))</f>
        <v>42576</v>
      </c>
      <c r="D44" s="688" t="str">
        <f ca="1">IF(ROWS($1:30)&gt;COUNT(Dong5),"",OFFSET(TH!F$1,SMALL(Dong5,ROWS($1:30)),))</f>
        <v>Đóng hộ tiền điện</v>
      </c>
      <c r="E44" s="687" t="str">
        <f ca="1">IF(ROWS($1:30)&gt;COUNT(Dong5),"",IF(OFFSET(TH!L$1,SMALL(Dong5,ROWS($1:30)),)=$E$7,OFFSET(TH!M$1,SMALL(Dong5,ROWS($1:30)),),OFFSET(TH!L$1,SMALL(Dong5,ROWS($1:30)),)))</f>
        <v>331</v>
      </c>
      <c r="F44" s="689">
        <f ca="1">IF(ROWS($1:30)&gt;COUNT(Dong5),0,IF(OFFSET(TH!L$1,SMALL(Dong5,ROWS($1:30)),)=$E$7,OFFSET(TH!K$1,SMALL(Dong5,ROWS($1:30)),),0))</f>
        <v>17110500</v>
      </c>
      <c r="G44" s="686">
        <f ca="1">IF(ROWS($1:30)&gt;COUNT(Dong5),0,IF(OFFSET(TH!M$1,SMALL(Dong5,ROWS($1:30)),)=$E$7,OFFSET(TH!K$1,SMALL(Dong5,ROWS($1:30)),),0))</f>
        <v>0</v>
      </c>
      <c r="H44" s="690">
        <f t="shared" ca="1" si="6"/>
        <v>0</v>
      </c>
      <c r="I44" s="690">
        <f t="shared" ca="1" si="7"/>
        <v>249844470</v>
      </c>
    </row>
    <row r="45" spans="1:9" ht="18" customHeight="1">
      <c r="A45" s="687">
        <f ca="1">IF(ROWS($1:31)&gt;COUNT(Dong5),"",OFFSET(TH!C$1,SMALL(Dong5,ROWS($1:31)),))</f>
        <v>42643</v>
      </c>
      <c r="B45" s="687" t="str">
        <f ca="1">IF(ROWS($1:31)&gt;COUNT(Dong5),"",OFFSET(TH!D$1,SMALL(Dong5,ROWS($1:31)),))</f>
        <v>CTGS</v>
      </c>
      <c r="C45" s="687">
        <f ca="1">IF(ROWS($1:31)&gt;COUNT(Dong5),"",OFFSET(TH!E$1,SMALL(Dong5,ROWS($1:31)),))</f>
        <v>42576</v>
      </c>
      <c r="D45" s="688" t="str">
        <f ca="1">IF(ROWS($1:31)&gt;COUNT(Dong5),"",OFFSET(TH!F$1,SMALL(Dong5,ROWS($1:31)),))</f>
        <v>Tiền thuê xưởng T07/2016</v>
      </c>
      <c r="E45" s="687" t="str">
        <f ca="1">IF(ROWS($1:31)&gt;COUNT(Dong5),"",IF(OFFSET(TH!L$1,SMALL(Dong5,ROWS($1:31)),)=$E$7,OFFSET(TH!M$1,SMALL(Dong5,ROWS($1:31)),),OFFSET(TH!L$1,SMALL(Dong5,ROWS($1:31)),)))</f>
        <v>331</v>
      </c>
      <c r="F45" s="689">
        <f ca="1">IF(ROWS($1:31)&gt;COUNT(Dong5),0,IF(OFFSET(TH!L$1,SMALL(Dong5,ROWS($1:31)),)=$E$7,OFFSET(TH!K$1,SMALL(Dong5,ROWS($1:31)),),0))</f>
        <v>37000000</v>
      </c>
      <c r="G45" s="686">
        <f ca="1">IF(ROWS($1:31)&gt;COUNT(Dong5),0,IF(OFFSET(TH!M$1,SMALL(Dong5,ROWS($1:31)),)=$E$7,OFFSET(TH!K$1,SMALL(Dong5,ROWS($1:31)),),0))</f>
        <v>0</v>
      </c>
      <c r="H45" s="690">
        <f t="shared" ca="1" si="6"/>
        <v>0</v>
      </c>
      <c r="I45" s="690">
        <f t="shared" ca="1" si="7"/>
        <v>212844470</v>
      </c>
    </row>
    <row r="46" spans="1:9" ht="18" customHeight="1">
      <c r="A46" s="687">
        <f ca="1">IF(ROWS($1:32)&gt;COUNT(Dong5),"",OFFSET(TH!C$1,SMALL(Dong5,ROWS($1:32)),))</f>
        <v>42643</v>
      </c>
      <c r="B46" s="687" t="str">
        <f ca="1">IF(ROWS($1:32)&gt;COUNT(Dong5),"",OFFSET(TH!D$1,SMALL(Dong5,ROWS($1:32)),))</f>
        <v>CTGS</v>
      </c>
      <c r="C46" s="687">
        <f ca="1">IF(ROWS($1:32)&gt;COUNT(Dong5),"",OFFSET(TH!E$1,SMALL(Dong5,ROWS($1:32)),))</f>
        <v>42602</v>
      </c>
      <c r="D46" s="688" t="str">
        <f ca="1">IF(ROWS($1:32)&gt;COUNT(Dong5),"",OFFSET(TH!F$1,SMALL(Dong5,ROWS($1:32)),))</f>
        <v>Tiền thuê xưởng T08/2016</v>
      </c>
      <c r="E46" s="687" t="str">
        <f ca="1">IF(ROWS($1:32)&gt;COUNT(Dong5),"",IF(OFFSET(TH!L$1,SMALL(Dong5,ROWS($1:32)),)=$E$7,OFFSET(TH!M$1,SMALL(Dong5,ROWS($1:32)),),OFFSET(TH!L$1,SMALL(Dong5,ROWS($1:32)),)))</f>
        <v>331</v>
      </c>
      <c r="F46" s="689">
        <f ca="1">IF(ROWS($1:32)&gt;COUNT(Dong5),0,IF(OFFSET(TH!L$1,SMALL(Dong5,ROWS($1:32)),)=$E$7,OFFSET(TH!K$1,SMALL(Dong5,ROWS($1:32)),),0))</f>
        <v>37000000</v>
      </c>
      <c r="G46" s="686">
        <f ca="1">IF(ROWS($1:32)&gt;COUNT(Dong5),0,IF(OFFSET(TH!M$1,SMALL(Dong5,ROWS($1:32)),)=$E$7,OFFSET(TH!K$1,SMALL(Dong5,ROWS($1:32)),),0))</f>
        <v>0</v>
      </c>
      <c r="H46" s="690">
        <f t="shared" ca="1" si="6"/>
        <v>0</v>
      </c>
      <c r="I46" s="690">
        <f t="shared" ca="1" si="7"/>
        <v>175844470</v>
      </c>
    </row>
    <row r="47" spans="1:9" ht="18" customHeight="1">
      <c r="A47" s="687">
        <f ca="1">IF(ROWS($1:33)&gt;COUNT(Dong5),"",OFFSET(TH!C$1,SMALL(Dong5,ROWS($1:33)),))</f>
        <v>42643</v>
      </c>
      <c r="B47" s="687" t="str">
        <f ca="1">IF(ROWS($1:33)&gt;COUNT(Dong5),"",OFFSET(TH!D$1,SMALL(Dong5,ROWS($1:33)),))</f>
        <v>CTGS</v>
      </c>
      <c r="C47" s="687">
        <f ca="1">IF(ROWS($1:33)&gt;COUNT(Dong5),"",OFFSET(TH!E$1,SMALL(Dong5,ROWS($1:33)),))</f>
        <v>42638</v>
      </c>
      <c r="D47" s="688" t="str">
        <f ca="1">IF(ROWS($1:33)&gt;COUNT(Dong5),"",OFFSET(TH!F$1,SMALL(Dong5,ROWS($1:33)),))</f>
        <v>Tiền thuê xưởng T09/2016</v>
      </c>
      <c r="E47" s="687" t="str">
        <f ca="1">IF(ROWS($1:33)&gt;COUNT(Dong5),"",IF(OFFSET(TH!L$1,SMALL(Dong5,ROWS($1:33)),)=$E$7,OFFSET(TH!M$1,SMALL(Dong5,ROWS($1:33)),),OFFSET(TH!L$1,SMALL(Dong5,ROWS($1:33)),)))</f>
        <v>331</v>
      </c>
      <c r="F47" s="689">
        <f ca="1">IF(ROWS($1:33)&gt;COUNT(Dong5),0,IF(OFFSET(TH!L$1,SMALL(Dong5,ROWS($1:33)),)=$E$7,OFFSET(TH!K$1,SMALL(Dong5,ROWS($1:33)),),0))</f>
        <v>37000000</v>
      </c>
      <c r="G47" s="686">
        <f ca="1">IF(ROWS($1:33)&gt;COUNT(Dong5),0,IF(OFFSET(TH!M$1,SMALL(Dong5,ROWS($1:33)),)=$E$7,OFFSET(TH!K$1,SMALL(Dong5,ROWS($1:33)),),0))</f>
        <v>0</v>
      </c>
      <c r="H47" s="690">
        <f t="shared" ca="1" si="6"/>
        <v>0</v>
      </c>
      <c r="I47" s="690">
        <f t="shared" ca="1" si="7"/>
        <v>138844470</v>
      </c>
    </row>
    <row r="48" spans="1:9" ht="18" customHeight="1">
      <c r="A48" s="687">
        <f ca="1">IF(ROWS($1:34)&gt;COUNT(Dong5),"",OFFSET(TH!C$1,SMALL(Dong5,ROWS($1:34)),))</f>
        <v>42644</v>
      </c>
      <c r="B48" s="687" t="str">
        <f ca="1">IF(ROWS($1:34)&gt;COUNT(Dong5),"",OFFSET(TH!D$1,SMALL(Dong5,ROWS($1:34)),))</f>
        <v>C02</v>
      </c>
      <c r="C48" s="687">
        <f ca="1">IF(ROWS($1:34)&gt;COUNT(Dong5),"",OFFSET(TH!E$1,SMALL(Dong5,ROWS($1:34)),))</f>
        <v>42644</v>
      </c>
      <c r="D48" s="688" t="str">
        <f ca="1">IF(ROWS($1:34)&gt;COUNT(Dong5),"",OFFSET(TH!F$1,SMALL(Dong5,ROWS($1:34)),))</f>
        <v>Vật dụng sửa xe</v>
      </c>
      <c r="E48" s="687" t="str">
        <f ca="1">IF(ROWS($1:34)&gt;COUNT(Dong5),"",IF(OFFSET(TH!L$1,SMALL(Dong5,ROWS($1:34)),)=$E$7,OFFSET(TH!M$1,SMALL(Dong5,ROWS($1:34)),),OFFSET(TH!L$1,SMALL(Dong5,ROWS($1:34)),)))</f>
        <v>1111</v>
      </c>
      <c r="F48" s="689">
        <f ca="1">IF(ROWS($1:34)&gt;COUNT(Dong5),0,IF(OFFSET(TH!L$1,SMALL(Dong5,ROWS($1:34)),)=$E$7,OFFSET(TH!K$1,SMALL(Dong5,ROWS($1:34)),),0))</f>
        <v>3910000</v>
      </c>
      <c r="G48" s="686">
        <f ca="1">IF(ROWS($1:34)&gt;COUNT(Dong5),0,IF(OFFSET(TH!M$1,SMALL(Dong5,ROWS($1:34)),)=$E$7,OFFSET(TH!K$1,SMALL(Dong5,ROWS($1:34)),),0))</f>
        <v>0</v>
      </c>
      <c r="H48" s="690">
        <f t="shared" ca="1" si="6"/>
        <v>0</v>
      </c>
      <c r="I48" s="690">
        <f t="shared" ca="1" si="7"/>
        <v>134934470</v>
      </c>
    </row>
    <row r="49" spans="1:9" ht="18" customHeight="1">
      <c r="A49" s="687">
        <f ca="1">IF(ROWS($1:35)&gt;COUNT(Dong5),"",OFFSET(TH!C$1,SMALL(Dong5,ROWS($1:35)),))</f>
        <v>42647</v>
      </c>
      <c r="B49" s="687" t="str">
        <f ca="1">IF(ROWS($1:35)&gt;COUNT(Dong5),"",OFFSET(TH!D$1,SMALL(Dong5,ROWS($1:35)),))</f>
        <v>GBN</v>
      </c>
      <c r="C49" s="687">
        <f ca="1">IF(ROWS($1:35)&gt;COUNT(Dong5),"",OFFSET(TH!E$1,SMALL(Dong5,ROWS($1:35)),))</f>
        <v>42647</v>
      </c>
      <c r="D49" s="688" t="str">
        <f ca="1">IF(ROWS($1:35)&gt;COUNT(Dong5),"",OFFSET(TH!F$1,SMALL(Dong5,ROWS($1:35)),))</f>
        <v>Phí chuyển tiền</v>
      </c>
      <c r="E49" s="687" t="str">
        <f ca="1">IF(ROWS($1:35)&gt;COUNT(Dong5),"",IF(OFFSET(TH!L$1,SMALL(Dong5,ROWS($1:35)),)=$E$7,OFFSET(TH!M$1,SMALL(Dong5,ROWS($1:35)),),OFFSET(TH!L$1,SMALL(Dong5,ROWS($1:35)),)))</f>
        <v>1121</v>
      </c>
      <c r="F49" s="689">
        <f ca="1">IF(ROWS($1:35)&gt;COUNT(Dong5),0,IF(OFFSET(TH!L$1,SMALL(Dong5,ROWS($1:35)),)=$E$7,OFFSET(TH!K$1,SMALL(Dong5,ROWS($1:35)),),0))</f>
        <v>10000</v>
      </c>
      <c r="G49" s="686">
        <f ca="1">IF(ROWS($1:35)&gt;COUNT(Dong5),0,IF(OFFSET(TH!M$1,SMALL(Dong5,ROWS($1:35)),)=$E$7,OFFSET(TH!K$1,SMALL(Dong5,ROWS($1:35)),),0))</f>
        <v>0</v>
      </c>
      <c r="H49" s="690">
        <f t="shared" ca="1" si="6"/>
        <v>0</v>
      </c>
      <c r="I49" s="690">
        <f t="shared" ca="1" si="7"/>
        <v>134924470</v>
      </c>
    </row>
    <row r="50" spans="1:9" ht="18" customHeight="1">
      <c r="A50" s="687">
        <f ca="1">IF(ROWS($1:36)&gt;COUNT(Dong5),"",OFFSET(TH!C$1,SMALL(Dong5,ROWS($1:36)),))</f>
        <v>42658</v>
      </c>
      <c r="B50" s="687" t="str">
        <f ca="1">IF(ROWS($1:36)&gt;COUNT(Dong5),"",OFFSET(TH!D$1,SMALL(Dong5,ROWS($1:36)),))</f>
        <v>CTGS</v>
      </c>
      <c r="C50" s="687">
        <f ca="1">IF(ROWS($1:36)&gt;COUNT(Dong5),"",OFFSET(TH!E$1,SMALL(Dong5,ROWS($1:36)),))</f>
        <v>42658</v>
      </c>
      <c r="D50" s="688" t="str">
        <f ca="1">IF(ROWS($1:36)&gt;COUNT(Dong5),"",OFFSET(TH!F$1,SMALL(Dong5,ROWS($1:36)),))</f>
        <v>Tiền thuê xưởng T10/2016</v>
      </c>
      <c r="E50" s="687" t="str">
        <f ca="1">IF(ROWS($1:36)&gt;COUNT(Dong5),"",IF(OFFSET(TH!L$1,SMALL(Dong5,ROWS($1:36)),)=$E$7,OFFSET(TH!M$1,SMALL(Dong5,ROWS($1:36)),),OFFSET(TH!L$1,SMALL(Dong5,ROWS($1:36)),)))</f>
        <v>331</v>
      </c>
      <c r="F50" s="689">
        <f ca="1">IF(ROWS($1:36)&gt;COUNT(Dong5),0,IF(OFFSET(TH!L$1,SMALL(Dong5,ROWS($1:36)),)=$E$7,OFFSET(TH!K$1,SMALL(Dong5,ROWS($1:36)),),0))</f>
        <v>37000000</v>
      </c>
      <c r="G50" s="686">
        <f ca="1">IF(ROWS($1:36)&gt;COUNT(Dong5),0,IF(OFFSET(TH!M$1,SMALL(Dong5,ROWS($1:36)),)=$E$7,OFFSET(TH!K$1,SMALL(Dong5,ROWS($1:36)),),0))</f>
        <v>0</v>
      </c>
      <c r="H50" s="690">
        <f t="shared" ca="1" si="6"/>
        <v>0</v>
      </c>
      <c r="I50" s="690">
        <f t="shared" ca="1" si="7"/>
        <v>97924470</v>
      </c>
    </row>
    <row r="51" spans="1:9" ht="18" customHeight="1">
      <c r="A51" s="687">
        <f ca="1">IF(ROWS($1:37)&gt;COUNT(Dong5),"",OFFSET(TH!C$1,SMALL(Dong5,ROWS($1:37)),))</f>
        <v>42663</v>
      </c>
      <c r="B51" s="687" t="str">
        <f ca="1">IF(ROWS($1:37)&gt;COUNT(Dong5),"",OFFSET(TH!D$1,SMALL(Dong5,ROWS($1:37)),))</f>
        <v>C07</v>
      </c>
      <c r="C51" s="687">
        <f ca="1">IF(ROWS($1:37)&gt;COUNT(Dong5),"",OFFSET(TH!E$1,SMALL(Dong5,ROWS($1:37)),))</f>
        <v>42663</v>
      </c>
      <c r="D51" s="688" t="str">
        <f ca="1">IF(ROWS($1:37)&gt;COUNT(Dong5),"",OFFSET(TH!F$1,SMALL(Dong5,ROWS($1:37)),))</f>
        <v>Văn phòng phẩm</v>
      </c>
      <c r="E51" s="687" t="str">
        <f ca="1">IF(ROWS($1:37)&gt;COUNT(Dong5),"",IF(OFFSET(TH!L$1,SMALL(Dong5,ROWS($1:37)),)=$E$7,OFFSET(TH!M$1,SMALL(Dong5,ROWS($1:37)),),OFFSET(TH!L$1,SMALL(Dong5,ROWS($1:37)),)))</f>
        <v>1111</v>
      </c>
      <c r="F51" s="689">
        <f ca="1">IF(ROWS($1:37)&gt;COUNT(Dong5),0,IF(OFFSET(TH!L$1,SMALL(Dong5,ROWS($1:37)),)=$E$7,OFFSET(TH!K$1,SMALL(Dong5,ROWS($1:37)),),0))</f>
        <v>934000</v>
      </c>
      <c r="G51" s="686">
        <f ca="1">IF(ROWS($1:37)&gt;COUNT(Dong5),0,IF(OFFSET(TH!M$1,SMALL(Dong5,ROWS($1:37)),)=$E$7,OFFSET(TH!K$1,SMALL(Dong5,ROWS($1:37)),),0))</f>
        <v>0</v>
      </c>
      <c r="H51" s="690">
        <f t="shared" ca="1" si="6"/>
        <v>0</v>
      </c>
      <c r="I51" s="690">
        <f t="shared" ca="1" si="7"/>
        <v>96990470</v>
      </c>
    </row>
    <row r="52" spans="1:9" ht="18" customHeight="1">
      <c r="A52" s="687">
        <f ca="1">IF(ROWS($1:38)&gt;COUNT(Dong5),"",OFFSET(TH!C$1,SMALL(Dong5,ROWS($1:38)),))</f>
        <v>42668</v>
      </c>
      <c r="B52" s="687" t="str">
        <f ca="1">IF(ROWS($1:38)&gt;COUNT(Dong5),"",OFFSET(TH!D$1,SMALL(Dong5,ROWS($1:38)),))</f>
        <v>GBN</v>
      </c>
      <c r="C52" s="687">
        <f ca="1">IF(ROWS($1:38)&gt;COUNT(Dong5),"",OFFSET(TH!E$1,SMALL(Dong5,ROWS($1:38)),))</f>
        <v>42668</v>
      </c>
      <c r="D52" s="688" t="str">
        <f ca="1">IF(ROWS($1:38)&gt;COUNT(Dong5),"",OFFSET(TH!F$1,SMALL(Dong5,ROWS($1:38)),))</f>
        <v>Phí quản lý tài khoản</v>
      </c>
      <c r="E52" s="687" t="str">
        <f ca="1">IF(ROWS($1:38)&gt;COUNT(Dong5),"",IF(OFFSET(TH!L$1,SMALL(Dong5,ROWS($1:38)),)=$E$7,OFFSET(TH!M$1,SMALL(Dong5,ROWS($1:38)),),OFFSET(TH!L$1,SMALL(Dong5,ROWS($1:38)),)))</f>
        <v>1121</v>
      </c>
      <c r="F52" s="689">
        <f ca="1">IF(ROWS($1:38)&gt;COUNT(Dong5),0,IF(OFFSET(TH!L$1,SMALL(Dong5,ROWS($1:38)),)=$E$7,OFFSET(TH!K$1,SMALL(Dong5,ROWS($1:38)),),0))</f>
        <v>10000</v>
      </c>
      <c r="G52" s="686">
        <f ca="1">IF(ROWS($1:38)&gt;COUNT(Dong5),0,IF(OFFSET(TH!M$1,SMALL(Dong5,ROWS($1:38)),)=$E$7,OFFSET(TH!K$1,SMALL(Dong5,ROWS($1:38)),),0))</f>
        <v>0</v>
      </c>
      <c r="H52" s="690">
        <f t="shared" ca="1" si="6"/>
        <v>0</v>
      </c>
      <c r="I52" s="690">
        <f t="shared" ca="1" si="7"/>
        <v>96980470</v>
      </c>
    </row>
    <row r="53" spans="1:9" ht="18" customHeight="1">
      <c r="A53" s="687">
        <f ca="1">IF(ROWS($1:39)&gt;COUNT(Dong5),"",OFFSET(TH!C$1,SMALL(Dong5,ROWS($1:39)),))</f>
        <v>42674</v>
      </c>
      <c r="B53" s="687" t="str">
        <f ca="1">IF(ROWS($1:39)&gt;COUNT(Dong5),"",OFFSET(TH!D$1,SMALL(Dong5,ROWS($1:39)),))</f>
        <v>CTGS</v>
      </c>
      <c r="C53" s="687">
        <f ca="1">IF(ROWS($1:39)&gt;COUNT(Dong5),"",OFFSET(TH!E$1,SMALL(Dong5,ROWS($1:39)),))</f>
        <v>42674</v>
      </c>
      <c r="D53" s="688" t="str">
        <f ca="1">IF(ROWS($1:39)&gt;COUNT(Dong5),"",OFFSET(TH!F$1,SMALL(Dong5,ROWS($1:39)),))</f>
        <v>Tiền lương BP Văn phòng</v>
      </c>
      <c r="E53" s="687" t="str">
        <f ca="1">IF(ROWS($1:39)&gt;COUNT(Dong5),"",IF(OFFSET(TH!L$1,SMALL(Dong5,ROWS($1:39)),)=$E$7,OFFSET(TH!M$1,SMALL(Dong5,ROWS($1:39)),),OFFSET(TH!L$1,SMALL(Dong5,ROWS($1:39)),)))</f>
        <v>3341</v>
      </c>
      <c r="F53" s="689">
        <f ca="1">IF(ROWS($1:39)&gt;COUNT(Dong5),0,IF(OFFSET(TH!L$1,SMALL(Dong5,ROWS($1:39)),)=$E$7,OFFSET(TH!K$1,SMALL(Dong5,ROWS($1:39)),),0))</f>
        <v>4390000</v>
      </c>
      <c r="G53" s="686">
        <f ca="1">IF(ROWS($1:39)&gt;COUNT(Dong5),0,IF(OFFSET(TH!M$1,SMALL(Dong5,ROWS($1:39)),)=$E$7,OFFSET(TH!K$1,SMALL(Dong5,ROWS($1:39)),),0))</f>
        <v>0</v>
      </c>
      <c r="H53" s="690">
        <f t="shared" ca="1" si="6"/>
        <v>0</v>
      </c>
      <c r="I53" s="690">
        <f t="shared" ca="1" si="7"/>
        <v>92590470</v>
      </c>
    </row>
    <row r="54" spans="1:9" ht="18" customHeight="1">
      <c r="A54" s="687">
        <f ca="1">IF(ROWS($1:40)&gt;COUNT(Dong5),"",OFFSET(TH!C$1,SMALL(Dong5,ROWS($1:40)),))</f>
        <v>42678</v>
      </c>
      <c r="B54" s="687" t="str">
        <f ca="1">IF(ROWS($1:40)&gt;COUNT(Dong5),"",OFFSET(TH!D$1,SMALL(Dong5,ROWS($1:40)),))</f>
        <v>GBN</v>
      </c>
      <c r="C54" s="687">
        <f ca="1">IF(ROWS($1:40)&gt;COUNT(Dong5),"",OFFSET(TH!E$1,SMALL(Dong5,ROWS($1:40)),))</f>
        <v>42678</v>
      </c>
      <c r="D54" s="688" t="str">
        <f ca="1">IF(ROWS($1:40)&gt;COUNT(Dong5),"",OFFSET(TH!F$1,SMALL(Dong5,ROWS($1:40)),))</f>
        <v>Phí chuyển tiền</v>
      </c>
      <c r="E54" s="687" t="str">
        <f ca="1">IF(ROWS($1:40)&gt;COUNT(Dong5),"",IF(OFFSET(TH!L$1,SMALL(Dong5,ROWS($1:40)),)=$E$7,OFFSET(TH!M$1,SMALL(Dong5,ROWS($1:40)),),OFFSET(TH!L$1,SMALL(Dong5,ROWS($1:40)),)))</f>
        <v>1121</v>
      </c>
      <c r="F54" s="689">
        <f ca="1">IF(ROWS($1:40)&gt;COUNT(Dong5),0,IF(OFFSET(TH!L$1,SMALL(Dong5,ROWS($1:40)),)=$E$7,OFFSET(TH!K$1,SMALL(Dong5,ROWS($1:40)),),0))</f>
        <v>20000</v>
      </c>
      <c r="G54" s="686">
        <f ca="1">IF(ROWS($1:40)&gt;COUNT(Dong5),0,IF(OFFSET(TH!M$1,SMALL(Dong5,ROWS($1:40)),)=$E$7,OFFSET(TH!K$1,SMALL(Dong5,ROWS($1:40)),),0))</f>
        <v>0</v>
      </c>
      <c r="H54" s="690">
        <f t="shared" ca="1" si="6"/>
        <v>0</v>
      </c>
      <c r="I54" s="690">
        <f t="shared" ca="1" si="7"/>
        <v>92570470</v>
      </c>
    </row>
    <row r="55" spans="1:9" ht="18" customHeight="1">
      <c r="A55" s="687">
        <f ca="1">IF(ROWS($1:41)&gt;COUNT(Dong5),"",OFFSET(TH!C$1,SMALL(Dong5,ROWS($1:41)),))</f>
        <v>42679</v>
      </c>
      <c r="B55" s="687" t="str">
        <f ca="1">IF(ROWS($1:41)&gt;COUNT(Dong5),"",OFFSET(TH!D$1,SMALL(Dong5,ROWS($1:41)),))</f>
        <v>C13</v>
      </c>
      <c r="C55" s="687">
        <f ca="1">IF(ROWS($1:41)&gt;COUNT(Dong5),"",OFFSET(TH!E$1,SMALL(Dong5,ROWS($1:41)),))</f>
        <v>42679</v>
      </c>
      <c r="D55" s="688" t="str">
        <f ca="1">IF(ROWS($1:41)&gt;COUNT(Dong5),"",OFFSET(TH!F$1,SMALL(Dong5,ROWS($1:41)),))</f>
        <v>Vật dụng sửa xe</v>
      </c>
      <c r="E55" s="687" t="str">
        <f ca="1">IF(ROWS($1:41)&gt;COUNT(Dong5),"",IF(OFFSET(TH!L$1,SMALL(Dong5,ROWS($1:41)),)=$E$7,OFFSET(TH!M$1,SMALL(Dong5,ROWS($1:41)),),OFFSET(TH!L$1,SMALL(Dong5,ROWS($1:41)),)))</f>
        <v>1111</v>
      </c>
      <c r="F55" s="689">
        <f ca="1">IF(ROWS($1:41)&gt;COUNT(Dong5),0,IF(OFFSET(TH!L$1,SMALL(Dong5,ROWS($1:41)),)=$E$7,OFFSET(TH!K$1,SMALL(Dong5,ROWS($1:41)),),0))</f>
        <v>3910000</v>
      </c>
      <c r="G55" s="686">
        <f ca="1">IF(ROWS($1:41)&gt;COUNT(Dong5),0,IF(OFFSET(TH!M$1,SMALL(Dong5,ROWS($1:41)),)=$E$7,OFFSET(TH!K$1,SMALL(Dong5,ROWS($1:41)),),0))</f>
        <v>0</v>
      </c>
      <c r="H55" s="690">
        <f t="shared" ca="1" si="6"/>
        <v>0</v>
      </c>
      <c r="I55" s="690">
        <f t="shared" ca="1" si="7"/>
        <v>88660470</v>
      </c>
    </row>
    <row r="56" spans="1:9" ht="18" customHeight="1">
      <c r="A56" s="687">
        <f ca="1">IF(ROWS($1:42)&gt;COUNT(Dong5),"",OFFSET(TH!C$1,SMALL(Dong5,ROWS($1:42)),))</f>
        <v>42683</v>
      </c>
      <c r="B56" s="687" t="str">
        <f ca="1">IF(ROWS($1:42)&gt;COUNT(Dong5),"",OFFSET(TH!D$1,SMALL(Dong5,ROWS($1:42)),))</f>
        <v>C14</v>
      </c>
      <c r="C56" s="687">
        <f ca="1">IF(ROWS($1:42)&gt;COUNT(Dong5),"",OFFSET(TH!E$1,SMALL(Dong5,ROWS($1:42)),))</f>
        <v>42683</v>
      </c>
      <c r="D56" s="688" t="str">
        <f ca="1">IF(ROWS($1:42)&gt;COUNT(Dong5),"",OFFSET(TH!F$1,SMALL(Dong5,ROWS($1:42)),))</f>
        <v>Xe nâng tay</v>
      </c>
      <c r="E56" s="687" t="str">
        <f ca="1">IF(ROWS($1:42)&gt;COUNT(Dong5),"",IF(OFFSET(TH!L$1,SMALL(Dong5,ROWS($1:42)),)=$E$7,OFFSET(TH!M$1,SMALL(Dong5,ROWS($1:42)),),OFFSET(TH!L$1,SMALL(Dong5,ROWS($1:42)),)))</f>
        <v>1111</v>
      </c>
      <c r="F56" s="689">
        <f ca="1">IF(ROWS($1:42)&gt;COUNT(Dong5),0,IF(OFFSET(TH!L$1,SMALL(Dong5,ROWS($1:42)),)=$E$7,OFFSET(TH!K$1,SMALL(Dong5,ROWS($1:42)),),0))</f>
        <v>3150000</v>
      </c>
      <c r="G56" s="686">
        <f ca="1">IF(ROWS($1:42)&gt;COUNT(Dong5),0,IF(OFFSET(TH!M$1,SMALL(Dong5,ROWS($1:42)),)=$E$7,OFFSET(TH!K$1,SMALL(Dong5,ROWS($1:42)),),0))</f>
        <v>0</v>
      </c>
      <c r="H56" s="690">
        <f t="shared" ca="1" si="6"/>
        <v>0</v>
      </c>
      <c r="I56" s="690">
        <f t="shared" ca="1" si="7"/>
        <v>85510470</v>
      </c>
    </row>
    <row r="57" spans="1:9" ht="18" customHeight="1">
      <c r="A57" s="687">
        <f ca="1">IF(ROWS($1:43)&gt;COUNT(Dong5),"",OFFSET(TH!C$1,SMALL(Dong5,ROWS($1:43)),))</f>
        <v>42685</v>
      </c>
      <c r="B57" s="687" t="str">
        <f ca="1">IF(ROWS($1:43)&gt;COUNT(Dong5),"",OFFSET(TH!D$1,SMALL(Dong5,ROWS($1:43)),))</f>
        <v>GBN</v>
      </c>
      <c r="C57" s="687">
        <f ca="1">IF(ROWS($1:43)&gt;COUNT(Dong5),"",OFFSET(TH!E$1,SMALL(Dong5,ROWS($1:43)),))</f>
        <v>42685</v>
      </c>
      <c r="D57" s="688" t="str">
        <f ca="1">IF(ROWS($1:43)&gt;COUNT(Dong5),"",OFFSET(TH!F$1,SMALL(Dong5,ROWS($1:43)),))</f>
        <v>Phí chuyển tiền</v>
      </c>
      <c r="E57" s="687" t="str">
        <f ca="1">IF(ROWS($1:43)&gt;COUNT(Dong5),"",IF(OFFSET(TH!L$1,SMALL(Dong5,ROWS($1:43)),)=$E$7,OFFSET(TH!M$1,SMALL(Dong5,ROWS($1:43)),),OFFSET(TH!L$1,SMALL(Dong5,ROWS($1:43)),)))</f>
        <v>1121</v>
      </c>
      <c r="F57" s="689">
        <f ca="1">IF(ROWS($1:43)&gt;COUNT(Dong5),0,IF(OFFSET(TH!L$1,SMALL(Dong5,ROWS($1:43)),)=$E$7,OFFSET(TH!K$1,SMALL(Dong5,ROWS($1:43)),),0))</f>
        <v>20000</v>
      </c>
      <c r="G57" s="686">
        <f ca="1">IF(ROWS($1:43)&gt;COUNT(Dong5),0,IF(OFFSET(TH!M$1,SMALL(Dong5,ROWS($1:43)),)=$E$7,OFFSET(TH!K$1,SMALL(Dong5,ROWS($1:43)),),0))</f>
        <v>0</v>
      </c>
      <c r="H57" s="690">
        <f t="shared" ca="1" si="6"/>
        <v>0</v>
      </c>
      <c r="I57" s="690">
        <f t="shared" ca="1" si="7"/>
        <v>85490470</v>
      </c>
    </row>
    <row r="58" spans="1:9" ht="18" customHeight="1">
      <c r="A58" s="687">
        <f ca="1">IF(ROWS($1:44)&gt;COUNT(Dong5),"",OFFSET(TH!C$1,SMALL(Dong5,ROWS($1:44)),))</f>
        <v>42688</v>
      </c>
      <c r="B58" s="687" t="str">
        <f ca="1">IF(ROWS($1:44)&gt;COUNT(Dong5),"",OFFSET(TH!D$1,SMALL(Dong5,ROWS($1:44)),))</f>
        <v>GBN</v>
      </c>
      <c r="C58" s="687">
        <f ca="1">IF(ROWS($1:44)&gt;COUNT(Dong5),"",OFFSET(TH!E$1,SMALL(Dong5,ROWS($1:44)),))</f>
        <v>42688</v>
      </c>
      <c r="D58" s="688" t="str">
        <f ca="1">IF(ROWS($1:44)&gt;COUNT(Dong5),"",OFFSET(TH!F$1,SMALL(Dong5,ROWS($1:44)),))</f>
        <v>Phí nộp tiền chuyển trong ngày</v>
      </c>
      <c r="E58" s="687" t="str">
        <f ca="1">IF(ROWS($1:44)&gt;COUNT(Dong5),"",IF(OFFSET(TH!L$1,SMALL(Dong5,ROWS($1:44)),)=$E$7,OFFSET(TH!M$1,SMALL(Dong5,ROWS($1:44)),),OFFSET(TH!L$1,SMALL(Dong5,ROWS($1:44)),)))</f>
        <v>1121</v>
      </c>
      <c r="F58" s="689">
        <f ca="1">IF(ROWS($1:44)&gt;COUNT(Dong5),0,IF(OFFSET(TH!L$1,SMALL(Dong5,ROWS($1:44)),)=$E$7,OFFSET(TH!K$1,SMALL(Dong5,ROWS($1:44)),),0))</f>
        <v>20000</v>
      </c>
      <c r="G58" s="686">
        <f ca="1">IF(ROWS($1:44)&gt;COUNT(Dong5),0,IF(OFFSET(TH!M$1,SMALL(Dong5,ROWS($1:44)),)=$E$7,OFFSET(TH!K$1,SMALL(Dong5,ROWS($1:44)),),0))</f>
        <v>0</v>
      </c>
      <c r="H58" s="690">
        <f t="shared" ca="1" si="6"/>
        <v>0</v>
      </c>
      <c r="I58" s="690">
        <f t="shared" ca="1" si="7"/>
        <v>85470470</v>
      </c>
    </row>
    <row r="59" spans="1:9" ht="18" customHeight="1">
      <c r="A59" s="687">
        <f ca="1">IF(ROWS($1:45)&gt;COUNT(Dong5),"",OFFSET(TH!C$1,SMALL(Dong5,ROWS($1:45)),))</f>
        <v>42688</v>
      </c>
      <c r="B59" s="687" t="str">
        <f ca="1">IF(ROWS($1:45)&gt;COUNT(Dong5),"",OFFSET(TH!D$1,SMALL(Dong5,ROWS($1:45)),))</f>
        <v>GBN</v>
      </c>
      <c r="C59" s="687">
        <f ca="1">IF(ROWS($1:45)&gt;COUNT(Dong5),"",OFFSET(TH!E$1,SMALL(Dong5,ROWS($1:45)),))</f>
        <v>42688</v>
      </c>
      <c r="D59" s="688" t="str">
        <f ca="1">IF(ROWS($1:45)&gt;COUNT(Dong5),"",OFFSET(TH!F$1,SMALL(Dong5,ROWS($1:45)),))</f>
        <v>Phí chuyển tiền</v>
      </c>
      <c r="E59" s="687" t="str">
        <f ca="1">IF(ROWS($1:45)&gt;COUNT(Dong5),"",IF(OFFSET(TH!L$1,SMALL(Dong5,ROWS($1:45)),)=$E$7,OFFSET(TH!M$1,SMALL(Dong5,ROWS($1:45)),),OFFSET(TH!L$1,SMALL(Dong5,ROWS($1:45)),)))</f>
        <v>1121</v>
      </c>
      <c r="F59" s="689">
        <f ca="1">IF(ROWS($1:45)&gt;COUNT(Dong5),0,IF(OFFSET(TH!L$1,SMALL(Dong5,ROWS($1:45)),)=$E$7,OFFSET(TH!K$1,SMALL(Dong5,ROWS($1:45)),),0))</f>
        <v>10000</v>
      </c>
      <c r="G59" s="686">
        <f ca="1">IF(ROWS($1:45)&gt;COUNT(Dong5),0,IF(OFFSET(TH!M$1,SMALL(Dong5,ROWS($1:45)),)=$E$7,OFFSET(TH!K$1,SMALL(Dong5,ROWS($1:45)),),0))</f>
        <v>0</v>
      </c>
      <c r="H59" s="690">
        <f t="shared" ca="1" si="6"/>
        <v>0</v>
      </c>
      <c r="I59" s="690">
        <f t="shared" ca="1" si="7"/>
        <v>85460470</v>
      </c>
    </row>
    <row r="60" spans="1:9" ht="18" customHeight="1">
      <c r="A60" s="687">
        <f ca="1">IF(ROWS($1:46)&gt;COUNT(Dong5),"",OFFSET(TH!C$1,SMALL(Dong5,ROWS($1:46)),))</f>
        <v>42689</v>
      </c>
      <c r="B60" s="687" t="str">
        <f ca="1">IF(ROWS($1:46)&gt;COUNT(Dong5),"",OFFSET(TH!D$1,SMALL(Dong5,ROWS($1:46)),))</f>
        <v>CTGS</v>
      </c>
      <c r="C60" s="687">
        <f ca="1">IF(ROWS($1:46)&gt;COUNT(Dong5),"",OFFSET(TH!E$1,SMALL(Dong5,ROWS($1:46)),))</f>
        <v>42689</v>
      </c>
      <c r="D60" s="688" t="str">
        <f ca="1">IF(ROWS($1:46)&gt;COUNT(Dong5),"",OFFSET(TH!F$1,SMALL(Dong5,ROWS($1:46)),))</f>
        <v>Tiền thuê xưởng T11/2016</v>
      </c>
      <c r="E60" s="687" t="str">
        <f ca="1">IF(ROWS($1:46)&gt;COUNT(Dong5),"",IF(OFFSET(TH!L$1,SMALL(Dong5,ROWS($1:46)),)=$E$7,OFFSET(TH!M$1,SMALL(Dong5,ROWS($1:46)),),OFFSET(TH!L$1,SMALL(Dong5,ROWS($1:46)),)))</f>
        <v>331</v>
      </c>
      <c r="F60" s="689">
        <f ca="1">IF(ROWS($1:46)&gt;COUNT(Dong5),0,IF(OFFSET(TH!L$1,SMALL(Dong5,ROWS($1:46)),)=$E$7,OFFSET(TH!K$1,SMALL(Dong5,ROWS($1:46)),),0))</f>
        <v>37000000</v>
      </c>
      <c r="G60" s="686">
        <f ca="1">IF(ROWS($1:46)&gt;COUNT(Dong5),0,IF(OFFSET(TH!M$1,SMALL(Dong5,ROWS($1:46)),)=$E$7,OFFSET(TH!K$1,SMALL(Dong5,ROWS($1:46)),),0))</f>
        <v>0</v>
      </c>
      <c r="H60" s="690">
        <f t="shared" ca="1" si="6"/>
        <v>0</v>
      </c>
      <c r="I60" s="690">
        <f t="shared" ca="1" si="7"/>
        <v>48460470</v>
      </c>
    </row>
    <row r="61" spans="1:9" ht="18" customHeight="1">
      <c r="A61" s="687"/>
      <c r="B61" s="687"/>
      <c r="C61" s="687"/>
      <c r="D61" s="688"/>
      <c r="E61" s="687"/>
      <c r="F61" s="689"/>
      <c r="G61" s="686"/>
      <c r="H61" s="690"/>
      <c r="I61" s="690"/>
    </row>
    <row r="62" spans="1:9" ht="18" customHeight="1">
      <c r="A62" s="687"/>
      <c r="B62" s="691"/>
      <c r="C62" s="687"/>
      <c r="D62" s="692" t="s">
        <v>129</v>
      </c>
      <c r="E62" s="691" t="s">
        <v>19</v>
      </c>
      <c r="F62" s="693">
        <f ca="1">SUM(F15:F61)</f>
        <v>242277510</v>
      </c>
      <c r="G62" s="693">
        <f ca="1">SUM(G15:G61)</f>
        <v>290737980</v>
      </c>
      <c r="H62" s="693" t="s">
        <v>19</v>
      </c>
      <c r="I62" s="693" t="s">
        <v>19</v>
      </c>
    </row>
    <row r="63" spans="1:9" ht="18" customHeight="1">
      <c r="A63" s="694"/>
      <c r="B63" s="695"/>
      <c r="C63" s="694"/>
      <c r="D63" s="696" t="s">
        <v>10</v>
      </c>
      <c r="E63" s="695" t="s">
        <v>19</v>
      </c>
      <c r="F63" s="697" t="s">
        <v>19</v>
      </c>
      <c r="G63" s="697" t="s">
        <v>19</v>
      </c>
      <c r="H63" s="698">
        <f ca="1">MAX(H14+F62-G62-I14,0)</f>
        <v>0</v>
      </c>
      <c r="I63" s="698">
        <f ca="1">MAX(I14+G62-F62-H14,0)</f>
        <v>48460470</v>
      </c>
    </row>
    <row r="64" spans="1:9" ht="9.75" customHeight="1"/>
    <row r="65" spans="1:9">
      <c r="C65" s="97" t="s">
        <v>150</v>
      </c>
    </row>
    <row r="66" spans="1:9">
      <c r="C66" s="699" t="str">
        <f ca="1">"- Ngày mở sổ: "&amp;DAY($A$15)&amp;"/"&amp;MONTH($A$15)&amp;"/ " &amp;YEAR($A$15)</f>
        <v>- Ngày mở sổ: 31/12/ 2016</v>
      </c>
    </row>
    <row r="67" spans="1:9" ht="13.5" customHeight="1">
      <c r="E67" s="863" t="str">
        <f ca="1">"Ngày 31 tháng  12  năm  "&amp;YEAR($A$15)</f>
        <v>Ngày 31 tháng  12  năm  2016</v>
      </c>
      <c r="F67" s="863"/>
      <c r="G67" s="863"/>
      <c r="H67" s="863"/>
      <c r="I67" s="863"/>
    </row>
    <row r="68" spans="1:9">
      <c r="A68" s="863" t="s">
        <v>11</v>
      </c>
      <c r="B68" s="863"/>
      <c r="C68" s="863"/>
      <c r="D68" s="863"/>
      <c r="E68" s="863" t="s">
        <v>12</v>
      </c>
      <c r="F68" s="863"/>
      <c r="G68" s="863"/>
      <c r="H68" s="863"/>
      <c r="I68" s="863"/>
    </row>
    <row r="69" spans="1:9">
      <c r="A69" s="863" t="s">
        <v>13</v>
      </c>
      <c r="B69" s="863"/>
      <c r="C69" s="863"/>
      <c r="D69" s="863"/>
      <c r="E69" s="863" t="s">
        <v>13</v>
      </c>
      <c r="F69" s="863"/>
      <c r="G69" s="863"/>
      <c r="H69" s="863"/>
      <c r="I69" s="863"/>
    </row>
  </sheetData>
  <mergeCells count="17">
    <mergeCell ref="A68:D68"/>
    <mergeCell ref="E68:I68"/>
    <mergeCell ref="A69:D69"/>
    <mergeCell ref="E69:I69"/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37"/>
  <sheetViews>
    <sheetView topLeftCell="A10" zoomScale="90" workbookViewId="0">
      <pane ySplit="4" topLeftCell="A14" activePane="bottomLeft" state="frozen"/>
      <selection activeCell="A10" sqref="A10"/>
      <selection pane="bottomLeft" activeCell="A14" sqref="A14:XFD14"/>
    </sheetView>
  </sheetViews>
  <sheetFormatPr defaultRowHeight="15"/>
  <cols>
    <col min="1" max="2" width="8.7109375" style="77" customWidth="1"/>
    <col min="3" max="4" width="6.5703125" style="77" customWidth="1"/>
    <col min="5" max="5" width="34.5703125" style="77" customWidth="1"/>
    <col min="6" max="6" width="6.28515625" style="77" customWidth="1"/>
    <col min="7" max="9" width="14.42578125" style="77" customWidth="1"/>
    <col min="10" max="10" width="6.28515625" style="77" customWidth="1"/>
    <col min="11" max="11" width="2.140625" style="77" customWidth="1"/>
    <col min="12" max="12" width="10" style="77" customWidth="1"/>
    <col min="13" max="13" width="3.28515625" style="77" customWidth="1"/>
    <col min="14" max="15" width="6.140625" style="77" customWidth="1"/>
    <col min="16" max="16384" width="9.140625" style="77"/>
  </cols>
  <sheetData>
    <row r="1" spans="1:15" s="300" customFormat="1" ht="16.5" customHeight="1">
      <c r="A1" s="100" t="str">
        <f>TH!A1</f>
        <v>Đơn vị: CÔNG TY TNHH BAO BÌ GIẤY KIM DUNG PHÁT</v>
      </c>
      <c r="B1" s="2"/>
      <c r="C1" s="2"/>
      <c r="D1" s="2"/>
      <c r="E1" s="2"/>
      <c r="G1" s="859" t="s">
        <v>115</v>
      </c>
      <c r="H1" s="859"/>
      <c r="I1" s="859"/>
      <c r="J1" s="859"/>
    </row>
    <row r="2" spans="1:15" s="300" customFormat="1" ht="16.5" customHeight="1">
      <c r="A2" s="63" t="str">
        <f>TH!A2</f>
        <v>Địa chỉ: Ấp Rừng Sến, xã Mỹ Hạnh Bắc, Huyện Đức Hòa, Tỉnh Long An, Việt Nam</v>
      </c>
      <c r="B2" s="657"/>
      <c r="C2" s="657"/>
      <c r="D2" s="657"/>
      <c r="E2" s="657"/>
      <c r="G2" s="860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60"/>
      <c r="I2" s="860"/>
      <c r="J2" s="860"/>
    </row>
    <row r="3" spans="1:15" s="300" customFormat="1" ht="16.5" customHeight="1">
      <c r="A3" s="412"/>
      <c r="B3" s="657"/>
      <c r="C3" s="76"/>
      <c r="D3" s="76"/>
      <c r="E3" s="657"/>
      <c r="G3" s="860"/>
      <c r="H3" s="860"/>
      <c r="I3" s="860"/>
      <c r="J3" s="860"/>
    </row>
    <row r="4" spans="1:15" s="300" customFormat="1" ht="6.75" customHeight="1">
      <c r="A4" s="657"/>
      <c r="B4" s="657"/>
      <c r="C4" s="657"/>
      <c r="D4" s="657"/>
      <c r="E4" s="657"/>
      <c r="G4" s="658"/>
      <c r="H4" s="658"/>
      <c r="I4" s="658"/>
      <c r="J4" s="658"/>
    </row>
    <row r="5" spans="1:15" ht="30.75" customHeight="1">
      <c r="A5" s="869" t="s">
        <v>116</v>
      </c>
      <c r="B5" s="869"/>
      <c r="C5" s="869"/>
      <c r="D5" s="869"/>
      <c r="E5" s="869"/>
      <c r="F5" s="869"/>
      <c r="G5" s="869"/>
      <c r="H5" s="869"/>
      <c r="I5" s="869"/>
      <c r="J5" s="869"/>
    </row>
    <row r="6" spans="1:15" ht="14.25" customHeight="1">
      <c r="A6" s="871" t="str">
        <f ca="1">$L$11&amp;" / "&amp;YEAR($A$14)</f>
        <v>Quý IV / 2016</v>
      </c>
      <c r="B6" s="871"/>
      <c r="C6" s="871"/>
      <c r="D6" s="871"/>
      <c r="E6" s="871"/>
      <c r="F6" s="871"/>
      <c r="G6" s="871"/>
      <c r="H6" s="871"/>
      <c r="I6" s="871"/>
      <c r="J6" s="871"/>
    </row>
    <row r="7" spans="1:15">
      <c r="A7" s="870" t="s">
        <v>117</v>
      </c>
      <c r="B7" s="870"/>
      <c r="C7" s="870"/>
      <c r="D7" s="870"/>
      <c r="E7" s="870"/>
      <c r="F7" s="870"/>
      <c r="G7" s="870"/>
      <c r="H7" s="870"/>
      <c r="I7" s="870"/>
      <c r="J7" s="870"/>
    </row>
    <row r="8" spans="1:15">
      <c r="A8" s="870" t="s">
        <v>118</v>
      </c>
      <c r="B8" s="870"/>
      <c r="C8" s="870"/>
      <c r="D8" s="870"/>
      <c r="E8" s="870"/>
      <c r="F8" s="870"/>
      <c r="G8" s="870"/>
      <c r="H8" s="870"/>
      <c r="I8" s="870"/>
      <c r="J8" s="870"/>
    </row>
    <row r="9" spans="1:15">
      <c r="A9" s="78"/>
      <c r="I9" s="78" t="s">
        <v>119</v>
      </c>
    </row>
    <row r="10" spans="1:15" ht="33" customHeight="1" thickBot="1">
      <c r="A10" s="873" t="s">
        <v>20</v>
      </c>
      <c r="B10" s="873" t="s">
        <v>120</v>
      </c>
      <c r="C10" s="872" t="s">
        <v>121</v>
      </c>
      <c r="D10" s="872"/>
      <c r="E10" s="872" t="s">
        <v>0</v>
      </c>
      <c r="F10" s="873" t="s">
        <v>14</v>
      </c>
      <c r="G10" s="872" t="s">
        <v>21</v>
      </c>
      <c r="H10" s="872"/>
      <c r="I10" s="872" t="s">
        <v>122</v>
      </c>
      <c r="J10" s="872" t="s">
        <v>123</v>
      </c>
      <c r="L10" s="660"/>
      <c r="N10" s="855" t="s">
        <v>323</v>
      </c>
      <c r="O10" s="855"/>
    </row>
    <row r="11" spans="1:15" ht="24" customHeight="1" thickBot="1">
      <c r="A11" s="874"/>
      <c r="B11" s="874"/>
      <c r="C11" s="661" t="s">
        <v>124</v>
      </c>
      <c r="D11" s="661" t="s">
        <v>125</v>
      </c>
      <c r="E11" s="872"/>
      <c r="F11" s="874"/>
      <c r="G11" s="661" t="s">
        <v>22</v>
      </c>
      <c r="H11" s="661" t="s">
        <v>23</v>
      </c>
      <c r="I11" s="872"/>
      <c r="J11" s="872"/>
      <c r="L11" s="457" t="s">
        <v>361</v>
      </c>
      <c r="N11" s="519">
        <f>IF(L11="Quý I",1,IF(L11="Quý II",4,IF(L11="Quý III",7,IF(L11="Quý IV",10,""))))</f>
        <v>10</v>
      </c>
      <c r="O11" s="519">
        <f>IF(L11="Quý I",3,IF(L11="Quý II",6,IF(L11="Quý III",9,IF(L11="Quý IV",12,""))))</f>
        <v>12</v>
      </c>
    </row>
    <row r="12" spans="1:15" ht="11.25" customHeight="1">
      <c r="A12" s="661" t="s">
        <v>2</v>
      </c>
      <c r="B12" s="661" t="s">
        <v>3</v>
      </c>
      <c r="C12" s="661" t="s">
        <v>4</v>
      </c>
      <c r="D12" s="661" t="s">
        <v>5</v>
      </c>
      <c r="E12" s="661" t="s">
        <v>6</v>
      </c>
      <c r="F12" s="661" t="s">
        <v>126</v>
      </c>
      <c r="G12" s="661">
        <v>1</v>
      </c>
      <c r="H12" s="661">
        <v>2</v>
      </c>
      <c r="I12" s="661">
        <v>3</v>
      </c>
      <c r="J12" s="661" t="s">
        <v>127</v>
      </c>
      <c r="N12" s="420"/>
      <c r="O12" s="420"/>
    </row>
    <row r="13" spans="1:15" s="79" customFormat="1" ht="21.75" customHeight="1">
      <c r="A13" s="80"/>
      <c r="B13" s="80"/>
      <c r="C13" s="80"/>
      <c r="D13" s="80"/>
      <c r="E13" s="80" t="s">
        <v>128</v>
      </c>
      <c r="F13" s="81"/>
      <c r="G13" s="82"/>
      <c r="H13" s="80"/>
      <c r="I13" s="101">
        <f>IF($L$11="All",CDPS!$C$10,CDPS!$C$10+SUMIF(_N111,"x",TH)-SUMIF(_C111,"x",TH))</f>
        <v>1580671965</v>
      </c>
      <c r="J13" s="80"/>
      <c r="N13" s="419"/>
      <c r="O13" s="419"/>
    </row>
    <row r="14" spans="1:15" ht="21.75" customHeight="1">
      <c r="A14" s="83">
        <f ca="1">IF(ROWS($1:1)&gt;COUNT(Dong1),"",OFFSET(TH!C$1,SMALL(Dong1,ROWS($1:1)),))</f>
        <v>42644</v>
      </c>
      <c r="B14" s="83">
        <f ca="1">IF(ROWS($1:1)&gt;COUNT(Dong1),"",OFFSET(TH!E$1,SMALL(Dong1,ROWS($1:1)),))</f>
        <v>42643</v>
      </c>
      <c r="C14" s="84" t="str">
        <f ca="1">IF(ROWS($1:1)&gt;COUNT(Dong1),"",IF(OFFSET(TH!L$1,SMALL(Dong1,ROWS($1:1)),)="1111",OFFSET(TH!D$1,SMALL(Dong1,ROWS($1:1)),),""))</f>
        <v/>
      </c>
      <c r="D14" s="85" t="str">
        <f ca="1">IF(ROWS($1:1)&gt;COUNT(Dong1),"",IF(OFFSET(TH!M$1,SMALL(Dong1,ROWS($1:1)),)="1111",OFFSET(TH!D$1,SMALL(Dong1,ROWS($1:1)),),""))</f>
        <v>C01</v>
      </c>
      <c r="E14" s="133" t="str">
        <f ca="1">IF(ROWS($1:1)&gt;COUNT(Dong1),"",OFFSET(TH!F$1,SMALL(Dong1,ROWS($1:1)),))</f>
        <v>Dầu DO</v>
      </c>
      <c r="F14" s="87" t="str">
        <f ca="1">IF(ROWS($1:1)&gt;COUNT(Dong1),"",IF(OFFSET(TH!M$1,SMALL(Dong1,ROWS($1:1)),)="1111",OFFSET(TH!L$1,SMALL(Dong1,ROWS($1:1)),),OFFSET(TH!M$1,SMALL(Dong1,ROWS($1:1)),)))</f>
        <v>641</v>
      </c>
      <c r="G14" s="88">
        <f ca="1">IF(ROWS($1:1)&gt;COUNT(Dong1),"",IF(OFFSET(TH!L$1,SMALL(Dong1,ROWS($1:1)),)="1111",OFFSET(TH!K$1,SMALL(Dong1,ROWS($1:1)),),0))</f>
        <v>0</v>
      </c>
      <c r="H14" s="86">
        <f ca="1">IF(ROWS($1:1)&gt;COUNT(Dong1),"",IF(OFFSET(TH!M$1,SMALL(Dong1,ROWS($1:1)),)="1111",OFFSET(TH!K$1,SMALL(Dong1,ROWS($1:1)),),0))</f>
        <v>1000000</v>
      </c>
      <c r="I14" s="84">
        <f ca="1">IF(E14&lt;&gt;"",I13+G14-H14,0)</f>
        <v>1579671965</v>
      </c>
      <c r="J14" s="89"/>
      <c r="N14" s="420"/>
      <c r="O14" s="420"/>
    </row>
    <row r="15" spans="1:15" ht="21.75" customHeight="1">
      <c r="A15" s="83">
        <f ca="1">IF(ROWS($1:2)&gt;COUNT(Dong1),"",OFFSET(TH!C$1,SMALL(Dong1,ROWS($1:2)),))</f>
        <v>42644</v>
      </c>
      <c r="B15" s="83">
        <f ca="1">IF(ROWS($1:2)&gt;COUNT(Dong1),"",OFFSET(TH!E$1,SMALL(Dong1,ROWS($1:2)),))</f>
        <v>42643</v>
      </c>
      <c r="C15" s="84" t="str">
        <f ca="1">IF(ROWS($1:2)&gt;COUNT(Dong1),"",IF(OFFSET(TH!L$1,SMALL(Dong1,ROWS($1:2)),)="1111",OFFSET(TH!D$1,SMALL(Dong1,ROWS($1:2)),),""))</f>
        <v/>
      </c>
      <c r="D15" s="85" t="str">
        <f ca="1">IF(ROWS($1:2)&gt;COUNT(Dong1),"",IF(OFFSET(TH!M$1,SMALL(Dong1,ROWS($1:2)),)="1111",OFFSET(TH!D$1,SMALL(Dong1,ROWS($1:2)),),""))</f>
        <v>C01</v>
      </c>
      <c r="E15" s="133" t="str">
        <f ca="1">IF(ROWS($1:2)&gt;COUNT(Dong1),"",OFFSET(TH!F$1,SMALL(Dong1,ROWS($1:2)),))</f>
        <v>VAT Dầu DO</v>
      </c>
      <c r="F15" s="87" t="str">
        <f ca="1">IF(ROWS($1:2)&gt;COUNT(Dong1),"",IF(OFFSET(TH!M$1,SMALL(Dong1,ROWS($1:2)),)="1111",OFFSET(TH!L$1,SMALL(Dong1,ROWS($1:2)),),OFFSET(TH!M$1,SMALL(Dong1,ROWS($1:2)),)))</f>
        <v>1331</v>
      </c>
      <c r="G15" s="88">
        <f ca="1">IF(ROWS($1:2)&gt;COUNT(Dong1),"",IF(OFFSET(TH!L$1,SMALL(Dong1,ROWS($1:2)),)="1111",OFFSET(TH!K$1,SMALL(Dong1,ROWS($1:2)),),0))</f>
        <v>0</v>
      </c>
      <c r="H15" s="86">
        <f ca="1">IF(ROWS($1:2)&gt;COUNT(Dong1),"",IF(OFFSET(TH!M$1,SMALL(Dong1,ROWS($1:2)),)="1111",OFFSET(TH!K$1,SMALL(Dong1,ROWS($1:2)),),0))</f>
        <v>100000</v>
      </c>
      <c r="I15" s="84">
        <f t="shared" ref="I15:I56" ca="1" si="0">IF(E15&lt;&gt;"",I14+G15-H15,0)</f>
        <v>1579571965</v>
      </c>
      <c r="J15" s="89"/>
      <c r="N15" s="420"/>
      <c r="O15" s="420"/>
    </row>
    <row r="16" spans="1:15" ht="21.75" customHeight="1">
      <c r="A16" s="83">
        <f ca="1">IF(ROWS($1:3)&gt;COUNT(Dong1),"",OFFSET(TH!C$1,SMALL(Dong1,ROWS($1:3)),))</f>
        <v>42644</v>
      </c>
      <c r="B16" s="83">
        <f ca="1">IF(ROWS($1:3)&gt;COUNT(Dong1),"",OFFSET(TH!E$1,SMALL(Dong1,ROWS($1:3)),))</f>
        <v>42644</v>
      </c>
      <c r="C16" s="84" t="str">
        <f ca="1">IF(ROWS($1:3)&gt;COUNT(Dong1),"",IF(OFFSET(TH!L$1,SMALL(Dong1,ROWS($1:3)),)="1111",OFFSET(TH!D$1,SMALL(Dong1,ROWS($1:3)),),""))</f>
        <v/>
      </c>
      <c r="D16" s="85" t="str">
        <f ca="1">IF(ROWS($1:3)&gt;COUNT(Dong1),"",IF(OFFSET(TH!M$1,SMALL(Dong1,ROWS($1:3)),)="1111",OFFSET(TH!D$1,SMALL(Dong1,ROWS($1:3)),),""))</f>
        <v>C02</v>
      </c>
      <c r="E16" s="133" t="str">
        <f ca="1">IF(ROWS($1:3)&gt;COUNT(Dong1),"",OFFSET(TH!F$1,SMALL(Dong1,ROWS($1:3)),))</f>
        <v>Vật dụng sửa xe</v>
      </c>
      <c r="F16" s="87" t="str">
        <f ca="1">IF(ROWS($1:3)&gt;COUNT(Dong1),"",IF(OFFSET(TH!M$1,SMALL(Dong1,ROWS($1:3)),)="1111",OFFSET(TH!L$1,SMALL(Dong1,ROWS($1:3)),),OFFSET(TH!M$1,SMALL(Dong1,ROWS($1:3)),)))</f>
        <v>642</v>
      </c>
      <c r="G16" s="88">
        <f ca="1">IF(ROWS($1:3)&gt;COUNT(Dong1),"",IF(OFFSET(TH!L$1,SMALL(Dong1,ROWS($1:3)),)="1111",OFFSET(TH!K$1,SMALL(Dong1,ROWS($1:3)),),0))</f>
        <v>0</v>
      </c>
      <c r="H16" s="86">
        <f ca="1">IF(ROWS($1:3)&gt;COUNT(Dong1),"",IF(OFFSET(TH!M$1,SMALL(Dong1,ROWS($1:3)),)="1111",OFFSET(TH!K$1,SMALL(Dong1,ROWS($1:3)),),0))</f>
        <v>3910000</v>
      </c>
      <c r="I16" s="84">
        <f t="shared" ca="1" si="0"/>
        <v>1575661965</v>
      </c>
      <c r="J16" s="89"/>
      <c r="N16" s="420"/>
      <c r="O16" s="420"/>
    </row>
    <row r="17" spans="1:15" ht="21.75" customHeight="1">
      <c r="A17" s="83">
        <f ca="1">IF(ROWS($1:4)&gt;COUNT(Dong1),"",OFFSET(TH!C$1,SMALL(Dong1,ROWS($1:4)),))</f>
        <v>42644</v>
      </c>
      <c r="B17" s="83">
        <f ca="1">IF(ROWS($1:4)&gt;COUNT(Dong1),"",OFFSET(TH!E$1,SMALL(Dong1,ROWS($1:4)),))</f>
        <v>42644</v>
      </c>
      <c r="C17" s="84" t="str">
        <f ca="1">IF(ROWS($1:4)&gt;COUNT(Dong1),"",IF(OFFSET(TH!L$1,SMALL(Dong1,ROWS($1:4)),)="1111",OFFSET(TH!D$1,SMALL(Dong1,ROWS($1:4)),),""))</f>
        <v/>
      </c>
      <c r="D17" s="85" t="str">
        <f ca="1">IF(ROWS($1:4)&gt;COUNT(Dong1),"",IF(OFFSET(TH!M$1,SMALL(Dong1,ROWS($1:4)),)="1111",OFFSET(TH!D$1,SMALL(Dong1,ROWS($1:4)),),""))</f>
        <v>C02</v>
      </c>
      <c r="E17" s="133" t="str">
        <f ca="1">IF(ROWS($1:4)&gt;COUNT(Dong1),"",OFFSET(TH!F$1,SMALL(Dong1,ROWS($1:4)),))</f>
        <v>VAT Vật dụng sửa xe</v>
      </c>
      <c r="F17" s="87" t="str">
        <f ca="1">IF(ROWS($1:4)&gt;COUNT(Dong1),"",IF(OFFSET(TH!M$1,SMALL(Dong1,ROWS($1:4)),)="1111",OFFSET(TH!L$1,SMALL(Dong1,ROWS($1:4)),),OFFSET(TH!M$1,SMALL(Dong1,ROWS($1:4)),)))</f>
        <v>1331</v>
      </c>
      <c r="G17" s="88">
        <f ca="1">IF(ROWS($1:4)&gt;COUNT(Dong1),"",IF(OFFSET(TH!L$1,SMALL(Dong1,ROWS($1:4)),)="1111",OFFSET(TH!K$1,SMALL(Dong1,ROWS($1:4)),),0))</f>
        <v>0</v>
      </c>
      <c r="H17" s="86">
        <f ca="1">IF(ROWS($1:4)&gt;COUNT(Dong1),"",IF(OFFSET(TH!M$1,SMALL(Dong1,ROWS($1:4)),)="1111",OFFSET(TH!K$1,SMALL(Dong1,ROWS($1:4)),),0))</f>
        <v>391000</v>
      </c>
      <c r="I17" s="84">
        <f t="shared" ca="1" si="0"/>
        <v>1575270965</v>
      </c>
      <c r="J17" s="89"/>
      <c r="N17" s="420"/>
      <c r="O17" s="420"/>
    </row>
    <row r="18" spans="1:15" ht="21.75" customHeight="1">
      <c r="A18" s="83">
        <f ca="1">IF(ROWS($1:5)&gt;COUNT(Dong1),"",OFFSET(TH!C$1,SMALL(Dong1,ROWS($1:5)),))</f>
        <v>42646</v>
      </c>
      <c r="B18" s="83">
        <f ca="1">IF(ROWS($1:5)&gt;COUNT(Dong1),"",OFFSET(TH!E$1,SMALL(Dong1,ROWS($1:5)),))</f>
        <v>42646</v>
      </c>
      <c r="C18" s="84" t="str">
        <f ca="1">IF(ROWS($1:5)&gt;COUNT(Dong1),"",IF(OFFSET(TH!L$1,SMALL(Dong1,ROWS($1:5)),)="1111",OFFSET(TH!D$1,SMALL(Dong1,ROWS($1:5)),),""))</f>
        <v>T01</v>
      </c>
      <c r="D18" s="85" t="str">
        <f ca="1">IF(ROWS($1:5)&gt;COUNT(Dong1),"",IF(OFFSET(TH!M$1,SMALL(Dong1,ROWS($1:5)),)="1111",OFFSET(TH!D$1,SMALL(Dong1,ROWS($1:5)),),""))</f>
        <v/>
      </c>
      <c r="E18" s="133" t="str">
        <f ca="1">IF(ROWS($1:5)&gt;COUNT(Dong1),"",OFFSET(TH!F$1,SMALL(Dong1,ROWS($1:5)),))</f>
        <v>Rút tiền mặt</v>
      </c>
      <c r="F18" s="87" t="str">
        <f ca="1">IF(ROWS($1:5)&gt;COUNT(Dong1),"",IF(OFFSET(TH!M$1,SMALL(Dong1,ROWS($1:5)),)="1111",OFFSET(TH!L$1,SMALL(Dong1,ROWS($1:5)),),OFFSET(TH!M$1,SMALL(Dong1,ROWS($1:5)),)))</f>
        <v>1121</v>
      </c>
      <c r="G18" s="88">
        <f ca="1">IF(ROWS($1:5)&gt;COUNT(Dong1),"",IF(OFFSET(TH!L$1,SMALL(Dong1,ROWS($1:5)),)="1111",OFFSET(TH!K$1,SMALL(Dong1,ROWS($1:5)),),0))</f>
        <v>19000000</v>
      </c>
      <c r="H18" s="86">
        <f ca="1">IF(ROWS($1:5)&gt;COUNT(Dong1),"",IF(OFFSET(TH!M$1,SMALL(Dong1,ROWS($1:5)),)="1111",OFFSET(TH!K$1,SMALL(Dong1,ROWS($1:5)),),0))</f>
        <v>0</v>
      </c>
      <c r="I18" s="84">
        <f t="shared" ca="1" si="0"/>
        <v>1594270965</v>
      </c>
      <c r="J18" s="89"/>
      <c r="N18" s="420"/>
      <c r="O18" s="420"/>
    </row>
    <row r="19" spans="1:15" ht="21.75" customHeight="1">
      <c r="A19" s="83">
        <f ca="1">IF(ROWS($1:6)&gt;COUNT(Dong1),"",OFFSET(TH!C$1,SMALL(Dong1,ROWS($1:6)),))</f>
        <v>42646</v>
      </c>
      <c r="B19" s="83">
        <f ca="1">IF(ROWS($1:6)&gt;COUNT(Dong1),"",OFFSET(TH!E$1,SMALL(Dong1,ROWS($1:6)),))</f>
        <v>42646</v>
      </c>
      <c r="C19" s="84" t="str">
        <f ca="1">IF(ROWS($1:6)&gt;COUNT(Dong1),"",IF(OFFSET(TH!L$1,SMALL(Dong1,ROWS($1:6)),)="1111",OFFSET(TH!D$1,SMALL(Dong1,ROWS($1:6)),),""))</f>
        <v/>
      </c>
      <c r="D19" s="85" t="str">
        <f ca="1">IF(ROWS($1:6)&gt;COUNT(Dong1),"",IF(OFFSET(TH!M$1,SMALL(Dong1,ROWS($1:6)),)="1111",OFFSET(TH!D$1,SMALL(Dong1,ROWS($1:6)),),""))</f>
        <v>C03</v>
      </c>
      <c r="E19" s="133" t="str">
        <f ca="1">IF(ROWS($1:6)&gt;COUNT(Dong1),"",OFFSET(TH!F$1,SMALL(Dong1,ROWS($1:6)),))</f>
        <v>Dầu DO</v>
      </c>
      <c r="F19" s="87" t="str">
        <f ca="1">IF(ROWS($1:6)&gt;COUNT(Dong1),"",IF(OFFSET(TH!M$1,SMALL(Dong1,ROWS($1:6)),)="1111",OFFSET(TH!L$1,SMALL(Dong1,ROWS($1:6)),),OFFSET(TH!M$1,SMALL(Dong1,ROWS($1:6)),)))</f>
        <v>641</v>
      </c>
      <c r="G19" s="88">
        <f ca="1">IF(ROWS($1:6)&gt;COUNT(Dong1),"",IF(OFFSET(TH!L$1,SMALL(Dong1,ROWS($1:6)),)="1111",OFFSET(TH!K$1,SMALL(Dong1,ROWS($1:6)),),0))</f>
        <v>0</v>
      </c>
      <c r="H19" s="86">
        <f ca="1">IF(ROWS($1:6)&gt;COUNT(Dong1),"",IF(OFFSET(TH!M$1,SMALL(Dong1,ROWS($1:6)),)="1111",OFFSET(TH!K$1,SMALL(Dong1,ROWS($1:6)),),0))</f>
        <v>5100454</v>
      </c>
      <c r="I19" s="84">
        <f t="shared" ca="1" si="0"/>
        <v>1589170511</v>
      </c>
      <c r="J19" s="89"/>
      <c r="N19" s="420"/>
      <c r="O19" s="420"/>
    </row>
    <row r="20" spans="1:15" ht="21.75" customHeight="1">
      <c r="A20" s="83">
        <f ca="1">IF(ROWS($1:7)&gt;COUNT(Dong1),"",OFFSET(TH!C$1,SMALL(Dong1,ROWS($1:7)),))</f>
        <v>42646</v>
      </c>
      <c r="B20" s="83">
        <f ca="1">IF(ROWS($1:7)&gt;COUNT(Dong1),"",OFFSET(TH!E$1,SMALL(Dong1,ROWS($1:7)),))</f>
        <v>42646</v>
      </c>
      <c r="C20" s="84" t="str">
        <f ca="1">IF(ROWS($1:7)&gt;COUNT(Dong1),"",IF(OFFSET(TH!L$1,SMALL(Dong1,ROWS($1:7)),)="1111",OFFSET(TH!D$1,SMALL(Dong1,ROWS($1:7)),),""))</f>
        <v/>
      </c>
      <c r="D20" s="85" t="str">
        <f ca="1">IF(ROWS($1:7)&gt;COUNT(Dong1),"",IF(OFFSET(TH!M$1,SMALL(Dong1,ROWS($1:7)),)="1111",OFFSET(TH!D$1,SMALL(Dong1,ROWS($1:7)),),""))</f>
        <v>C03</v>
      </c>
      <c r="E20" s="133" t="str">
        <f ca="1">IF(ROWS($1:7)&gt;COUNT(Dong1),"",OFFSET(TH!F$1,SMALL(Dong1,ROWS($1:7)),))</f>
        <v>VAT Dầu DO</v>
      </c>
      <c r="F20" s="87" t="str">
        <f ca="1">IF(ROWS($1:7)&gt;COUNT(Dong1),"",IF(OFFSET(TH!M$1,SMALL(Dong1,ROWS($1:7)),)="1111",OFFSET(TH!L$1,SMALL(Dong1,ROWS($1:7)),),OFFSET(TH!M$1,SMALL(Dong1,ROWS($1:7)),)))</f>
        <v>1331</v>
      </c>
      <c r="G20" s="88">
        <f ca="1">IF(ROWS($1:7)&gt;COUNT(Dong1),"",IF(OFFSET(TH!L$1,SMALL(Dong1,ROWS($1:7)),)="1111",OFFSET(TH!K$1,SMALL(Dong1,ROWS($1:7)),),0))</f>
        <v>0</v>
      </c>
      <c r="H20" s="86">
        <f ca="1">IF(ROWS($1:7)&gt;COUNT(Dong1),"",IF(OFFSET(TH!M$1,SMALL(Dong1,ROWS($1:7)),)="1111",OFFSET(TH!K$1,SMALL(Dong1,ROWS($1:7)),),0))</f>
        <v>510046</v>
      </c>
      <c r="I20" s="84">
        <f t="shared" ca="1" si="0"/>
        <v>1588660465</v>
      </c>
      <c r="J20" s="89"/>
      <c r="N20" s="420"/>
      <c r="O20" s="420"/>
    </row>
    <row r="21" spans="1:15" ht="21.75" customHeight="1">
      <c r="A21" s="83">
        <f ca="1">IF(ROWS($1:8)&gt;COUNT(Dong1),"",OFFSET(TH!C$1,SMALL(Dong1,ROWS($1:8)),))</f>
        <v>42647</v>
      </c>
      <c r="B21" s="83">
        <f ca="1">IF(ROWS($1:8)&gt;COUNT(Dong1),"",OFFSET(TH!E$1,SMALL(Dong1,ROWS($1:8)),))</f>
        <v>42647</v>
      </c>
      <c r="C21" s="84" t="str">
        <f ca="1">IF(ROWS($1:8)&gt;COUNT(Dong1),"",IF(OFFSET(TH!L$1,SMALL(Dong1,ROWS($1:8)),)="1111",OFFSET(TH!D$1,SMALL(Dong1,ROWS($1:8)),),""))</f>
        <v/>
      </c>
      <c r="D21" s="85" t="str">
        <f ca="1">IF(ROWS($1:8)&gt;COUNT(Dong1),"",IF(OFFSET(TH!M$1,SMALL(Dong1,ROWS($1:8)),)="1111",OFFSET(TH!D$1,SMALL(Dong1,ROWS($1:8)),),""))</f>
        <v>C04</v>
      </c>
      <c r="E21" s="133" t="str">
        <f ca="1">IF(ROWS($1:8)&gt;COUNT(Dong1),"",OFFSET(TH!F$1,SMALL(Dong1,ROWS($1:8)),))</f>
        <v>Nộp tiền mặt</v>
      </c>
      <c r="F21" s="87" t="str">
        <f ca="1">IF(ROWS($1:8)&gt;COUNT(Dong1),"",IF(OFFSET(TH!M$1,SMALL(Dong1,ROWS($1:8)),)="1111",OFFSET(TH!L$1,SMALL(Dong1,ROWS($1:8)),),OFFSET(TH!M$1,SMALL(Dong1,ROWS($1:8)),)))</f>
        <v>1121</v>
      </c>
      <c r="G21" s="88">
        <f ca="1">IF(ROWS($1:8)&gt;COUNT(Dong1),"",IF(OFFSET(TH!L$1,SMALL(Dong1,ROWS($1:8)),)="1111",OFFSET(TH!K$1,SMALL(Dong1,ROWS($1:8)),),0))</f>
        <v>0</v>
      </c>
      <c r="H21" s="86">
        <f ca="1">IF(ROWS($1:8)&gt;COUNT(Dong1),"",IF(OFFSET(TH!M$1,SMALL(Dong1,ROWS($1:8)),)="1111",OFFSET(TH!K$1,SMALL(Dong1,ROWS($1:8)),),0))</f>
        <v>50000000</v>
      </c>
      <c r="I21" s="84">
        <f t="shared" ca="1" si="0"/>
        <v>1538660465</v>
      </c>
      <c r="J21" s="89"/>
      <c r="N21" s="420"/>
      <c r="O21" s="420"/>
    </row>
    <row r="22" spans="1:15" ht="21.75" customHeight="1">
      <c r="A22" s="83">
        <f ca="1">IF(ROWS($1:9)&gt;COUNT(Dong1),"",OFFSET(TH!C$1,SMALL(Dong1,ROWS($1:9)),))</f>
        <v>42647</v>
      </c>
      <c r="B22" s="83">
        <f ca="1">IF(ROWS($1:9)&gt;COUNT(Dong1),"",OFFSET(TH!E$1,SMALL(Dong1,ROWS($1:9)),))</f>
        <v>42647</v>
      </c>
      <c r="C22" s="84" t="str">
        <f ca="1">IF(ROWS($1:9)&gt;COUNT(Dong1),"",IF(OFFSET(TH!L$1,SMALL(Dong1,ROWS($1:9)),)="1111",OFFSET(TH!D$1,SMALL(Dong1,ROWS($1:9)),),""))</f>
        <v>T02</v>
      </c>
      <c r="D22" s="85" t="str">
        <f ca="1">IF(ROWS($1:9)&gt;COUNT(Dong1),"",IF(OFFSET(TH!M$1,SMALL(Dong1,ROWS($1:9)),)="1111",OFFSET(TH!D$1,SMALL(Dong1,ROWS($1:9)),),""))</f>
        <v/>
      </c>
      <c r="E22" s="133" t="str">
        <f ca="1">IF(ROWS($1:9)&gt;COUNT(Dong1),"",OFFSET(TH!F$1,SMALL(Dong1,ROWS($1:9)),))</f>
        <v>Thu tiền hàng</v>
      </c>
      <c r="F22" s="87" t="str">
        <f ca="1">IF(ROWS($1:9)&gt;COUNT(Dong1),"",IF(OFFSET(TH!M$1,SMALL(Dong1,ROWS($1:9)),)="1111",OFFSET(TH!L$1,SMALL(Dong1,ROWS($1:9)),),OFFSET(TH!M$1,SMALL(Dong1,ROWS($1:9)),)))</f>
        <v>131</v>
      </c>
      <c r="G22" s="88">
        <f ca="1">IF(ROWS($1:9)&gt;COUNT(Dong1),"",IF(OFFSET(TH!L$1,SMALL(Dong1,ROWS($1:9)),)="1111",OFFSET(TH!K$1,SMALL(Dong1,ROWS($1:9)),),0))</f>
        <v>9990678</v>
      </c>
      <c r="H22" s="86">
        <f ca="1">IF(ROWS($1:9)&gt;COUNT(Dong1),"",IF(OFFSET(TH!M$1,SMALL(Dong1,ROWS($1:9)),)="1111",OFFSET(TH!K$1,SMALL(Dong1,ROWS($1:9)),),0))</f>
        <v>0</v>
      </c>
      <c r="I22" s="84">
        <f t="shared" ca="1" si="0"/>
        <v>1548651143</v>
      </c>
      <c r="J22" s="89"/>
      <c r="N22" s="420"/>
      <c r="O22" s="420"/>
    </row>
    <row r="23" spans="1:15" ht="21.75" customHeight="1">
      <c r="A23" s="83">
        <f ca="1">IF(ROWS($1:10)&gt;COUNT(Dong1),"",OFFSET(TH!C$1,SMALL(Dong1,ROWS($1:10)),))</f>
        <v>42648</v>
      </c>
      <c r="B23" s="83">
        <f ca="1">IF(ROWS($1:10)&gt;COUNT(Dong1),"",OFFSET(TH!E$1,SMALL(Dong1,ROWS($1:10)),))</f>
        <v>42648</v>
      </c>
      <c r="C23" s="84" t="str">
        <f ca="1">IF(ROWS($1:10)&gt;COUNT(Dong1),"",IF(OFFSET(TH!L$1,SMALL(Dong1,ROWS($1:10)),)="1111",OFFSET(TH!D$1,SMALL(Dong1,ROWS($1:10)),),""))</f>
        <v>T03</v>
      </c>
      <c r="D23" s="85" t="str">
        <f ca="1">IF(ROWS($1:10)&gt;COUNT(Dong1),"",IF(OFFSET(TH!M$1,SMALL(Dong1,ROWS($1:10)),)="1111",OFFSET(TH!D$1,SMALL(Dong1,ROWS($1:10)),),""))</f>
        <v/>
      </c>
      <c r="E23" s="133" t="str">
        <f ca="1">IF(ROWS($1:10)&gt;COUNT(Dong1),"",OFFSET(TH!F$1,SMALL(Dong1,ROWS($1:10)),))</f>
        <v>Thu tiền hàng</v>
      </c>
      <c r="F23" s="87" t="str">
        <f ca="1">IF(ROWS($1:10)&gt;COUNT(Dong1),"",IF(OFFSET(TH!M$1,SMALL(Dong1,ROWS($1:10)),)="1111",OFFSET(TH!L$1,SMALL(Dong1,ROWS($1:10)),),OFFSET(TH!M$1,SMALL(Dong1,ROWS($1:10)),)))</f>
        <v>131</v>
      </c>
      <c r="G23" s="88">
        <f ca="1">IF(ROWS($1:10)&gt;COUNT(Dong1),"",IF(OFFSET(TH!L$1,SMALL(Dong1,ROWS($1:10)),)="1111",OFFSET(TH!K$1,SMALL(Dong1,ROWS($1:10)),),0))</f>
        <v>13909115</v>
      </c>
      <c r="H23" s="86">
        <f ca="1">IF(ROWS($1:10)&gt;COUNT(Dong1),"",IF(OFFSET(TH!M$1,SMALL(Dong1,ROWS($1:10)),)="1111",OFFSET(TH!K$1,SMALL(Dong1,ROWS($1:10)),),0))</f>
        <v>0</v>
      </c>
      <c r="I23" s="84">
        <f t="shared" ca="1" si="0"/>
        <v>1562560258</v>
      </c>
      <c r="J23" s="89"/>
      <c r="N23" s="420"/>
      <c r="O23" s="420"/>
    </row>
    <row r="24" spans="1:15" ht="21.75" customHeight="1">
      <c r="A24" s="83">
        <f ca="1">IF(ROWS($1:11)&gt;COUNT(Dong1),"",OFFSET(TH!C$1,SMALL(Dong1,ROWS($1:11)),))</f>
        <v>42652</v>
      </c>
      <c r="B24" s="83">
        <f ca="1">IF(ROWS($1:11)&gt;COUNT(Dong1),"",OFFSET(TH!E$1,SMALL(Dong1,ROWS($1:11)),))</f>
        <v>42652</v>
      </c>
      <c r="C24" s="84" t="str">
        <f ca="1">IF(ROWS($1:11)&gt;COUNT(Dong1),"",IF(OFFSET(TH!L$1,SMALL(Dong1,ROWS($1:11)),)="1111",OFFSET(TH!D$1,SMALL(Dong1,ROWS($1:11)),),""))</f>
        <v/>
      </c>
      <c r="D24" s="85" t="str">
        <f ca="1">IF(ROWS($1:11)&gt;COUNT(Dong1),"",IF(OFFSET(TH!M$1,SMALL(Dong1,ROWS($1:11)),)="1111",OFFSET(TH!D$1,SMALL(Dong1,ROWS($1:11)),),""))</f>
        <v>C05</v>
      </c>
      <c r="E24" s="133" t="str">
        <f ca="1">IF(ROWS($1:11)&gt;COUNT(Dong1),"",OFFSET(TH!F$1,SMALL(Dong1,ROWS($1:11)),))</f>
        <v>Thanh toán tiền hàng</v>
      </c>
      <c r="F24" s="87" t="str">
        <f ca="1">IF(ROWS($1:11)&gt;COUNT(Dong1),"",IF(OFFSET(TH!M$1,SMALL(Dong1,ROWS($1:11)),)="1111",OFFSET(TH!L$1,SMALL(Dong1,ROWS($1:11)),),OFFSET(TH!M$1,SMALL(Dong1,ROWS($1:11)),)))</f>
        <v>331</v>
      </c>
      <c r="G24" s="88">
        <f ca="1">IF(ROWS($1:11)&gt;COUNT(Dong1),"",IF(OFFSET(TH!L$1,SMALL(Dong1,ROWS($1:11)),)="1111",OFFSET(TH!K$1,SMALL(Dong1,ROWS($1:11)),),0))</f>
        <v>0</v>
      </c>
      <c r="H24" s="86">
        <f ca="1">IF(ROWS($1:11)&gt;COUNT(Dong1),"",IF(OFFSET(TH!M$1,SMALL(Dong1,ROWS($1:11)),)="1111",OFFSET(TH!K$1,SMALL(Dong1,ROWS($1:11)),),0))</f>
        <v>11129250</v>
      </c>
      <c r="I24" s="84">
        <f t="shared" ca="1" si="0"/>
        <v>1551431008</v>
      </c>
      <c r="J24" s="89"/>
      <c r="N24" s="420"/>
      <c r="O24" s="420"/>
    </row>
    <row r="25" spans="1:15" ht="21.75" customHeight="1">
      <c r="A25" s="83">
        <f ca="1">IF(ROWS($1:12)&gt;COUNT(Dong1),"",OFFSET(TH!C$1,SMALL(Dong1,ROWS($1:12)),))</f>
        <v>42657</v>
      </c>
      <c r="B25" s="83">
        <f ca="1">IF(ROWS($1:12)&gt;COUNT(Dong1),"",OFFSET(TH!E$1,SMALL(Dong1,ROWS($1:12)),))</f>
        <v>42657</v>
      </c>
      <c r="C25" s="84" t="str">
        <f ca="1">IF(ROWS($1:12)&gt;COUNT(Dong1),"",IF(OFFSET(TH!L$1,SMALL(Dong1,ROWS($1:12)),)="1111",OFFSET(TH!D$1,SMALL(Dong1,ROWS($1:12)),),""))</f>
        <v/>
      </c>
      <c r="D25" s="85" t="str">
        <f ca="1">IF(ROWS($1:12)&gt;COUNT(Dong1),"",IF(OFFSET(TH!M$1,SMALL(Dong1,ROWS($1:12)),)="1111",OFFSET(TH!D$1,SMALL(Dong1,ROWS($1:12)),),""))</f>
        <v>C06</v>
      </c>
      <c r="E25" s="133" t="str">
        <f ca="1">IF(ROWS($1:12)&gt;COUNT(Dong1),"",OFFSET(TH!F$1,SMALL(Dong1,ROWS($1:12)),))</f>
        <v>Thanh toán tiền hàng</v>
      </c>
      <c r="F25" s="87" t="str">
        <f ca="1">IF(ROWS($1:12)&gt;COUNT(Dong1),"",IF(OFFSET(TH!M$1,SMALL(Dong1,ROWS($1:12)),)="1111",OFFSET(TH!L$1,SMALL(Dong1,ROWS($1:12)),),OFFSET(TH!M$1,SMALL(Dong1,ROWS($1:12)),)))</f>
        <v>331</v>
      </c>
      <c r="G25" s="88">
        <f ca="1">IF(ROWS($1:12)&gt;COUNT(Dong1),"",IF(OFFSET(TH!L$1,SMALL(Dong1,ROWS($1:12)),)="1111",OFFSET(TH!K$1,SMALL(Dong1,ROWS($1:12)),),0))</f>
        <v>0</v>
      </c>
      <c r="H25" s="86">
        <f ca="1">IF(ROWS($1:12)&gt;COUNT(Dong1),"",IF(OFFSET(TH!M$1,SMALL(Dong1,ROWS($1:12)),)="1111",OFFSET(TH!K$1,SMALL(Dong1,ROWS($1:12)),),0))</f>
        <v>14088800</v>
      </c>
      <c r="I25" s="84">
        <f t="shared" ca="1" si="0"/>
        <v>1537342208</v>
      </c>
      <c r="J25" s="89"/>
      <c r="N25" s="420"/>
      <c r="O25" s="420"/>
    </row>
    <row r="26" spans="1:15" ht="21.75" customHeight="1">
      <c r="A26" s="83">
        <f ca="1">IF(ROWS($1:13)&gt;COUNT(Dong1),"",OFFSET(TH!C$1,SMALL(Dong1,ROWS($1:13)),))</f>
        <v>42661</v>
      </c>
      <c r="B26" s="83">
        <f ca="1">IF(ROWS($1:13)&gt;COUNT(Dong1),"",OFFSET(TH!E$1,SMALL(Dong1,ROWS($1:13)),))</f>
        <v>42661</v>
      </c>
      <c r="C26" s="84" t="str">
        <f ca="1">IF(ROWS($1:13)&gt;COUNT(Dong1),"",IF(OFFSET(TH!L$1,SMALL(Dong1,ROWS($1:13)),)="1111",OFFSET(TH!D$1,SMALL(Dong1,ROWS($1:13)),),""))</f>
        <v>T04</v>
      </c>
      <c r="D26" s="85" t="str">
        <f ca="1">IF(ROWS($1:13)&gt;COUNT(Dong1),"",IF(OFFSET(TH!M$1,SMALL(Dong1,ROWS($1:13)),)="1111",OFFSET(TH!D$1,SMALL(Dong1,ROWS($1:13)),),""))</f>
        <v/>
      </c>
      <c r="E26" s="133" t="str">
        <f ca="1">IF(ROWS($1:13)&gt;COUNT(Dong1),"",OFFSET(TH!F$1,SMALL(Dong1,ROWS($1:13)),))</f>
        <v>Rút tiền mặt</v>
      </c>
      <c r="F26" s="87" t="str">
        <f ca="1">IF(ROWS($1:13)&gt;COUNT(Dong1),"",IF(OFFSET(TH!M$1,SMALL(Dong1,ROWS($1:13)),)="1111",OFFSET(TH!L$1,SMALL(Dong1,ROWS($1:13)),),OFFSET(TH!M$1,SMALL(Dong1,ROWS($1:13)),)))</f>
        <v>1121</v>
      </c>
      <c r="G26" s="88">
        <f ca="1">IF(ROWS($1:13)&gt;COUNT(Dong1),"",IF(OFFSET(TH!L$1,SMALL(Dong1,ROWS($1:13)),)="1111",OFFSET(TH!K$1,SMALL(Dong1,ROWS($1:13)),),0))</f>
        <v>3000000</v>
      </c>
      <c r="H26" s="86">
        <f ca="1">IF(ROWS($1:13)&gt;COUNT(Dong1),"",IF(OFFSET(TH!M$1,SMALL(Dong1,ROWS($1:13)),)="1111",OFFSET(TH!K$1,SMALL(Dong1,ROWS($1:13)),),0))</f>
        <v>0</v>
      </c>
      <c r="I26" s="84">
        <f t="shared" ca="1" si="0"/>
        <v>1540342208</v>
      </c>
      <c r="J26" s="89"/>
      <c r="N26" s="420"/>
      <c r="O26" s="420"/>
    </row>
    <row r="27" spans="1:15" ht="21.75" customHeight="1">
      <c r="A27" s="83">
        <f ca="1">IF(ROWS($1:14)&gt;COUNT(Dong1),"",OFFSET(TH!C$1,SMALL(Dong1,ROWS($1:14)),))</f>
        <v>42662</v>
      </c>
      <c r="B27" s="83">
        <f ca="1">IF(ROWS($1:14)&gt;COUNT(Dong1),"",OFFSET(TH!E$1,SMALL(Dong1,ROWS($1:14)),))</f>
        <v>42662</v>
      </c>
      <c r="C27" s="84" t="str">
        <f ca="1">IF(ROWS($1:14)&gt;COUNT(Dong1),"",IF(OFFSET(TH!L$1,SMALL(Dong1,ROWS($1:14)),)="1111",OFFSET(TH!D$1,SMALL(Dong1,ROWS($1:14)),),""))</f>
        <v>T05</v>
      </c>
      <c r="D27" s="85" t="str">
        <f ca="1">IF(ROWS($1:14)&gt;COUNT(Dong1),"",IF(OFFSET(TH!M$1,SMALL(Dong1,ROWS($1:14)),)="1111",OFFSET(TH!D$1,SMALL(Dong1,ROWS($1:14)),),""))</f>
        <v/>
      </c>
      <c r="E27" s="133" t="str">
        <f ca="1">IF(ROWS($1:14)&gt;COUNT(Dong1),"",OFFSET(TH!F$1,SMALL(Dong1,ROWS($1:14)),))</f>
        <v>Thu tiền hàng</v>
      </c>
      <c r="F27" s="87" t="str">
        <f ca="1">IF(ROWS($1:14)&gt;COUNT(Dong1),"",IF(OFFSET(TH!M$1,SMALL(Dong1,ROWS($1:14)),)="1111",OFFSET(TH!L$1,SMALL(Dong1,ROWS($1:14)),),OFFSET(TH!M$1,SMALL(Dong1,ROWS($1:14)),)))</f>
        <v>131</v>
      </c>
      <c r="G27" s="88">
        <f ca="1">IF(ROWS($1:14)&gt;COUNT(Dong1),"",IF(OFFSET(TH!L$1,SMALL(Dong1,ROWS($1:14)),)="1111",OFFSET(TH!K$1,SMALL(Dong1,ROWS($1:14)),),0))</f>
        <v>12893892</v>
      </c>
      <c r="H27" s="86">
        <f ca="1">IF(ROWS($1:14)&gt;COUNT(Dong1),"",IF(OFFSET(TH!M$1,SMALL(Dong1,ROWS($1:14)),)="1111",OFFSET(TH!K$1,SMALL(Dong1,ROWS($1:14)),),0))</f>
        <v>0</v>
      </c>
      <c r="I27" s="84">
        <f t="shared" ca="1" si="0"/>
        <v>1553236100</v>
      </c>
      <c r="J27" s="89"/>
      <c r="N27" s="420"/>
      <c r="O27" s="420"/>
    </row>
    <row r="28" spans="1:15" ht="21.75" customHeight="1">
      <c r="A28" s="83">
        <f ca="1">IF(ROWS($1:15)&gt;COUNT(Dong1),"",OFFSET(TH!C$1,SMALL(Dong1,ROWS($1:15)),))</f>
        <v>42663</v>
      </c>
      <c r="B28" s="83">
        <f ca="1">IF(ROWS($1:15)&gt;COUNT(Dong1),"",OFFSET(TH!E$1,SMALL(Dong1,ROWS($1:15)),))</f>
        <v>42663</v>
      </c>
      <c r="C28" s="84" t="str">
        <f ca="1">IF(ROWS($1:15)&gt;COUNT(Dong1),"",IF(OFFSET(TH!L$1,SMALL(Dong1,ROWS($1:15)),)="1111",OFFSET(TH!D$1,SMALL(Dong1,ROWS($1:15)),),""))</f>
        <v>T06</v>
      </c>
      <c r="D28" s="85" t="str">
        <f ca="1">IF(ROWS($1:15)&gt;COUNT(Dong1),"",IF(OFFSET(TH!M$1,SMALL(Dong1,ROWS($1:15)),)="1111",OFFSET(TH!D$1,SMALL(Dong1,ROWS($1:15)),),""))</f>
        <v/>
      </c>
      <c r="E28" s="133" t="str">
        <f ca="1">IF(ROWS($1:15)&gt;COUNT(Dong1),"",OFFSET(TH!F$1,SMALL(Dong1,ROWS($1:15)),))</f>
        <v>Rút tiền mặt</v>
      </c>
      <c r="F28" s="87" t="str">
        <f ca="1">IF(ROWS($1:15)&gt;COUNT(Dong1),"",IF(OFFSET(TH!M$1,SMALL(Dong1,ROWS($1:15)),)="1111",OFFSET(TH!L$1,SMALL(Dong1,ROWS($1:15)),),OFFSET(TH!M$1,SMALL(Dong1,ROWS($1:15)),)))</f>
        <v>1121</v>
      </c>
      <c r="G28" s="88">
        <f ca="1">IF(ROWS($1:15)&gt;COUNT(Dong1),"",IF(OFFSET(TH!L$1,SMALL(Dong1,ROWS($1:15)),)="1111",OFFSET(TH!K$1,SMALL(Dong1,ROWS($1:15)),),0))</f>
        <v>104000000</v>
      </c>
      <c r="H28" s="86">
        <f ca="1">IF(ROWS($1:15)&gt;COUNT(Dong1),"",IF(OFFSET(TH!M$1,SMALL(Dong1,ROWS($1:15)),)="1111",OFFSET(TH!K$1,SMALL(Dong1,ROWS($1:15)),),0))</f>
        <v>0</v>
      </c>
      <c r="I28" s="84">
        <f t="shared" ca="1" si="0"/>
        <v>1657236100</v>
      </c>
      <c r="J28" s="89"/>
      <c r="N28" s="420"/>
      <c r="O28" s="420"/>
    </row>
    <row r="29" spans="1:15" ht="21.75" customHeight="1">
      <c r="A29" s="83">
        <f ca="1">IF(ROWS($1:16)&gt;COUNT(Dong1),"",OFFSET(TH!C$1,SMALL(Dong1,ROWS($1:16)),))</f>
        <v>42663</v>
      </c>
      <c r="B29" s="83">
        <f ca="1">IF(ROWS($1:16)&gt;COUNT(Dong1),"",OFFSET(TH!E$1,SMALL(Dong1,ROWS($1:16)),))</f>
        <v>42663</v>
      </c>
      <c r="C29" s="84" t="str">
        <f ca="1">IF(ROWS($1:16)&gt;COUNT(Dong1),"",IF(OFFSET(TH!L$1,SMALL(Dong1,ROWS($1:16)),)="1111",OFFSET(TH!D$1,SMALL(Dong1,ROWS($1:16)),),""))</f>
        <v/>
      </c>
      <c r="D29" s="85" t="str">
        <f ca="1">IF(ROWS($1:16)&gt;COUNT(Dong1),"",IF(OFFSET(TH!M$1,SMALL(Dong1,ROWS($1:16)),)="1111",OFFSET(TH!D$1,SMALL(Dong1,ROWS($1:16)),),""))</f>
        <v>C07</v>
      </c>
      <c r="E29" s="133" t="str">
        <f ca="1">IF(ROWS($1:16)&gt;COUNT(Dong1),"",OFFSET(TH!F$1,SMALL(Dong1,ROWS($1:16)),))</f>
        <v>Văn phòng phẩm</v>
      </c>
      <c r="F29" s="87" t="str">
        <f ca="1">IF(ROWS($1:16)&gt;COUNT(Dong1),"",IF(OFFSET(TH!M$1,SMALL(Dong1,ROWS($1:16)),)="1111",OFFSET(TH!L$1,SMALL(Dong1,ROWS($1:16)),),OFFSET(TH!M$1,SMALL(Dong1,ROWS($1:16)),)))</f>
        <v>642</v>
      </c>
      <c r="G29" s="88">
        <f ca="1">IF(ROWS($1:16)&gt;COUNT(Dong1),"",IF(OFFSET(TH!L$1,SMALL(Dong1,ROWS($1:16)),)="1111",OFFSET(TH!K$1,SMALL(Dong1,ROWS($1:16)),),0))</f>
        <v>0</v>
      </c>
      <c r="H29" s="86">
        <f ca="1">IF(ROWS($1:16)&gt;COUNT(Dong1),"",IF(OFFSET(TH!M$1,SMALL(Dong1,ROWS($1:16)),)="1111",OFFSET(TH!K$1,SMALL(Dong1,ROWS($1:16)),),0))</f>
        <v>934000</v>
      </c>
      <c r="I29" s="84">
        <f t="shared" ca="1" si="0"/>
        <v>1656302100</v>
      </c>
      <c r="J29" s="89"/>
      <c r="N29" s="420"/>
      <c r="O29" s="420"/>
    </row>
    <row r="30" spans="1:15" ht="21.75" customHeight="1">
      <c r="A30" s="83">
        <f ca="1">IF(ROWS($1:17)&gt;COUNT(Dong1),"",OFFSET(TH!C$1,SMALL(Dong1,ROWS($1:17)),))</f>
        <v>42663</v>
      </c>
      <c r="B30" s="83">
        <f ca="1">IF(ROWS($1:17)&gt;COUNT(Dong1),"",OFFSET(TH!E$1,SMALL(Dong1,ROWS($1:17)),))</f>
        <v>42663</v>
      </c>
      <c r="C30" s="84" t="str">
        <f ca="1">IF(ROWS($1:17)&gt;COUNT(Dong1),"",IF(OFFSET(TH!L$1,SMALL(Dong1,ROWS($1:17)),)="1111",OFFSET(TH!D$1,SMALL(Dong1,ROWS($1:17)),),""))</f>
        <v/>
      </c>
      <c r="D30" s="85" t="str">
        <f ca="1">IF(ROWS($1:17)&gt;COUNT(Dong1),"",IF(OFFSET(TH!M$1,SMALL(Dong1,ROWS($1:17)),)="1111",OFFSET(TH!D$1,SMALL(Dong1,ROWS($1:17)),),""))</f>
        <v>C07</v>
      </c>
      <c r="E30" s="133" t="str">
        <f ca="1">IF(ROWS($1:17)&gt;COUNT(Dong1),"",OFFSET(TH!F$1,SMALL(Dong1,ROWS($1:17)),))</f>
        <v>VAT Văn phòng phẩm</v>
      </c>
      <c r="F30" s="87" t="str">
        <f ca="1">IF(ROWS($1:17)&gt;COUNT(Dong1),"",IF(OFFSET(TH!M$1,SMALL(Dong1,ROWS($1:17)),)="1111",OFFSET(TH!L$1,SMALL(Dong1,ROWS($1:17)),),OFFSET(TH!M$1,SMALL(Dong1,ROWS($1:17)),)))</f>
        <v>1331</v>
      </c>
      <c r="G30" s="88">
        <f ca="1">IF(ROWS($1:17)&gt;COUNT(Dong1),"",IF(OFFSET(TH!L$1,SMALL(Dong1,ROWS($1:17)),)="1111",OFFSET(TH!K$1,SMALL(Dong1,ROWS($1:17)),),0))</f>
        <v>0</v>
      </c>
      <c r="H30" s="86">
        <f ca="1">IF(ROWS($1:17)&gt;COUNT(Dong1),"",IF(OFFSET(TH!M$1,SMALL(Dong1,ROWS($1:17)),)="1111",OFFSET(TH!K$1,SMALL(Dong1,ROWS($1:17)),),0))</f>
        <v>93400</v>
      </c>
      <c r="I30" s="84">
        <f t="shared" ca="1" si="0"/>
        <v>1656208700</v>
      </c>
      <c r="J30" s="89"/>
      <c r="N30" s="420"/>
      <c r="O30" s="420"/>
    </row>
    <row r="31" spans="1:15" ht="21.75" customHeight="1">
      <c r="A31" s="83">
        <f ca="1">IF(ROWS($1:18)&gt;COUNT(Dong1),"",OFFSET(TH!C$1,SMALL(Dong1,ROWS($1:18)),))</f>
        <v>42665</v>
      </c>
      <c r="B31" s="83">
        <f ca="1">IF(ROWS($1:18)&gt;COUNT(Dong1),"",OFFSET(TH!E$1,SMALL(Dong1,ROWS($1:18)),))</f>
        <v>42665</v>
      </c>
      <c r="C31" s="84" t="str">
        <f ca="1">IF(ROWS($1:18)&gt;COUNT(Dong1),"",IF(OFFSET(TH!L$1,SMALL(Dong1,ROWS($1:18)),)="1111",OFFSET(TH!D$1,SMALL(Dong1,ROWS($1:18)),),""))</f>
        <v/>
      </c>
      <c r="D31" s="85" t="str">
        <f ca="1">IF(ROWS($1:18)&gt;COUNT(Dong1),"",IF(OFFSET(TH!M$1,SMALL(Dong1,ROWS($1:18)),)="1111",OFFSET(TH!D$1,SMALL(Dong1,ROWS($1:18)),),""))</f>
        <v>C08</v>
      </c>
      <c r="E31" s="133" t="str">
        <f ca="1">IF(ROWS($1:18)&gt;COUNT(Dong1),"",OFFSET(TH!F$1,SMALL(Dong1,ROWS($1:18)),))</f>
        <v>Thanh toán tiền hàng</v>
      </c>
      <c r="F31" s="87" t="str">
        <f ca="1">IF(ROWS($1:18)&gt;COUNT(Dong1),"",IF(OFFSET(TH!M$1,SMALL(Dong1,ROWS($1:18)),)="1111",OFFSET(TH!L$1,SMALL(Dong1,ROWS($1:18)),),OFFSET(TH!M$1,SMALL(Dong1,ROWS($1:18)),)))</f>
        <v>331</v>
      </c>
      <c r="G31" s="88">
        <f ca="1">IF(ROWS($1:18)&gt;COUNT(Dong1),"",IF(OFFSET(TH!L$1,SMALL(Dong1,ROWS($1:18)),)="1111",OFFSET(TH!K$1,SMALL(Dong1,ROWS($1:18)),),0))</f>
        <v>0</v>
      </c>
      <c r="H31" s="86">
        <f ca="1">IF(ROWS($1:18)&gt;COUNT(Dong1),"",IF(OFFSET(TH!M$1,SMALL(Dong1,ROWS($1:18)),)="1111",OFFSET(TH!K$1,SMALL(Dong1,ROWS($1:18)),),0))</f>
        <v>11466400</v>
      </c>
      <c r="I31" s="84">
        <f t="shared" ca="1" si="0"/>
        <v>1644742300</v>
      </c>
      <c r="J31" s="89"/>
      <c r="N31" s="420"/>
      <c r="O31" s="420"/>
    </row>
    <row r="32" spans="1:15" ht="21.75" customHeight="1">
      <c r="A32" s="83">
        <f ca="1">IF(ROWS($1:19)&gt;COUNT(Dong1),"",OFFSET(TH!C$1,SMALL(Dong1,ROWS($1:19)),))</f>
        <v>42668</v>
      </c>
      <c r="B32" s="83">
        <f ca="1">IF(ROWS($1:19)&gt;COUNT(Dong1),"",OFFSET(TH!E$1,SMALL(Dong1,ROWS($1:19)),))</f>
        <v>42668</v>
      </c>
      <c r="C32" s="84" t="str">
        <f ca="1">IF(ROWS($1:19)&gt;COUNT(Dong1),"",IF(OFFSET(TH!L$1,SMALL(Dong1,ROWS($1:19)),)="1111",OFFSET(TH!D$1,SMALL(Dong1,ROWS($1:19)),),""))</f>
        <v>T07</v>
      </c>
      <c r="D32" s="85" t="str">
        <f ca="1">IF(ROWS($1:19)&gt;COUNT(Dong1),"",IF(OFFSET(TH!M$1,SMALL(Dong1,ROWS($1:19)),)="1111",OFFSET(TH!D$1,SMALL(Dong1,ROWS($1:19)),),""))</f>
        <v/>
      </c>
      <c r="E32" s="133" t="str">
        <f ca="1">IF(ROWS($1:19)&gt;COUNT(Dong1),"",OFFSET(TH!F$1,SMALL(Dong1,ROWS($1:19)),))</f>
        <v>Rút tiền mặt</v>
      </c>
      <c r="F32" s="87" t="str">
        <f ca="1">IF(ROWS($1:19)&gt;COUNT(Dong1),"",IF(OFFSET(TH!M$1,SMALL(Dong1,ROWS($1:19)),)="1111",OFFSET(TH!L$1,SMALL(Dong1,ROWS($1:19)),),OFFSET(TH!M$1,SMALL(Dong1,ROWS($1:19)),)))</f>
        <v>1121</v>
      </c>
      <c r="G32" s="88">
        <f ca="1">IF(ROWS($1:19)&gt;COUNT(Dong1),"",IF(OFFSET(TH!L$1,SMALL(Dong1,ROWS($1:19)),)="1111",OFFSET(TH!K$1,SMALL(Dong1,ROWS($1:19)),),0))</f>
        <v>3500000</v>
      </c>
      <c r="H32" s="86">
        <f ca="1">IF(ROWS($1:19)&gt;COUNT(Dong1),"",IF(OFFSET(TH!M$1,SMALL(Dong1,ROWS($1:19)),)="1111",OFFSET(TH!K$1,SMALL(Dong1,ROWS($1:19)),),0))</f>
        <v>0</v>
      </c>
      <c r="I32" s="84">
        <f t="shared" ca="1" si="0"/>
        <v>1648242300</v>
      </c>
      <c r="J32" s="89"/>
      <c r="N32" s="420"/>
      <c r="O32" s="420"/>
    </row>
    <row r="33" spans="1:15" ht="21.75" customHeight="1">
      <c r="A33" s="83">
        <f ca="1">IF(ROWS($1:20)&gt;COUNT(Dong1),"",OFFSET(TH!C$1,SMALL(Dong1,ROWS($1:20)),))</f>
        <v>42673</v>
      </c>
      <c r="B33" s="83">
        <f ca="1">IF(ROWS($1:20)&gt;COUNT(Dong1),"",OFFSET(TH!E$1,SMALL(Dong1,ROWS($1:20)),))</f>
        <v>42673</v>
      </c>
      <c r="C33" s="84" t="str">
        <f ca="1">IF(ROWS($1:20)&gt;COUNT(Dong1),"",IF(OFFSET(TH!L$1,SMALL(Dong1,ROWS($1:20)),)="1111",OFFSET(TH!D$1,SMALL(Dong1,ROWS($1:20)),),""))</f>
        <v/>
      </c>
      <c r="D33" s="85" t="str">
        <f ca="1">IF(ROWS($1:20)&gt;COUNT(Dong1),"",IF(OFFSET(TH!M$1,SMALL(Dong1,ROWS($1:20)),)="1111",OFFSET(TH!D$1,SMALL(Dong1,ROWS($1:20)),),""))</f>
        <v>C09</v>
      </c>
      <c r="E33" s="133" t="str">
        <f ca="1">IF(ROWS($1:20)&gt;COUNT(Dong1),"",OFFSET(TH!F$1,SMALL(Dong1,ROWS($1:20)),))</f>
        <v>Phí sử dụng đường bộ</v>
      </c>
      <c r="F33" s="87" t="str">
        <f ca="1">IF(ROWS($1:20)&gt;COUNT(Dong1),"",IF(OFFSET(TH!M$1,SMALL(Dong1,ROWS($1:20)),)="1111",OFFSET(TH!L$1,SMALL(Dong1,ROWS($1:20)),),OFFSET(TH!M$1,SMALL(Dong1,ROWS($1:20)),)))</f>
        <v>641</v>
      </c>
      <c r="G33" s="88">
        <f ca="1">IF(ROWS($1:20)&gt;COUNT(Dong1),"",IF(OFFSET(TH!L$1,SMALL(Dong1,ROWS($1:20)),)="1111",OFFSET(TH!K$1,SMALL(Dong1,ROWS($1:20)),),0))</f>
        <v>0</v>
      </c>
      <c r="H33" s="86">
        <f ca="1">IF(ROWS($1:20)&gt;COUNT(Dong1),"",IF(OFFSET(TH!M$1,SMALL(Dong1,ROWS($1:20)),)="1111",OFFSET(TH!K$1,SMALL(Dong1,ROWS($1:20)),),0))</f>
        <v>304545</v>
      </c>
      <c r="I33" s="84">
        <f t="shared" ca="1" si="0"/>
        <v>1647937755</v>
      </c>
      <c r="J33" s="89"/>
      <c r="N33" s="420"/>
      <c r="O33" s="420"/>
    </row>
    <row r="34" spans="1:15" ht="21.75" customHeight="1">
      <c r="A34" s="83">
        <f ca="1">IF(ROWS($1:21)&gt;COUNT(Dong1),"",OFFSET(TH!C$1,SMALL(Dong1,ROWS($1:21)),))</f>
        <v>42673</v>
      </c>
      <c r="B34" s="83">
        <f ca="1">IF(ROWS($1:21)&gt;COUNT(Dong1),"",OFFSET(TH!E$1,SMALL(Dong1,ROWS($1:21)),))</f>
        <v>42673</v>
      </c>
      <c r="C34" s="84" t="str">
        <f ca="1">IF(ROWS($1:21)&gt;COUNT(Dong1),"",IF(OFFSET(TH!L$1,SMALL(Dong1,ROWS($1:21)),)="1111",OFFSET(TH!D$1,SMALL(Dong1,ROWS($1:21)),),""))</f>
        <v/>
      </c>
      <c r="D34" s="85" t="str">
        <f ca="1">IF(ROWS($1:21)&gt;COUNT(Dong1),"",IF(OFFSET(TH!M$1,SMALL(Dong1,ROWS($1:21)),)="1111",OFFSET(TH!D$1,SMALL(Dong1,ROWS($1:21)),),""))</f>
        <v>C09</v>
      </c>
      <c r="E34" s="133" t="str">
        <f ca="1">IF(ROWS($1:21)&gt;COUNT(Dong1),"",OFFSET(TH!F$1,SMALL(Dong1,ROWS($1:21)),))</f>
        <v>VAT Phí sử dụng đường bộ</v>
      </c>
      <c r="F34" s="87" t="str">
        <f ca="1">IF(ROWS($1:21)&gt;COUNT(Dong1),"",IF(OFFSET(TH!M$1,SMALL(Dong1,ROWS($1:21)),)="1111",OFFSET(TH!L$1,SMALL(Dong1,ROWS($1:21)),),OFFSET(TH!M$1,SMALL(Dong1,ROWS($1:21)),)))</f>
        <v>1331</v>
      </c>
      <c r="G34" s="88">
        <f ca="1">IF(ROWS($1:21)&gt;COUNT(Dong1),"",IF(OFFSET(TH!L$1,SMALL(Dong1,ROWS($1:21)),)="1111",OFFSET(TH!K$1,SMALL(Dong1,ROWS($1:21)),),0))</f>
        <v>0</v>
      </c>
      <c r="H34" s="86">
        <f ca="1">IF(ROWS($1:21)&gt;COUNT(Dong1),"",IF(OFFSET(TH!M$1,SMALL(Dong1,ROWS($1:21)),)="1111",OFFSET(TH!K$1,SMALL(Dong1,ROWS($1:21)),),0))</f>
        <v>30455</v>
      </c>
      <c r="I34" s="84">
        <f t="shared" ca="1" si="0"/>
        <v>1647907300</v>
      </c>
      <c r="J34" s="89"/>
      <c r="N34" s="420"/>
      <c r="O34" s="420"/>
    </row>
    <row r="35" spans="1:15" ht="21.75" customHeight="1">
      <c r="A35" s="83">
        <f ca="1">IF(ROWS($1:22)&gt;COUNT(Dong1),"",OFFSET(TH!C$1,SMALL(Dong1,ROWS($1:22)),))</f>
        <v>42674</v>
      </c>
      <c r="B35" s="83">
        <f ca="1">IF(ROWS($1:22)&gt;COUNT(Dong1),"",OFFSET(TH!E$1,SMALL(Dong1,ROWS($1:22)),))</f>
        <v>42674</v>
      </c>
      <c r="C35" s="84" t="str">
        <f ca="1">IF(ROWS($1:22)&gt;COUNT(Dong1),"",IF(OFFSET(TH!L$1,SMALL(Dong1,ROWS($1:22)),)="1111",OFFSET(TH!D$1,SMALL(Dong1,ROWS($1:22)),),""))</f>
        <v/>
      </c>
      <c r="D35" s="85" t="str">
        <f ca="1">IF(ROWS($1:22)&gt;COUNT(Dong1),"",IF(OFFSET(TH!M$1,SMALL(Dong1,ROWS($1:22)),)="1111",OFFSET(TH!D$1,SMALL(Dong1,ROWS($1:22)),),""))</f>
        <v>C10</v>
      </c>
      <c r="E35" s="133" t="str">
        <f ca="1">IF(ROWS($1:22)&gt;COUNT(Dong1),"",OFFSET(TH!F$1,SMALL(Dong1,ROWS($1:22)),))</f>
        <v>Thanh toán tiền lương tháng 10/2016</v>
      </c>
      <c r="F35" s="87" t="str">
        <f ca="1">IF(ROWS($1:22)&gt;COUNT(Dong1),"",IF(OFFSET(TH!M$1,SMALL(Dong1,ROWS($1:22)),)="1111",OFFSET(TH!L$1,SMALL(Dong1,ROWS($1:22)),),OFFSET(TH!M$1,SMALL(Dong1,ROWS($1:22)),)))</f>
        <v>3341</v>
      </c>
      <c r="G35" s="88">
        <f ca="1">IF(ROWS($1:22)&gt;COUNT(Dong1),"",IF(OFFSET(TH!L$1,SMALL(Dong1,ROWS($1:22)),)="1111",OFFSET(TH!K$1,SMALL(Dong1,ROWS($1:22)),),0))</f>
        <v>0</v>
      </c>
      <c r="H35" s="86">
        <f ca="1">IF(ROWS($1:22)&gt;COUNT(Dong1),"",IF(OFFSET(TH!M$1,SMALL(Dong1,ROWS($1:22)),)="1111",OFFSET(TH!K$1,SMALL(Dong1,ROWS($1:22)),),0))</f>
        <v>18350000</v>
      </c>
      <c r="I35" s="84">
        <f t="shared" ca="1" si="0"/>
        <v>1629557300</v>
      </c>
      <c r="J35" s="89"/>
      <c r="N35" s="420"/>
      <c r="O35" s="420"/>
    </row>
    <row r="36" spans="1:15" ht="21.75" customHeight="1">
      <c r="A36" s="83">
        <f ca="1">IF(ROWS($1:23)&gt;COUNT(Dong1),"",OFFSET(TH!C$1,SMALL(Dong1,ROWS($1:23)),))</f>
        <v>42676</v>
      </c>
      <c r="B36" s="83">
        <f ca="1">IF(ROWS($1:23)&gt;COUNT(Dong1),"",OFFSET(TH!E$1,SMALL(Dong1,ROWS($1:23)),))</f>
        <v>42676</v>
      </c>
      <c r="C36" s="84" t="str">
        <f ca="1">IF(ROWS($1:23)&gt;COUNT(Dong1),"",IF(OFFSET(TH!L$1,SMALL(Dong1,ROWS($1:23)),)="1111",OFFSET(TH!D$1,SMALL(Dong1,ROWS($1:23)),),""))</f>
        <v/>
      </c>
      <c r="D36" s="85" t="str">
        <f ca="1">IF(ROWS($1:23)&gt;COUNT(Dong1),"",IF(OFFSET(TH!M$1,SMALL(Dong1,ROWS($1:23)),)="1111",OFFSET(TH!D$1,SMALL(Dong1,ROWS($1:23)),),""))</f>
        <v>C11</v>
      </c>
      <c r="E36" s="133" t="str">
        <f ca="1">IF(ROWS($1:23)&gt;COUNT(Dong1),"",OFFSET(TH!F$1,SMALL(Dong1,ROWS($1:23)),))</f>
        <v>Dầu DO</v>
      </c>
      <c r="F36" s="87" t="str">
        <f ca="1">IF(ROWS($1:23)&gt;COUNT(Dong1),"",IF(OFFSET(TH!M$1,SMALL(Dong1,ROWS($1:23)),)="1111",OFFSET(TH!L$1,SMALL(Dong1,ROWS($1:23)),),OFFSET(TH!M$1,SMALL(Dong1,ROWS($1:23)),)))</f>
        <v>641</v>
      </c>
      <c r="G36" s="88">
        <f ca="1">IF(ROWS($1:23)&gt;COUNT(Dong1),"",IF(OFFSET(TH!L$1,SMALL(Dong1,ROWS($1:23)),)="1111",OFFSET(TH!K$1,SMALL(Dong1,ROWS($1:23)),),0))</f>
        <v>0</v>
      </c>
      <c r="H36" s="86">
        <f ca="1">IF(ROWS($1:23)&gt;COUNT(Dong1),"",IF(OFFSET(TH!M$1,SMALL(Dong1,ROWS($1:23)),)="1111",OFFSET(TH!K$1,SMALL(Dong1,ROWS($1:23)),),0))</f>
        <v>4912090</v>
      </c>
      <c r="I36" s="84">
        <f t="shared" ca="1" si="0"/>
        <v>1624645210</v>
      </c>
      <c r="J36" s="89"/>
      <c r="N36" s="420"/>
      <c r="O36" s="420"/>
    </row>
    <row r="37" spans="1:15" ht="21.75" customHeight="1">
      <c r="A37" s="83">
        <f ca="1">IF(ROWS($1:24)&gt;COUNT(Dong1),"",OFFSET(TH!C$1,SMALL(Dong1,ROWS($1:24)),))</f>
        <v>42676</v>
      </c>
      <c r="B37" s="83">
        <f ca="1">IF(ROWS($1:24)&gt;COUNT(Dong1),"",OFFSET(TH!E$1,SMALL(Dong1,ROWS($1:24)),))</f>
        <v>42676</v>
      </c>
      <c r="C37" s="84" t="str">
        <f ca="1">IF(ROWS($1:24)&gt;COUNT(Dong1),"",IF(OFFSET(TH!L$1,SMALL(Dong1,ROWS($1:24)),)="1111",OFFSET(TH!D$1,SMALL(Dong1,ROWS($1:24)),),""))</f>
        <v/>
      </c>
      <c r="D37" s="85" t="str">
        <f ca="1">IF(ROWS($1:24)&gt;COUNT(Dong1),"",IF(OFFSET(TH!M$1,SMALL(Dong1,ROWS($1:24)),)="1111",OFFSET(TH!D$1,SMALL(Dong1,ROWS($1:24)),),""))</f>
        <v>C11</v>
      </c>
      <c r="E37" s="133" t="str">
        <f ca="1">IF(ROWS($1:24)&gt;COUNT(Dong1),"",OFFSET(TH!F$1,SMALL(Dong1,ROWS($1:24)),))</f>
        <v>VAT Dầu DO</v>
      </c>
      <c r="F37" s="87" t="str">
        <f ca="1">IF(ROWS($1:24)&gt;COUNT(Dong1),"",IF(OFFSET(TH!M$1,SMALL(Dong1,ROWS($1:24)),)="1111",OFFSET(TH!L$1,SMALL(Dong1,ROWS($1:24)),),OFFSET(TH!M$1,SMALL(Dong1,ROWS($1:24)),)))</f>
        <v>1331</v>
      </c>
      <c r="G37" s="88">
        <f ca="1">IF(ROWS($1:24)&gt;COUNT(Dong1),"",IF(OFFSET(TH!L$1,SMALL(Dong1,ROWS($1:24)),)="1111",OFFSET(TH!K$1,SMALL(Dong1,ROWS($1:24)),),0))</f>
        <v>0</v>
      </c>
      <c r="H37" s="86">
        <f ca="1">IF(ROWS($1:24)&gt;COUNT(Dong1),"",IF(OFFSET(TH!M$1,SMALL(Dong1,ROWS($1:24)),)="1111",OFFSET(TH!K$1,SMALL(Dong1,ROWS($1:24)),),0))</f>
        <v>491210</v>
      </c>
      <c r="I37" s="84">
        <f t="shared" ca="1" si="0"/>
        <v>1624154000</v>
      </c>
      <c r="J37" s="89"/>
      <c r="N37" s="420"/>
      <c r="O37" s="420"/>
    </row>
    <row r="38" spans="1:15" ht="21.75" customHeight="1">
      <c r="A38" s="83">
        <f ca="1">IF(ROWS($1:25)&gt;COUNT(Dong1),"",OFFSET(TH!C$1,SMALL(Dong1,ROWS($1:25)),))</f>
        <v>42678</v>
      </c>
      <c r="B38" s="83">
        <f ca="1">IF(ROWS($1:25)&gt;COUNT(Dong1),"",OFFSET(TH!E$1,SMALL(Dong1,ROWS($1:25)),))</f>
        <v>42678</v>
      </c>
      <c r="C38" s="84" t="str">
        <f ca="1">IF(ROWS($1:25)&gt;COUNT(Dong1),"",IF(OFFSET(TH!L$1,SMALL(Dong1,ROWS($1:25)),)="1111",OFFSET(TH!D$1,SMALL(Dong1,ROWS($1:25)),),""))</f>
        <v/>
      </c>
      <c r="D38" s="85" t="str">
        <f ca="1">IF(ROWS($1:25)&gt;COUNT(Dong1),"",IF(OFFSET(TH!M$1,SMALL(Dong1,ROWS($1:25)),)="1111",OFFSET(TH!D$1,SMALL(Dong1,ROWS($1:25)),),""))</f>
        <v>C12</v>
      </c>
      <c r="E38" s="133" t="str">
        <f ca="1">IF(ROWS($1:25)&gt;COUNT(Dong1),"",OFFSET(TH!F$1,SMALL(Dong1,ROWS($1:25)),))</f>
        <v>Thanh toán tiền hàng</v>
      </c>
      <c r="F38" s="87" t="str">
        <f ca="1">IF(ROWS($1:25)&gt;COUNT(Dong1),"",IF(OFFSET(TH!M$1,SMALL(Dong1,ROWS($1:25)),)="1111",OFFSET(TH!L$1,SMALL(Dong1,ROWS($1:25)),),OFFSET(TH!M$1,SMALL(Dong1,ROWS($1:25)),)))</f>
        <v>331</v>
      </c>
      <c r="G38" s="88">
        <f ca="1">IF(ROWS($1:25)&gt;COUNT(Dong1),"",IF(OFFSET(TH!L$1,SMALL(Dong1,ROWS($1:25)),)="1111",OFFSET(TH!K$1,SMALL(Dong1,ROWS($1:25)),),0))</f>
        <v>0</v>
      </c>
      <c r="H38" s="86">
        <f ca="1">IF(ROWS($1:25)&gt;COUNT(Dong1),"",IF(OFFSET(TH!M$1,SMALL(Dong1,ROWS($1:25)),)="1111",OFFSET(TH!K$1,SMALL(Dong1,ROWS($1:25)),),0))</f>
        <v>13590500</v>
      </c>
      <c r="I38" s="84">
        <f t="shared" ca="1" si="0"/>
        <v>1610563500</v>
      </c>
      <c r="J38" s="89"/>
      <c r="N38" s="420"/>
      <c r="O38" s="420"/>
    </row>
    <row r="39" spans="1:15" ht="21.75" customHeight="1">
      <c r="A39" s="83">
        <f ca="1">IF(ROWS($1:26)&gt;COUNT(Dong1),"",OFFSET(TH!C$1,SMALL(Dong1,ROWS($1:26)),))</f>
        <v>42678</v>
      </c>
      <c r="B39" s="83">
        <f ca="1">IF(ROWS($1:26)&gt;COUNT(Dong1),"",OFFSET(TH!E$1,SMALL(Dong1,ROWS($1:26)),))</f>
        <v>42678</v>
      </c>
      <c r="C39" s="84" t="str">
        <f ca="1">IF(ROWS($1:26)&gt;COUNT(Dong1),"",IF(OFFSET(TH!L$1,SMALL(Dong1,ROWS($1:26)),)="1111",OFFSET(TH!D$1,SMALL(Dong1,ROWS($1:26)),),""))</f>
        <v>T08</v>
      </c>
      <c r="D39" s="85" t="str">
        <f ca="1">IF(ROWS($1:26)&gt;COUNT(Dong1),"",IF(OFFSET(TH!M$1,SMALL(Dong1,ROWS($1:26)),)="1111",OFFSET(TH!D$1,SMALL(Dong1,ROWS($1:26)),),""))</f>
        <v/>
      </c>
      <c r="E39" s="133" t="str">
        <f ca="1">IF(ROWS($1:26)&gt;COUNT(Dong1),"",OFFSET(TH!F$1,SMALL(Dong1,ROWS($1:26)),))</f>
        <v>Rút tiền mặt</v>
      </c>
      <c r="F39" s="87" t="str">
        <f ca="1">IF(ROWS($1:26)&gt;COUNT(Dong1),"",IF(OFFSET(TH!M$1,SMALL(Dong1,ROWS($1:26)),)="1111",OFFSET(TH!L$1,SMALL(Dong1,ROWS($1:26)),),OFFSET(TH!M$1,SMALL(Dong1,ROWS($1:26)),)))</f>
        <v>1121</v>
      </c>
      <c r="G39" s="88">
        <f ca="1">IF(ROWS($1:26)&gt;COUNT(Dong1),"",IF(OFFSET(TH!L$1,SMALL(Dong1,ROWS($1:26)),)="1111",OFFSET(TH!K$1,SMALL(Dong1,ROWS($1:26)),),0))</f>
        <v>59000000</v>
      </c>
      <c r="H39" s="86">
        <f ca="1">IF(ROWS($1:26)&gt;COUNT(Dong1),"",IF(OFFSET(TH!M$1,SMALL(Dong1,ROWS($1:26)),)="1111",OFFSET(TH!K$1,SMALL(Dong1,ROWS($1:26)),),0))</f>
        <v>0</v>
      </c>
      <c r="I39" s="84">
        <f t="shared" ca="1" si="0"/>
        <v>1669563500</v>
      </c>
      <c r="J39" s="89"/>
      <c r="N39" s="420"/>
      <c r="O39" s="420"/>
    </row>
    <row r="40" spans="1:15" ht="21.75" customHeight="1">
      <c r="A40" s="83">
        <f ca="1">IF(ROWS($1:27)&gt;COUNT(Dong1),"",OFFSET(TH!C$1,SMALL(Dong1,ROWS($1:27)),))</f>
        <v>42679</v>
      </c>
      <c r="B40" s="83">
        <f ca="1">IF(ROWS($1:27)&gt;COUNT(Dong1),"",OFFSET(TH!E$1,SMALL(Dong1,ROWS($1:27)),))</f>
        <v>42679</v>
      </c>
      <c r="C40" s="84" t="str">
        <f ca="1">IF(ROWS($1:27)&gt;COUNT(Dong1),"",IF(OFFSET(TH!L$1,SMALL(Dong1,ROWS($1:27)),)="1111",OFFSET(TH!D$1,SMALL(Dong1,ROWS($1:27)),),""))</f>
        <v/>
      </c>
      <c r="D40" s="85" t="str">
        <f ca="1">IF(ROWS($1:27)&gt;COUNT(Dong1),"",IF(OFFSET(TH!M$1,SMALL(Dong1,ROWS($1:27)),)="1111",OFFSET(TH!D$1,SMALL(Dong1,ROWS($1:27)),),""))</f>
        <v>C13</v>
      </c>
      <c r="E40" s="133" t="str">
        <f ca="1">IF(ROWS($1:27)&gt;COUNT(Dong1),"",OFFSET(TH!F$1,SMALL(Dong1,ROWS($1:27)),))</f>
        <v>Vật dụng sửa xe</v>
      </c>
      <c r="F40" s="87" t="str">
        <f ca="1">IF(ROWS($1:27)&gt;COUNT(Dong1),"",IF(OFFSET(TH!M$1,SMALL(Dong1,ROWS($1:27)),)="1111",OFFSET(TH!L$1,SMALL(Dong1,ROWS($1:27)),),OFFSET(TH!M$1,SMALL(Dong1,ROWS($1:27)),)))</f>
        <v>642</v>
      </c>
      <c r="G40" s="88">
        <f ca="1">IF(ROWS($1:27)&gt;COUNT(Dong1),"",IF(OFFSET(TH!L$1,SMALL(Dong1,ROWS($1:27)),)="1111",OFFSET(TH!K$1,SMALL(Dong1,ROWS($1:27)),),0))</f>
        <v>0</v>
      </c>
      <c r="H40" s="86">
        <f ca="1">IF(ROWS($1:27)&gt;COUNT(Dong1),"",IF(OFFSET(TH!M$1,SMALL(Dong1,ROWS($1:27)),)="1111",OFFSET(TH!K$1,SMALL(Dong1,ROWS($1:27)),),0))</f>
        <v>3910000</v>
      </c>
      <c r="I40" s="84">
        <f t="shared" ca="1" si="0"/>
        <v>1665653500</v>
      </c>
      <c r="J40" s="89"/>
      <c r="N40" s="420"/>
      <c r="O40" s="420"/>
    </row>
    <row r="41" spans="1:15" ht="21.75" customHeight="1">
      <c r="A41" s="83">
        <f ca="1">IF(ROWS($1:28)&gt;COUNT(Dong1),"",OFFSET(TH!C$1,SMALL(Dong1,ROWS($1:28)),))</f>
        <v>42679</v>
      </c>
      <c r="B41" s="83">
        <f ca="1">IF(ROWS($1:28)&gt;COUNT(Dong1),"",OFFSET(TH!E$1,SMALL(Dong1,ROWS($1:28)),))</f>
        <v>42679</v>
      </c>
      <c r="C41" s="84" t="str">
        <f ca="1">IF(ROWS($1:28)&gt;COUNT(Dong1),"",IF(OFFSET(TH!L$1,SMALL(Dong1,ROWS($1:28)),)="1111",OFFSET(TH!D$1,SMALL(Dong1,ROWS($1:28)),),""))</f>
        <v/>
      </c>
      <c r="D41" s="85" t="str">
        <f ca="1">IF(ROWS($1:28)&gt;COUNT(Dong1),"",IF(OFFSET(TH!M$1,SMALL(Dong1,ROWS($1:28)),)="1111",OFFSET(TH!D$1,SMALL(Dong1,ROWS($1:28)),),""))</f>
        <v>C13</v>
      </c>
      <c r="E41" s="133" t="str">
        <f ca="1">IF(ROWS($1:28)&gt;COUNT(Dong1),"",OFFSET(TH!F$1,SMALL(Dong1,ROWS($1:28)),))</f>
        <v>VAT Vật dụng sửa xe</v>
      </c>
      <c r="F41" s="87" t="str">
        <f ca="1">IF(ROWS($1:28)&gt;COUNT(Dong1),"",IF(OFFSET(TH!M$1,SMALL(Dong1,ROWS($1:28)),)="1111",OFFSET(TH!L$1,SMALL(Dong1,ROWS($1:28)),),OFFSET(TH!M$1,SMALL(Dong1,ROWS($1:28)),)))</f>
        <v>1331</v>
      </c>
      <c r="G41" s="88">
        <f ca="1">IF(ROWS($1:28)&gt;COUNT(Dong1),"",IF(OFFSET(TH!L$1,SMALL(Dong1,ROWS($1:28)),)="1111",OFFSET(TH!K$1,SMALL(Dong1,ROWS($1:28)),),0))</f>
        <v>0</v>
      </c>
      <c r="H41" s="86">
        <f ca="1">IF(ROWS($1:28)&gt;COUNT(Dong1),"",IF(OFFSET(TH!M$1,SMALL(Dong1,ROWS($1:28)),)="1111",OFFSET(TH!K$1,SMALL(Dong1,ROWS($1:28)),),0))</f>
        <v>391000</v>
      </c>
      <c r="I41" s="84">
        <f t="shared" ca="1" si="0"/>
        <v>1665262500</v>
      </c>
      <c r="J41" s="89"/>
      <c r="N41" s="420"/>
      <c r="O41" s="420"/>
    </row>
    <row r="42" spans="1:15" ht="21.75" customHeight="1">
      <c r="A42" s="83">
        <f ca="1">IF(ROWS($1:29)&gt;COUNT(Dong1),"",OFFSET(TH!C$1,SMALL(Dong1,ROWS($1:29)),))</f>
        <v>42683</v>
      </c>
      <c r="B42" s="83">
        <f ca="1">IF(ROWS($1:29)&gt;COUNT(Dong1),"",OFFSET(TH!E$1,SMALL(Dong1,ROWS($1:29)),))</f>
        <v>42683</v>
      </c>
      <c r="C42" s="84" t="str">
        <f ca="1">IF(ROWS($1:29)&gt;COUNT(Dong1),"",IF(OFFSET(TH!L$1,SMALL(Dong1,ROWS($1:29)),)="1111",OFFSET(TH!D$1,SMALL(Dong1,ROWS($1:29)),),""))</f>
        <v/>
      </c>
      <c r="D42" s="85" t="str">
        <f ca="1">IF(ROWS($1:29)&gt;COUNT(Dong1),"",IF(OFFSET(TH!M$1,SMALL(Dong1,ROWS($1:29)),)="1111",OFFSET(TH!D$1,SMALL(Dong1,ROWS($1:29)),),""))</f>
        <v>C14</v>
      </c>
      <c r="E42" s="133" t="str">
        <f ca="1">IF(ROWS($1:29)&gt;COUNT(Dong1),"",OFFSET(TH!F$1,SMALL(Dong1,ROWS($1:29)),))</f>
        <v>Xe nâng tay</v>
      </c>
      <c r="F42" s="87" t="str">
        <f ca="1">IF(ROWS($1:29)&gt;COUNT(Dong1),"",IF(OFFSET(TH!M$1,SMALL(Dong1,ROWS($1:29)),)="1111",OFFSET(TH!L$1,SMALL(Dong1,ROWS($1:29)),),OFFSET(TH!M$1,SMALL(Dong1,ROWS($1:29)),)))</f>
        <v>642</v>
      </c>
      <c r="G42" s="88">
        <f ca="1">IF(ROWS($1:29)&gt;COUNT(Dong1),"",IF(OFFSET(TH!L$1,SMALL(Dong1,ROWS($1:29)),)="1111",OFFSET(TH!K$1,SMALL(Dong1,ROWS($1:29)),),0))</f>
        <v>0</v>
      </c>
      <c r="H42" s="86">
        <f ca="1">IF(ROWS($1:29)&gt;COUNT(Dong1),"",IF(OFFSET(TH!M$1,SMALL(Dong1,ROWS($1:29)),)="1111",OFFSET(TH!K$1,SMALL(Dong1,ROWS($1:29)),),0))</f>
        <v>3150000</v>
      </c>
      <c r="I42" s="84">
        <f t="shared" ca="1" si="0"/>
        <v>1662112500</v>
      </c>
      <c r="J42" s="89"/>
      <c r="N42" s="420"/>
      <c r="O42" s="420"/>
    </row>
    <row r="43" spans="1:15" ht="21.75" customHeight="1">
      <c r="A43" s="83">
        <f ca="1">IF(ROWS($1:30)&gt;COUNT(Dong1),"",OFFSET(TH!C$1,SMALL(Dong1,ROWS($1:30)),))</f>
        <v>42683</v>
      </c>
      <c r="B43" s="83">
        <f ca="1">IF(ROWS($1:30)&gt;COUNT(Dong1),"",OFFSET(TH!E$1,SMALL(Dong1,ROWS($1:30)),))</f>
        <v>42683</v>
      </c>
      <c r="C43" s="84" t="str">
        <f ca="1">IF(ROWS($1:30)&gt;COUNT(Dong1),"",IF(OFFSET(TH!L$1,SMALL(Dong1,ROWS($1:30)),)="1111",OFFSET(TH!D$1,SMALL(Dong1,ROWS($1:30)),),""))</f>
        <v/>
      </c>
      <c r="D43" s="85" t="str">
        <f ca="1">IF(ROWS($1:30)&gt;COUNT(Dong1),"",IF(OFFSET(TH!M$1,SMALL(Dong1,ROWS($1:30)),)="1111",OFFSET(TH!D$1,SMALL(Dong1,ROWS($1:30)),),""))</f>
        <v>C14</v>
      </c>
      <c r="E43" s="133" t="str">
        <f ca="1">IF(ROWS($1:30)&gt;COUNT(Dong1),"",OFFSET(TH!F$1,SMALL(Dong1,ROWS($1:30)),))</f>
        <v>VAT Xe nâng tay</v>
      </c>
      <c r="F43" s="87" t="str">
        <f ca="1">IF(ROWS($1:30)&gt;COUNT(Dong1),"",IF(OFFSET(TH!M$1,SMALL(Dong1,ROWS($1:30)),)="1111",OFFSET(TH!L$1,SMALL(Dong1,ROWS($1:30)),),OFFSET(TH!M$1,SMALL(Dong1,ROWS($1:30)),)))</f>
        <v>1331</v>
      </c>
      <c r="G43" s="88">
        <f ca="1">IF(ROWS($1:30)&gt;COUNT(Dong1),"",IF(OFFSET(TH!L$1,SMALL(Dong1,ROWS($1:30)),)="1111",OFFSET(TH!K$1,SMALL(Dong1,ROWS($1:30)),),0))</f>
        <v>0</v>
      </c>
      <c r="H43" s="86">
        <f ca="1">IF(ROWS($1:30)&gt;COUNT(Dong1),"",IF(OFFSET(TH!M$1,SMALL(Dong1,ROWS($1:30)),)="1111",OFFSET(TH!K$1,SMALL(Dong1,ROWS($1:30)),),0))</f>
        <v>315000</v>
      </c>
      <c r="I43" s="84">
        <f t="shared" ca="1" si="0"/>
        <v>1661797500</v>
      </c>
      <c r="J43" s="89"/>
      <c r="N43" s="420"/>
      <c r="O43" s="420"/>
    </row>
    <row r="44" spans="1:15" ht="21.75" customHeight="1">
      <c r="A44" s="83">
        <f ca="1">IF(ROWS($1:31)&gt;COUNT(Dong1),"",OFFSET(TH!C$1,SMALL(Dong1,ROWS($1:31)),))</f>
        <v>42683</v>
      </c>
      <c r="B44" s="83">
        <f ca="1">IF(ROWS($1:31)&gt;COUNT(Dong1),"",OFFSET(TH!E$1,SMALL(Dong1,ROWS($1:31)),))</f>
        <v>42683</v>
      </c>
      <c r="C44" s="84" t="str">
        <f ca="1">IF(ROWS($1:31)&gt;COUNT(Dong1),"",IF(OFFSET(TH!L$1,SMALL(Dong1,ROWS($1:31)),)="1111",OFFSET(TH!D$1,SMALL(Dong1,ROWS($1:31)),),""))</f>
        <v>T09</v>
      </c>
      <c r="D44" s="85" t="str">
        <f ca="1">IF(ROWS($1:31)&gt;COUNT(Dong1),"",IF(OFFSET(TH!M$1,SMALL(Dong1,ROWS($1:31)),)="1111",OFFSET(TH!D$1,SMALL(Dong1,ROWS($1:31)),),""))</f>
        <v/>
      </c>
      <c r="E44" s="133" t="str">
        <f ca="1">IF(ROWS($1:31)&gt;COUNT(Dong1),"",OFFSET(TH!F$1,SMALL(Dong1,ROWS($1:31)),))</f>
        <v>Thu tiền hàng</v>
      </c>
      <c r="F44" s="87" t="str">
        <f ca="1">IF(ROWS($1:31)&gt;COUNT(Dong1),"",IF(OFFSET(TH!M$1,SMALL(Dong1,ROWS($1:31)),)="1111",OFFSET(TH!L$1,SMALL(Dong1,ROWS($1:31)),),OFFSET(TH!M$1,SMALL(Dong1,ROWS($1:31)),)))</f>
        <v>131</v>
      </c>
      <c r="G44" s="88">
        <f ca="1">IF(ROWS($1:31)&gt;COUNT(Dong1),"",IF(OFFSET(TH!L$1,SMALL(Dong1,ROWS($1:31)),)="1111",OFFSET(TH!K$1,SMALL(Dong1,ROWS($1:31)),),0))</f>
        <v>19800000</v>
      </c>
      <c r="H44" s="86">
        <f ca="1">IF(ROWS($1:31)&gt;COUNT(Dong1),"",IF(OFFSET(TH!M$1,SMALL(Dong1,ROWS($1:31)),)="1111",OFFSET(TH!K$1,SMALL(Dong1,ROWS($1:31)),),0))</f>
        <v>0</v>
      </c>
      <c r="I44" s="84">
        <f t="shared" ca="1" si="0"/>
        <v>1681597500</v>
      </c>
      <c r="J44" s="89"/>
      <c r="N44" s="420"/>
      <c r="O44" s="420"/>
    </row>
    <row r="45" spans="1:15" ht="21.75" customHeight="1">
      <c r="A45" s="83">
        <f ca="1">IF(ROWS($1:32)&gt;COUNT(Dong1),"",OFFSET(TH!C$1,SMALL(Dong1,ROWS($1:32)),))</f>
        <v>42684</v>
      </c>
      <c r="B45" s="83">
        <f ca="1">IF(ROWS($1:32)&gt;COUNT(Dong1),"",OFFSET(TH!E$1,SMALL(Dong1,ROWS($1:32)),))</f>
        <v>42684</v>
      </c>
      <c r="C45" s="84" t="str">
        <f ca="1">IF(ROWS($1:32)&gt;COUNT(Dong1),"",IF(OFFSET(TH!L$1,SMALL(Dong1,ROWS($1:32)),)="1111",OFFSET(TH!D$1,SMALL(Dong1,ROWS($1:32)),),""))</f>
        <v/>
      </c>
      <c r="D45" s="85" t="str">
        <f ca="1">IF(ROWS($1:32)&gt;COUNT(Dong1),"",IF(OFFSET(TH!M$1,SMALL(Dong1,ROWS($1:32)),)="1111",OFFSET(TH!D$1,SMALL(Dong1,ROWS($1:32)),),""))</f>
        <v>C15</v>
      </c>
      <c r="E45" s="133" t="str">
        <f ca="1">IF(ROWS($1:32)&gt;COUNT(Dong1),"",OFFSET(TH!F$1,SMALL(Dong1,ROWS($1:32)),))</f>
        <v>Thanh toán tiền hàng</v>
      </c>
      <c r="F45" s="87" t="str">
        <f ca="1">IF(ROWS($1:32)&gt;COUNT(Dong1),"",IF(OFFSET(TH!M$1,SMALL(Dong1,ROWS($1:32)),)="1111",OFFSET(TH!L$1,SMALL(Dong1,ROWS($1:32)),),OFFSET(TH!M$1,SMALL(Dong1,ROWS($1:32)),)))</f>
        <v>331</v>
      </c>
      <c r="G45" s="88">
        <f ca="1">IF(ROWS($1:32)&gt;COUNT(Dong1),"",IF(OFFSET(TH!L$1,SMALL(Dong1,ROWS($1:32)),)="1111",OFFSET(TH!K$1,SMALL(Dong1,ROWS($1:32)),),0))</f>
        <v>0</v>
      </c>
      <c r="H45" s="86">
        <f ca="1">IF(ROWS($1:32)&gt;COUNT(Dong1),"",IF(OFFSET(TH!M$1,SMALL(Dong1,ROWS($1:32)),)="1111",OFFSET(TH!K$1,SMALL(Dong1,ROWS($1:32)),),0))</f>
        <v>19800000</v>
      </c>
      <c r="I45" s="84">
        <f t="shared" ca="1" si="0"/>
        <v>1661797500</v>
      </c>
      <c r="J45" s="89"/>
      <c r="N45" s="420"/>
      <c r="O45" s="420"/>
    </row>
    <row r="46" spans="1:15" ht="21.75" customHeight="1">
      <c r="A46" s="83">
        <f ca="1">IF(ROWS($1:33)&gt;COUNT(Dong1),"",OFFSET(TH!C$1,SMALL(Dong1,ROWS($1:33)),))</f>
        <v>42684</v>
      </c>
      <c r="B46" s="83">
        <f ca="1">IF(ROWS($1:33)&gt;COUNT(Dong1),"",OFFSET(TH!E$1,SMALL(Dong1,ROWS($1:33)),))</f>
        <v>42684</v>
      </c>
      <c r="C46" s="84" t="str">
        <f ca="1">IF(ROWS($1:33)&gt;COUNT(Dong1),"",IF(OFFSET(TH!L$1,SMALL(Dong1,ROWS($1:33)),)="1111",OFFSET(TH!D$1,SMALL(Dong1,ROWS($1:33)),),""))</f>
        <v>T10</v>
      </c>
      <c r="D46" s="85" t="str">
        <f ca="1">IF(ROWS($1:33)&gt;COUNT(Dong1),"",IF(OFFSET(TH!M$1,SMALL(Dong1,ROWS($1:33)),)="1111",OFFSET(TH!D$1,SMALL(Dong1,ROWS($1:33)),),""))</f>
        <v/>
      </c>
      <c r="E46" s="133" t="str">
        <f ca="1">IF(ROWS($1:33)&gt;COUNT(Dong1),"",OFFSET(TH!F$1,SMALL(Dong1,ROWS($1:33)),))</f>
        <v>Thu tiền hàng</v>
      </c>
      <c r="F46" s="87" t="str">
        <f ca="1">IF(ROWS($1:33)&gt;COUNT(Dong1),"",IF(OFFSET(TH!M$1,SMALL(Dong1,ROWS($1:33)),)="1111",OFFSET(TH!L$1,SMALL(Dong1,ROWS($1:33)),),OFFSET(TH!M$1,SMALL(Dong1,ROWS($1:33)),)))</f>
        <v>131</v>
      </c>
      <c r="G46" s="88">
        <f ca="1">IF(ROWS($1:33)&gt;COUNT(Dong1),"",IF(OFFSET(TH!L$1,SMALL(Dong1,ROWS($1:33)),)="1111",OFFSET(TH!K$1,SMALL(Dong1,ROWS($1:33)),),0))</f>
        <v>19800000</v>
      </c>
      <c r="H46" s="86">
        <f ca="1">IF(ROWS($1:33)&gt;COUNT(Dong1),"",IF(OFFSET(TH!M$1,SMALL(Dong1,ROWS($1:33)),)="1111",OFFSET(TH!K$1,SMALL(Dong1,ROWS($1:33)),),0))</f>
        <v>0</v>
      </c>
      <c r="I46" s="84">
        <f t="shared" ca="1" si="0"/>
        <v>1681597500</v>
      </c>
      <c r="J46" s="89"/>
      <c r="N46" s="420"/>
      <c r="O46" s="420"/>
    </row>
    <row r="47" spans="1:15" ht="21.75" customHeight="1">
      <c r="A47" s="83">
        <f ca="1">IF(ROWS($1:34)&gt;COUNT(Dong1),"",OFFSET(TH!C$1,SMALL(Dong1,ROWS($1:34)),))</f>
        <v>42685</v>
      </c>
      <c r="B47" s="83">
        <f ca="1">IF(ROWS($1:34)&gt;COUNT(Dong1),"",OFFSET(TH!E$1,SMALL(Dong1,ROWS($1:34)),))</f>
        <v>42685</v>
      </c>
      <c r="C47" s="84" t="str">
        <f ca="1">IF(ROWS($1:34)&gt;COUNT(Dong1),"",IF(OFFSET(TH!L$1,SMALL(Dong1,ROWS($1:34)),)="1111",OFFSET(TH!D$1,SMALL(Dong1,ROWS($1:34)),),""))</f>
        <v>T11</v>
      </c>
      <c r="D47" s="85" t="str">
        <f ca="1">IF(ROWS($1:34)&gt;COUNT(Dong1),"",IF(OFFSET(TH!M$1,SMALL(Dong1,ROWS($1:34)),)="1111",OFFSET(TH!D$1,SMALL(Dong1,ROWS($1:34)),),""))</f>
        <v/>
      </c>
      <c r="E47" s="133" t="str">
        <f ca="1">IF(ROWS($1:34)&gt;COUNT(Dong1),"",OFFSET(TH!F$1,SMALL(Dong1,ROWS($1:34)),))</f>
        <v>Rút tiền mặt</v>
      </c>
      <c r="F47" s="87" t="str">
        <f ca="1">IF(ROWS($1:34)&gt;COUNT(Dong1),"",IF(OFFSET(TH!M$1,SMALL(Dong1,ROWS($1:34)),)="1111",OFFSET(TH!L$1,SMALL(Dong1,ROWS($1:34)),),OFFSET(TH!M$1,SMALL(Dong1,ROWS($1:34)),)))</f>
        <v>1121</v>
      </c>
      <c r="G47" s="88">
        <f ca="1">IF(ROWS($1:34)&gt;COUNT(Dong1),"",IF(OFFSET(TH!L$1,SMALL(Dong1,ROWS($1:34)),)="1111",OFFSET(TH!K$1,SMALL(Dong1,ROWS($1:34)),),0))</f>
        <v>18000000</v>
      </c>
      <c r="H47" s="86">
        <f ca="1">IF(ROWS($1:34)&gt;COUNT(Dong1),"",IF(OFFSET(TH!M$1,SMALL(Dong1,ROWS($1:34)),)="1111",OFFSET(TH!K$1,SMALL(Dong1,ROWS($1:34)),),0))</f>
        <v>0</v>
      </c>
      <c r="I47" s="84">
        <f t="shared" ca="1" si="0"/>
        <v>1699597500</v>
      </c>
      <c r="J47" s="89"/>
      <c r="N47" s="420"/>
      <c r="O47" s="420"/>
    </row>
    <row r="48" spans="1:15" ht="21.75" customHeight="1">
      <c r="A48" s="83">
        <f ca="1">IF(ROWS($1:35)&gt;COUNT(Dong1),"",OFFSET(TH!C$1,SMALL(Dong1,ROWS($1:35)),))</f>
        <v>42686</v>
      </c>
      <c r="B48" s="83">
        <f ca="1">IF(ROWS($1:35)&gt;COUNT(Dong1),"",OFFSET(TH!E$1,SMALL(Dong1,ROWS($1:35)),))</f>
        <v>42686</v>
      </c>
      <c r="C48" s="84" t="str">
        <f ca="1">IF(ROWS($1:35)&gt;COUNT(Dong1),"",IF(OFFSET(TH!L$1,SMALL(Dong1,ROWS($1:35)),)="1111",OFFSET(TH!D$1,SMALL(Dong1,ROWS($1:35)),),""))</f>
        <v/>
      </c>
      <c r="D48" s="85" t="str">
        <f ca="1">IF(ROWS($1:35)&gt;COUNT(Dong1),"",IF(OFFSET(TH!M$1,SMALL(Dong1,ROWS($1:35)),)="1111",OFFSET(TH!D$1,SMALL(Dong1,ROWS($1:35)),),""))</f>
        <v>C16</v>
      </c>
      <c r="E48" s="133" t="str">
        <f ca="1">IF(ROWS($1:35)&gt;COUNT(Dong1),"",OFFSET(TH!F$1,SMALL(Dong1,ROWS($1:35)),))</f>
        <v>Mực in</v>
      </c>
      <c r="F48" s="87" t="str">
        <f ca="1">IF(ROWS($1:35)&gt;COUNT(Dong1),"",IF(OFFSET(TH!M$1,SMALL(Dong1,ROWS($1:35)),)="1111",OFFSET(TH!L$1,SMALL(Dong1,ROWS($1:35)),),OFFSET(TH!M$1,SMALL(Dong1,ROWS($1:35)),)))</f>
        <v>154</v>
      </c>
      <c r="G48" s="88">
        <f ca="1">IF(ROWS($1:35)&gt;COUNT(Dong1),"",IF(OFFSET(TH!L$1,SMALL(Dong1,ROWS($1:35)),)="1111",OFFSET(TH!K$1,SMALL(Dong1,ROWS($1:35)),),0))</f>
        <v>0</v>
      </c>
      <c r="H48" s="86">
        <f ca="1">IF(ROWS($1:35)&gt;COUNT(Dong1),"",IF(OFFSET(TH!M$1,SMALL(Dong1,ROWS($1:35)),)="1111",OFFSET(TH!K$1,SMALL(Dong1,ROWS($1:35)),),0))</f>
        <v>5800000</v>
      </c>
      <c r="I48" s="84">
        <f t="shared" ca="1" si="0"/>
        <v>1693797500</v>
      </c>
      <c r="J48" s="89"/>
      <c r="N48" s="420"/>
      <c r="O48" s="420"/>
    </row>
    <row r="49" spans="1:15" ht="21.75" customHeight="1">
      <c r="A49" s="83">
        <f ca="1">IF(ROWS($1:36)&gt;COUNT(Dong1),"",OFFSET(TH!C$1,SMALL(Dong1,ROWS($1:36)),))</f>
        <v>42686</v>
      </c>
      <c r="B49" s="83">
        <f ca="1">IF(ROWS($1:36)&gt;COUNT(Dong1),"",OFFSET(TH!E$1,SMALL(Dong1,ROWS($1:36)),))</f>
        <v>42686</v>
      </c>
      <c r="C49" s="84" t="str">
        <f ca="1">IF(ROWS($1:36)&gt;COUNT(Dong1),"",IF(OFFSET(TH!L$1,SMALL(Dong1,ROWS($1:36)),)="1111",OFFSET(TH!D$1,SMALL(Dong1,ROWS($1:36)),),""))</f>
        <v/>
      </c>
      <c r="D49" s="85" t="str">
        <f ca="1">IF(ROWS($1:36)&gt;COUNT(Dong1),"",IF(OFFSET(TH!M$1,SMALL(Dong1,ROWS($1:36)),)="1111",OFFSET(TH!D$1,SMALL(Dong1,ROWS($1:36)),),""))</f>
        <v>C16</v>
      </c>
      <c r="E49" s="133" t="str">
        <f ca="1">IF(ROWS($1:36)&gt;COUNT(Dong1),"",OFFSET(TH!F$1,SMALL(Dong1,ROWS($1:36)),))</f>
        <v>VAT Mực in</v>
      </c>
      <c r="F49" s="87" t="str">
        <f ca="1">IF(ROWS($1:36)&gt;COUNT(Dong1),"",IF(OFFSET(TH!M$1,SMALL(Dong1,ROWS($1:36)),)="1111",OFFSET(TH!L$1,SMALL(Dong1,ROWS($1:36)),),OFFSET(TH!M$1,SMALL(Dong1,ROWS($1:36)),)))</f>
        <v>1331</v>
      </c>
      <c r="G49" s="88">
        <f ca="1">IF(ROWS($1:36)&gt;COUNT(Dong1),"",IF(OFFSET(TH!L$1,SMALL(Dong1,ROWS($1:36)),)="1111",OFFSET(TH!K$1,SMALL(Dong1,ROWS($1:36)),),0))</f>
        <v>0</v>
      </c>
      <c r="H49" s="86">
        <f ca="1">IF(ROWS($1:36)&gt;COUNT(Dong1),"",IF(OFFSET(TH!M$1,SMALL(Dong1,ROWS($1:36)),)="1111",OFFSET(TH!K$1,SMALL(Dong1,ROWS($1:36)),),0))</f>
        <v>580000</v>
      </c>
      <c r="I49" s="84">
        <f t="shared" ca="1" si="0"/>
        <v>1693217500</v>
      </c>
      <c r="J49" s="89"/>
      <c r="N49" s="420"/>
      <c r="O49" s="420"/>
    </row>
    <row r="50" spans="1:15" ht="21.75" customHeight="1">
      <c r="A50" s="83">
        <f ca="1">IF(ROWS($1:37)&gt;COUNT(Dong1),"",OFFSET(TH!C$1,SMALL(Dong1,ROWS($1:37)),))</f>
        <v>42688</v>
      </c>
      <c r="B50" s="83">
        <f ca="1">IF(ROWS($1:37)&gt;COUNT(Dong1),"",OFFSET(TH!E$1,SMALL(Dong1,ROWS($1:37)),))</f>
        <v>42688</v>
      </c>
      <c r="C50" s="84" t="str">
        <f ca="1">IF(ROWS($1:37)&gt;COUNT(Dong1),"",IF(OFFSET(TH!L$1,SMALL(Dong1,ROWS($1:37)),)="1111",OFFSET(TH!D$1,SMALL(Dong1,ROWS($1:37)),),""))</f>
        <v/>
      </c>
      <c r="D50" s="85" t="str">
        <f ca="1">IF(ROWS($1:37)&gt;COUNT(Dong1),"",IF(OFFSET(TH!M$1,SMALL(Dong1,ROWS($1:37)),)="1111",OFFSET(TH!D$1,SMALL(Dong1,ROWS($1:37)),),""))</f>
        <v>C17</v>
      </c>
      <c r="E50" s="133" t="str">
        <f ca="1">IF(ROWS($1:37)&gt;COUNT(Dong1),"",OFFSET(TH!F$1,SMALL(Dong1,ROWS($1:37)),))</f>
        <v>Thanh toán tiền hàng</v>
      </c>
      <c r="F50" s="87" t="str">
        <f ca="1">IF(ROWS($1:37)&gt;COUNT(Dong1),"",IF(OFFSET(TH!M$1,SMALL(Dong1,ROWS($1:37)),)="1111",OFFSET(TH!L$1,SMALL(Dong1,ROWS($1:37)),),OFFSET(TH!M$1,SMALL(Dong1,ROWS($1:37)),)))</f>
        <v>331</v>
      </c>
      <c r="G50" s="88">
        <f ca="1">IF(ROWS($1:37)&gt;COUNT(Dong1),"",IF(OFFSET(TH!L$1,SMALL(Dong1,ROWS($1:37)),)="1111",OFFSET(TH!K$1,SMALL(Dong1,ROWS($1:37)),),0))</f>
        <v>0</v>
      </c>
      <c r="H50" s="86">
        <f ca="1">IF(ROWS($1:37)&gt;COUNT(Dong1),"",IF(OFFSET(TH!M$1,SMALL(Dong1,ROWS($1:37)),)="1111",OFFSET(TH!K$1,SMALL(Dong1,ROWS($1:37)),),0))</f>
        <v>16007200</v>
      </c>
      <c r="I50" s="84">
        <f t="shared" ca="1" si="0"/>
        <v>1677210300</v>
      </c>
      <c r="J50" s="89"/>
    </row>
    <row r="51" spans="1:15" ht="21.75" customHeight="1">
      <c r="A51" s="83">
        <f ca="1">IF(ROWS($1:38)&gt;COUNT(Dong1),"",OFFSET(TH!C$1,SMALL(Dong1,ROWS($1:38)),))</f>
        <v>42688</v>
      </c>
      <c r="B51" s="83">
        <f ca="1">IF(ROWS($1:38)&gt;COUNT(Dong1),"",OFFSET(TH!E$1,SMALL(Dong1,ROWS($1:38)),))</f>
        <v>42688</v>
      </c>
      <c r="C51" s="84" t="str">
        <f ca="1">IF(ROWS($1:38)&gt;COUNT(Dong1),"",IF(OFFSET(TH!L$1,SMALL(Dong1,ROWS($1:38)),)="1111",OFFSET(TH!D$1,SMALL(Dong1,ROWS($1:38)),),""))</f>
        <v/>
      </c>
      <c r="D51" s="85" t="str">
        <f ca="1">IF(ROWS($1:38)&gt;COUNT(Dong1),"",IF(OFFSET(TH!M$1,SMALL(Dong1,ROWS($1:38)),)="1111",OFFSET(TH!D$1,SMALL(Dong1,ROWS($1:38)),),""))</f>
        <v>C18</v>
      </c>
      <c r="E51" s="133" t="str">
        <f ca="1">IF(ROWS($1:38)&gt;COUNT(Dong1),"",OFFSET(TH!F$1,SMALL(Dong1,ROWS($1:38)),))</f>
        <v>Nộp tiền mặt</v>
      </c>
      <c r="F51" s="87" t="str">
        <f ca="1">IF(ROWS($1:38)&gt;COUNT(Dong1),"",IF(OFFSET(TH!M$1,SMALL(Dong1,ROWS($1:38)),)="1111",OFFSET(TH!L$1,SMALL(Dong1,ROWS($1:38)),),OFFSET(TH!M$1,SMALL(Dong1,ROWS($1:38)),)))</f>
        <v>1121</v>
      </c>
      <c r="G51" s="88">
        <f ca="1">IF(ROWS($1:38)&gt;COUNT(Dong1),"",IF(OFFSET(TH!L$1,SMALL(Dong1,ROWS($1:38)),)="1111",OFFSET(TH!K$1,SMALL(Dong1,ROWS($1:38)),),0))</f>
        <v>0</v>
      </c>
      <c r="H51" s="86">
        <f ca="1">IF(ROWS($1:38)&gt;COUNT(Dong1),"",IF(OFFSET(TH!M$1,SMALL(Dong1,ROWS($1:38)),)="1111",OFFSET(TH!K$1,SMALL(Dong1,ROWS($1:38)),),0))</f>
        <v>20000000</v>
      </c>
      <c r="I51" s="84">
        <f t="shared" ca="1" si="0"/>
        <v>1657210300</v>
      </c>
      <c r="J51" s="89"/>
    </row>
    <row r="52" spans="1:15" ht="21.75" customHeight="1">
      <c r="A52" s="83">
        <f ca="1">IF(ROWS($1:39)&gt;COUNT(Dong1),"",OFFSET(TH!C$1,SMALL(Dong1,ROWS($1:39)),))</f>
        <v>42689</v>
      </c>
      <c r="B52" s="83">
        <f ca="1">IF(ROWS($1:39)&gt;COUNT(Dong1),"",OFFSET(TH!E$1,SMALL(Dong1,ROWS($1:39)),))</f>
        <v>42689</v>
      </c>
      <c r="C52" s="84" t="str">
        <f ca="1">IF(ROWS($1:39)&gt;COUNT(Dong1),"",IF(OFFSET(TH!L$1,SMALL(Dong1,ROWS($1:39)),)="1111",OFFSET(TH!D$1,SMALL(Dong1,ROWS($1:39)),),""))</f>
        <v>T12</v>
      </c>
      <c r="D52" s="85" t="str">
        <f ca="1">IF(ROWS($1:39)&gt;COUNT(Dong1),"",IF(OFFSET(TH!M$1,SMALL(Dong1,ROWS($1:39)),)="1111",OFFSET(TH!D$1,SMALL(Dong1,ROWS($1:39)),),""))</f>
        <v/>
      </c>
      <c r="E52" s="133" t="str">
        <f ca="1">IF(ROWS($1:39)&gt;COUNT(Dong1),"",OFFSET(TH!F$1,SMALL(Dong1,ROWS($1:39)),))</f>
        <v>Rút tiền mặt</v>
      </c>
      <c r="F52" s="87" t="str">
        <f ca="1">IF(ROWS($1:39)&gt;COUNT(Dong1),"",IF(OFFSET(TH!M$1,SMALL(Dong1,ROWS($1:39)),)="1111",OFFSET(TH!L$1,SMALL(Dong1,ROWS($1:39)),),OFFSET(TH!M$1,SMALL(Dong1,ROWS($1:39)),)))</f>
        <v>1121</v>
      </c>
      <c r="G52" s="88">
        <f ca="1">IF(ROWS($1:39)&gt;COUNT(Dong1),"",IF(OFFSET(TH!L$1,SMALL(Dong1,ROWS($1:39)),)="1111",OFFSET(TH!K$1,SMALL(Dong1,ROWS($1:39)),),0))</f>
        <v>10000000</v>
      </c>
      <c r="H52" s="86">
        <f ca="1">IF(ROWS($1:39)&gt;COUNT(Dong1),"",IF(OFFSET(TH!M$1,SMALL(Dong1,ROWS($1:39)),)="1111",OFFSET(TH!K$1,SMALL(Dong1,ROWS($1:39)),),0))</f>
        <v>0</v>
      </c>
      <c r="I52" s="84">
        <f t="shared" ca="1" si="0"/>
        <v>1667210300</v>
      </c>
      <c r="J52" s="89"/>
    </row>
    <row r="53" spans="1:15" ht="21.75" customHeight="1">
      <c r="A53" s="83">
        <f ca="1">IF(ROWS($1:40)&gt;COUNT(Dong1),"",OFFSET(TH!C$1,SMALL(Dong1,ROWS($1:40)),))</f>
        <v>42692</v>
      </c>
      <c r="B53" s="83">
        <f ca="1">IF(ROWS($1:40)&gt;COUNT(Dong1),"",OFFSET(TH!E$1,SMALL(Dong1,ROWS($1:40)),))</f>
        <v>42692</v>
      </c>
      <c r="C53" s="84" t="str">
        <f ca="1">IF(ROWS($1:40)&gt;COUNT(Dong1),"",IF(OFFSET(TH!L$1,SMALL(Dong1,ROWS($1:40)),)="1111",OFFSET(TH!D$1,SMALL(Dong1,ROWS($1:40)),),""))</f>
        <v>T13</v>
      </c>
      <c r="D53" s="85" t="str">
        <f ca="1">IF(ROWS($1:40)&gt;COUNT(Dong1),"",IF(OFFSET(TH!M$1,SMALL(Dong1,ROWS($1:40)),)="1111",OFFSET(TH!D$1,SMALL(Dong1,ROWS($1:40)),),""))</f>
        <v/>
      </c>
      <c r="E53" s="133" t="str">
        <f ca="1">IF(ROWS($1:40)&gt;COUNT(Dong1),"",OFFSET(TH!F$1,SMALL(Dong1,ROWS($1:40)),))</f>
        <v>Rút tiền mặt</v>
      </c>
      <c r="F53" s="87" t="str">
        <f ca="1">IF(ROWS($1:40)&gt;COUNT(Dong1),"",IF(OFFSET(TH!M$1,SMALL(Dong1,ROWS($1:40)),)="1111",OFFSET(TH!L$1,SMALL(Dong1,ROWS($1:40)),),OFFSET(TH!M$1,SMALL(Dong1,ROWS($1:40)),)))</f>
        <v>1121</v>
      </c>
      <c r="G53" s="88">
        <f ca="1">IF(ROWS($1:40)&gt;COUNT(Dong1),"",IF(OFFSET(TH!L$1,SMALL(Dong1,ROWS($1:40)),)="1111",OFFSET(TH!K$1,SMALL(Dong1,ROWS($1:40)),),0))</f>
        <v>54300000</v>
      </c>
      <c r="H53" s="86">
        <f ca="1">IF(ROWS($1:40)&gt;COUNT(Dong1),"",IF(OFFSET(TH!M$1,SMALL(Dong1,ROWS($1:40)),)="1111",OFFSET(TH!K$1,SMALL(Dong1,ROWS($1:40)),),0))</f>
        <v>0</v>
      </c>
      <c r="I53" s="84">
        <f t="shared" ca="1" si="0"/>
        <v>1721510300</v>
      </c>
      <c r="J53" s="89"/>
    </row>
    <row r="54" spans="1:15" ht="21.75" customHeight="1">
      <c r="A54" s="83">
        <f ca="1">IF(ROWS($1:41)&gt;COUNT(Dong1),"",OFFSET(TH!C$1,SMALL(Dong1,ROWS($1:41)),))</f>
        <v>42693</v>
      </c>
      <c r="B54" s="83">
        <f ca="1">IF(ROWS($1:41)&gt;COUNT(Dong1),"",OFFSET(TH!E$1,SMALL(Dong1,ROWS($1:41)),))</f>
        <v>42693</v>
      </c>
      <c r="C54" s="84" t="str">
        <f ca="1">IF(ROWS($1:41)&gt;COUNT(Dong1),"",IF(OFFSET(TH!L$1,SMALL(Dong1,ROWS($1:41)),)="1111",OFFSET(TH!D$1,SMALL(Dong1,ROWS($1:41)),),""))</f>
        <v/>
      </c>
      <c r="D54" s="85" t="str">
        <f ca="1">IF(ROWS($1:41)&gt;COUNT(Dong1),"",IF(OFFSET(TH!M$1,SMALL(Dong1,ROWS($1:41)),)="1111",OFFSET(TH!D$1,SMALL(Dong1,ROWS($1:41)),),""))</f>
        <v>C19</v>
      </c>
      <c r="E54" s="133" t="str">
        <f ca="1">IF(ROWS($1:41)&gt;COUNT(Dong1),"",OFFSET(TH!F$1,SMALL(Dong1,ROWS($1:41)),))</f>
        <v>Chi phí tiếp khách</v>
      </c>
      <c r="F54" s="87" t="str">
        <f ca="1">IF(ROWS($1:41)&gt;COUNT(Dong1),"",IF(OFFSET(TH!M$1,SMALL(Dong1,ROWS($1:41)),)="1111",OFFSET(TH!L$1,SMALL(Dong1,ROWS($1:41)),),OFFSET(TH!M$1,SMALL(Dong1,ROWS($1:41)),)))</f>
        <v>642</v>
      </c>
      <c r="G54" s="88">
        <f ca="1">IF(ROWS($1:41)&gt;COUNT(Dong1),"",IF(OFFSET(TH!L$1,SMALL(Dong1,ROWS($1:41)),)="1111",OFFSET(TH!K$1,SMALL(Dong1,ROWS($1:41)),),0))</f>
        <v>0</v>
      </c>
      <c r="H54" s="86">
        <f ca="1">IF(ROWS($1:41)&gt;COUNT(Dong1),"",IF(OFFSET(TH!M$1,SMALL(Dong1,ROWS($1:41)),)="1111",OFFSET(TH!K$1,SMALL(Dong1,ROWS($1:41)),),0))</f>
        <v>843000</v>
      </c>
      <c r="I54" s="84">
        <f t="shared" ca="1" si="0"/>
        <v>1720667300</v>
      </c>
      <c r="J54" s="89"/>
    </row>
    <row r="55" spans="1:15" ht="21.75" customHeight="1">
      <c r="A55" s="83">
        <f ca="1">IF(ROWS($1:42)&gt;COUNT(Dong1),"",OFFSET(TH!C$1,SMALL(Dong1,ROWS($1:42)),))</f>
        <v>42693</v>
      </c>
      <c r="B55" s="83">
        <f ca="1">IF(ROWS($1:42)&gt;COUNT(Dong1),"",OFFSET(TH!E$1,SMALL(Dong1,ROWS($1:42)),))</f>
        <v>42693</v>
      </c>
      <c r="C55" s="84" t="str">
        <f ca="1">IF(ROWS($1:42)&gt;COUNT(Dong1),"",IF(OFFSET(TH!L$1,SMALL(Dong1,ROWS($1:42)),)="1111",OFFSET(TH!D$1,SMALL(Dong1,ROWS($1:42)),),""))</f>
        <v/>
      </c>
      <c r="D55" s="85" t="str">
        <f ca="1">IF(ROWS($1:42)&gt;COUNT(Dong1),"",IF(OFFSET(TH!M$1,SMALL(Dong1,ROWS($1:42)),)="1111",OFFSET(TH!D$1,SMALL(Dong1,ROWS($1:42)),),""))</f>
        <v>C19</v>
      </c>
      <c r="E55" s="133" t="str">
        <f ca="1">IF(ROWS($1:42)&gt;COUNT(Dong1),"",OFFSET(TH!F$1,SMALL(Dong1,ROWS($1:42)),))</f>
        <v>VAT Chi phí tiếp khách</v>
      </c>
      <c r="F55" s="87" t="str">
        <f ca="1">IF(ROWS($1:42)&gt;COUNT(Dong1),"",IF(OFFSET(TH!M$1,SMALL(Dong1,ROWS($1:42)),)="1111",OFFSET(TH!L$1,SMALL(Dong1,ROWS($1:42)),),OFFSET(TH!M$1,SMALL(Dong1,ROWS($1:42)),)))</f>
        <v>1331</v>
      </c>
      <c r="G55" s="88">
        <f ca="1">IF(ROWS($1:42)&gt;COUNT(Dong1),"",IF(OFFSET(TH!L$1,SMALL(Dong1,ROWS($1:42)),)="1111",OFFSET(TH!K$1,SMALL(Dong1,ROWS($1:42)),),0))</f>
        <v>0</v>
      </c>
      <c r="H55" s="86">
        <f ca="1">IF(ROWS($1:42)&gt;COUNT(Dong1),"",IF(OFFSET(TH!M$1,SMALL(Dong1,ROWS($1:42)),)="1111",OFFSET(TH!K$1,SMALL(Dong1,ROWS($1:42)),),0))</f>
        <v>84300</v>
      </c>
      <c r="I55" s="84">
        <f t="shared" ca="1" si="0"/>
        <v>1720583000</v>
      </c>
      <c r="J55" s="89"/>
    </row>
    <row r="56" spans="1:15" ht="21.75" customHeight="1">
      <c r="A56" s="83">
        <f ca="1">IF(ROWS($1:43)&gt;COUNT(Dong1),"",OFFSET(TH!C$1,SMALL(Dong1,ROWS($1:43)),))</f>
        <v>42693</v>
      </c>
      <c r="B56" s="83">
        <f ca="1">IF(ROWS($1:43)&gt;COUNT(Dong1),"",OFFSET(TH!E$1,SMALL(Dong1,ROWS($1:43)),))</f>
        <v>42693</v>
      </c>
      <c r="C56" s="84" t="str">
        <f ca="1">IF(ROWS($1:43)&gt;COUNT(Dong1),"",IF(OFFSET(TH!L$1,SMALL(Dong1,ROWS($1:43)),)="1111",OFFSET(TH!D$1,SMALL(Dong1,ROWS($1:43)),),""))</f>
        <v>T14</v>
      </c>
      <c r="D56" s="85" t="str">
        <f ca="1">IF(ROWS($1:43)&gt;COUNT(Dong1),"",IF(OFFSET(TH!M$1,SMALL(Dong1,ROWS($1:43)),)="1111",OFFSET(TH!D$1,SMALL(Dong1,ROWS($1:43)),),""))</f>
        <v/>
      </c>
      <c r="E56" s="133" t="str">
        <f ca="1">IF(ROWS($1:43)&gt;COUNT(Dong1),"",OFFSET(TH!F$1,SMALL(Dong1,ROWS($1:43)),))</f>
        <v>Thu tiền hàng</v>
      </c>
      <c r="F56" s="87" t="str">
        <f ca="1">IF(ROWS($1:43)&gt;COUNT(Dong1),"",IF(OFFSET(TH!M$1,SMALL(Dong1,ROWS($1:43)),)="1111",OFFSET(TH!L$1,SMALL(Dong1,ROWS($1:43)),),OFFSET(TH!M$1,SMALL(Dong1,ROWS($1:43)),)))</f>
        <v>131</v>
      </c>
      <c r="G56" s="88">
        <f ca="1">IF(ROWS($1:43)&gt;COUNT(Dong1),"",IF(OFFSET(TH!L$1,SMALL(Dong1,ROWS($1:43)),)="1111",OFFSET(TH!K$1,SMALL(Dong1,ROWS($1:43)),),0))</f>
        <v>9054493</v>
      </c>
      <c r="H56" s="86">
        <f ca="1">IF(ROWS($1:43)&gt;COUNT(Dong1),"",IF(OFFSET(TH!M$1,SMALL(Dong1,ROWS($1:43)),)="1111",OFFSET(TH!K$1,SMALL(Dong1,ROWS($1:43)),),0))</f>
        <v>0</v>
      </c>
      <c r="I56" s="84">
        <f t="shared" ca="1" si="0"/>
        <v>1729637493</v>
      </c>
      <c r="J56" s="89"/>
    </row>
    <row r="57" spans="1:15" ht="21.75" customHeight="1">
      <c r="A57" s="83">
        <f ca="1">IF(ROWS($1:44)&gt;COUNT(Dong1),"",OFFSET(TH!C$1,SMALL(Dong1,ROWS($1:44)),))</f>
        <v>42693</v>
      </c>
      <c r="B57" s="83">
        <f ca="1">IF(ROWS($1:44)&gt;COUNT(Dong1),"",OFFSET(TH!E$1,SMALL(Dong1,ROWS($1:44)),))</f>
        <v>42693</v>
      </c>
      <c r="C57" s="84" t="str">
        <f ca="1">IF(ROWS($1:44)&gt;COUNT(Dong1),"",IF(OFFSET(TH!L$1,SMALL(Dong1,ROWS($1:44)),)="1111",OFFSET(TH!D$1,SMALL(Dong1,ROWS($1:44)),),""))</f>
        <v>T15</v>
      </c>
      <c r="D57" s="85" t="str">
        <f ca="1">IF(ROWS($1:44)&gt;COUNT(Dong1),"",IF(OFFSET(TH!M$1,SMALL(Dong1,ROWS($1:44)),)="1111",OFFSET(TH!D$1,SMALL(Dong1,ROWS($1:44)),),""))</f>
        <v/>
      </c>
      <c r="E57" s="133" t="str">
        <f ca="1">IF(ROWS($1:44)&gt;COUNT(Dong1),"",OFFSET(TH!F$1,SMALL(Dong1,ROWS($1:44)),))</f>
        <v>Thu tiền hàng</v>
      </c>
      <c r="F57" s="87" t="str">
        <f ca="1">IF(ROWS($1:44)&gt;COUNT(Dong1),"",IF(OFFSET(TH!M$1,SMALL(Dong1,ROWS($1:44)),)="1111",OFFSET(TH!L$1,SMALL(Dong1,ROWS($1:44)),),OFFSET(TH!M$1,SMALL(Dong1,ROWS($1:44)),)))</f>
        <v>131</v>
      </c>
      <c r="G57" s="88">
        <f ca="1">IF(ROWS($1:44)&gt;COUNT(Dong1),"",IF(OFFSET(TH!L$1,SMALL(Dong1,ROWS($1:44)),)="1111",OFFSET(TH!K$1,SMALL(Dong1,ROWS($1:44)),),0))</f>
        <v>19800000</v>
      </c>
      <c r="H57" s="86">
        <f ca="1">IF(ROWS($1:44)&gt;COUNT(Dong1),"",IF(OFFSET(TH!M$1,SMALL(Dong1,ROWS($1:44)),)="1111",OFFSET(TH!K$1,SMALL(Dong1,ROWS($1:44)),),0))</f>
        <v>0</v>
      </c>
      <c r="I57" s="84">
        <f t="shared" ref="I57:I78" ca="1" si="1">IF(E57&lt;&gt;"",I56+G57-H57,0)</f>
        <v>1749437493</v>
      </c>
      <c r="J57" s="89"/>
    </row>
    <row r="58" spans="1:15" ht="21.75" customHeight="1">
      <c r="A58" s="83">
        <f ca="1">IF(ROWS($1:45)&gt;COUNT(Dong1),"",OFFSET(TH!C$1,SMALL(Dong1,ROWS($1:45)),))</f>
        <v>42694</v>
      </c>
      <c r="B58" s="83">
        <f ca="1">IF(ROWS($1:45)&gt;COUNT(Dong1),"",OFFSET(TH!E$1,SMALL(Dong1,ROWS($1:45)),))</f>
        <v>42694</v>
      </c>
      <c r="C58" s="84" t="str">
        <f ca="1">IF(ROWS($1:45)&gt;COUNT(Dong1),"",IF(OFFSET(TH!L$1,SMALL(Dong1,ROWS($1:45)),)="1111",OFFSET(TH!D$1,SMALL(Dong1,ROWS($1:45)),),""))</f>
        <v>T16</v>
      </c>
      <c r="D58" s="85" t="str">
        <f ca="1">IF(ROWS($1:45)&gt;COUNT(Dong1),"",IF(OFFSET(TH!M$1,SMALL(Dong1,ROWS($1:45)),)="1111",OFFSET(TH!D$1,SMALL(Dong1,ROWS($1:45)),),""))</f>
        <v/>
      </c>
      <c r="E58" s="133" t="str">
        <f ca="1">IF(ROWS($1:45)&gt;COUNT(Dong1),"",OFFSET(TH!F$1,SMALL(Dong1,ROWS($1:45)),))</f>
        <v>Thu tiền hàng</v>
      </c>
      <c r="F58" s="87" t="str">
        <f ca="1">IF(ROWS($1:45)&gt;COUNT(Dong1),"",IF(OFFSET(TH!M$1,SMALL(Dong1,ROWS($1:45)),)="1111",OFFSET(TH!L$1,SMALL(Dong1,ROWS($1:45)),),OFFSET(TH!M$1,SMALL(Dong1,ROWS($1:45)),)))</f>
        <v>131</v>
      </c>
      <c r="G58" s="88">
        <f ca="1">IF(ROWS($1:45)&gt;COUNT(Dong1),"",IF(OFFSET(TH!L$1,SMALL(Dong1,ROWS($1:45)),)="1111",OFFSET(TH!K$1,SMALL(Dong1,ROWS($1:45)),),0))</f>
        <v>15123108</v>
      </c>
      <c r="H58" s="86">
        <f ca="1">IF(ROWS($1:45)&gt;COUNT(Dong1),"",IF(OFFSET(TH!M$1,SMALL(Dong1,ROWS($1:45)),)="1111",OFFSET(TH!K$1,SMALL(Dong1,ROWS($1:45)),),0))</f>
        <v>0</v>
      </c>
      <c r="I58" s="84">
        <f t="shared" ca="1" si="1"/>
        <v>1764560601</v>
      </c>
      <c r="J58" s="89"/>
    </row>
    <row r="59" spans="1:15" ht="21.75" customHeight="1">
      <c r="A59" s="83">
        <f ca="1">IF(ROWS($1:46)&gt;COUNT(Dong1),"",OFFSET(TH!C$1,SMALL(Dong1,ROWS($1:46)),))</f>
        <v>42697</v>
      </c>
      <c r="B59" s="83">
        <f ca="1">IF(ROWS($1:46)&gt;COUNT(Dong1),"",OFFSET(TH!E$1,SMALL(Dong1,ROWS($1:46)),))</f>
        <v>42697</v>
      </c>
      <c r="C59" s="84" t="str">
        <f ca="1">IF(ROWS($1:46)&gt;COUNT(Dong1),"",IF(OFFSET(TH!L$1,SMALL(Dong1,ROWS($1:46)),)="1111",OFFSET(TH!D$1,SMALL(Dong1,ROWS($1:46)),),""))</f>
        <v>T17</v>
      </c>
      <c r="D59" s="85" t="str">
        <f ca="1">IF(ROWS($1:46)&gt;COUNT(Dong1),"",IF(OFFSET(TH!M$1,SMALL(Dong1,ROWS($1:46)),)="1111",OFFSET(TH!D$1,SMALL(Dong1,ROWS($1:46)),),""))</f>
        <v/>
      </c>
      <c r="E59" s="133" t="str">
        <f ca="1">IF(ROWS($1:46)&gt;COUNT(Dong1),"",OFFSET(TH!F$1,SMALL(Dong1,ROWS($1:46)),))</f>
        <v>Thu tiền hàng</v>
      </c>
      <c r="F59" s="87" t="str">
        <f ca="1">IF(ROWS($1:46)&gt;COUNT(Dong1),"",IF(OFFSET(TH!M$1,SMALL(Dong1,ROWS($1:46)),)="1111",OFFSET(TH!L$1,SMALL(Dong1,ROWS($1:46)),),OFFSET(TH!M$1,SMALL(Dong1,ROWS($1:46)),)))</f>
        <v>131</v>
      </c>
      <c r="G59" s="88">
        <f ca="1">IF(ROWS($1:46)&gt;COUNT(Dong1),"",IF(OFFSET(TH!L$1,SMALL(Dong1,ROWS($1:46)),)="1111",OFFSET(TH!K$1,SMALL(Dong1,ROWS($1:46)),),0))</f>
        <v>16597350</v>
      </c>
      <c r="H59" s="86">
        <f ca="1">IF(ROWS($1:46)&gt;COUNT(Dong1),"",IF(OFFSET(TH!M$1,SMALL(Dong1,ROWS($1:46)),)="1111",OFFSET(TH!K$1,SMALL(Dong1,ROWS($1:46)),),0))</f>
        <v>0</v>
      </c>
      <c r="I59" s="84">
        <f t="shared" ca="1" si="1"/>
        <v>1781157951</v>
      </c>
      <c r="J59" s="89"/>
    </row>
    <row r="60" spans="1:15" ht="21.75" customHeight="1">
      <c r="A60" s="83">
        <f ca="1">IF(ROWS($1:47)&gt;COUNT(Dong1),"",OFFSET(TH!C$1,SMALL(Dong1,ROWS($1:47)),))</f>
        <v>42698</v>
      </c>
      <c r="B60" s="83">
        <f ca="1">IF(ROWS($1:47)&gt;COUNT(Dong1),"",OFFSET(TH!E$1,SMALL(Dong1,ROWS($1:47)),))</f>
        <v>42698</v>
      </c>
      <c r="C60" s="84" t="str">
        <f ca="1">IF(ROWS($1:47)&gt;COUNT(Dong1),"",IF(OFFSET(TH!L$1,SMALL(Dong1,ROWS($1:47)),)="1111",OFFSET(TH!D$1,SMALL(Dong1,ROWS($1:47)),),""))</f>
        <v/>
      </c>
      <c r="D60" s="85" t="str">
        <f ca="1">IF(ROWS($1:47)&gt;COUNT(Dong1),"",IF(OFFSET(TH!M$1,SMALL(Dong1,ROWS($1:47)),)="1111",OFFSET(TH!D$1,SMALL(Dong1,ROWS($1:47)),),""))</f>
        <v>C20</v>
      </c>
      <c r="E60" s="133" t="str">
        <f ca="1">IF(ROWS($1:47)&gt;COUNT(Dong1),"",OFFSET(TH!F$1,SMALL(Dong1,ROWS($1:47)),))</f>
        <v>Văn phòng phẩm</v>
      </c>
      <c r="F60" s="87" t="str">
        <f ca="1">IF(ROWS($1:47)&gt;COUNT(Dong1),"",IF(OFFSET(TH!M$1,SMALL(Dong1,ROWS($1:47)),)="1111",OFFSET(TH!L$1,SMALL(Dong1,ROWS($1:47)),),OFFSET(TH!M$1,SMALL(Dong1,ROWS($1:47)),)))</f>
        <v>642</v>
      </c>
      <c r="G60" s="88">
        <f ca="1">IF(ROWS($1:47)&gt;COUNT(Dong1),"",IF(OFFSET(TH!L$1,SMALL(Dong1,ROWS($1:47)),)="1111",OFFSET(TH!K$1,SMALL(Dong1,ROWS($1:47)),),0))</f>
        <v>0</v>
      </c>
      <c r="H60" s="86">
        <f ca="1">IF(ROWS($1:47)&gt;COUNT(Dong1),"",IF(OFFSET(TH!M$1,SMALL(Dong1,ROWS($1:47)),)="1111",OFFSET(TH!K$1,SMALL(Dong1,ROWS($1:47)),),0))</f>
        <v>1548100</v>
      </c>
      <c r="I60" s="84">
        <f t="shared" ca="1" si="1"/>
        <v>1779609851</v>
      </c>
      <c r="J60" s="89"/>
    </row>
    <row r="61" spans="1:15" ht="21.75" customHeight="1">
      <c r="A61" s="83">
        <f ca="1">IF(ROWS($1:48)&gt;COUNT(Dong1),"",OFFSET(TH!C$1,SMALL(Dong1,ROWS($1:48)),))</f>
        <v>42698</v>
      </c>
      <c r="B61" s="83">
        <f ca="1">IF(ROWS($1:48)&gt;COUNT(Dong1),"",OFFSET(TH!E$1,SMALL(Dong1,ROWS($1:48)),))</f>
        <v>42698</v>
      </c>
      <c r="C61" s="84" t="str">
        <f ca="1">IF(ROWS($1:48)&gt;COUNT(Dong1),"",IF(OFFSET(TH!L$1,SMALL(Dong1,ROWS($1:48)),)="1111",OFFSET(TH!D$1,SMALL(Dong1,ROWS($1:48)),),""))</f>
        <v/>
      </c>
      <c r="D61" s="85" t="str">
        <f ca="1">IF(ROWS($1:48)&gt;COUNT(Dong1),"",IF(OFFSET(TH!M$1,SMALL(Dong1,ROWS($1:48)),)="1111",OFFSET(TH!D$1,SMALL(Dong1,ROWS($1:48)),),""))</f>
        <v>C20</v>
      </c>
      <c r="E61" s="133" t="str">
        <f ca="1">IF(ROWS($1:48)&gt;COUNT(Dong1),"",OFFSET(TH!F$1,SMALL(Dong1,ROWS($1:48)),))</f>
        <v>VAT Văn phòng phẩm</v>
      </c>
      <c r="F61" s="87" t="str">
        <f ca="1">IF(ROWS($1:48)&gt;COUNT(Dong1),"",IF(OFFSET(TH!M$1,SMALL(Dong1,ROWS($1:48)),)="1111",OFFSET(TH!L$1,SMALL(Dong1,ROWS($1:48)),),OFFSET(TH!M$1,SMALL(Dong1,ROWS($1:48)),)))</f>
        <v>1331</v>
      </c>
      <c r="G61" s="88">
        <f ca="1">IF(ROWS($1:48)&gt;COUNT(Dong1),"",IF(OFFSET(TH!L$1,SMALL(Dong1,ROWS($1:48)),)="1111",OFFSET(TH!K$1,SMALL(Dong1,ROWS($1:48)),),0))</f>
        <v>0</v>
      </c>
      <c r="H61" s="86">
        <f ca="1">IF(ROWS($1:48)&gt;COUNT(Dong1),"",IF(OFFSET(TH!M$1,SMALL(Dong1,ROWS($1:48)),)="1111",OFFSET(TH!K$1,SMALL(Dong1,ROWS($1:48)),),0))</f>
        <v>154810</v>
      </c>
      <c r="I61" s="84">
        <f t="shared" ca="1" si="1"/>
        <v>1779455041</v>
      </c>
      <c r="J61" s="89"/>
    </row>
    <row r="62" spans="1:15" ht="21.75" customHeight="1">
      <c r="A62" s="83">
        <f ca="1">IF(ROWS($1:49)&gt;COUNT(Dong1),"",OFFSET(TH!C$1,SMALL(Dong1,ROWS($1:49)),))</f>
        <v>42698</v>
      </c>
      <c r="B62" s="83">
        <f ca="1">IF(ROWS($1:49)&gt;COUNT(Dong1),"",OFFSET(TH!E$1,SMALL(Dong1,ROWS($1:49)),))</f>
        <v>42698</v>
      </c>
      <c r="C62" s="84" t="str">
        <f ca="1">IF(ROWS($1:49)&gt;COUNT(Dong1),"",IF(OFFSET(TH!L$1,SMALL(Dong1,ROWS($1:49)),)="1111",OFFSET(TH!D$1,SMALL(Dong1,ROWS($1:49)),),""))</f>
        <v/>
      </c>
      <c r="D62" s="85" t="str">
        <f ca="1">IF(ROWS($1:49)&gt;COUNT(Dong1),"",IF(OFFSET(TH!M$1,SMALL(Dong1,ROWS($1:49)),)="1111",OFFSET(TH!D$1,SMALL(Dong1,ROWS($1:49)),),""))</f>
        <v>C21</v>
      </c>
      <c r="E62" s="133" t="str">
        <f ca="1">IF(ROWS($1:49)&gt;COUNT(Dong1),"",OFFSET(TH!F$1,SMALL(Dong1,ROWS($1:49)),))</f>
        <v>Thanh toán tiền hàng</v>
      </c>
      <c r="F62" s="87" t="str">
        <f ca="1">IF(ROWS($1:49)&gt;COUNT(Dong1),"",IF(OFFSET(TH!M$1,SMALL(Dong1,ROWS($1:49)),)="1111",OFFSET(TH!L$1,SMALL(Dong1,ROWS($1:49)),),OFFSET(TH!M$1,SMALL(Dong1,ROWS($1:49)),)))</f>
        <v>331</v>
      </c>
      <c r="G62" s="88">
        <f ca="1">IF(ROWS($1:49)&gt;COUNT(Dong1),"",IF(OFFSET(TH!L$1,SMALL(Dong1,ROWS($1:49)),)="1111",OFFSET(TH!K$1,SMALL(Dong1,ROWS($1:49)),),0))</f>
        <v>0</v>
      </c>
      <c r="H62" s="86">
        <f ca="1">IF(ROWS($1:49)&gt;COUNT(Dong1),"",IF(OFFSET(TH!M$1,SMALL(Dong1,ROWS($1:49)),)="1111",OFFSET(TH!K$1,SMALL(Dong1,ROWS($1:49)),),0))</f>
        <v>15004000</v>
      </c>
      <c r="I62" s="84">
        <f t="shared" ca="1" si="1"/>
        <v>1764451041</v>
      </c>
      <c r="J62" s="89"/>
    </row>
    <row r="63" spans="1:15" ht="21.75" customHeight="1">
      <c r="A63" s="83">
        <f ca="1">IF(ROWS($1:50)&gt;COUNT(Dong1),"",OFFSET(TH!C$1,SMALL(Dong1,ROWS($1:50)),))</f>
        <v>42699</v>
      </c>
      <c r="B63" s="83">
        <f ca="1">IF(ROWS($1:50)&gt;COUNT(Dong1),"",OFFSET(TH!E$1,SMALL(Dong1,ROWS($1:50)),))</f>
        <v>42699</v>
      </c>
      <c r="C63" s="84" t="str">
        <f ca="1">IF(ROWS($1:50)&gt;COUNT(Dong1),"",IF(OFFSET(TH!L$1,SMALL(Dong1,ROWS($1:50)),)="1111",OFFSET(TH!D$1,SMALL(Dong1,ROWS($1:50)),),""))</f>
        <v>T18</v>
      </c>
      <c r="D63" s="85" t="str">
        <f ca="1">IF(ROWS($1:50)&gt;COUNT(Dong1),"",IF(OFFSET(TH!M$1,SMALL(Dong1,ROWS($1:50)),)="1111",OFFSET(TH!D$1,SMALL(Dong1,ROWS($1:50)),),""))</f>
        <v/>
      </c>
      <c r="E63" s="133" t="str">
        <f ca="1">IF(ROWS($1:50)&gt;COUNT(Dong1),"",OFFSET(TH!F$1,SMALL(Dong1,ROWS($1:50)),))</f>
        <v>Rút tiền mặt</v>
      </c>
      <c r="F63" s="87" t="str">
        <f ca="1">IF(ROWS($1:50)&gt;COUNT(Dong1),"",IF(OFFSET(TH!M$1,SMALL(Dong1,ROWS($1:50)),)="1111",OFFSET(TH!L$1,SMALL(Dong1,ROWS($1:50)),),OFFSET(TH!M$1,SMALL(Dong1,ROWS($1:50)),)))</f>
        <v>1121</v>
      </c>
      <c r="G63" s="88">
        <f ca="1">IF(ROWS($1:50)&gt;COUNT(Dong1),"",IF(OFFSET(TH!L$1,SMALL(Dong1,ROWS($1:50)),)="1111",OFFSET(TH!K$1,SMALL(Dong1,ROWS($1:50)),),0))</f>
        <v>20000000</v>
      </c>
      <c r="H63" s="86">
        <f ca="1">IF(ROWS($1:50)&gt;COUNT(Dong1),"",IF(OFFSET(TH!M$1,SMALL(Dong1,ROWS($1:50)),)="1111",OFFSET(TH!K$1,SMALL(Dong1,ROWS($1:50)),),0))</f>
        <v>0</v>
      </c>
      <c r="I63" s="84">
        <f t="shared" ca="1" si="1"/>
        <v>1784451041</v>
      </c>
      <c r="J63" s="89"/>
    </row>
    <row r="64" spans="1:15" ht="21.75" customHeight="1">
      <c r="A64" s="83">
        <f ca="1">IF(ROWS($1:51)&gt;COUNT(Dong1),"",OFFSET(TH!C$1,SMALL(Dong1,ROWS($1:51)),))</f>
        <v>42703</v>
      </c>
      <c r="B64" s="83">
        <f ca="1">IF(ROWS($1:51)&gt;COUNT(Dong1),"",OFFSET(TH!E$1,SMALL(Dong1,ROWS($1:51)),))</f>
        <v>42703</v>
      </c>
      <c r="C64" s="84" t="str">
        <f ca="1">IF(ROWS($1:51)&gt;COUNT(Dong1),"",IF(OFFSET(TH!L$1,SMALL(Dong1,ROWS($1:51)),)="1111",OFFSET(TH!D$1,SMALL(Dong1,ROWS($1:51)),),""))</f>
        <v>T19</v>
      </c>
      <c r="D64" s="85" t="str">
        <f ca="1">IF(ROWS($1:51)&gt;COUNT(Dong1),"",IF(OFFSET(TH!M$1,SMALL(Dong1,ROWS($1:51)),)="1111",OFFSET(TH!D$1,SMALL(Dong1,ROWS($1:51)),),""))</f>
        <v/>
      </c>
      <c r="E64" s="133" t="str">
        <f ca="1">IF(ROWS($1:51)&gt;COUNT(Dong1),"",OFFSET(TH!F$1,SMALL(Dong1,ROWS($1:51)),))</f>
        <v>Rút tiền mặt</v>
      </c>
      <c r="F64" s="87" t="str">
        <f ca="1">IF(ROWS($1:51)&gt;COUNT(Dong1),"",IF(OFFSET(TH!M$1,SMALL(Dong1,ROWS($1:51)),)="1111",OFFSET(TH!L$1,SMALL(Dong1,ROWS($1:51)),),OFFSET(TH!M$1,SMALL(Dong1,ROWS($1:51)),)))</f>
        <v>1121</v>
      </c>
      <c r="G64" s="88">
        <f ca="1">IF(ROWS($1:51)&gt;COUNT(Dong1),"",IF(OFFSET(TH!L$1,SMALL(Dong1,ROWS($1:51)),)="1111",OFFSET(TH!K$1,SMALL(Dong1,ROWS($1:51)),),0))</f>
        <v>22500000</v>
      </c>
      <c r="H64" s="86">
        <f ca="1">IF(ROWS($1:51)&gt;COUNT(Dong1),"",IF(OFFSET(TH!M$1,SMALL(Dong1,ROWS($1:51)),)="1111",OFFSET(TH!K$1,SMALL(Dong1,ROWS($1:51)),),0))</f>
        <v>0</v>
      </c>
      <c r="I64" s="84">
        <f t="shared" ca="1" si="1"/>
        <v>1806951041</v>
      </c>
      <c r="J64" s="89"/>
    </row>
    <row r="65" spans="1:10" ht="21.75" customHeight="1">
      <c r="A65" s="83">
        <f ca="1">IF(ROWS($1:52)&gt;COUNT(Dong1),"",OFFSET(TH!C$1,SMALL(Dong1,ROWS($1:52)),))</f>
        <v>42703</v>
      </c>
      <c r="B65" s="83">
        <f ca="1">IF(ROWS($1:52)&gt;COUNT(Dong1),"",OFFSET(TH!E$1,SMALL(Dong1,ROWS($1:52)),))</f>
        <v>42703</v>
      </c>
      <c r="C65" s="84" t="str">
        <f ca="1">IF(ROWS($1:52)&gt;COUNT(Dong1),"",IF(OFFSET(TH!L$1,SMALL(Dong1,ROWS($1:52)),)="1111",OFFSET(TH!D$1,SMALL(Dong1,ROWS($1:52)),),""))</f>
        <v/>
      </c>
      <c r="D65" s="85" t="str">
        <f ca="1">IF(ROWS($1:52)&gt;COUNT(Dong1),"",IF(OFFSET(TH!M$1,SMALL(Dong1,ROWS($1:52)),)="1111",OFFSET(TH!D$1,SMALL(Dong1,ROWS($1:52)),),""))</f>
        <v>C22</v>
      </c>
      <c r="E65" s="133" t="str">
        <f ca="1">IF(ROWS($1:52)&gt;COUNT(Dong1),"",OFFSET(TH!F$1,SMALL(Dong1,ROWS($1:52)),))</f>
        <v>Phí sử dụng đường bộ</v>
      </c>
      <c r="F65" s="87" t="str">
        <f ca="1">IF(ROWS($1:52)&gt;COUNT(Dong1),"",IF(OFFSET(TH!M$1,SMALL(Dong1,ROWS($1:52)),)="1111",OFFSET(TH!L$1,SMALL(Dong1,ROWS($1:52)),),OFFSET(TH!M$1,SMALL(Dong1,ROWS($1:52)),)))</f>
        <v>641</v>
      </c>
      <c r="G65" s="88">
        <f ca="1">IF(ROWS($1:52)&gt;COUNT(Dong1),"",IF(OFFSET(TH!L$1,SMALL(Dong1,ROWS($1:52)),)="1111",OFFSET(TH!K$1,SMALL(Dong1,ROWS($1:52)),),0))</f>
        <v>0</v>
      </c>
      <c r="H65" s="86">
        <f ca="1">IF(ROWS($1:52)&gt;COUNT(Dong1),"",IF(OFFSET(TH!M$1,SMALL(Dong1,ROWS($1:52)),)="1111",OFFSET(TH!K$1,SMALL(Dong1,ROWS($1:52)),),0))</f>
        <v>436364</v>
      </c>
      <c r="I65" s="84">
        <f t="shared" ca="1" si="1"/>
        <v>1806514677</v>
      </c>
      <c r="J65" s="89"/>
    </row>
    <row r="66" spans="1:10" ht="21.75" customHeight="1">
      <c r="A66" s="83">
        <f ca="1">IF(ROWS($1:53)&gt;COUNT(Dong1),"",OFFSET(TH!C$1,SMALL(Dong1,ROWS($1:53)),))</f>
        <v>42703</v>
      </c>
      <c r="B66" s="83">
        <f ca="1">IF(ROWS($1:53)&gt;COUNT(Dong1),"",OFFSET(TH!E$1,SMALL(Dong1,ROWS($1:53)),))</f>
        <v>42703</v>
      </c>
      <c r="C66" s="84" t="str">
        <f ca="1">IF(ROWS($1:53)&gt;COUNT(Dong1),"",IF(OFFSET(TH!L$1,SMALL(Dong1,ROWS($1:53)),)="1111",OFFSET(TH!D$1,SMALL(Dong1,ROWS($1:53)),),""))</f>
        <v/>
      </c>
      <c r="D66" s="85" t="str">
        <f ca="1">IF(ROWS($1:53)&gt;COUNT(Dong1),"",IF(OFFSET(TH!M$1,SMALL(Dong1,ROWS($1:53)),)="1111",OFFSET(TH!D$1,SMALL(Dong1,ROWS($1:53)),),""))</f>
        <v>C22</v>
      </c>
      <c r="E66" s="133" t="str">
        <f ca="1">IF(ROWS($1:53)&gt;COUNT(Dong1),"",OFFSET(TH!F$1,SMALL(Dong1,ROWS($1:53)),))</f>
        <v>VAT Phí sử dụng đường bộ</v>
      </c>
      <c r="F66" s="87" t="str">
        <f ca="1">IF(ROWS($1:53)&gt;COUNT(Dong1),"",IF(OFFSET(TH!M$1,SMALL(Dong1,ROWS($1:53)),)="1111",OFFSET(TH!L$1,SMALL(Dong1,ROWS($1:53)),),OFFSET(TH!M$1,SMALL(Dong1,ROWS($1:53)),)))</f>
        <v>1331</v>
      </c>
      <c r="G66" s="88">
        <f ca="1">IF(ROWS($1:53)&gt;COUNT(Dong1),"",IF(OFFSET(TH!L$1,SMALL(Dong1,ROWS($1:53)),)="1111",OFFSET(TH!K$1,SMALL(Dong1,ROWS($1:53)),),0))</f>
        <v>0</v>
      </c>
      <c r="H66" s="86">
        <f ca="1">IF(ROWS($1:53)&gt;COUNT(Dong1),"",IF(OFFSET(TH!M$1,SMALL(Dong1,ROWS($1:53)),)="1111",OFFSET(TH!K$1,SMALL(Dong1,ROWS($1:53)),),0))</f>
        <v>43636</v>
      </c>
      <c r="I66" s="84">
        <f t="shared" ca="1" si="1"/>
        <v>1806471041</v>
      </c>
      <c r="J66" s="89"/>
    </row>
    <row r="67" spans="1:10" ht="21.75" customHeight="1">
      <c r="A67" s="83">
        <f ca="1">IF(ROWS($1:54)&gt;COUNT(Dong1),"",OFFSET(TH!C$1,SMALL(Dong1,ROWS($1:54)),))</f>
        <v>42703</v>
      </c>
      <c r="B67" s="83">
        <f ca="1">IF(ROWS($1:54)&gt;COUNT(Dong1),"",OFFSET(TH!E$1,SMALL(Dong1,ROWS($1:54)),))</f>
        <v>42703</v>
      </c>
      <c r="C67" s="84" t="str">
        <f ca="1">IF(ROWS($1:54)&gt;COUNT(Dong1),"",IF(OFFSET(TH!L$1,SMALL(Dong1,ROWS($1:54)),)="1111",OFFSET(TH!D$1,SMALL(Dong1,ROWS($1:54)),),""))</f>
        <v>T20</v>
      </c>
      <c r="D67" s="85" t="str">
        <f ca="1">IF(ROWS($1:54)&gt;COUNT(Dong1),"",IF(OFFSET(TH!M$1,SMALL(Dong1,ROWS($1:54)),)="1111",OFFSET(TH!D$1,SMALL(Dong1,ROWS($1:54)),),""))</f>
        <v/>
      </c>
      <c r="E67" s="133" t="str">
        <f ca="1">IF(ROWS($1:54)&gt;COUNT(Dong1),"",OFFSET(TH!F$1,SMALL(Dong1,ROWS($1:54)),))</f>
        <v>Thu tiền hàng</v>
      </c>
      <c r="F67" s="87" t="str">
        <f ca="1">IF(ROWS($1:54)&gt;COUNT(Dong1),"",IF(OFFSET(TH!M$1,SMALL(Dong1,ROWS($1:54)),)="1111",OFFSET(TH!L$1,SMALL(Dong1,ROWS($1:54)),),OFFSET(TH!M$1,SMALL(Dong1,ROWS($1:54)),)))</f>
        <v>131</v>
      </c>
      <c r="G67" s="88">
        <f ca="1">IF(ROWS($1:54)&gt;COUNT(Dong1),"",IF(OFFSET(TH!L$1,SMALL(Dong1,ROWS($1:54)),)="1111",OFFSET(TH!K$1,SMALL(Dong1,ROWS($1:54)),),0))</f>
        <v>6159450</v>
      </c>
      <c r="H67" s="86">
        <f ca="1">IF(ROWS($1:54)&gt;COUNT(Dong1),"",IF(OFFSET(TH!M$1,SMALL(Dong1,ROWS($1:54)),)="1111",OFFSET(TH!K$1,SMALL(Dong1,ROWS($1:54)),),0))</f>
        <v>0</v>
      </c>
      <c r="I67" s="84">
        <f t="shared" ca="1" si="1"/>
        <v>1812630491</v>
      </c>
      <c r="J67" s="89"/>
    </row>
    <row r="68" spans="1:10" ht="21.75" customHeight="1">
      <c r="A68" s="83">
        <f ca="1">IF(ROWS($1:55)&gt;COUNT(Dong1),"",OFFSET(TH!C$1,SMALL(Dong1,ROWS($1:55)),))</f>
        <v>42704</v>
      </c>
      <c r="B68" s="83">
        <f ca="1">IF(ROWS($1:55)&gt;COUNT(Dong1),"",OFFSET(TH!E$1,SMALL(Dong1,ROWS($1:55)),))</f>
        <v>42704</v>
      </c>
      <c r="C68" s="84" t="str">
        <f ca="1">IF(ROWS($1:55)&gt;COUNT(Dong1),"",IF(OFFSET(TH!L$1,SMALL(Dong1,ROWS($1:55)),)="1111",OFFSET(TH!D$1,SMALL(Dong1,ROWS($1:55)),),""))</f>
        <v/>
      </c>
      <c r="D68" s="85" t="str">
        <f ca="1">IF(ROWS($1:55)&gt;COUNT(Dong1),"",IF(OFFSET(TH!M$1,SMALL(Dong1,ROWS($1:55)),)="1111",OFFSET(TH!D$1,SMALL(Dong1,ROWS($1:55)),),""))</f>
        <v>C23</v>
      </c>
      <c r="E68" s="133" t="str">
        <f ca="1">IF(ROWS($1:55)&gt;COUNT(Dong1),"",OFFSET(TH!F$1,SMALL(Dong1,ROWS($1:55)),))</f>
        <v>Thanh toán tiền lương tháng 11/2016</v>
      </c>
      <c r="F68" s="87" t="str">
        <f ca="1">IF(ROWS($1:55)&gt;COUNT(Dong1),"",IF(OFFSET(TH!M$1,SMALL(Dong1,ROWS($1:55)),)="1111",OFFSET(TH!L$1,SMALL(Dong1,ROWS($1:55)),),OFFSET(TH!M$1,SMALL(Dong1,ROWS($1:55)),)))</f>
        <v>3341</v>
      </c>
      <c r="G68" s="88">
        <f ca="1">IF(ROWS($1:55)&gt;COUNT(Dong1),"",IF(OFFSET(TH!L$1,SMALL(Dong1,ROWS($1:55)),)="1111",OFFSET(TH!K$1,SMALL(Dong1,ROWS($1:55)),),0))</f>
        <v>0</v>
      </c>
      <c r="H68" s="86">
        <f ca="1">IF(ROWS($1:55)&gt;COUNT(Dong1),"",IF(OFFSET(TH!M$1,SMALL(Dong1,ROWS($1:55)),)="1111",OFFSET(TH!K$1,SMALL(Dong1,ROWS($1:55)),),0))</f>
        <v>18350000</v>
      </c>
      <c r="I68" s="84">
        <f t="shared" ca="1" si="1"/>
        <v>1794280491</v>
      </c>
      <c r="J68" s="89"/>
    </row>
    <row r="69" spans="1:10" ht="21.75" customHeight="1">
      <c r="A69" s="83">
        <f ca="1">IF(ROWS($1:56)&gt;COUNT(Dong1),"",OFFSET(TH!C$1,SMALL(Dong1,ROWS($1:56)),))</f>
        <v>42705</v>
      </c>
      <c r="B69" s="83">
        <f ca="1">IF(ROWS($1:56)&gt;COUNT(Dong1),"",OFFSET(TH!E$1,SMALL(Dong1,ROWS($1:56)),))</f>
        <v>42705</v>
      </c>
      <c r="C69" s="84" t="str">
        <f ca="1">IF(ROWS($1:56)&gt;COUNT(Dong1),"",IF(OFFSET(TH!L$1,SMALL(Dong1,ROWS($1:56)),)="1111",OFFSET(TH!D$1,SMALL(Dong1,ROWS($1:56)),),""))</f>
        <v>T21</v>
      </c>
      <c r="D69" s="85" t="str">
        <f ca="1">IF(ROWS($1:56)&gt;COUNT(Dong1),"",IF(OFFSET(TH!M$1,SMALL(Dong1,ROWS($1:56)),)="1111",OFFSET(TH!D$1,SMALL(Dong1,ROWS($1:56)),),""))</f>
        <v/>
      </c>
      <c r="E69" s="133" t="str">
        <f ca="1">IF(ROWS($1:56)&gt;COUNT(Dong1),"",OFFSET(TH!F$1,SMALL(Dong1,ROWS($1:56)),))</f>
        <v>Thu tiền hàng</v>
      </c>
      <c r="F69" s="87" t="str">
        <f ca="1">IF(ROWS($1:56)&gt;COUNT(Dong1),"",IF(OFFSET(TH!M$1,SMALL(Dong1,ROWS($1:56)),)="1111",OFFSET(TH!L$1,SMALL(Dong1,ROWS($1:56)),),OFFSET(TH!M$1,SMALL(Dong1,ROWS($1:56)),)))</f>
        <v>131</v>
      </c>
      <c r="G69" s="88">
        <f ca="1">IF(ROWS($1:56)&gt;COUNT(Dong1),"",IF(OFFSET(TH!L$1,SMALL(Dong1,ROWS($1:56)),)="1111",OFFSET(TH!K$1,SMALL(Dong1,ROWS($1:56)),),0))</f>
        <v>19800000</v>
      </c>
      <c r="H69" s="86">
        <f ca="1">IF(ROWS($1:56)&gt;COUNT(Dong1),"",IF(OFFSET(TH!M$1,SMALL(Dong1,ROWS($1:56)),)="1111",OFFSET(TH!K$1,SMALL(Dong1,ROWS($1:56)),),0))</f>
        <v>0</v>
      </c>
      <c r="I69" s="84">
        <f t="shared" ca="1" si="1"/>
        <v>1814080491</v>
      </c>
      <c r="J69" s="89"/>
    </row>
    <row r="70" spans="1:10" ht="21.75" customHeight="1">
      <c r="A70" s="83">
        <f ca="1">IF(ROWS($1:57)&gt;COUNT(Dong1),"",OFFSET(TH!C$1,SMALL(Dong1,ROWS($1:57)),))</f>
        <v>42706</v>
      </c>
      <c r="B70" s="83">
        <f ca="1">IF(ROWS($1:57)&gt;COUNT(Dong1),"",OFFSET(TH!E$1,SMALL(Dong1,ROWS($1:57)),))</f>
        <v>42706</v>
      </c>
      <c r="C70" s="84" t="str">
        <f ca="1">IF(ROWS($1:57)&gt;COUNT(Dong1),"",IF(OFFSET(TH!L$1,SMALL(Dong1,ROWS($1:57)),)="1111",OFFSET(TH!D$1,SMALL(Dong1,ROWS($1:57)),),""))</f>
        <v>T22</v>
      </c>
      <c r="D70" s="85" t="str">
        <f ca="1">IF(ROWS($1:57)&gt;COUNT(Dong1),"",IF(OFFSET(TH!M$1,SMALL(Dong1,ROWS($1:57)),)="1111",OFFSET(TH!D$1,SMALL(Dong1,ROWS($1:57)),),""))</f>
        <v/>
      </c>
      <c r="E70" s="133" t="str">
        <f ca="1">IF(ROWS($1:57)&gt;COUNT(Dong1),"",OFFSET(TH!F$1,SMALL(Dong1,ROWS($1:57)),))</f>
        <v>Thu tiền hàng</v>
      </c>
      <c r="F70" s="87" t="str">
        <f ca="1">IF(ROWS($1:57)&gt;COUNT(Dong1),"",IF(OFFSET(TH!M$1,SMALL(Dong1,ROWS($1:57)),)="1111",OFFSET(TH!L$1,SMALL(Dong1,ROWS($1:57)),),OFFSET(TH!M$1,SMALL(Dong1,ROWS($1:57)),)))</f>
        <v>131</v>
      </c>
      <c r="G70" s="88">
        <f ca="1">IF(ROWS($1:57)&gt;COUNT(Dong1),"",IF(OFFSET(TH!L$1,SMALL(Dong1,ROWS($1:57)),)="1111",OFFSET(TH!K$1,SMALL(Dong1,ROWS($1:57)),),0))</f>
        <v>13200000</v>
      </c>
      <c r="H70" s="86">
        <f ca="1">IF(ROWS($1:57)&gt;COUNT(Dong1),"",IF(OFFSET(TH!M$1,SMALL(Dong1,ROWS($1:57)),)="1111",OFFSET(TH!K$1,SMALL(Dong1,ROWS($1:57)),),0))</f>
        <v>0</v>
      </c>
      <c r="I70" s="84">
        <f t="shared" ca="1" si="1"/>
        <v>1827280491</v>
      </c>
      <c r="J70" s="89"/>
    </row>
    <row r="71" spans="1:10" ht="21.75" customHeight="1">
      <c r="A71" s="83">
        <f ca="1">IF(ROWS($1:58)&gt;COUNT(Dong1),"",OFFSET(TH!C$1,SMALL(Dong1,ROWS($1:58)),))</f>
        <v>42707</v>
      </c>
      <c r="B71" s="83">
        <f ca="1">IF(ROWS($1:58)&gt;COUNT(Dong1),"",OFFSET(TH!E$1,SMALL(Dong1,ROWS($1:58)),))</f>
        <v>42707</v>
      </c>
      <c r="C71" s="84" t="str">
        <f ca="1">IF(ROWS($1:58)&gt;COUNT(Dong1),"",IF(OFFSET(TH!L$1,SMALL(Dong1,ROWS($1:58)),)="1111",OFFSET(TH!D$1,SMALL(Dong1,ROWS($1:58)),),""))</f>
        <v>T23</v>
      </c>
      <c r="D71" s="85" t="str">
        <f ca="1">IF(ROWS($1:58)&gt;COUNT(Dong1),"",IF(OFFSET(TH!M$1,SMALL(Dong1,ROWS($1:58)),)="1111",OFFSET(TH!D$1,SMALL(Dong1,ROWS($1:58)),),""))</f>
        <v/>
      </c>
      <c r="E71" s="133" t="str">
        <f ca="1">IF(ROWS($1:58)&gt;COUNT(Dong1),"",OFFSET(TH!F$1,SMALL(Dong1,ROWS($1:58)),))</f>
        <v>Thu tiền hàng</v>
      </c>
      <c r="F71" s="87" t="str">
        <f ca="1">IF(ROWS($1:58)&gt;COUNT(Dong1),"",IF(OFFSET(TH!M$1,SMALL(Dong1,ROWS($1:58)),)="1111",OFFSET(TH!L$1,SMALL(Dong1,ROWS($1:58)),),OFFSET(TH!M$1,SMALL(Dong1,ROWS($1:58)),)))</f>
        <v>131</v>
      </c>
      <c r="G71" s="88">
        <f ca="1">IF(ROWS($1:58)&gt;COUNT(Dong1),"",IF(OFFSET(TH!L$1,SMALL(Dong1,ROWS($1:58)),)="1111",OFFSET(TH!K$1,SMALL(Dong1,ROWS($1:58)),),0))</f>
        <v>19800000</v>
      </c>
      <c r="H71" s="86">
        <f ca="1">IF(ROWS($1:58)&gt;COUNT(Dong1),"",IF(OFFSET(TH!M$1,SMALL(Dong1,ROWS($1:58)),)="1111",OFFSET(TH!K$1,SMALL(Dong1,ROWS($1:58)),),0))</f>
        <v>0</v>
      </c>
      <c r="I71" s="84">
        <f t="shared" ca="1" si="1"/>
        <v>1847080491</v>
      </c>
      <c r="J71" s="89"/>
    </row>
    <row r="72" spans="1:10" ht="21.75" customHeight="1">
      <c r="A72" s="83">
        <f ca="1">IF(ROWS($1:59)&gt;COUNT(Dong1),"",OFFSET(TH!C$1,SMALL(Dong1,ROWS($1:59)),))</f>
        <v>42709</v>
      </c>
      <c r="B72" s="83">
        <f ca="1">IF(ROWS($1:59)&gt;COUNT(Dong1),"",OFFSET(TH!E$1,SMALL(Dong1,ROWS($1:59)),))</f>
        <v>42709</v>
      </c>
      <c r="C72" s="84" t="str">
        <f ca="1">IF(ROWS($1:59)&gt;COUNT(Dong1),"",IF(OFFSET(TH!L$1,SMALL(Dong1,ROWS($1:59)),)="1111",OFFSET(TH!D$1,SMALL(Dong1,ROWS($1:59)),),""))</f>
        <v>T24</v>
      </c>
      <c r="D72" s="85" t="str">
        <f ca="1">IF(ROWS($1:59)&gt;COUNT(Dong1),"",IF(OFFSET(TH!M$1,SMALL(Dong1,ROWS($1:59)),)="1111",OFFSET(TH!D$1,SMALL(Dong1,ROWS($1:59)),),""))</f>
        <v/>
      </c>
      <c r="E72" s="133" t="str">
        <f ca="1">IF(ROWS($1:59)&gt;COUNT(Dong1),"",OFFSET(TH!F$1,SMALL(Dong1,ROWS($1:59)),))</f>
        <v>Thu tiền hàng</v>
      </c>
      <c r="F72" s="87" t="str">
        <f ca="1">IF(ROWS($1:59)&gt;COUNT(Dong1),"",IF(OFFSET(TH!M$1,SMALL(Dong1,ROWS($1:59)),)="1111",OFFSET(TH!L$1,SMALL(Dong1,ROWS($1:59)),),OFFSET(TH!M$1,SMALL(Dong1,ROWS($1:59)),)))</f>
        <v>131</v>
      </c>
      <c r="G72" s="88">
        <f ca="1">IF(ROWS($1:59)&gt;COUNT(Dong1),"",IF(OFFSET(TH!L$1,SMALL(Dong1,ROWS($1:59)),)="1111",OFFSET(TH!K$1,SMALL(Dong1,ROWS($1:59)),),0))</f>
        <v>7559640</v>
      </c>
      <c r="H72" s="86">
        <f ca="1">IF(ROWS($1:59)&gt;COUNT(Dong1),"",IF(OFFSET(TH!M$1,SMALL(Dong1,ROWS($1:59)),)="1111",OFFSET(TH!K$1,SMALL(Dong1,ROWS($1:59)),),0))</f>
        <v>0</v>
      </c>
      <c r="I72" s="84">
        <f t="shared" ca="1" si="1"/>
        <v>1854640131</v>
      </c>
      <c r="J72" s="89"/>
    </row>
    <row r="73" spans="1:10" ht="21.75" customHeight="1">
      <c r="A73" s="83">
        <f ca="1">IF(ROWS($1:60)&gt;COUNT(Dong1),"",OFFSET(TH!C$1,SMALL(Dong1,ROWS($1:60)),))</f>
        <v>42709</v>
      </c>
      <c r="B73" s="83">
        <f ca="1">IF(ROWS($1:60)&gt;COUNT(Dong1),"",OFFSET(TH!E$1,SMALL(Dong1,ROWS($1:60)),))</f>
        <v>42709</v>
      </c>
      <c r="C73" s="84" t="str">
        <f ca="1">IF(ROWS($1:60)&gt;COUNT(Dong1),"",IF(OFFSET(TH!L$1,SMALL(Dong1,ROWS($1:60)),)="1111",OFFSET(TH!D$1,SMALL(Dong1,ROWS($1:60)),),""))</f>
        <v>T25</v>
      </c>
      <c r="D73" s="85" t="str">
        <f ca="1">IF(ROWS($1:60)&gt;COUNT(Dong1),"",IF(OFFSET(TH!M$1,SMALL(Dong1,ROWS($1:60)),)="1111",OFFSET(TH!D$1,SMALL(Dong1,ROWS($1:60)),),""))</f>
        <v/>
      </c>
      <c r="E73" s="133" t="str">
        <f ca="1">IF(ROWS($1:60)&gt;COUNT(Dong1),"",OFFSET(TH!F$1,SMALL(Dong1,ROWS($1:60)),))</f>
        <v>Thu tiền hàng</v>
      </c>
      <c r="F73" s="87" t="str">
        <f ca="1">IF(ROWS($1:60)&gt;COUNT(Dong1),"",IF(OFFSET(TH!M$1,SMALL(Dong1,ROWS($1:60)),)="1111",OFFSET(TH!L$1,SMALL(Dong1,ROWS($1:60)),),OFFSET(TH!M$1,SMALL(Dong1,ROWS($1:60)),)))</f>
        <v>131</v>
      </c>
      <c r="G73" s="88">
        <f ca="1">IF(ROWS($1:60)&gt;COUNT(Dong1),"",IF(OFFSET(TH!L$1,SMALL(Dong1,ROWS($1:60)),)="1111",OFFSET(TH!K$1,SMALL(Dong1,ROWS($1:60)),),0))</f>
        <v>4601300</v>
      </c>
      <c r="H73" s="86">
        <f ca="1">IF(ROWS($1:60)&gt;COUNT(Dong1),"",IF(OFFSET(TH!M$1,SMALL(Dong1,ROWS($1:60)),)="1111",OFFSET(TH!K$1,SMALL(Dong1,ROWS($1:60)),),0))</f>
        <v>0</v>
      </c>
      <c r="I73" s="84">
        <f t="shared" ca="1" si="1"/>
        <v>1859241431</v>
      </c>
      <c r="J73" s="89"/>
    </row>
    <row r="74" spans="1:10" ht="21.75" customHeight="1">
      <c r="A74" s="83">
        <f ca="1">IF(ROWS($1:61)&gt;COUNT(Dong1),"",OFFSET(TH!C$1,SMALL(Dong1,ROWS($1:61)),))</f>
        <v>42709</v>
      </c>
      <c r="B74" s="83">
        <f ca="1">IF(ROWS($1:61)&gt;COUNT(Dong1),"",OFFSET(TH!E$1,SMALL(Dong1,ROWS($1:61)),))</f>
        <v>42709</v>
      </c>
      <c r="C74" s="84" t="str">
        <f ca="1">IF(ROWS($1:61)&gt;COUNT(Dong1),"",IF(OFFSET(TH!L$1,SMALL(Dong1,ROWS($1:61)),)="1111",OFFSET(TH!D$1,SMALL(Dong1,ROWS($1:61)),),""))</f>
        <v>T26</v>
      </c>
      <c r="D74" s="85" t="str">
        <f ca="1">IF(ROWS($1:61)&gt;COUNT(Dong1),"",IF(OFFSET(TH!M$1,SMALL(Dong1,ROWS($1:61)),)="1111",OFFSET(TH!D$1,SMALL(Dong1,ROWS($1:61)),),""))</f>
        <v/>
      </c>
      <c r="E74" s="133" t="str">
        <f ca="1">IF(ROWS($1:61)&gt;COUNT(Dong1),"",OFFSET(TH!F$1,SMALL(Dong1,ROWS($1:61)),))</f>
        <v>Thu tiền hàng</v>
      </c>
      <c r="F74" s="87" t="str">
        <f ca="1">IF(ROWS($1:61)&gt;COUNT(Dong1),"",IF(OFFSET(TH!M$1,SMALL(Dong1,ROWS($1:61)),)="1111",OFFSET(TH!L$1,SMALL(Dong1,ROWS($1:61)),),OFFSET(TH!M$1,SMALL(Dong1,ROWS($1:61)),)))</f>
        <v>131</v>
      </c>
      <c r="G74" s="88">
        <f ca="1">IF(ROWS($1:61)&gt;COUNT(Dong1),"",IF(OFFSET(TH!L$1,SMALL(Dong1,ROWS($1:61)),)="1111",OFFSET(TH!K$1,SMALL(Dong1,ROWS($1:61)),),0))</f>
        <v>19800000</v>
      </c>
      <c r="H74" s="86">
        <f ca="1">IF(ROWS($1:61)&gt;COUNT(Dong1),"",IF(OFFSET(TH!M$1,SMALL(Dong1,ROWS($1:61)),)="1111",OFFSET(TH!K$1,SMALL(Dong1,ROWS($1:61)),),0))</f>
        <v>0</v>
      </c>
      <c r="I74" s="84">
        <f t="shared" ca="1" si="1"/>
        <v>1879041431</v>
      </c>
      <c r="J74" s="89"/>
    </row>
    <row r="75" spans="1:10" ht="21.75" customHeight="1">
      <c r="A75" s="83">
        <f ca="1">IF(ROWS($1:62)&gt;COUNT(Dong1),"",OFFSET(TH!C$1,SMALL(Dong1,ROWS($1:62)),))</f>
        <v>42710</v>
      </c>
      <c r="B75" s="83">
        <f ca="1">IF(ROWS($1:62)&gt;COUNT(Dong1),"",OFFSET(TH!E$1,SMALL(Dong1,ROWS($1:62)),))</f>
        <v>42710</v>
      </c>
      <c r="C75" s="84" t="str">
        <f ca="1">IF(ROWS($1:62)&gt;COUNT(Dong1),"",IF(OFFSET(TH!L$1,SMALL(Dong1,ROWS($1:62)),)="1111",OFFSET(TH!D$1,SMALL(Dong1,ROWS($1:62)),),""))</f>
        <v>T27</v>
      </c>
      <c r="D75" s="85" t="str">
        <f ca="1">IF(ROWS($1:62)&gt;COUNT(Dong1),"",IF(OFFSET(TH!M$1,SMALL(Dong1,ROWS($1:62)),)="1111",OFFSET(TH!D$1,SMALL(Dong1,ROWS($1:62)),),""))</f>
        <v/>
      </c>
      <c r="E75" s="133" t="str">
        <f ca="1">IF(ROWS($1:62)&gt;COUNT(Dong1),"",OFFSET(TH!F$1,SMALL(Dong1,ROWS($1:62)),))</f>
        <v>Thu tiền hàng</v>
      </c>
      <c r="F75" s="87" t="str">
        <f ca="1">IF(ROWS($1:62)&gt;COUNT(Dong1),"",IF(OFFSET(TH!M$1,SMALL(Dong1,ROWS($1:62)),)="1111",OFFSET(TH!L$1,SMALL(Dong1,ROWS($1:62)),),OFFSET(TH!M$1,SMALL(Dong1,ROWS($1:62)),)))</f>
        <v>131</v>
      </c>
      <c r="G75" s="88">
        <f ca="1">IF(ROWS($1:62)&gt;COUNT(Dong1),"",IF(OFFSET(TH!L$1,SMALL(Dong1,ROWS($1:62)),)="1111",OFFSET(TH!K$1,SMALL(Dong1,ROWS($1:62)),),0))</f>
        <v>19800000</v>
      </c>
      <c r="H75" s="86">
        <f ca="1">IF(ROWS($1:62)&gt;COUNT(Dong1),"",IF(OFFSET(TH!M$1,SMALL(Dong1,ROWS($1:62)),)="1111",OFFSET(TH!K$1,SMALL(Dong1,ROWS($1:62)),),0))</f>
        <v>0</v>
      </c>
      <c r="I75" s="84">
        <f t="shared" ca="1" si="1"/>
        <v>1898841431</v>
      </c>
      <c r="J75" s="89"/>
    </row>
    <row r="76" spans="1:10" ht="21.75" customHeight="1">
      <c r="A76" s="83">
        <f ca="1">IF(ROWS($1:63)&gt;COUNT(Dong1),"",OFFSET(TH!C$1,SMALL(Dong1,ROWS($1:63)),))</f>
        <v>42712</v>
      </c>
      <c r="B76" s="83">
        <f ca="1">IF(ROWS($1:63)&gt;COUNT(Dong1),"",OFFSET(TH!E$1,SMALL(Dong1,ROWS($1:63)),))</f>
        <v>42712</v>
      </c>
      <c r="C76" s="84" t="str">
        <f ca="1">IF(ROWS($1:63)&gt;COUNT(Dong1),"",IF(OFFSET(TH!L$1,SMALL(Dong1,ROWS($1:63)),)="1111",OFFSET(TH!D$1,SMALL(Dong1,ROWS($1:63)),),""))</f>
        <v/>
      </c>
      <c r="D76" s="85" t="str">
        <f ca="1">IF(ROWS($1:63)&gt;COUNT(Dong1),"",IF(OFFSET(TH!M$1,SMALL(Dong1,ROWS($1:63)),)="1111",OFFSET(TH!D$1,SMALL(Dong1,ROWS($1:63)),),""))</f>
        <v>C24</v>
      </c>
      <c r="E76" s="133" t="str">
        <f ca="1">IF(ROWS($1:63)&gt;COUNT(Dong1),"",OFFSET(TH!F$1,SMALL(Dong1,ROWS($1:63)),))</f>
        <v>Thanh toán tiền hàng</v>
      </c>
      <c r="F76" s="87" t="str">
        <f ca="1">IF(ROWS($1:63)&gt;COUNT(Dong1),"",IF(OFFSET(TH!M$1,SMALL(Dong1,ROWS($1:63)),)="1111",OFFSET(TH!L$1,SMALL(Dong1,ROWS($1:63)),),OFFSET(TH!M$1,SMALL(Dong1,ROWS($1:63)),)))</f>
        <v>331</v>
      </c>
      <c r="G76" s="88">
        <f ca="1">IF(ROWS($1:63)&gt;COUNT(Dong1),"",IF(OFFSET(TH!L$1,SMALL(Dong1,ROWS($1:63)),)="1111",OFFSET(TH!K$1,SMALL(Dong1,ROWS($1:63)),),0))</f>
        <v>0</v>
      </c>
      <c r="H76" s="86">
        <f ca="1">IF(ROWS($1:63)&gt;COUNT(Dong1),"",IF(OFFSET(TH!M$1,SMALL(Dong1,ROWS($1:63)),)="1111",OFFSET(TH!K$1,SMALL(Dong1,ROWS($1:63)),),0))</f>
        <v>17441600</v>
      </c>
      <c r="I76" s="84">
        <f t="shared" ca="1" si="1"/>
        <v>1881399831</v>
      </c>
      <c r="J76" s="89"/>
    </row>
    <row r="77" spans="1:10" ht="21.75" customHeight="1">
      <c r="A77" s="83">
        <f ca="1">IF(ROWS($1:64)&gt;COUNT(Dong1),"",OFFSET(TH!C$1,SMALL(Dong1,ROWS($1:64)),))</f>
        <v>42713</v>
      </c>
      <c r="B77" s="83">
        <f ca="1">IF(ROWS($1:64)&gt;COUNT(Dong1),"",OFFSET(TH!E$1,SMALL(Dong1,ROWS($1:64)),))</f>
        <v>42713</v>
      </c>
      <c r="C77" s="84" t="str">
        <f ca="1">IF(ROWS($1:64)&gt;COUNT(Dong1),"",IF(OFFSET(TH!L$1,SMALL(Dong1,ROWS($1:64)),)="1111",OFFSET(TH!D$1,SMALL(Dong1,ROWS($1:64)),),""))</f>
        <v>T28</v>
      </c>
      <c r="D77" s="85" t="str">
        <f ca="1">IF(ROWS($1:64)&gt;COUNT(Dong1),"",IF(OFFSET(TH!M$1,SMALL(Dong1,ROWS($1:64)),)="1111",OFFSET(TH!D$1,SMALL(Dong1,ROWS($1:64)),),""))</f>
        <v/>
      </c>
      <c r="E77" s="133" t="str">
        <f ca="1">IF(ROWS($1:64)&gt;COUNT(Dong1),"",OFFSET(TH!F$1,SMALL(Dong1,ROWS($1:64)),))</f>
        <v>Thu tiền hàng</v>
      </c>
      <c r="F77" s="87" t="str">
        <f ca="1">IF(ROWS($1:64)&gt;COUNT(Dong1),"",IF(OFFSET(TH!M$1,SMALL(Dong1,ROWS($1:64)),)="1111",OFFSET(TH!L$1,SMALL(Dong1,ROWS($1:64)),),OFFSET(TH!M$1,SMALL(Dong1,ROWS($1:64)),)))</f>
        <v>131</v>
      </c>
      <c r="G77" s="88">
        <f ca="1">IF(ROWS($1:64)&gt;COUNT(Dong1),"",IF(OFFSET(TH!L$1,SMALL(Dong1,ROWS($1:64)),)="1111",OFFSET(TH!K$1,SMALL(Dong1,ROWS($1:64)),),0))</f>
        <v>19800000</v>
      </c>
      <c r="H77" s="86">
        <f ca="1">IF(ROWS($1:64)&gt;COUNT(Dong1),"",IF(OFFSET(TH!M$1,SMALL(Dong1,ROWS($1:64)),)="1111",OFFSET(TH!K$1,SMALL(Dong1,ROWS($1:64)),),0))</f>
        <v>0</v>
      </c>
      <c r="I77" s="84">
        <f t="shared" ca="1" si="1"/>
        <v>1901199831</v>
      </c>
      <c r="J77" s="89"/>
    </row>
    <row r="78" spans="1:10" ht="21.75" customHeight="1">
      <c r="A78" s="83">
        <f ca="1">IF(ROWS($1:65)&gt;COUNT(Dong1),"",OFFSET(TH!C$1,SMALL(Dong1,ROWS($1:65)),))</f>
        <v>42714</v>
      </c>
      <c r="B78" s="83">
        <f ca="1">IF(ROWS($1:65)&gt;COUNT(Dong1),"",OFFSET(TH!E$1,SMALL(Dong1,ROWS($1:65)),))</f>
        <v>42714</v>
      </c>
      <c r="C78" s="84" t="str">
        <f ca="1">IF(ROWS($1:65)&gt;COUNT(Dong1),"",IF(OFFSET(TH!L$1,SMALL(Dong1,ROWS($1:65)),)="1111",OFFSET(TH!D$1,SMALL(Dong1,ROWS($1:65)),),""))</f>
        <v>T29</v>
      </c>
      <c r="D78" s="85" t="str">
        <f ca="1">IF(ROWS($1:65)&gt;COUNT(Dong1),"",IF(OFFSET(TH!M$1,SMALL(Dong1,ROWS($1:65)),)="1111",OFFSET(TH!D$1,SMALL(Dong1,ROWS($1:65)),),""))</f>
        <v/>
      </c>
      <c r="E78" s="133" t="str">
        <f ca="1">IF(ROWS($1:65)&gt;COUNT(Dong1),"",OFFSET(TH!F$1,SMALL(Dong1,ROWS($1:65)),))</f>
        <v>Thu tiền hàng</v>
      </c>
      <c r="F78" s="87" t="str">
        <f ca="1">IF(ROWS($1:65)&gt;COUNT(Dong1),"",IF(OFFSET(TH!M$1,SMALL(Dong1,ROWS($1:65)),)="1111",OFFSET(TH!L$1,SMALL(Dong1,ROWS($1:65)),),OFFSET(TH!M$1,SMALL(Dong1,ROWS($1:65)),)))</f>
        <v>131</v>
      </c>
      <c r="G78" s="88">
        <f ca="1">IF(ROWS($1:65)&gt;COUNT(Dong1),"",IF(OFFSET(TH!L$1,SMALL(Dong1,ROWS($1:65)),)="1111",OFFSET(TH!K$1,SMALL(Dong1,ROWS($1:65)),),0))</f>
        <v>19800000</v>
      </c>
      <c r="H78" s="86">
        <f ca="1">IF(ROWS($1:65)&gt;COUNT(Dong1),"",IF(OFFSET(TH!M$1,SMALL(Dong1,ROWS($1:65)),)="1111",OFFSET(TH!K$1,SMALL(Dong1,ROWS($1:65)),),0))</f>
        <v>0</v>
      </c>
      <c r="I78" s="84">
        <f t="shared" ca="1" si="1"/>
        <v>1920999831</v>
      </c>
      <c r="J78" s="89"/>
    </row>
    <row r="79" spans="1:10" ht="21.75" customHeight="1">
      <c r="A79" s="83">
        <f ca="1">IF(ROWS($1:66)&gt;COUNT(Dong1),"",OFFSET(TH!C$1,SMALL(Dong1,ROWS($1:66)),))</f>
        <v>42715</v>
      </c>
      <c r="B79" s="83">
        <f ca="1">IF(ROWS($1:66)&gt;COUNT(Dong1),"",OFFSET(TH!E$1,SMALL(Dong1,ROWS($1:66)),))</f>
        <v>42715</v>
      </c>
      <c r="C79" s="84" t="str">
        <f ca="1">IF(ROWS($1:66)&gt;COUNT(Dong1),"",IF(OFFSET(TH!L$1,SMALL(Dong1,ROWS($1:66)),)="1111",OFFSET(TH!D$1,SMALL(Dong1,ROWS($1:66)),),""))</f>
        <v>T30</v>
      </c>
      <c r="D79" s="85" t="str">
        <f ca="1">IF(ROWS($1:66)&gt;COUNT(Dong1),"",IF(OFFSET(TH!M$1,SMALL(Dong1,ROWS($1:66)),)="1111",OFFSET(TH!D$1,SMALL(Dong1,ROWS($1:66)),),""))</f>
        <v/>
      </c>
      <c r="E79" s="133" t="str">
        <f ca="1">IF(ROWS($1:66)&gt;COUNT(Dong1),"",OFFSET(TH!F$1,SMALL(Dong1,ROWS($1:66)),))</f>
        <v>Thu tiền hàng</v>
      </c>
      <c r="F79" s="87" t="str">
        <f ca="1">IF(ROWS($1:66)&gt;COUNT(Dong1),"",IF(OFFSET(TH!M$1,SMALL(Dong1,ROWS($1:66)),)="1111",OFFSET(TH!L$1,SMALL(Dong1,ROWS($1:66)),),OFFSET(TH!M$1,SMALL(Dong1,ROWS($1:66)),)))</f>
        <v>131</v>
      </c>
      <c r="G79" s="88">
        <f ca="1">IF(ROWS($1:66)&gt;COUNT(Dong1),"",IF(OFFSET(TH!L$1,SMALL(Dong1,ROWS($1:66)),)="1111",OFFSET(TH!K$1,SMALL(Dong1,ROWS($1:66)),),0))</f>
        <v>19800000</v>
      </c>
      <c r="H79" s="86">
        <f ca="1">IF(ROWS($1:66)&gt;COUNT(Dong1),"",IF(OFFSET(TH!M$1,SMALL(Dong1,ROWS($1:66)),)="1111",OFFSET(TH!K$1,SMALL(Dong1,ROWS($1:66)),),0))</f>
        <v>0</v>
      </c>
      <c r="I79" s="84">
        <f t="shared" ref="I79:I86" ca="1" si="2">IF(E79&lt;&gt;"",I78+G79-H79,0)</f>
        <v>1940799831</v>
      </c>
      <c r="J79" s="89"/>
    </row>
    <row r="80" spans="1:10" ht="21.75" customHeight="1">
      <c r="A80" s="83">
        <f ca="1">IF(ROWS($1:67)&gt;COUNT(Dong1),"",OFFSET(TH!C$1,SMALL(Dong1,ROWS($1:67)),))</f>
        <v>42716</v>
      </c>
      <c r="B80" s="83">
        <f ca="1">IF(ROWS($1:67)&gt;COUNT(Dong1),"",OFFSET(TH!E$1,SMALL(Dong1,ROWS($1:67)),))</f>
        <v>42716</v>
      </c>
      <c r="C80" s="84" t="str">
        <f ca="1">IF(ROWS($1:67)&gt;COUNT(Dong1),"",IF(OFFSET(TH!L$1,SMALL(Dong1,ROWS($1:67)),)="1111",OFFSET(TH!D$1,SMALL(Dong1,ROWS($1:67)),),""))</f>
        <v/>
      </c>
      <c r="D80" s="85" t="str">
        <f ca="1">IF(ROWS($1:67)&gt;COUNT(Dong1),"",IF(OFFSET(TH!M$1,SMALL(Dong1,ROWS($1:67)),)="1111",OFFSET(TH!D$1,SMALL(Dong1,ROWS($1:67)),),""))</f>
        <v>C25</v>
      </c>
      <c r="E80" s="133" t="str">
        <f ca="1">IF(ROWS($1:67)&gt;COUNT(Dong1),"",OFFSET(TH!F$1,SMALL(Dong1,ROWS($1:67)),))</f>
        <v>Nộp tiền mặt</v>
      </c>
      <c r="F80" s="87" t="str">
        <f ca="1">IF(ROWS($1:67)&gt;COUNT(Dong1),"",IF(OFFSET(TH!M$1,SMALL(Dong1,ROWS($1:67)),)="1111",OFFSET(TH!L$1,SMALL(Dong1,ROWS($1:67)),),OFFSET(TH!M$1,SMALL(Dong1,ROWS($1:67)),)))</f>
        <v>1121</v>
      </c>
      <c r="G80" s="88">
        <f ca="1">IF(ROWS($1:67)&gt;COUNT(Dong1),"",IF(OFFSET(TH!L$1,SMALL(Dong1,ROWS($1:67)),)="1111",OFFSET(TH!K$1,SMALL(Dong1,ROWS($1:67)),),0))</f>
        <v>0</v>
      </c>
      <c r="H80" s="86">
        <f ca="1">IF(ROWS($1:67)&gt;COUNT(Dong1),"",IF(OFFSET(TH!M$1,SMALL(Dong1,ROWS($1:67)),)="1111",OFFSET(TH!K$1,SMALL(Dong1,ROWS($1:67)),),0))</f>
        <v>4500000</v>
      </c>
      <c r="I80" s="84">
        <f t="shared" ca="1" si="2"/>
        <v>1936299831</v>
      </c>
      <c r="J80" s="89"/>
    </row>
    <row r="81" spans="1:10" ht="21.75" customHeight="1">
      <c r="A81" s="83">
        <f ca="1">IF(ROWS($1:68)&gt;COUNT(Dong1),"",OFFSET(TH!C$1,SMALL(Dong1,ROWS($1:68)),))</f>
        <v>42716</v>
      </c>
      <c r="B81" s="83">
        <f ca="1">IF(ROWS($1:68)&gt;COUNT(Dong1),"",OFFSET(TH!E$1,SMALL(Dong1,ROWS($1:68)),))</f>
        <v>42716</v>
      </c>
      <c r="C81" s="84" t="str">
        <f ca="1">IF(ROWS($1:68)&gt;COUNT(Dong1),"",IF(OFFSET(TH!L$1,SMALL(Dong1,ROWS($1:68)),)="1111",OFFSET(TH!D$1,SMALL(Dong1,ROWS($1:68)),),""))</f>
        <v>T31</v>
      </c>
      <c r="D81" s="85" t="str">
        <f ca="1">IF(ROWS($1:68)&gt;COUNT(Dong1),"",IF(OFFSET(TH!M$1,SMALL(Dong1,ROWS($1:68)),)="1111",OFFSET(TH!D$1,SMALL(Dong1,ROWS($1:68)),),""))</f>
        <v/>
      </c>
      <c r="E81" s="133" t="str">
        <f ca="1">IF(ROWS($1:68)&gt;COUNT(Dong1),"",OFFSET(TH!F$1,SMALL(Dong1,ROWS($1:68)),))</f>
        <v>Thu tiền hàng</v>
      </c>
      <c r="F81" s="87" t="str">
        <f ca="1">IF(ROWS($1:68)&gt;COUNT(Dong1),"",IF(OFFSET(TH!M$1,SMALL(Dong1,ROWS($1:68)),)="1111",OFFSET(TH!L$1,SMALL(Dong1,ROWS($1:68)),),OFFSET(TH!M$1,SMALL(Dong1,ROWS($1:68)),)))</f>
        <v>131</v>
      </c>
      <c r="G81" s="88">
        <f ca="1">IF(ROWS($1:68)&gt;COUNT(Dong1),"",IF(OFFSET(TH!L$1,SMALL(Dong1,ROWS($1:68)),)="1111",OFFSET(TH!K$1,SMALL(Dong1,ROWS($1:68)),),0))</f>
        <v>19800000</v>
      </c>
      <c r="H81" s="86">
        <f ca="1">IF(ROWS($1:68)&gt;COUNT(Dong1),"",IF(OFFSET(TH!M$1,SMALL(Dong1,ROWS($1:68)),)="1111",OFFSET(TH!K$1,SMALL(Dong1,ROWS($1:68)),),0))</f>
        <v>0</v>
      </c>
      <c r="I81" s="84">
        <f t="shared" ca="1" si="2"/>
        <v>1956099831</v>
      </c>
      <c r="J81" s="89"/>
    </row>
    <row r="82" spans="1:10" ht="21.75" customHeight="1">
      <c r="A82" s="83">
        <f ca="1">IF(ROWS($1:69)&gt;COUNT(Dong1),"",OFFSET(TH!C$1,SMALL(Dong1,ROWS($1:69)),))</f>
        <v>42717</v>
      </c>
      <c r="B82" s="83">
        <f ca="1">IF(ROWS($1:69)&gt;COUNT(Dong1),"",OFFSET(TH!E$1,SMALL(Dong1,ROWS($1:69)),))</f>
        <v>42717</v>
      </c>
      <c r="C82" s="84" t="str">
        <f ca="1">IF(ROWS($1:69)&gt;COUNT(Dong1),"",IF(OFFSET(TH!L$1,SMALL(Dong1,ROWS($1:69)),)="1111",OFFSET(TH!D$1,SMALL(Dong1,ROWS($1:69)),),""))</f>
        <v/>
      </c>
      <c r="D82" s="85" t="str">
        <f ca="1">IF(ROWS($1:69)&gt;COUNT(Dong1),"",IF(OFFSET(TH!M$1,SMALL(Dong1,ROWS($1:69)),)="1111",OFFSET(TH!D$1,SMALL(Dong1,ROWS($1:69)),),""))</f>
        <v>C26</v>
      </c>
      <c r="E82" s="133" t="str">
        <f ca="1">IF(ROWS($1:69)&gt;COUNT(Dong1),"",OFFSET(TH!F$1,SMALL(Dong1,ROWS($1:69)),))</f>
        <v>Nộp tiền mặt</v>
      </c>
      <c r="F82" s="87" t="str">
        <f ca="1">IF(ROWS($1:69)&gt;COUNT(Dong1),"",IF(OFFSET(TH!M$1,SMALL(Dong1,ROWS($1:69)),)="1111",OFFSET(TH!L$1,SMALL(Dong1,ROWS($1:69)),),OFFSET(TH!M$1,SMALL(Dong1,ROWS($1:69)),)))</f>
        <v>1121</v>
      </c>
      <c r="G82" s="88">
        <f ca="1">IF(ROWS($1:69)&gt;COUNT(Dong1),"",IF(OFFSET(TH!L$1,SMALL(Dong1,ROWS($1:69)),)="1111",OFFSET(TH!K$1,SMALL(Dong1,ROWS($1:69)),),0))</f>
        <v>0</v>
      </c>
      <c r="H82" s="86">
        <f ca="1">IF(ROWS($1:69)&gt;COUNT(Dong1),"",IF(OFFSET(TH!M$1,SMALL(Dong1,ROWS($1:69)),)="1111",OFFSET(TH!K$1,SMALL(Dong1,ROWS($1:69)),),0))</f>
        <v>13300000</v>
      </c>
      <c r="I82" s="84">
        <f t="shared" ca="1" si="2"/>
        <v>1942799831</v>
      </c>
      <c r="J82" s="89"/>
    </row>
    <row r="83" spans="1:10" ht="21.75" customHeight="1">
      <c r="A83" s="83">
        <f ca="1">IF(ROWS($1:70)&gt;COUNT(Dong1),"",OFFSET(TH!C$1,SMALL(Dong1,ROWS($1:70)),))</f>
        <v>42717</v>
      </c>
      <c r="B83" s="83">
        <f ca="1">IF(ROWS($1:70)&gt;COUNT(Dong1),"",OFFSET(TH!E$1,SMALL(Dong1,ROWS($1:70)),))</f>
        <v>42717</v>
      </c>
      <c r="C83" s="84" t="str">
        <f ca="1">IF(ROWS($1:70)&gt;COUNT(Dong1),"",IF(OFFSET(TH!L$1,SMALL(Dong1,ROWS($1:70)),)="1111",OFFSET(TH!D$1,SMALL(Dong1,ROWS($1:70)),),""))</f>
        <v>T32</v>
      </c>
      <c r="D83" s="85" t="str">
        <f ca="1">IF(ROWS($1:70)&gt;COUNT(Dong1),"",IF(OFFSET(TH!M$1,SMALL(Dong1,ROWS($1:70)),)="1111",OFFSET(TH!D$1,SMALL(Dong1,ROWS($1:70)),),""))</f>
        <v/>
      </c>
      <c r="E83" s="133" t="str">
        <f ca="1">IF(ROWS($1:70)&gt;COUNT(Dong1),"",OFFSET(TH!F$1,SMALL(Dong1,ROWS($1:70)),))</f>
        <v>Thu tiền hàng</v>
      </c>
      <c r="F83" s="87" t="str">
        <f ca="1">IF(ROWS($1:70)&gt;COUNT(Dong1),"",IF(OFFSET(TH!M$1,SMALL(Dong1,ROWS($1:70)),)="1111",OFFSET(TH!L$1,SMALL(Dong1,ROWS($1:70)),),OFFSET(TH!M$1,SMALL(Dong1,ROWS($1:70)),)))</f>
        <v>131</v>
      </c>
      <c r="G83" s="88">
        <f ca="1">IF(ROWS($1:70)&gt;COUNT(Dong1),"",IF(OFFSET(TH!L$1,SMALL(Dong1,ROWS($1:70)),)="1111",OFFSET(TH!K$1,SMALL(Dong1,ROWS($1:70)),),0))</f>
        <v>4451260</v>
      </c>
      <c r="H83" s="86">
        <f ca="1">IF(ROWS($1:70)&gt;COUNT(Dong1),"",IF(OFFSET(TH!M$1,SMALL(Dong1,ROWS($1:70)),)="1111",OFFSET(TH!K$1,SMALL(Dong1,ROWS($1:70)),),0))</f>
        <v>0</v>
      </c>
      <c r="I83" s="84">
        <f t="shared" ca="1" si="2"/>
        <v>1947251091</v>
      </c>
      <c r="J83" s="89"/>
    </row>
    <row r="84" spans="1:10" ht="21.75" customHeight="1">
      <c r="A84" s="83">
        <f ca="1">IF(ROWS($1:71)&gt;COUNT(Dong1),"",OFFSET(TH!C$1,SMALL(Dong1,ROWS($1:71)),))</f>
        <v>42719</v>
      </c>
      <c r="B84" s="83">
        <f ca="1">IF(ROWS($1:71)&gt;COUNT(Dong1),"",OFFSET(TH!E$1,SMALL(Dong1,ROWS($1:71)),))</f>
        <v>42719</v>
      </c>
      <c r="C84" s="84" t="str">
        <f ca="1">IF(ROWS($1:71)&gt;COUNT(Dong1),"",IF(OFFSET(TH!L$1,SMALL(Dong1,ROWS($1:71)),)="1111",OFFSET(TH!D$1,SMALL(Dong1,ROWS($1:71)),),""))</f>
        <v>T33</v>
      </c>
      <c r="D84" s="85" t="str">
        <f ca="1">IF(ROWS($1:71)&gt;COUNT(Dong1),"",IF(OFFSET(TH!M$1,SMALL(Dong1,ROWS($1:71)),)="1111",OFFSET(TH!D$1,SMALL(Dong1,ROWS($1:71)),),""))</f>
        <v/>
      </c>
      <c r="E84" s="133" t="str">
        <f ca="1">IF(ROWS($1:71)&gt;COUNT(Dong1),"",OFFSET(TH!F$1,SMALL(Dong1,ROWS($1:71)),))</f>
        <v>Thu tiền hàng</v>
      </c>
      <c r="F84" s="87" t="str">
        <f ca="1">IF(ROWS($1:71)&gt;COUNT(Dong1),"",IF(OFFSET(TH!M$1,SMALL(Dong1,ROWS($1:71)),)="1111",OFFSET(TH!L$1,SMALL(Dong1,ROWS($1:71)),),OFFSET(TH!M$1,SMALL(Dong1,ROWS($1:71)),)))</f>
        <v>131</v>
      </c>
      <c r="G84" s="88">
        <f ca="1">IF(ROWS($1:71)&gt;COUNT(Dong1),"",IF(OFFSET(TH!L$1,SMALL(Dong1,ROWS($1:71)),)="1111",OFFSET(TH!K$1,SMALL(Dong1,ROWS($1:71)),),0))</f>
        <v>19800000</v>
      </c>
      <c r="H84" s="86">
        <f ca="1">IF(ROWS($1:71)&gt;COUNT(Dong1),"",IF(OFFSET(TH!M$1,SMALL(Dong1,ROWS($1:71)),)="1111",OFFSET(TH!K$1,SMALL(Dong1,ROWS($1:71)),),0))</f>
        <v>0</v>
      </c>
      <c r="I84" s="84">
        <f t="shared" ca="1" si="2"/>
        <v>1967051091</v>
      </c>
      <c r="J84" s="89"/>
    </row>
    <row r="85" spans="1:10" ht="21.75" customHeight="1">
      <c r="A85" s="83">
        <f ca="1">IF(ROWS($1:72)&gt;COUNT(Dong1),"",OFFSET(TH!C$1,SMALL(Dong1,ROWS($1:72)),))</f>
        <v>42720</v>
      </c>
      <c r="B85" s="83">
        <f ca="1">IF(ROWS($1:72)&gt;COUNT(Dong1),"",OFFSET(TH!E$1,SMALL(Dong1,ROWS($1:72)),))</f>
        <v>42720</v>
      </c>
      <c r="C85" s="84" t="str">
        <f ca="1">IF(ROWS($1:72)&gt;COUNT(Dong1),"",IF(OFFSET(TH!L$1,SMALL(Dong1,ROWS($1:72)),)="1111",OFFSET(TH!D$1,SMALL(Dong1,ROWS($1:72)),),""))</f>
        <v>T34</v>
      </c>
      <c r="D85" s="85" t="str">
        <f ca="1">IF(ROWS($1:72)&gt;COUNT(Dong1),"",IF(OFFSET(TH!M$1,SMALL(Dong1,ROWS($1:72)),)="1111",OFFSET(TH!D$1,SMALL(Dong1,ROWS($1:72)),),""))</f>
        <v/>
      </c>
      <c r="E85" s="133" t="str">
        <f ca="1">IF(ROWS($1:72)&gt;COUNT(Dong1),"",OFFSET(TH!F$1,SMALL(Dong1,ROWS($1:72)),))</f>
        <v>Thu tiền hàng</v>
      </c>
      <c r="F85" s="87" t="str">
        <f ca="1">IF(ROWS($1:72)&gt;COUNT(Dong1),"",IF(OFFSET(TH!M$1,SMALL(Dong1,ROWS($1:72)),)="1111",OFFSET(TH!L$1,SMALL(Dong1,ROWS($1:72)),),OFFSET(TH!M$1,SMALL(Dong1,ROWS($1:72)),)))</f>
        <v>131</v>
      </c>
      <c r="G85" s="88">
        <f ca="1">IF(ROWS($1:72)&gt;COUNT(Dong1),"",IF(OFFSET(TH!L$1,SMALL(Dong1,ROWS($1:72)),)="1111",OFFSET(TH!K$1,SMALL(Dong1,ROWS($1:72)),),0))</f>
        <v>19800000</v>
      </c>
      <c r="H85" s="86">
        <f ca="1">IF(ROWS($1:72)&gt;COUNT(Dong1),"",IF(OFFSET(TH!M$1,SMALL(Dong1,ROWS($1:72)),)="1111",OFFSET(TH!K$1,SMALL(Dong1,ROWS($1:72)),),0))</f>
        <v>0</v>
      </c>
      <c r="I85" s="84">
        <f t="shared" ca="1" si="2"/>
        <v>1986851091</v>
      </c>
      <c r="J85" s="89"/>
    </row>
    <row r="86" spans="1:10" ht="21.75" customHeight="1">
      <c r="A86" s="83">
        <f ca="1">IF(ROWS($1:73)&gt;COUNT(Dong1),"",OFFSET(TH!C$1,SMALL(Dong1,ROWS($1:73)),))</f>
        <v>42721</v>
      </c>
      <c r="B86" s="83">
        <f ca="1">IF(ROWS($1:73)&gt;COUNT(Dong1),"",OFFSET(TH!E$1,SMALL(Dong1,ROWS($1:73)),))</f>
        <v>42721</v>
      </c>
      <c r="C86" s="84" t="str">
        <f ca="1">IF(ROWS($1:73)&gt;COUNT(Dong1),"",IF(OFFSET(TH!L$1,SMALL(Dong1,ROWS($1:73)),)="1111",OFFSET(TH!D$1,SMALL(Dong1,ROWS($1:73)),),""))</f>
        <v>T35</v>
      </c>
      <c r="D86" s="85" t="str">
        <f ca="1">IF(ROWS($1:73)&gt;COUNT(Dong1),"",IF(OFFSET(TH!M$1,SMALL(Dong1,ROWS($1:73)),)="1111",OFFSET(TH!D$1,SMALL(Dong1,ROWS($1:73)),),""))</f>
        <v/>
      </c>
      <c r="E86" s="133" t="str">
        <f ca="1">IF(ROWS($1:73)&gt;COUNT(Dong1),"",OFFSET(TH!F$1,SMALL(Dong1,ROWS($1:73)),))</f>
        <v>Thu tiền hàng</v>
      </c>
      <c r="F86" s="87" t="str">
        <f ca="1">IF(ROWS($1:73)&gt;COUNT(Dong1),"",IF(OFFSET(TH!M$1,SMALL(Dong1,ROWS($1:73)),)="1111",OFFSET(TH!L$1,SMALL(Dong1,ROWS($1:73)),),OFFSET(TH!M$1,SMALL(Dong1,ROWS($1:73)),)))</f>
        <v>131</v>
      </c>
      <c r="G86" s="88">
        <f ca="1">IF(ROWS($1:73)&gt;COUNT(Dong1),"",IF(OFFSET(TH!L$1,SMALL(Dong1,ROWS($1:73)),)="1111",OFFSET(TH!K$1,SMALL(Dong1,ROWS($1:73)),),0))</f>
        <v>19800000</v>
      </c>
      <c r="H86" s="86">
        <f ca="1">IF(ROWS($1:73)&gt;COUNT(Dong1),"",IF(OFFSET(TH!M$1,SMALL(Dong1,ROWS($1:73)),)="1111",OFFSET(TH!K$1,SMALL(Dong1,ROWS($1:73)),),0))</f>
        <v>0</v>
      </c>
      <c r="I86" s="84">
        <f t="shared" ca="1" si="2"/>
        <v>2006651091</v>
      </c>
      <c r="J86" s="89"/>
    </row>
    <row r="87" spans="1:10" ht="21.75" customHeight="1">
      <c r="A87" s="83">
        <f ca="1">IF(ROWS($1:74)&gt;COUNT(Dong1),"",OFFSET(TH!C$1,SMALL(Dong1,ROWS($1:74)),))</f>
        <v>42722</v>
      </c>
      <c r="B87" s="83">
        <f ca="1">IF(ROWS($1:74)&gt;COUNT(Dong1),"",OFFSET(TH!E$1,SMALL(Dong1,ROWS($1:74)),))</f>
        <v>42722</v>
      </c>
      <c r="C87" s="84" t="str">
        <f ca="1">IF(ROWS($1:74)&gt;COUNT(Dong1),"",IF(OFFSET(TH!L$1,SMALL(Dong1,ROWS($1:74)),)="1111",OFFSET(TH!D$1,SMALL(Dong1,ROWS($1:74)),),""))</f>
        <v>T36</v>
      </c>
      <c r="D87" s="85" t="str">
        <f ca="1">IF(ROWS($1:74)&gt;COUNT(Dong1),"",IF(OFFSET(TH!M$1,SMALL(Dong1,ROWS($1:74)),)="1111",OFFSET(TH!D$1,SMALL(Dong1,ROWS($1:74)),),""))</f>
        <v/>
      </c>
      <c r="E87" s="133" t="str">
        <f ca="1">IF(ROWS($1:74)&gt;COUNT(Dong1),"",OFFSET(TH!F$1,SMALL(Dong1,ROWS($1:74)),))</f>
        <v>Thu tiền hàng</v>
      </c>
      <c r="F87" s="87" t="str">
        <f ca="1">IF(ROWS($1:74)&gt;COUNT(Dong1),"",IF(OFFSET(TH!M$1,SMALL(Dong1,ROWS($1:74)),)="1111",OFFSET(TH!L$1,SMALL(Dong1,ROWS($1:74)),),OFFSET(TH!M$1,SMALL(Dong1,ROWS($1:74)),)))</f>
        <v>131</v>
      </c>
      <c r="G87" s="88">
        <f ca="1">IF(ROWS($1:74)&gt;COUNT(Dong1),"",IF(OFFSET(TH!L$1,SMALL(Dong1,ROWS($1:74)),)="1111",OFFSET(TH!K$1,SMALL(Dong1,ROWS($1:74)),),0))</f>
        <v>19800000</v>
      </c>
      <c r="H87" s="86">
        <f ca="1">IF(ROWS($1:74)&gt;COUNT(Dong1),"",IF(OFFSET(TH!M$1,SMALL(Dong1,ROWS($1:74)),)="1111",OFFSET(TH!K$1,SMALL(Dong1,ROWS($1:74)),),0))</f>
        <v>0</v>
      </c>
      <c r="I87" s="84">
        <f t="shared" ref="I87" ca="1" si="3">IF(E87&lt;&gt;"",I86+G87-H87,0)</f>
        <v>2026451091</v>
      </c>
      <c r="J87" s="89"/>
    </row>
    <row r="88" spans="1:10" ht="21.75" customHeight="1">
      <c r="A88" s="83">
        <f ca="1">IF(ROWS($1:75)&gt;COUNT(Dong1),"",OFFSET(TH!C$1,SMALL(Dong1,ROWS($1:75)),))</f>
        <v>42723</v>
      </c>
      <c r="B88" s="83">
        <f ca="1">IF(ROWS($1:75)&gt;COUNT(Dong1),"",OFFSET(TH!E$1,SMALL(Dong1,ROWS($1:75)),))</f>
        <v>42723</v>
      </c>
      <c r="C88" s="84" t="str">
        <f ca="1">IF(ROWS($1:75)&gt;COUNT(Dong1),"",IF(OFFSET(TH!L$1,SMALL(Dong1,ROWS($1:75)),)="1111",OFFSET(TH!D$1,SMALL(Dong1,ROWS($1:75)),),""))</f>
        <v/>
      </c>
      <c r="D88" s="85" t="str">
        <f ca="1">IF(ROWS($1:75)&gt;COUNT(Dong1),"",IF(OFFSET(TH!M$1,SMALL(Dong1,ROWS($1:75)),)="1111",OFFSET(TH!D$1,SMALL(Dong1,ROWS($1:75)),),""))</f>
        <v>C27</v>
      </c>
      <c r="E88" s="133" t="str">
        <f ca="1">IF(ROWS($1:75)&gt;COUNT(Dong1),"",OFFSET(TH!F$1,SMALL(Dong1,ROWS($1:75)),))</f>
        <v>Thanh toán tiền hàng</v>
      </c>
      <c r="F88" s="87" t="str">
        <f ca="1">IF(ROWS($1:75)&gt;COUNT(Dong1),"",IF(OFFSET(TH!M$1,SMALL(Dong1,ROWS($1:75)),)="1111",OFFSET(TH!L$1,SMALL(Dong1,ROWS($1:75)),),OFFSET(TH!M$1,SMALL(Dong1,ROWS($1:75)),)))</f>
        <v>331</v>
      </c>
      <c r="G88" s="88">
        <f ca="1">IF(ROWS($1:75)&gt;COUNT(Dong1),"",IF(OFFSET(TH!L$1,SMALL(Dong1,ROWS($1:75)),)="1111",OFFSET(TH!K$1,SMALL(Dong1,ROWS($1:75)),),0))</f>
        <v>0</v>
      </c>
      <c r="H88" s="86">
        <f ca="1">IF(ROWS($1:75)&gt;COUNT(Dong1),"",IF(OFFSET(TH!M$1,SMALL(Dong1,ROWS($1:75)),)="1111",OFFSET(TH!K$1,SMALL(Dong1,ROWS($1:75)),),0))</f>
        <v>6116000</v>
      </c>
      <c r="I88" s="84">
        <f t="shared" ref="I88:I117" ca="1" si="4">IF(E88&lt;&gt;"",I87+G88-H88,0)</f>
        <v>2020335091</v>
      </c>
      <c r="J88" s="89"/>
    </row>
    <row r="89" spans="1:10" ht="21.75" customHeight="1">
      <c r="A89" s="83">
        <f ca="1">IF(ROWS($1:76)&gt;COUNT(Dong1),"",OFFSET(TH!C$1,SMALL(Dong1,ROWS($1:76)),))</f>
        <v>42723</v>
      </c>
      <c r="B89" s="83">
        <f ca="1">IF(ROWS($1:76)&gt;COUNT(Dong1),"",OFFSET(TH!E$1,SMALL(Dong1,ROWS($1:76)),))</f>
        <v>42723</v>
      </c>
      <c r="C89" s="84" t="str">
        <f ca="1">IF(ROWS($1:76)&gt;COUNT(Dong1),"",IF(OFFSET(TH!L$1,SMALL(Dong1,ROWS($1:76)),)="1111",OFFSET(TH!D$1,SMALL(Dong1,ROWS($1:76)),),""))</f>
        <v/>
      </c>
      <c r="D89" s="85" t="str">
        <f ca="1">IF(ROWS($1:76)&gt;COUNT(Dong1),"",IF(OFFSET(TH!M$1,SMALL(Dong1,ROWS($1:76)),)="1111",OFFSET(TH!D$1,SMALL(Dong1,ROWS($1:76)),),""))</f>
        <v>C28</v>
      </c>
      <c r="E89" s="133" t="str">
        <f ca="1">IF(ROWS($1:76)&gt;COUNT(Dong1),"",OFFSET(TH!F$1,SMALL(Dong1,ROWS($1:76)),))</f>
        <v>Nộp tiền mặt</v>
      </c>
      <c r="F89" s="87" t="str">
        <f ca="1">IF(ROWS($1:76)&gt;COUNT(Dong1),"",IF(OFFSET(TH!M$1,SMALL(Dong1,ROWS($1:76)),)="1111",OFFSET(TH!L$1,SMALL(Dong1,ROWS($1:76)),),OFFSET(TH!M$1,SMALL(Dong1,ROWS($1:76)),)))</f>
        <v>1121</v>
      </c>
      <c r="G89" s="88">
        <f ca="1">IF(ROWS($1:76)&gt;COUNT(Dong1),"",IF(OFFSET(TH!L$1,SMALL(Dong1,ROWS($1:76)),)="1111",OFFSET(TH!K$1,SMALL(Dong1,ROWS($1:76)),),0))</f>
        <v>0</v>
      </c>
      <c r="H89" s="86">
        <f ca="1">IF(ROWS($1:76)&gt;COUNT(Dong1),"",IF(OFFSET(TH!M$1,SMALL(Dong1,ROWS($1:76)),)="1111",OFFSET(TH!K$1,SMALL(Dong1,ROWS($1:76)),),0))</f>
        <v>11400000</v>
      </c>
      <c r="I89" s="84">
        <f t="shared" ca="1" si="4"/>
        <v>2008935091</v>
      </c>
      <c r="J89" s="89"/>
    </row>
    <row r="90" spans="1:10" ht="21.75" customHeight="1">
      <c r="A90" s="83">
        <f ca="1">IF(ROWS($1:77)&gt;COUNT(Dong1),"",OFFSET(TH!C$1,SMALL(Dong1,ROWS($1:77)),))</f>
        <v>42723</v>
      </c>
      <c r="B90" s="83">
        <f ca="1">IF(ROWS($1:77)&gt;COUNT(Dong1),"",OFFSET(TH!E$1,SMALL(Dong1,ROWS($1:77)),))</f>
        <v>42723</v>
      </c>
      <c r="C90" s="84" t="str">
        <f ca="1">IF(ROWS($1:77)&gt;COUNT(Dong1),"",IF(OFFSET(TH!L$1,SMALL(Dong1,ROWS($1:77)),)="1111",OFFSET(TH!D$1,SMALL(Dong1,ROWS($1:77)),),""))</f>
        <v>T37</v>
      </c>
      <c r="D90" s="85" t="str">
        <f ca="1">IF(ROWS($1:77)&gt;COUNT(Dong1),"",IF(OFFSET(TH!M$1,SMALL(Dong1,ROWS($1:77)),)="1111",OFFSET(TH!D$1,SMALL(Dong1,ROWS($1:77)),),""))</f>
        <v/>
      </c>
      <c r="E90" s="133" t="str">
        <f ca="1">IF(ROWS($1:77)&gt;COUNT(Dong1),"",OFFSET(TH!F$1,SMALL(Dong1,ROWS($1:77)),))</f>
        <v>Thu tiền hàng</v>
      </c>
      <c r="F90" s="87" t="str">
        <f ca="1">IF(ROWS($1:77)&gt;COUNT(Dong1),"",IF(OFFSET(TH!M$1,SMALL(Dong1,ROWS($1:77)),)="1111",OFFSET(TH!L$1,SMALL(Dong1,ROWS($1:77)),),OFFSET(TH!M$1,SMALL(Dong1,ROWS($1:77)),)))</f>
        <v>131</v>
      </c>
      <c r="G90" s="88">
        <f ca="1">IF(ROWS($1:77)&gt;COUNT(Dong1),"",IF(OFFSET(TH!L$1,SMALL(Dong1,ROWS($1:77)),)="1111",OFFSET(TH!K$1,SMALL(Dong1,ROWS($1:77)),),0))</f>
        <v>19800000</v>
      </c>
      <c r="H90" s="86">
        <f ca="1">IF(ROWS($1:77)&gt;COUNT(Dong1),"",IF(OFFSET(TH!M$1,SMALL(Dong1,ROWS($1:77)),)="1111",OFFSET(TH!K$1,SMALL(Dong1,ROWS($1:77)),),0))</f>
        <v>0</v>
      </c>
      <c r="I90" s="84">
        <f t="shared" ca="1" si="4"/>
        <v>2028735091</v>
      </c>
      <c r="J90" s="89"/>
    </row>
    <row r="91" spans="1:10" ht="21.75" customHeight="1">
      <c r="A91" s="83">
        <f ca="1">IF(ROWS($1:78)&gt;COUNT(Dong1),"",OFFSET(TH!C$1,SMALL(Dong1,ROWS($1:78)),))</f>
        <v>42724</v>
      </c>
      <c r="B91" s="83">
        <f ca="1">IF(ROWS($1:78)&gt;COUNT(Dong1),"",OFFSET(TH!E$1,SMALL(Dong1,ROWS($1:78)),))</f>
        <v>42724</v>
      </c>
      <c r="C91" s="84" t="str">
        <f ca="1">IF(ROWS($1:78)&gt;COUNT(Dong1),"",IF(OFFSET(TH!L$1,SMALL(Dong1,ROWS($1:78)),)="1111",OFFSET(TH!D$1,SMALL(Dong1,ROWS($1:78)),),""))</f>
        <v/>
      </c>
      <c r="D91" s="85" t="str">
        <f ca="1">IF(ROWS($1:78)&gt;COUNT(Dong1),"",IF(OFFSET(TH!M$1,SMALL(Dong1,ROWS($1:78)),)="1111",OFFSET(TH!D$1,SMALL(Dong1,ROWS($1:78)),),""))</f>
        <v>C29</v>
      </c>
      <c r="E91" s="133" t="str">
        <f ca="1">IF(ROWS($1:78)&gt;COUNT(Dong1),"",OFFSET(TH!F$1,SMALL(Dong1,ROWS($1:78)),))</f>
        <v>Nộp tiền mặt</v>
      </c>
      <c r="F91" s="87" t="str">
        <f ca="1">IF(ROWS($1:78)&gt;COUNT(Dong1),"",IF(OFFSET(TH!M$1,SMALL(Dong1,ROWS($1:78)),)="1111",OFFSET(TH!L$1,SMALL(Dong1,ROWS($1:78)),),OFFSET(TH!M$1,SMALL(Dong1,ROWS($1:78)),)))</f>
        <v>1121</v>
      </c>
      <c r="G91" s="88">
        <f ca="1">IF(ROWS($1:78)&gt;COUNT(Dong1),"",IF(OFFSET(TH!L$1,SMALL(Dong1,ROWS($1:78)),)="1111",OFFSET(TH!K$1,SMALL(Dong1,ROWS($1:78)),),0))</f>
        <v>0</v>
      </c>
      <c r="H91" s="86">
        <f ca="1">IF(ROWS($1:78)&gt;COUNT(Dong1),"",IF(OFFSET(TH!M$1,SMALL(Dong1,ROWS($1:78)),)="1111",OFFSET(TH!K$1,SMALL(Dong1,ROWS($1:78)),),0))</f>
        <v>30000000</v>
      </c>
      <c r="I91" s="84">
        <f t="shared" ca="1" si="4"/>
        <v>1998735091</v>
      </c>
      <c r="J91" s="89"/>
    </row>
    <row r="92" spans="1:10" ht="21.75" customHeight="1">
      <c r="A92" s="83">
        <f ca="1">IF(ROWS($1:79)&gt;COUNT(Dong1),"",OFFSET(TH!C$1,SMALL(Dong1,ROWS($1:79)),))</f>
        <v>42724</v>
      </c>
      <c r="B92" s="83">
        <f ca="1">IF(ROWS($1:79)&gt;COUNT(Dong1),"",OFFSET(TH!E$1,SMALL(Dong1,ROWS($1:79)),))</f>
        <v>42724</v>
      </c>
      <c r="C92" s="84" t="str">
        <f ca="1">IF(ROWS($1:79)&gt;COUNT(Dong1),"",IF(OFFSET(TH!L$1,SMALL(Dong1,ROWS($1:79)),)="1111",OFFSET(TH!D$1,SMALL(Dong1,ROWS($1:79)),),""))</f>
        <v>T38</v>
      </c>
      <c r="D92" s="85" t="str">
        <f ca="1">IF(ROWS($1:79)&gt;COUNT(Dong1),"",IF(OFFSET(TH!M$1,SMALL(Dong1,ROWS($1:79)),)="1111",OFFSET(TH!D$1,SMALL(Dong1,ROWS($1:79)),),""))</f>
        <v/>
      </c>
      <c r="E92" s="133" t="str">
        <f ca="1">IF(ROWS($1:79)&gt;COUNT(Dong1),"",OFFSET(TH!F$1,SMALL(Dong1,ROWS($1:79)),))</f>
        <v>Thu tiền hàng</v>
      </c>
      <c r="F92" s="87" t="str">
        <f ca="1">IF(ROWS($1:79)&gt;COUNT(Dong1),"",IF(OFFSET(TH!M$1,SMALL(Dong1,ROWS($1:79)),)="1111",OFFSET(TH!L$1,SMALL(Dong1,ROWS($1:79)),),OFFSET(TH!M$1,SMALL(Dong1,ROWS($1:79)),)))</f>
        <v>131</v>
      </c>
      <c r="G92" s="88">
        <f ca="1">IF(ROWS($1:79)&gt;COUNT(Dong1),"",IF(OFFSET(TH!L$1,SMALL(Dong1,ROWS($1:79)),)="1111",OFFSET(TH!K$1,SMALL(Dong1,ROWS($1:79)),),0))</f>
        <v>19800000</v>
      </c>
      <c r="H92" s="86">
        <f ca="1">IF(ROWS($1:79)&gt;COUNT(Dong1),"",IF(OFFSET(TH!M$1,SMALL(Dong1,ROWS($1:79)),)="1111",OFFSET(TH!K$1,SMALL(Dong1,ROWS($1:79)),),0))</f>
        <v>0</v>
      </c>
      <c r="I92" s="84">
        <f t="shared" ca="1" si="4"/>
        <v>2018535091</v>
      </c>
      <c r="J92" s="89"/>
    </row>
    <row r="93" spans="1:10" ht="21.75" customHeight="1">
      <c r="A93" s="83">
        <f ca="1">IF(ROWS($1:80)&gt;COUNT(Dong1),"",OFFSET(TH!C$1,SMALL(Dong1,ROWS($1:80)),))</f>
        <v>42725</v>
      </c>
      <c r="B93" s="83">
        <f ca="1">IF(ROWS($1:80)&gt;COUNT(Dong1),"",OFFSET(TH!E$1,SMALL(Dong1,ROWS($1:80)),))</f>
        <v>42725</v>
      </c>
      <c r="C93" s="84" t="str">
        <f ca="1">IF(ROWS($1:80)&gt;COUNT(Dong1),"",IF(OFFSET(TH!L$1,SMALL(Dong1,ROWS($1:80)),)="1111",OFFSET(TH!D$1,SMALL(Dong1,ROWS($1:80)),),""))</f>
        <v>T39</v>
      </c>
      <c r="D93" s="85" t="str">
        <f ca="1">IF(ROWS($1:80)&gt;COUNT(Dong1),"",IF(OFFSET(TH!M$1,SMALL(Dong1,ROWS($1:80)),)="1111",OFFSET(TH!D$1,SMALL(Dong1,ROWS($1:80)),),""))</f>
        <v/>
      </c>
      <c r="E93" s="133" t="str">
        <f ca="1">IF(ROWS($1:80)&gt;COUNT(Dong1),"",OFFSET(TH!F$1,SMALL(Dong1,ROWS($1:80)),))</f>
        <v>Thu tiền hàng</v>
      </c>
      <c r="F93" s="87" t="str">
        <f ca="1">IF(ROWS($1:80)&gt;COUNT(Dong1),"",IF(OFFSET(TH!M$1,SMALL(Dong1,ROWS($1:80)),)="1111",OFFSET(TH!L$1,SMALL(Dong1,ROWS($1:80)),),OFFSET(TH!M$1,SMALL(Dong1,ROWS($1:80)),)))</f>
        <v>131</v>
      </c>
      <c r="G93" s="88">
        <f ca="1">IF(ROWS($1:80)&gt;COUNT(Dong1),"",IF(OFFSET(TH!L$1,SMALL(Dong1,ROWS($1:80)),)="1111",OFFSET(TH!K$1,SMALL(Dong1,ROWS($1:80)),),0))</f>
        <v>19800000</v>
      </c>
      <c r="H93" s="86">
        <f ca="1">IF(ROWS($1:80)&gt;COUNT(Dong1),"",IF(OFFSET(TH!M$1,SMALL(Dong1,ROWS($1:80)),)="1111",OFFSET(TH!K$1,SMALL(Dong1,ROWS($1:80)),),0))</f>
        <v>0</v>
      </c>
      <c r="I93" s="84">
        <f t="shared" ca="1" si="4"/>
        <v>2038335091</v>
      </c>
      <c r="J93" s="89"/>
    </row>
    <row r="94" spans="1:10" ht="21.75" customHeight="1">
      <c r="A94" s="83">
        <f ca="1">IF(ROWS($1:81)&gt;COUNT(Dong1),"",OFFSET(TH!C$1,SMALL(Dong1,ROWS($1:81)),))</f>
        <v>42726</v>
      </c>
      <c r="B94" s="83">
        <f ca="1">IF(ROWS($1:81)&gt;COUNT(Dong1),"",OFFSET(TH!E$1,SMALL(Dong1,ROWS($1:81)),))</f>
        <v>42726</v>
      </c>
      <c r="C94" s="84" t="str">
        <f ca="1">IF(ROWS($1:81)&gt;COUNT(Dong1),"",IF(OFFSET(TH!L$1,SMALL(Dong1,ROWS($1:81)),)="1111",OFFSET(TH!D$1,SMALL(Dong1,ROWS($1:81)),),""))</f>
        <v>T40</v>
      </c>
      <c r="D94" s="85" t="str">
        <f ca="1">IF(ROWS($1:81)&gt;COUNT(Dong1),"",IF(OFFSET(TH!M$1,SMALL(Dong1,ROWS($1:81)),)="1111",OFFSET(TH!D$1,SMALL(Dong1,ROWS($1:81)),),""))</f>
        <v/>
      </c>
      <c r="E94" s="133" t="str">
        <f ca="1">IF(ROWS($1:81)&gt;COUNT(Dong1),"",OFFSET(TH!F$1,SMALL(Dong1,ROWS($1:81)),))</f>
        <v>Rút tiền mặt</v>
      </c>
      <c r="F94" s="87" t="str">
        <f ca="1">IF(ROWS($1:81)&gt;COUNT(Dong1),"",IF(OFFSET(TH!M$1,SMALL(Dong1,ROWS($1:81)),)="1111",OFFSET(TH!L$1,SMALL(Dong1,ROWS($1:81)),),OFFSET(TH!M$1,SMALL(Dong1,ROWS($1:81)),)))</f>
        <v>1121</v>
      </c>
      <c r="G94" s="88">
        <f ca="1">IF(ROWS($1:81)&gt;COUNT(Dong1),"",IF(OFFSET(TH!L$1,SMALL(Dong1,ROWS($1:81)),)="1111",OFFSET(TH!K$1,SMALL(Dong1,ROWS($1:81)),),0))</f>
        <v>11300000</v>
      </c>
      <c r="H94" s="86">
        <f ca="1">IF(ROWS($1:81)&gt;COUNT(Dong1),"",IF(OFFSET(TH!M$1,SMALL(Dong1,ROWS($1:81)),)="1111",OFFSET(TH!K$1,SMALL(Dong1,ROWS($1:81)),),0))</f>
        <v>0</v>
      </c>
      <c r="I94" s="84">
        <f t="shared" ca="1" si="4"/>
        <v>2049635091</v>
      </c>
      <c r="J94" s="89"/>
    </row>
    <row r="95" spans="1:10" ht="21.75" customHeight="1">
      <c r="A95" s="83">
        <f ca="1">IF(ROWS($1:82)&gt;COUNT(Dong1),"",OFFSET(TH!C$1,SMALL(Dong1,ROWS($1:82)),))</f>
        <v>42726</v>
      </c>
      <c r="B95" s="83">
        <f ca="1">IF(ROWS($1:82)&gt;COUNT(Dong1),"",OFFSET(TH!E$1,SMALL(Dong1,ROWS($1:82)),))</f>
        <v>42726</v>
      </c>
      <c r="C95" s="84" t="str">
        <f ca="1">IF(ROWS($1:82)&gt;COUNT(Dong1),"",IF(OFFSET(TH!L$1,SMALL(Dong1,ROWS($1:82)),)="1111",OFFSET(TH!D$1,SMALL(Dong1,ROWS($1:82)),),""))</f>
        <v>T41</v>
      </c>
      <c r="D95" s="85" t="str">
        <f ca="1">IF(ROWS($1:82)&gt;COUNT(Dong1),"",IF(OFFSET(TH!M$1,SMALL(Dong1,ROWS($1:82)),)="1111",OFFSET(TH!D$1,SMALL(Dong1,ROWS($1:82)),),""))</f>
        <v/>
      </c>
      <c r="E95" s="133" t="str">
        <f ca="1">IF(ROWS($1:82)&gt;COUNT(Dong1),"",OFFSET(TH!F$1,SMALL(Dong1,ROWS($1:82)),))</f>
        <v>Thu tiền hàng</v>
      </c>
      <c r="F95" s="87" t="str">
        <f ca="1">IF(ROWS($1:82)&gt;COUNT(Dong1),"",IF(OFFSET(TH!M$1,SMALL(Dong1,ROWS($1:82)),)="1111",OFFSET(TH!L$1,SMALL(Dong1,ROWS($1:82)),),OFFSET(TH!M$1,SMALL(Dong1,ROWS($1:82)),)))</f>
        <v>131</v>
      </c>
      <c r="G95" s="88">
        <f ca="1">IF(ROWS($1:82)&gt;COUNT(Dong1),"",IF(OFFSET(TH!L$1,SMALL(Dong1,ROWS($1:82)),)="1111",OFFSET(TH!K$1,SMALL(Dong1,ROWS($1:82)),),0))</f>
        <v>4537500</v>
      </c>
      <c r="H95" s="86">
        <f ca="1">IF(ROWS($1:82)&gt;COUNT(Dong1),"",IF(OFFSET(TH!M$1,SMALL(Dong1,ROWS($1:82)),)="1111",OFFSET(TH!K$1,SMALL(Dong1,ROWS($1:82)),),0))</f>
        <v>0</v>
      </c>
      <c r="I95" s="84">
        <f t="shared" ca="1" si="4"/>
        <v>2054172591</v>
      </c>
      <c r="J95" s="89"/>
    </row>
    <row r="96" spans="1:10" ht="21.75" customHeight="1">
      <c r="A96" s="83">
        <f ca="1">IF(ROWS($1:83)&gt;COUNT(Dong1),"",OFFSET(TH!C$1,SMALL(Dong1,ROWS($1:83)),))</f>
        <v>42727</v>
      </c>
      <c r="B96" s="83">
        <f ca="1">IF(ROWS($1:83)&gt;COUNT(Dong1),"",OFFSET(TH!E$1,SMALL(Dong1,ROWS($1:83)),))</f>
        <v>42727</v>
      </c>
      <c r="C96" s="84" t="str">
        <f ca="1">IF(ROWS($1:83)&gt;COUNT(Dong1),"",IF(OFFSET(TH!L$1,SMALL(Dong1,ROWS($1:83)),)="1111",OFFSET(TH!D$1,SMALL(Dong1,ROWS($1:83)),),""))</f>
        <v>T42</v>
      </c>
      <c r="D96" s="85" t="str">
        <f ca="1">IF(ROWS($1:83)&gt;COUNT(Dong1),"",IF(OFFSET(TH!M$1,SMALL(Dong1,ROWS($1:83)),)="1111",OFFSET(TH!D$1,SMALL(Dong1,ROWS($1:83)),),""))</f>
        <v/>
      </c>
      <c r="E96" s="133" t="str">
        <f ca="1">IF(ROWS($1:83)&gt;COUNT(Dong1),"",OFFSET(TH!F$1,SMALL(Dong1,ROWS($1:83)),))</f>
        <v>Thu tiền hàng</v>
      </c>
      <c r="F96" s="87" t="str">
        <f ca="1">IF(ROWS($1:83)&gt;COUNT(Dong1),"",IF(OFFSET(TH!M$1,SMALL(Dong1,ROWS($1:83)),)="1111",OFFSET(TH!L$1,SMALL(Dong1,ROWS($1:83)),),OFFSET(TH!M$1,SMALL(Dong1,ROWS($1:83)),)))</f>
        <v>131</v>
      </c>
      <c r="G96" s="88">
        <f ca="1">IF(ROWS($1:83)&gt;COUNT(Dong1),"",IF(OFFSET(TH!L$1,SMALL(Dong1,ROWS($1:83)),)="1111",OFFSET(TH!K$1,SMALL(Dong1,ROWS($1:83)),),0))</f>
        <v>19800000</v>
      </c>
      <c r="H96" s="86">
        <f ca="1">IF(ROWS($1:83)&gt;COUNT(Dong1),"",IF(OFFSET(TH!M$1,SMALL(Dong1,ROWS($1:83)),)="1111",OFFSET(TH!K$1,SMALL(Dong1,ROWS($1:83)),),0))</f>
        <v>0</v>
      </c>
      <c r="I96" s="84">
        <f t="shared" ca="1" si="4"/>
        <v>2073972591</v>
      </c>
      <c r="J96" s="89"/>
    </row>
    <row r="97" spans="1:10" ht="21.75" customHeight="1">
      <c r="A97" s="83">
        <f ca="1">IF(ROWS($1:84)&gt;COUNT(Dong1),"",OFFSET(TH!C$1,SMALL(Dong1,ROWS($1:84)),))</f>
        <v>42728</v>
      </c>
      <c r="B97" s="83">
        <f ca="1">IF(ROWS($1:84)&gt;COUNT(Dong1),"",OFFSET(TH!E$1,SMALL(Dong1,ROWS($1:84)),))</f>
        <v>42728</v>
      </c>
      <c r="C97" s="84" t="str">
        <f ca="1">IF(ROWS($1:84)&gt;COUNT(Dong1),"",IF(OFFSET(TH!L$1,SMALL(Dong1,ROWS($1:84)),)="1111",OFFSET(TH!D$1,SMALL(Dong1,ROWS($1:84)),),""))</f>
        <v>T43</v>
      </c>
      <c r="D97" s="85" t="str">
        <f ca="1">IF(ROWS($1:84)&gt;COUNT(Dong1),"",IF(OFFSET(TH!M$1,SMALL(Dong1,ROWS($1:84)),)="1111",OFFSET(TH!D$1,SMALL(Dong1,ROWS($1:84)),),""))</f>
        <v/>
      </c>
      <c r="E97" s="133" t="str">
        <f ca="1">IF(ROWS($1:84)&gt;COUNT(Dong1),"",OFFSET(TH!F$1,SMALL(Dong1,ROWS($1:84)),))</f>
        <v>Thu tiền hàng</v>
      </c>
      <c r="F97" s="87" t="str">
        <f ca="1">IF(ROWS($1:84)&gt;COUNT(Dong1),"",IF(OFFSET(TH!M$1,SMALL(Dong1,ROWS($1:84)),)="1111",OFFSET(TH!L$1,SMALL(Dong1,ROWS($1:84)),),OFFSET(TH!M$1,SMALL(Dong1,ROWS($1:84)),)))</f>
        <v>131</v>
      </c>
      <c r="G97" s="88">
        <f ca="1">IF(ROWS($1:84)&gt;COUNT(Dong1),"",IF(OFFSET(TH!L$1,SMALL(Dong1,ROWS($1:84)),)="1111",OFFSET(TH!K$1,SMALL(Dong1,ROWS($1:84)),),0))</f>
        <v>19800000</v>
      </c>
      <c r="H97" s="86">
        <f ca="1">IF(ROWS($1:84)&gt;COUNT(Dong1),"",IF(OFFSET(TH!M$1,SMALL(Dong1,ROWS($1:84)),)="1111",OFFSET(TH!K$1,SMALL(Dong1,ROWS($1:84)),),0))</f>
        <v>0</v>
      </c>
      <c r="I97" s="84">
        <f t="shared" ca="1" si="4"/>
        <v>2093772591</v>
      </c>
      <c r="J97" s="89"/>
    </row>
    <row r="98" spans="1:10" ht="21.75" customHeight="1">
      <c r="A98" s="83">
        <f ca="1">IF(ROWS($1:85)&gt;COUNT(Dong1),"",OFFSET(TH!C$1,SMALL(Dong1,ROWS($1:85)),))</f>
        <v>42729</v>
      </c>
      <c r="B98" s="83">
        <f ca="1">IF(ROWS($1:85)&gt;COUNT(Dong1),"",OFFSET(TH!E$1,SMALL(Dong1,ROWS($1:85)),))</f>
        <v>42729</v>
      </c>
      <c r="C98" s="84" t="str">
        <f ca="1">IF(ROWS($1:85)&gt;COUNT(Dong1),"",IF(OFFSET(TH!L$1,SMALL(Dong1,ROWS($1:85)),)="1111",OFFSET(TH!D$1,SMALL(Dong1,ROWS($1:85)),),""))</f>
        <v>T44</v>
      </c>
      <c r="D98" s="85" t="str">
        <f ca="1">IF(ROWS($1:85)&gt;COUNT(Dong1),"",IF(OFFSET(TH!M$1,SMALL(Dong1,ROWS($1:85)),)="1111",OFFSET(TH!D$1,SMALL(Dong1,ROWS($1:85)),),""))</f>
        <v/>
      </c>
      <c r="E98" s="133" t="str">
        <f ca="1">IF(ROWS($1:85)&gt;COUNT(Dong1),"",OFFSET(TH!F$1,SMALL(Dong1,ROWS($1:85)),))</f>
        <v>Thu tiền hàng</v>
      </c>
      <c r="F98" s="87" t="str">
        <f ca="1">IF(ROWS($1:85)&gt;COUNT(Dong1),"",IF(OFFSET(TH!M$1,SMALL(Dong1,ROWS($1:85)),)="1111",OFFSET(TH!L$1,SMALL(Dong1,ROWS($1:85)),),OFFSET(TH!M$1,SMALL(Dong1,ROWS($1:85)),)))</f>
        <v>131</v>
      </c>
      <c r="G98" s="88">
        <f ca="1">IF(ROWS($1:85)&gt;COUNT(Dong1),"",IF(OFFSET(TH!L$1,SMALL(Dong1,ROWS($1:85)),)="1111",OFFSET(TH!K$1,SMALL(Dong1,ROWS($1:85)),),0))</f>
        <v>19800000</v>
      </c>
      <c r="H98" s="86">
        <f ca="1">IF(ROWS($1:85)&gt;COUNT(Dong1),"",IF(OFFSET(TH!M$1,SMALL(Dong1,ROWS($1:85)),)="1111",OFFSET(TH!K$1,SMALL(Dong1,ROWS($1:85)),),0))</f>
        <v>0</v>
      </c>
      <c r="I98" s="84">
        <f t="shared" ca="1" si="4"/>
        <v>2113572591</v>
      </c>
      <c r="J98" s="89"/>
    </row>
    <row r="99" spans="1:10" ht="21.75" customHeight="1">
      <c r="A99" s="83">
        <f ca="1">IF(ROWS($1:86)&gt;COUNT(Dong1),"",OFFSET(TH!C$1,SMALL(Dong1,ROWS($1:86)),))</f>
        <v>42730</v>
      </c>
      <c r="B99" s="83">
        <f ca="1">IF(ROWS($1:86)&gt;COUNT(Dong1),"",OFFSET(TH!E$1,SMALL(Dong1,ROWS($1:86)),))</f>
        <v>42730</v>
      </c>
      <c r="C99" s="84" t="str">
        <f ca="1">IF(ROWS($1:86)&gt;COUNT(Dong1),"",IF(OFFSET(TH!L$1,SMALL(Dong1,ROWS($1:86)),)="1111",OFFSET(TH!D$1,SMALL(Dong1,ROWS($1:86)),),""))</f>
        <v/>
      </c>
      <c r="D99" s="85" t="str">
        <f ca="1">IF(ROWS($1:86)&gt;COUNT(Dong1),"",IF(OFFSET(TH!M$1,SMALL(Dong1,ROWS($1:86)),)="1111",OFFSET(TH!D$1,SMALL(Dong1,ROWS($1:86)),),""))</f>
        <v>C30</v>
      </c>
      <c r="E99" s="133" t="str">
        <f ca="1">IF(ROWS($1:86)&gt;COUNT(Dong1),"",OFFSET(TH!F$1,SMALL(Dong1,ROWS($1:86)),))</f>
        <v>Dầu DO</v>
      </c>
      <c r="F99" s="87" t="str">
        <f ca="1">IF(ROWS($1:86)&gt;COUNT(Dong1),"",IF(OFFSET(TH!M$1,SMALL(Dong1,ROWS($1:86)),)="1111",OFFSET(TH!L$1,SMALL(Dong1,ROWS($1:86)),),OFFSET(TH!M$1,SMALL(Dong1,ROWS($1:86)),)))</f>
        <v>641</v>
      </c>
      <c r="G99" s="88">
        <f ca="1">IF(ROWS($1:86)&gt;COUNT(Dong1),"",IF(OFFSET(TH!L$1,SMALL(Dong1,ROWS($1:86)),)="1111",OFFSET(TH!K$1,SMALL(Dong1,ROWS($1:86)),),0))</f>
        <v>0</v>
      </c>
      <c r="H99" s="86">
        <f ca="1">IF(ROWS($1:86)&gt;COUNT(Dong1),"",IF(OFFSET(TH!M$1,SMALL(Dong1,ROWS($1:86)),)="1111",OFFSET(TH!K$1,SMALL(Dong1,ROWS($1:86)),),0))</f>
        <v>5005727</v>
      </c>
      <c r="I99" s="84">
        <f t="shared" ca="1" si="4"/>
        <v>2108566864</v>
      </c>
      <c r="J99" s="89"/>
    </row>
    <row r="100" spans="1:10" ht="21.75" customHeight="1">
      <c r="A100" s="83">
        <f ca="1">IF(ROWS($1:87)&gt;COUNT(Dong1),"",OFFSET(TH!C$1,SMALL(Dong1,ROWS($1:87)),))</f>
        <v>42730</v>
      </c>
      <c r="B100" s="83">
        <f ca="1">IF(ROWS($1:87)&gt;COUNT(Dong1),"",OFFSET(TH!E$1,SMALL(Dong1,ROWS($1:87)),))</f>
        <v>42730</v>
      </c>
      <c r="C100" s="84" t="str">
        <f ca="1">IF(ROWS($1:87)&gt;COUNT(Dong1),"",IF(OFFSET(TH!L$1,SMALL(Dong1,ROWS($1:87)),)="1111",OFFSET(TH!D$1,SMALL(Dong1,ROWS($1:87)),),""))</f>
        <v/>
      </c>
      <c r="D100" s="85" t="str">
        <f ca="1">IF(ROWS($1:87)&gt;COUNT(Dong1),"",IF(OFFSET(TH!M$1,SMALL(Dong1,ROWS($1:87)),)="1111",OFFSET(TH!D$1,SMALL(Dong1,ROWS($1:87)),),""))</f>
        <v>C30</v>
      </c>
      <c r="E100" s="133" t="str">
        <f ca="1">IF(ROWS($1:87)&gt;COUNT(Dong1),"",OFFSET(TH!F$1,SMALL(Dong1,ROWS($1:87)),))</f>
        <v>VAT Dầu DO</v>
      </c>
      <c r="F100" s="87" t="str">
        <f ca="1">IF(ROWS($1:87)&gt;COUNT(Dong1),"",IF(OFFSET(TH!M$1,SMALL(Dong1,ROWS($1:87)),)="1111",OFFSET(TH!L$1,SMALL(Dong1,ROWS($1:87)),),OFFSET(TH!M$1,SMALL(Dong1,ROWS($1:87)),)))</f>
        <v>1331</v>
      </c>
      <c r="G100" s="88">
        <f ca="1">IF(ROWS($1:87)&gt;COUNT(Dong1),"",IF(OFFSET(TH!L$1,SMALL(Dong1,ROWS($1:87)),)="1111",OFFSET(TH!K$1,SMALL(Dong1,ROWS($1:87)),),0))</f>
        <v>0</v>
      </c>
      <c r="H100" s="86">
        <f ca="1">IF(ROWS($1:87)&gt;COUNT(Dong1),"",IF(OFFSET(TH!M$1,SMALL(Dong1,ROWS($1:87)),)="1111",OFFSET(TH!K$1,SMALL(Dong1,ROWS($1:87)),),0))</f>
        <v>500573</v>
      </c>
      <c r="I100" s="84">
        <f t="shared" ca="1" si="4"/>
        <v>2108066291</v>
      </c>
      <c r="J100" s="89"/>
    </row>
    <row r="101" spans="1:10" ht="21.75" customHeight="1">
      <c r="A101" s="83">
        <f ca="1">IF(ROWS($1:88)&gt;COUNT(Dong1),"",OFFSET(TH!C$1,SMALL(Dong1,ROWS($1:88)),))</f>
        <v>42730</v>
      </c>
      <c r="B101" s="83">
        <f ca="1">IF(ROWS($1:88)&gt;COUNT(Dong1),"",OFFSET(TH!E$1,SMALL(Dong1,ROWS($1:88)),))</f>
        <v>42730</v>
      </c>
      <c r="C101" s="84" t="str">
        <f ca="1">IF(ROWS($1:88)&gt;COUNT(Dong1),"",IF(OFFSET(TH!L$1,SMALL(Dong1,ROWS($1:88)),)="1111",OFFSET(TH!D$1,SMALL(Dong1,ROWS($1:88)),),""))</f>
        <v/>
      </c>
      <c r="D101" s="85" t="str">
        <f ca="1">IF(ROWS($1:88)&gt;COUNT(Dong1),"",IF(OFFSET(TH!M$1,SMALL(Dong1,ROWS($1:88)),)="1111",OFFSET(TH!D$1,SMALL(Dong1,ROWS($1:88)),),""))</f>
        <v>C31</v>
      </c>
      <c r="E101" s="133" t="str">
        <f ca="1">IF(ROWS($1:88)&gt;COUNT(Dong1),"",OFFSET(TH!F$1,SMALL(Dong1,ROWS($1:88)),))</f>
        <v>Thanh toán tiền hàng</v>
      </c>
      <c r="F101" s="87" t="str">
        <f ca="1">IF(ROWS($1:88)&gt;COUNT(Dong1),"",IF(OFFSET(TH!M$1,SMALL(Dong1,ROWS($1:88)),)="1111",OFFSET(TH!L$1,SMALL(Dong1,ROWS($1:88)),),OFFSET(TH!M$1,SMALL(Dong1,ROWS($1:88)),)))</f>
        <v>331</v>
      </c>
      <c r="G101" s="88">
        <f ca="1">IF(ROWS($1:88)&gt;COUNT(Dong1),"",IF(OFFSET(TH!L$1,SMALL(Dong1,ROWS($1:88)),)="1111",OFFSET(TH!K$1,SMALL(Dong1,ROWS($1:88)),),0))</f>
        <v>0</v>
      </c>
      <c r="H101" s="86">
        <f ca="1">IF(ROWS($1:88)&gt;COUNT(Dong1),"",IF(OFFSET(TH!M$1,SMALL(Dong1,ROWS($1:88)),)="1111",OFFSET(TH!K$1,SMALL(Dong1,ROWS($1:88)),),0))</f>
        <v>10340000</v>
      </c>
      <c r="I101" s="84">
        <f t="shared" ca="1" si="4"/>
        <v>2097726291</v>
      </c>
      <c r="J101" s="89"/>
    </row>
    <row r="102" spans="1:10" ht="21.75" customHeight="1">
      <c r="A102" s="83">
        <f ca="1">IF(ROWS($1:89)&gt;COUNT(Dong1),"",OFFSET(TH!C$1,SMALL(Dong1,ROWS($1:89)),))</f>
        <v>42730</v>
      </c>
      <c r="B102" s="83">
        <f ca="1">IF(ROWS($1:89)&gt;COUNT(Dong1),"",OFFSET(TH!E$1,SMALL(Dong1,ROWS($1:89)),))</f>
        <v>42730</v>
      </c>
      <c r="C102" s="84" t="str">
        <f ca="1">IF(ROWS($1:89)&gt;COUNT(Dong1),"",IF(OFFSET(TH!L$1,SMALL(Dong1,ROWS($1:89)),)="1111",OFFSET(TH!D$1,SMALL(Dong1,ROWS($1:89)),),""))</f>
        <v>T45</v>
      </c>
      <c r="D102" s="85" t="str">
        <f ca="1">IF(ROWS($1:89)&gt;COUNT(Dong1),"",IF(OFFSET(TH!M$1,SMALL(Dong1,ROWS($1:89)),)="1111",OFFSET(TH!D$1,SMALL(Dong1,ROWS($1:89)),),""))</f>
        <v/>
      </c>
      <c r="E102" s="133" t="str">
        <f ca="1">IF(ROWS($1:89)&gt;COUNT(Dong1),"",OFFSET(TH!F$1,SMALL(Dong1,ROWS($1:89)),))</f>
        <v>Thu tiền hàng</v>
      </c>
      <c r="F102" s="87" t="str">
        <f ca="1">IF(ROWS($1:89)&gt;COUNT(Dong1),"",IF(OFFSET(TH!M$1,SMALL(Dong1,ROWS($1:89)),)="1111",OFFSET(TH!L$1,SMALL(Dong1,ROWS($1:89)),),OFFSET(TH!M$1,SMALL(Dong1,ROWS($1:89)),)))</f>
        <v>131</v>
      </c>
      <c r="G102" s="88">
        <f ca="1">IF(ROWS($1:89)&gt;COUNT(Dong1),"",IF(OFFSET(TH!L$1,SMALL(Dong1,ROWS($1:89)),)="1111",OFFSET(TH!K$1,SMALL(Dong1,ROWS($1:89)),),0))</f>
        <v>9900000</v>
      </c>
      <c r="H102" s="86">
        <f ca="1">IF(ROWS($1:89)&gt;COUNT(Dong1),"",IF(OFFSET(TH!M$1,SMALL(Dong1,ROWS($1:89)),)="1111",OFFSET(TH!K$1,SMALL(Dong1,ROWS($1:89)),),0))</f>
        <v>0</v>
      </c>
      <c r="I102" s="84">
        <f t="shared" ca="1" si="4"/>
        <v>2107626291</v>
      </c>
      <c r="J102" s="89"/>
    </row>
    <row r="103" spans="1:10" ht="21.75" customHeight="1">
      <c r="A103" s="83">
        <f ca="1">IF(ROWS($1:90)&gt;COUNT(Dong1),"",OFFSET(TH!C$1,SMALL(Dong1,ROWS($1:90)),))</f>
        <v>42731</v>
      </c>
      <c r="B103" s="83">
        <f ca="1">IF(ROWS($1:90)&gt;COUNT(Dong1),"",OFFSET(TH!E$1,SMALL(Dong1,ROWS($1:90)),))</f>
        <v>42731</v>
      </c>
      <c r="C103" s="84" t="str">
        <f ca="1">IF(ROWS($1:90)&gt;COUNT(Dong1),"",IF(OFFSET(TH!L$1,SMALL(Dong1,ROWS($1:90)),)="1111",OFFSET(TH!D$1,SMALL(Dong1,ROWS($1:90)),),""))</f>
        <v/>
      </c>
      <c r="D103" s="85" t="str">
        <f ca="1">IF(ROWS($1:90)&gt;COUNT(Dong1),"",IF(OFFSET(TH!M$1,SMALL(Dong1,ROWS($1:90)),)="1111",OFFSET(TH!D$1,SMALL(Dong1,ROWS($1:90)),),""))</f>
        <v>C32</v>
      </c>
      <c r="E103" s="133" t="str">
        <f ca="1">IF(ROWS($1:90)&gt;COUNT(Dong1),"",OFFSET(TH!F$1,SMALL(Dong1,ROWS($1:90)),))</f>
        <v>Thanh toán tiền hàng</v>
      </c>
      <c r="F103" s="87" t="str">
        <f ca="1">IF(ROWS($1:90)&gt;COUNT(Dong1),"",IF(OFFSET(TH!M$1,SMALL(Dong1,ROWS($1:90)),)="1111",OFFSET(TH!L$1,SMALL(Dong1,ROWS($1:90)),),OFFSET(TH!M$1,SMALL(Dong1,ROWS($1:90)),)))</f>
        <v>331</v>
      </c>
      <c r="G103" s="88">
        <f ca="1">IF(ROWS($1:90)&gt;COUNT(Dong1),"",IF(OFFSET(TH!L$1,SMALL(Dong1,ROWS($1:90)),)="1111",OFFSET(TH!K$1,SMALL(Dong1,ROWS($1:90)),),0))</f>
        <v>0</v>
      </c>
      <c r="H103" s="86">
        <f ca="1">IF(ROWS($1:90)&gt;COUNT(Dong1),"",IF(OFFSET(TH!M$1,SMALL(Dong1,ROWS($1:90)),)="1111",OFFSET(TH!K$1,SMALL(Dong1,ROWS($1:90)),),0))</f>
        <v>19800000</v>
      </c>
      <c r="I103" s="84">
        <f t="shared" ca="1" si="4"/>
        <v>2087826291</v>
      </c>
      <c r="J103" s="89"/>
    </row>
    <row r="104" spans="1:10" ht="21.75" customHeight="1">
      <c r="A104" s="83">
        <f ca="1">IF(ROWS($1:91)&gt;COUNT(Dong1),"",OFFSET(TH!C$1,SMALL(Dong1,ROWS($1:91)),))</f>
        <v>42731</v>
      </c>
      <c r="B104" s="83">
        <f ca="1">IF(ROWS($1:91)&gt;COUNT(Dong1),"",OFFSET(TH!E$1,SMALL(Dong1,ROWS($1:91)),))</f>
        <v>42731</v>
      </c>
      <c r="C104" s="84" t="str">
        <f ca="1">IF(ROWS($1:91)&gt;COUNT(Dong1),"",IF(OFFSET(TH!L$1,SMALL(Dong1,ROWS($1:91)),)="1111",OFFSET(TH!D$1,SMALL(Dong1,ROWS($1:91)),),""))</f>
        <v>T46</v>
      </c>
      <c r="D104" s="85" t="str">
        <f ca="1">IF(ROWS($1:91)&gt;COUNT(Dong1),"",IF(OFFSET(TH!M$1,SMALL(Dong1,ROWS($1:91)),)="1111",OFFSET(TH!D$1,SMALL(Dong1,ROWS($1:91)),),""))</f>
        <v/>
      </c>
      <c r="E104" s="133" t="str">
        <f ca="1">IF(ROWS($1:91)&gt;COUNT(Dong1),"",OFFSET(TH!F$1,SMALL(Dong1,ROWS($1:91)),))</f>
        <v>Thu tiền hàng</v>
      </c>
      <c r="F104" s="87" t="str">
        <f ca="1">IF(ROWS($1:91)&gt;COUNT(Dong1),"",IF(OFFSET(TH!M$1,SMALL(Dong1,ROWS($1:91)),)="1111",OFFSET(TH!L$1,SMALL(Dong1,ROWS($1:91)),),OFFSET(TH!M$1,SMALL(Dong1,ROWS($1:91)),)))</f>
        <v>131</v>
      </c>
      <c r="G104" s="88">
        <f ca="1">IF(ROWS($1:91)&gt;COUNT(Dong1),"",IF(OFFSET(TH!L$1,SMALL(Dong1,ROWS($1:91)),)="1111",OFFSET(TH!K$1,SMALL(Dong1,ROWS($1:91)),),0))</f>
        <v>11385000</v>
      </c>
      <c r="H104" s="86">
        <f ca="1">IF(ROWS($1:91)&gt;COUNT(Dong1),"",IF(OFFSET(TH!M$1,SMALL(Dong1,ROWS($1:91)),)="1111",OFFSET(TH!K$1,SMALL(Dong1,ROWS($1:91)),),0))</f>
        <v>0</v>
      </c>
      <c r="I104" s="84">
        <f t="shared" ca="1" si="4"/>
        <v>2099211291</v>
      </c>
      <c r="J104" s="89"/>
    </row>
    <row r="105" spans="1:10" ht="21.75" customHeight="1">
      <c r="A105" s="83">
        <f ca="1">IF(ROWS($1:92)&gt;COUNT(Dong1),"",OFFSET(TH!C$1,SMALL(Dong1,ROWS($1:92)),))</f>
        <v>42732</v>
      </c>
      <c r="B105" s="83">
        <f ca="1">IF(ROWS($1:92)&gt;COUNT(Dong1),"",OFFSET(TH!E$1,SMALL(Dong1,ROWS($1:92)),))</f>
        <v>42732</v>
      </c>
      <c r="C105" s="84" t="str">
        <f ca="1">IF(ROWS($1:92)&gt;COUNT(Dong1),"",IF(OFFSET(TH!L$1,SMALL(Dong1,ROWS($1:92)),)="1111",OFFSET(TH!D$1,SMALL(Dong1,ROWS($1:92)),),""))</f>
        <v/>
      </c>
      <c r="D105" s="85" t="str">
        <f ca="1">IF(ROWS($1:92)&gt;COUNT(Dong1),"",IF(OFFSET(TH!M$1,SMALL(Dong1,ROWS($1:92)),)="1111",OFFSET(TH!D$1,SMALL(Dong1,ROWS($1:92)),),""))</f>
        <v>C33</v>
      </c>
      <c r="E105" s="133" t="str">
        <f ca="1">IF(ROWS($1:92)&gt;COUNT(Dong1),"",OFFSET(TH!F$1,SMALL(Dong1,ROWS($1:92)),))</f>
        <v>Thanh toán tiền hàng</v>
      </c>
      <c r="F105" s="87" t="str">
        <f ca="1">IF(ROWS($1:92)&gt;COUNT(Dong1),"",IF(OFFSET(TH!M$1,SMALL(Dong1,ROWS($1:92)),)="1111",OFFSET(TH!L$1,SMALL(Dong1,ROWS($1:92)),),OFFSET(TH!M$1,SMALL(Dong1,ROWS($1:92)),)))</f>
        <v>331</v>
      </c>
      <c r="G105" s="88">
        <f ca="1">IF(ROWS($1:92)&gt;COUNT(Dong1),"",IF(OFFSET(TH!L$1,SMALL(Dong1,ROWS($1:92)),)="1111",OFFSET(TH!K$1,SMALL(Dong1,ROWS($1:92)),),0))</f>
        <v>0</v>
      </c>
      <c r="H105" s="86">
        <f ca="1">IF(ROWS($1:92)&gt;COUNT(Dong1),"",IF(OFFSET(TH!M$1,SMALL(Dong1,ROWS($1:92)),)="1111",OFFSET(TH!K$1,SMALL(Dong1,ROWS($1:92)),),0))</f>
        <v>17344800</v>
      </c>
      <c r="I105" s="84">
        <f t="shared" ca="1" si="4"/>
        <v>2081866491</v>
      </c>
      <c r="J105" s="89"/>
    </row>
    <row r="106" spans="1:10" ht="21.75" customHeight="1">
      <c r="A106" s="83">
        <f ca="1">IF(ROWS($1:93)&gt;COUNT(Dong1),"",OFFSET(TH!C$1,SMALL(Dong1,ROWS($1:93)),))</f>
        <v>42732</v>
      </c>
      <c r="B106" s="83">
        <f ca="1">IF(ROWS($1:93)&gt;COUNT(Dong1),"",OFFSET(TH!E$1,SMALL(Dong1,ROWS($1:93)),))</f>
        <v>42732</v>
      </c>
      <c r="C106" s="84" t="str">
        <f ca="1">IF(ROWS($1:93)&gt;COUNT(Dong1),"",IF(OFFSET(TH!L$1,SMALL(Dong1,ROWS($1:93)),)="1111",OFFSET(TH!D$1,SMALL(Dong1,ROWS($1:93)),),""))</f>
        <v>T47</v>
      </c>
      <c r="D106" s="85" t="str">
        <f ca="1">IF(ROWS($1:93)&gt;COUNT(Dong1),"",IF(OFFSET(TH!M$1,SMALL(Dong1,ROWS($1:93)),)="1111",OFFSET(TH!D$1,SMALL(Dong1,ROWS($1:93)),),""))</f>
        <v/>
      </c>
      <c r="E106" s="133" t="str">
        <f ca="1">IF(ROWS($1:93)&gt;COUNT(Dong1),"",OFFSET(TH!F$1,SMALL(Dong1,ROWS($1:93)),))</f>
        <v>Rút tiền mặt</v>
      </c>
      <c r="F106" s="87" t="str">
        <f ca="1">IF(ROWS($1:93)&gt;COUNT(Dong1),"",IF(OFFSET(TH!M$1,SMALL(Dong1,ROWS($1:93)),)="1111",OFFSET(TH!L$1,SMALL(Dong1,ROWS($1:93)),),OFFSET(TH!M$1,SMALL(Dong1,ROWS($1:93)),)))</f>
        <v>1121</v>
      </c>
      <c r="G106" s="88">
        <f ca="1">IF(ROWS($1:93)&gt;COUNT(Dong1),"",IF(OFFSET(TH!L$1,SMALL(Dong1,ROWS($1:93)),)="1111",OFFSET(TH!K$1,SMALL(Dong1,ROWS($1:93)),),0))</f>
        <v>5500000</v>
      </c>
      <c r="H106" s="86">
        <f ca="1">IF(ROWS($1:93)&gt;COUNT(Dong1),"",IF(OFFSET(TH!M$1,SMALL(Dong1,ROWS($1:93)),)="1111",OFFSET(TH!K$1,SMALL(Dong1,ROWS($1:93)),),0))</f>
        <v>0</v>
      </c>
      <c r="I106" s="84">
        <f t="shared" ca="1" si="4"/>
        <v>2087366491</v>
      </c>
      <c r="J106" s="89"/>
    </row>
    <row r="107" spans="1:10" ht="21.75" customHeight="1">
      <c r="A107" s="83">
        <f ca="1">IF(ROWS($1:94)&gt;COUNT(Dong1),"",OFFSET(TH!C$1,SMALL(Dong1,ROWS($1:94)),))</f>
        <v>42732</v>
      </c>
      <c r="B107" s="83">
        <f ca="1">IF(ROWS($1:94)&gt;COUNT(Dong1),"",OFFSET(TH!E$1,SMALL(Dong1,ROWS($1:94)),))</f>
        <v>42732</v>
      </c>
      <c r="C107" s="84" t="str">
        <f ca="1">IF(ROWS($1:94)&gt;COUNT(Dong1),"",IF(OFFSET(TH!L$1,SMALL(Dong1,ROWS($1:94)),)="1111",OFFSET(TH!D$1,SMALL(Dong1,ROWS($1:94)),),""))</f>
        <v>T48</v>
      </c>
      <c r="D107" s="85" t="str">
        <f ca="1">IF(ROWS($1:94)&gt;COUNT(Dong1),"",IF(OFFSET(TH!M$1,SMALL(Dong1,ROWS($1:94)),)="1111",OFFSET(TH!D$1,SMALL(Dong1,ROWS($1:94)),),""))</f>
        <v/>
      </c>
      <c r="E107" s="133" t="str">
        <f ca="1">IF(ROWS($1:94)&gt;COUNT(Dong1),"",OFFSET(TH!F$1,SMALL(Dong1,ROWS($1:94)),))</f>
        <v>Thu tiền hàng</v>
      </c>
      <c r="F107" s="87" t="str">
        <f ca="1">IF(ROWS($1:94)&gt;COUNT(Dong1),"",IF(OFFSET(TH!M$1,SMALL(Dong1,ROWS($1:94)),)="1111",OFFSET(TH!L$1,SMALL(Dong1,ROWS($1:94)),),OFFSET(TH!M$1,SMALL(Dong1,ROWS($1:94)),)))</f>
        <v>131</v>
      </c>
      <c r="G107" s="88">
        <f ca="1">IF(ROWS($1:94)&gt;COUNT(Dong1),"",IF(OFFSET(TH!L$1,SMALL(Dong1,ROWS($1:94)),)="1111",OFFSET(TH!K$1,SMALL(Dong1,ROWS($1:94)),),0))</f>
        <v>16747500</v>
      </c>
      <c r="H107" s="86">
        <f ca="1">IF(ROWS($1:94)&gt;COUNT(Dong1),"",IF(OFFSET(TH!M$1,SMALL(Dong1,ROWS($1:94)),)="1111",OFFSET(TH!K$1,SMALL(Dong1,ROWS($1:94)),),0))</f>
        <v>0</v>
      </c>
      <c r="I107" s="84">
        <f t="shared" ca="1" si="4"/>
        <v>2104113991</v>
      </c>
      <c r="J107" s="89"/>
    </row>
    <row r="108" spans="1:10" ht="21.75" customHeight="1">
      <c r="A108" s="83">
        <f ca="1">IF(ROWS($1:95)&gt;COUNT(Dong1),"",OFFSET(TH!C$1,SMALL(Dong1,ROWS($1:95)),))</f>
        <v>42733</v>
      </c>
      <c r="B108" s="83">
        <f ca="1">IF(ROWS($1:95)&gt;COUNT(Dong1),"",OFFSET(TH!E$1,SMALL(Dong1,ROWS($1:95)),))</f>
        <v>42733</v>
      </c>
      <c r="C108" s="84" t="str">
        <f ca="1">IF(ROWS($1:95)&gt;COUNT(Dong1),"",IF(OFFSET(TH!L$1,SMALL(Dong1,ROWS($1:95)),)="1111",OFFSET(TH!D$1,SMALL(Dong1,ROWS($1:95)),),""))</f>
        <v/>
      </c>
      <c r="D108" s="85" t="str">
        <f ca="1">IF(ROWS($1:95)&gt;COUNT(Dong1),"",IF(OFFSET(TH!M$1,SMALL(Dong1,ROWS($1:95)),)="1111",OFFSET(TH!D$1,SMALL(Dong1,ROWS($1:95)),),""))</f>
        <v>C34</v>
      </c>
      <c r="E108" s="133" t="str">
        <f ca="1">IF(ROWS($1:95)&gt;COUNT(Dong1),"",OFFSET(TH!F$1,SMALL(Dong1,ROWS($1:95)),))</f>
        <v>Trả lại tiền trả dư</v>
      </c>
      <c r="F108" s="87" t="str">
        <f ca="1">IF(ROWS($1:95)&gt;COUNT(Dong1),"",IF(OFFSET(TH!M$1,SMALL(Dong1,ROWS($1:95)),)="1111",OFFSET(TH!L$1,SMALL(Dong1,ROWS($1:95)),),OFFSET(TH!M$1,SMALL(Dong1,ROWS($1:95)),)))</f>
        <v>131</v>
      </c>
      <c r="G108" s="88">
        <f ca="1">IF(ROWS($1:95)&gt;COUNT(Dong1),"",IF(OFFSET(TH!L$1,SMALL(Dong1,ROWS($1:95)),)="1111",OFFSET(TH!K$1,SMALL(Dong1,ROWS($1:95)),),0))</f>
        <v>0</v>
      </c>
      <c r="H108" s="86">
        <f ca="1">IF(ROWS($1:95)&gt;COUNT(Dong1),"",IF(OFFSET(TH!M$1,SMALL(Dong1,ROWS($1:95)),)="1111",OFFSET(TH!K$1,SMALL(Dong1,ROWS($1:95)),),0))</f>
        <v>7592200</v>
      </c>
      <c r="I108" s="84">
        <f t="shared" ca="1" si="4"/>
        <v>2096521791</v>
      </c>
      <c r="J108" s="89"/>
    </row>
    <row r="109" spans="1:10" ht="21.75" customHeight="1">
      <c r="A109" s="83">
        <f ca="1">IF(ROWS($1:96)&gt;COUNT(Dong1),"",OFFSET(TH!C$1,SMALL(Dong1,ROWS($1:96)),))</f>
        <v>42734</v>
      </c>
      <c r="B109" s="83">
        <f ca="1">IF(ROWS($1:96)&gt;COUNT(Dong1),"",OFFSET(TH!E$1,SMALL(Dong1,ROWS($1:96)),))</f>
        <v>42734</v>
      </c>
      <c r="C109" s="84" t="str">
        <f ca="1">IF(ROWS($1:96)&gt;COUNT(Dong1),"",IF(OFFSET(TH!L$1,SMALL(Dong1,ROWS($1:96)),)="1111",OFFSET(TH!D$1,SMALL(Dong1,ROWS($1:96)),),""))</f>
        <v/>
      </c>
      <c r="D109" s="85" t="str">
        <f ca="1">IF(ROWS($1:96)&gt;COUNT(Dong1),"",IF(OFFSET(TH!M$1,SMALL(Dong1,ROWS($1:96)),)="1111",OFFSET(TH!D$1,SMALL(Dong1,ROWS($1:96)),),""))</f>
        <v>C35</v>
      </c>
      <c r="E109" s="133" t="str">
        <f ca="1">IF(ROWS($1:96)&gt;COUNT(Dong1),"",OFFSET(TH!F$1,SMALL(Dong1,ROWS($1:96)),))</f>
        <v>Thanh toán tiền hàng</v>
      </c>
      <c r="F109" s="87" t="str">
        <f ca="1">IF(ROWS($1:96)&gt;COUNT(Dong1),"",IF(OFFSET(TH!M$1,SMALL(Dong1,ROWS($1:96)),)="1111",OFFSET(TH!L$1,SMALL(Dong1,ROWS($1:96)),),OFFSET(TH!M$1,SMALL(Dong1,ROWS($1:96)),)))</f>
        <v>331</v>
      </c>
      <c r="G109" s="88">
        <f ca="1">IF(ROWS($1:96)&gt;COUNT(Dong1),"",IF(OFFSET(TH!L$1,SMALL(Dong1,ROWS($1:96)),)="1111",OFFSET(TH!K$1,SMALL(Dong1,ROWS($1:96)),),0))</f>
        <v>0</v>
      </c>
      <c r="H109" s="86">
        <f ca="1">IF(ROWS($1:96)&gt;COUNT(Dong1),"",IF(OFFSET(TH!M$1,SMALL(Dong1,ROWS($1:96)),)="1111",OFFSET(TH!K$1,SMALL(Dong1,ROWS($1:96)),),0))</f>
        <v>6916800</v>
      </c>
      <c r="I109" s="84">
        <f t="shared" ca="1" si="4"/>
        <v>2089604991</v>
      </c>
      <c r="J109" s="89"/>
    </row>
    <row r="110" spans="1:10" ht="21.75" customHeight="1">
      <c r="A110" s="83">
        <f ca="1">IF(ROWS($1:97)&gt;COUNT(Dong1),"",OFFSET(TH!C$1,SMALL(Dong1,ROWS($1:97)),))</f>
        <v>42734</v>
      </c>
      <c r="B110" s="83">
        <f ca="1">IF(ROWS($1:97)&gt;COUNT(Dong1),"",OFFSET(TH!E$1,SMALL(Dong1,ROWS($1:97)),))</f>
        <v>42734</v>
      </c>
      <c r="C110" s="84" t="str">
        <f ca="1">IF(ROWS($1:97)&gt;COUNT(Dong1),"",IF(OFFSET(TH!L$1,SMALL(Dong1,ROWS($1:97)),)="1111",OFFSET(TH!D$1,SMALL(Dong1,ROWS($1:97)),),""))</f>
        <v>T49</v>
      </c>
      <c r="D110" s="85" t="str">
        <f ca="1">IF(ROWS($1:97)&gt;COUNT(Dong1),"",IF(OFFSET(TH!M$1,SMALL(Dong1,ROWS($1:97)),)="1111",OFFSET(TH!D$1,SMALL(Dong1,ROWS($1:97)),),""))</f>
        <v/>
      </c>
      <c r="E110" s="133" t="str">
        <f ca="1">IF(ROWS($1:97)&gt;COUNT(Dong1),"",OFFSET(TH!F$1,SMALL(Dong1,ROWS($1:97)),))</f>
        <v>Rút tiền mặt</v>
      </c>
      <c r="F110" s="87" t="str">
        <f ca="1">IF(ROWS($1:97)&gt;COUNT(Dong1),"",IF(OFFSET(TH!M$1,SMALL(Dong1,ROWS($1:97)),)="1111",OFFSET(TH!L$1,SMALL(Dong1,ROWS($1:97)),),OFFSET(TH!M$1,SMALL(Dong1,ROWS($1:97)),)))</f>
        <v>1121</v>
      </c>
      <c r="G110" s="88">
        <f ca="1">IF(ROWS($1:97)&gt;COUNT(Dong1),"",IF(OFFSET(TH!L$1,SMALL(Dong1,ROWS($1:97)),)="1111",OFFSET(TH!K$1,SMALL(Dong1,ROWS($1:97)),),0))</f>
        <v>9500000</v>
      </c>
      <c r="H110" s="86">
        <f ca="1">IF(ROWS($1:97)&gt;COUNT(Dong1),"",IF(OFFSET(TH!M$1,SMALL(Dong1,ROWS($1:97)),)="1111",OFFSET(TH!K$1,SMALL(Dong1,ROWS($1:97)),),0))</f>
        <v>0</v>
      </c>
      <c r="I110" s="84">
        <f t="shared" ca="1" si="4"/>
        <v>2099104991</v>
      </c>
      <c r="J110" s="89"/>
    </row>
    <row r="111" spans="1:10" ht="21.75" customHeight="1">
      <c r="A111" s="83">
        <f ca="1">IF(ROWS($1:98)&gt;COUNT(Dong1),"",OFFSET(TH!C$1,SMALL(Dong1,ROWS($1:98)),))</f>
        <v>42735</v>
      </c>
      <c r="B111" s="83">
        <f ca="1">IF(ROWS($1:98)&gt;COUNT(Dong1),"",OFFSET(TH!E$1,SMALL(Dong1,ROWS($1:98)),))</f>
        <v>42735</v>
      </c>
      <c r="C111" s="84" t="str">
        <f ca="1">IF(ROWS($1:98)&gt;COUNT(Dong1),"",IF(OFFSET(TH!L$1,SMALL(Dong1,ROWS($1:98)),)="1111",OFFSET(TH!D$1,SMALL(Dong1,ROWS($1:98)),),""))</f>
        <v/>
      </c>
      <c r="D111" s="85" t="str">
        <f ca="1">IF(ROWS($1:98)&gt;COUNT(Dong1),"",IF(OFFSET(TH!M$1,SMALL(Dong1,ROWS($1:98)),)="1111",OFFSET(TH!D$1,SMALL(Dong1,ROWS($1:98)),),""))</f>
        <v>C36</v>
      </c>
      <c r="E111" s="133" t="str">
        <f ca="1">IF(ROWS($1:98)&gt;COUNT(Dong1),"",OFFSET(TH!F$1,SMALL(Dong1,ROWS($1:98)),))</f>
        <v>Thanh toán tiền lương tháng 12/2016</v>
      </c>
      <c r="F111" s="87" t="str">
        <f ca="1">IF(ROWS($1:98)&gt;COUNT(Dong1),"",IF(OFFSET(TH!M$1,SMALL(Dong1,ROWS($1:98)),)="1111",OFFSET(TH!L$1,SMALL(Dong1,ROWS($1:98)),),OFFSET(TH!M$1,SMALL(Dong1,ROWS($1:98)),)))</f>
        <v>3341</v>
      </c>
      <c r="G111" s="88">
        <f ca="1">IF(ROWS($1:98)&gt;COUNT(Dong1),"",IF(OFFSET(TH!L$1,SMALL(Dong1,ROWS($1:98)),)="1111",OFFSET(TH!K$1,SMALL(Dong1,ROWS($1:98)),),0))</f>
        <v>0</v>
      </c>
      <c r="H111" s="86">
        <f ca="1">IF(ROWS($1:98)&gt;COUNT(Dong1),"",IF(OFFSET(TH!M$1,SMALL(Dong1,ROWS($1:98)),)="1111",OFFSET(TH!K$1,SMALL(Dong1,ROWS($1:98)),),0))</f>
        <v>18425000</v>
      </c>
      <c r="I111" s="84">
        <f t="shared" ca="1" si="4"/>
        <v>2080679991</v>
      </c>
      <c r="J111" s="89"/>
    </row>
    <row r="112" spans="1:10" ht="21.75" customHeight="1">
      <c r="A112" s="83">
        <f ca="1">IF(ROWS($1:99)&gt;COUNT(Dong1),"",OFFSET(TH!C$1,SMALL(Dong1,ROWS($1:99)),))</f>
        <v>42735</v>
      </c>
      <c r="B112" s="83">
        <f ca="1">IF(ROWS($1:99)&gt;COUNT(Dong1),"",OFFSET(TH!E$1,SMALL(Dong1,ROWS($1:99)),))</f>
        <v>42735</v>
      </c>
      <c r="C112" s="84" t="str">
        <f ca="1">IF(ROWS($1:99)&gt;COUNT(Dong1),"",IF(OFFSET(TH!L$1,SMALL(Dong1,ROWS($1:99)),)="1111",OFFSET(TH!D$1,SMALL(Dong1,ROWS($1:99)),),""))</f>
        <v/>
      </c>
      <c r="D112" s="85" t="str">
        <f ca="1">IF(ROWS($1:99)&gt;COUNT(Dong1),"",IF(OFFSET(TH!M$1,SMALL(Dong1,ROWS($1:99)),)="1111",OFFSET(TH!D$1,SMALL(Dong1,ROWS($1:99)),),""))</f>
        <v>C37</v>
      </c>
      <c r="E112" s="133" t="str">
        <f ca="1">IF(ROWS($1:99)&gt;COUNT(Dong1),"",OFFSET(TH!F$1,SMALL(Dong1,ROWS($1:99)),))</f>
        <v>Cước CPN T12/2016</v>
      </c>
      <c r="F112" s="87" t="str">
        <f ca="1">IF(ROWS($1:99)&gt;COUNT(Dong1),"",IF(OFFSET(TH!M$1,SMALL(Dong1,ROWS($1:99)),)="1111",OFFSET(TH!L$1,SMALL(Dong1,ROWS($1:99)),),OFFSET(TH!M$1,SMALL(Dong1,ROWS($1:99)),)))</f>
        <v>642</v>
      </c>
      <c r="G112" s="88">
        <f ca="1">IF(ROWS($1:99)&gt;COUNT(Dong1),"",IF(OFFSET(TH!L$1,SMALL(Dong1,ROWS($1:99)),)="1111",OFFSET(TH!K$1,SMALL(Dong1,ROWS($1:99)),),0))</f>
        <v>0</v>
      </c>
      <c r="H112" s="86">
        <f ca="1">IF(ROWS($1:99)&gt;COUNT(Dong1),"",IF(OFFSET(TH!M$1,SMALL(Dong1,ROWS($1:99)),)="1111",OFFSET(TH!K$1,SMALL(Dong1,ROWS($1:99)),),0))</f>
        <v>50370</v>
      </c>
      <c r="I112" s="84">
        <f t="shared" ca="1" si="4"/>
        <v>2080629621</v>
      </c>
      <c r="J112" s="89"/>
    </row>
    <row r="113" spans="1:12" ht="21.75" customHeight="1">
      <c r="A113" s="83">
        <f ca="1">IF(ROWS($1:100)&gt;COUNT(Dong1),"",OFFSET(TH!C$1,SMALL(Dong1,ROWS($1:100)),))</f>
        <v>42735</v>
      </c>
      <c r="B113" s="83">
        <f ca="1">IF(ROWS($1:100)&gt;COUNT(Dong1),"",OFFSET(TH!E$1,SMALL(Dong1,ROWS($1:100)),))</f>
        <v>42735</v>
      </c>
      <c r="C113" s="84" t="str">
        <f ca="1">IF(ROWS($1:100)&gt;COUNT(Dong1),"",IF(OFFSET(TH!L$1,SMALL(Dong1,ROWS($1:100)),)="1111",OFFSET(TH!D$1,SMALL(Dong1,ROWS($1:100)),),""))</f>
        <v/>
      </c>
      <c r="D113" s="85" t="str">
        <f ca="1">IF(ROWS($1:100)&gt;COUNT(Dong1),"",IF(OFFSET(TH!M$1,SMALL(Dong1,ROWS($1:100)),)="1111",OFFSET(TH!D$1,SMALL(Dong1,ROWS($1:100)),),""))</f>
        <v>C37</v>
      </c>
      <c r="E113" s="133" t="str">
        <f ca="1">IF(ROWS($1:100)&gt;COUNT(Dong1),"",OFFSET(TH!F$1,SMALL(Dong1,ROWS($1:100)),))</f>
        <v>VAT Cước CPN T12/2016</v>
      </c>
      <c r="F113" s="87" t="str">
        <f ca="1">IF(ROWS($1:100)&gt;COUNT(Dong1),"",IF(OFFSET(TH!M$1,SMALL(Dong1,ROWS($1:100)),)="1111",OFFSET(TH!L$1,SMALL(Dong1,ROWS($1:100)),),OFFSET(TH!M$1,SMALL(Dong1,ROWS($1:100)),)))</f>
        <v>1331</v>
      </c>
      <c r="G113" s="88">
        <f ca="1">IF(ROWS($1:100)&gt;COUNT(Dong1),"",IF(OFFSET(TH!L$1,SMALL(Dong1,ROWS($1:100)),)="1111",OFFSET(TH!K$1,SMALL(Dong1,ROWS($1:100)),),0))</f>
        <v>0</v>
      </c>
      <c r="H113" s="86">
        <f ca="1">IF(ROWS($1:100)&gt;COUNT(Dong1),"",IF(OFFSET(TH!M$1,SMALL(Dong1,ROWS($1:100)),)="1111",OFFSET(TH!K$1,SMALL(Dong1,ROWS($1:100)),),0))</f>
        <v>5037</v>
      </c>
      <c r="I113" s="84">
        <f t="shared" ca="1" si="4"/>
        <v>2080624584</v>
      </c>
      <c r="J113" s="89"/>
    </row>
    <row r="114" spans="1:12" ht="21.75" customHeight="1">
      <c r="A114" s="83">
        <f ca="1">IF(ROWS($1:101)&gt;COUNT(Dong1),"",OFFSET(TH!C$1,SMALL(Dong1,ROWS($1:101)),))</f>
        <v>42735</v>
      </c>
      <c r="B114" s="83">
        <f ca="1">IF(ROWS($1:101)&gt;COUNT(Dong1),"",OFFSET(TH!E$1,SMALL(Dong1,ROWS($1:101)),))</f>
        <v>42735</v>
      </c>
      <c r="C114" s="84" t="str">
        <f ca="1">IF(ROWS($1:101)&gt;COUNT(Dong1),"",IF(OFFSET(TH!L$1,SMALL(Dong1,ROWS($1:101)),)="1111",OFFSET(TH!D$1,SMALL(Dong1,ROWS($1:101)),),""))</f>
        <v/>
      </c>
      <c r="D114" s="85" t="str">
        <f ca="1">IF(ROWS($1:101)&gt;COUNT(Dong1),"",IF(OFFSET(TH!M$1,SMALL(Dong1,ROWS($1:101)),)="1111",OFFSET(TH!D$1,SMALL(Dong1,ROWS($1:101)),),""))</f>
        <v>C38</v>
      </c>
      <c r="E114" s="133" t="str">
        <f ca="1">IF(ROWS($1:101)&gt;COUNT(Dong1),"",OFFSET(TH!F$1,SMALL(Dong1,ROWS($1:101)),))</f>
        <v>Phí sử dụng đường bộ</v>
      </c>
      <c r="F114" s="87" t="str">
        <f ca="1">IF(ROWS($1:101)&gt;COUNT(Dong1),"",IF(OFFSET(TH!M$1,SMALL(Dong1,ROWS($1:101)),)="1111",OFFSET(TH!L$1,SMALL(Dong1,ROWS($1:101)),),OFFSET(TH!M$1,SMALL(Dong1,ROWS($1:101)),)))</f>
        <v>641</v>
      </c>
      <c r="G114" s="88">
        <f ca="1">IF(ROWS($1:101)&gt;COUNT(Dong1),"",IF(OFFSET(TH!L$1,SMALL(Dong1,ROWS($1:101)),)="1111",OFFSET(TH!K$1,SMALL(Dong1,ROWS($1:101)),),0))</f>
        <v>0</v>
      </c>
      <c r="H114" s="86">
        <f ca="1">IF(ROWS($1:101)&gt;COUNT(Dong1),"",IF(OFFSET(TH!M$1,SMALL(Dong1,ROWS($1:101)),)="1111",OFFSET(TH!K$1,SMALL(Dong1,ROWS($1:101)),),0))</f>
        <v>281818</v>
      </c>
      <c r="I114" s="84">
        <f t="shared" ca="1" si="4"/>
        <v>2080342766</v>
      </c>
      <c r="J114" s="89"/>
    </row>
    <row r="115" spans="1:12" ht="21.75" customHeight="1">
      <c r="A115" s="83">
        <f ca="1">IF(ROWS($1:102)&gt;COUNT(Dong1),"",OFFSET(TH!C$1,SMALL(Dong1,ROWS($1:102)),))</f>
        <v>42735</v>
      </c>
      <c r="B115" s="83">
        <f ca="1">IF(ROWS($1:102)&gt;COUNT(Dong1),"",OFFSET(TH!E$1,SMALL(Dong1,ROWS($1:102)),))</f>
        <v>42735</v>
      </c>
      <c r="C115" s="84" t="str">
        <f ca="1">IF(ROWS($1:102)&gt;COUNT(Dong1),"",IF(OFFSET(TH!L$1,SMALL(Dong1,ROWS($1:102)),)="1111",OFFSET(TH!D$1,SMALL(Dong1,ROWS($1:102)),),""))</f>
        <v/>
      </c>
      <c r="D115" s="85" t="str">
        <f ca="1">IF(ROWS($1:102)&gt;COUNT(Dong1),"",IF(OFFSET(TH!M$1,SMALL(Dong1,ROWS($1:102)),)="1111",OFFSET(TH!D$1,SMALL(Dong1,ROWS($1:102)),),""))</f>
        <v>C38</v>
      </c>
      <c r="E115" s="133" t="str">
        <f ca="1">IF(ROWS($1:102)&gt;COUNT(Dong1),"",OFFSET(TH!F$1,SMALL(Dong1,ROWS($1:102)),))</f>
        <v>VAT Phí sử dụng đường bộ</v>
      </c>
      <c r="F115" s="87" t="str">
        <f ca="1">IF(ROWS($1:102)&gt;COUNT(Dong1),"",IF(OFFSET(TH!M$1,SMALL(Dong1,ROWS($1:102)),)="1111",OFFSET(TH!L$1,SMALL(Dong1,ROWS($1:102)),),OFFSET(TH!M$1,SMALL(Dong1,ROWS($1:102)),)))</f>
        <v>1331</v>
      </c>
      <c r="G115" s="88">
        <f ca="1">IF(ROWS($1:102)&gt;COUNT(Dong1),"",IF(OFFSET(TH!L$1,SMALL(Dong1,ROWS($1:102)),)="1111",OFFSET(TH!K$1,SMALL(Dong1,ROWS($1:102)),),0))</f>
        <v>0</v>
      </c>
      <c r="H115" s="86">
        <f ca="1">IF(ROWS($1:102)&gt;COUNT(Dong1),"",IF(OFFSET(TH!M$1,SMALL(Dong1,ROWS($1:102)),)="1111",OFFSET(TH!K$1,SMALL(Dong1,ROWS($1:102)),),0))</f>
        <v>28182</v>
      </c>
      <c r="I115" s="84">
        <f t="shared" ca="1" si="4"/>
        <v>2080314584</v>
      </c>
      <c r="J115" s="89"/>
    </row>
    <row r="116" spans="1:12" ht="21.75" customHeight="1">
      <c r="A116" s="83" t="str">
        <f ca="1">IF(ROWS($1:103)&gt;COUNT(Dong1),"",OFFSET(TH!C$1,SMALL(Dong1,ROWS($1:103)),))</f>
        <v/>
      </c>
      <c r="B116" s="83" t="str">
        <f ca="1">IF(ROWS($1:103)&gt;COUNT(Dong1),"",OFFSET(TH!E$1,SMALL(Dong1,ROWS($1:103)),))</f>
        <v/>
      </c>
      <c r="C116" s="84" t="str">
        <f ca="1">IF(ROWS($1:103)&gt;COUNT(Dong1),"",IF(OFFSET(TH!L$1,SMALL(Dong1,ROWS($1:103)),)="1111",OFFSET(TH!D$1,SMALL(Dong1,ROWS($1:103)),),""))</f>
        <v/>
      </c>
      <c r="D116" s="85" t="str">
        <f ca="1">IF(ROWS($1:103)&gt;COUNT(Dong1),"",IF(OFFSET(TH!M$1,SMALL(Dong1,ROWS($1:103)),)="1111",OFFSET(TH!D$1,SMALL(Dong1,ROWS($1:103)),),""))</f>
        <v/>
      </c>
      <c r="E116" s="133" t="str">
        <f ca="1">IF(ROWS($1:103)&gt;COUNT(Dong1),"",OFFSET(TH!F$1,SMALL(Dong1,ROWS($1:103)),))</f>
        <v/>
      </c>
      <c r="F116" s="87" t="str">
        <f ca="1">IF(ROWS($1:103)&gt;COUNT(Dong1),"",IF(OFFSET(TH!M$1,SMALL(Dong1,ROWS($1:103)),)="1111",OFFSET(TH!L$1,SMALL(Dong1,ROWS($1:103)),),OFFSET(TH!M$1,SMALL(Dong1,ROWS($1:103)),)))</f>
        <v/>
      </c>
      <c r="G116" s="88" t="str">
        <f ca="1">IF(ROWS($1:103)&gt;COUNT(Dong1),"",IF(OFFSET(TH!L$1,SMALL(Dong1,ROWS($1:103)),)="1111",OFFSET(TH!K$1,SMALL(Dong1,ROWS($1:103)),),0))</f>
        <v/>
      </c>
      <c r="H116" s="86" t="str">
        <f ca="1">IF(ROWS($1:103)&gt;COUNT(Dong1),"",IF(OFFSET(TH!M$1,SMALL(Dong1,ROWS($1:103)),)="1111",OFFSET(TH!K$1,SMALL(Dong1,ROWS($1:103)),),0))</f>
        <v/>
      </c>
      <c r="I116" s="84">
        <f t="shared" ca="1" si="4"/>
        <v>0</v>
      </c>
      <c r="J116" s="89"/>
    </row>
    <row r="117" spans="1:12" ht="21.75" customHeight="1">
      <c r="A117" s="83" t="str">
        <f ca="1">IF(ROWS($1:104)&gt;COUNT(Dong1),"",OFFSET(TH!C$1,SMALL(Dong1,ROWS($1:104)),))</f>
        <v/>
      </c>
      <c r="B117" s="83" t="str">
        <f ca="1">IF(ROWS($1:104)&gt;COUNT(Dong1),"",OFFSET(TH!E$1,SMALL(Dong1,ROWS($1:104)),))</f>
        <v/>
      </c>
      <c r="C117" s="84" t="str">
        <f ca="1">IF(ROWS($1:104)&gt;COUNT(Dong1),"",IF(OFFSET(TH!L$1,SMALL(Dong1,ROWS($1:104)),)="1111",OFFSET(TH!D$1,SMALL(Dong1,ROWS($1:104)),),""))</f>
        <v/>
      </c>
      <c r="D117" s="85" t="str">
        <f ca="1">IF(ROWS($1:104)&gt;COUNT(Dong1),"",IF(OFFSET(TH!M$1,SMALL(Dong1,ROWS($1:104)),)="1111",OFFSET(TH!D$1,SMALL(Dong1,ROWS($1:104)),),""))</f>
        <v/>
      </c>
      <c r="E117" s="133" t="str">
        <f ca="1">IF(ROWS($1:104)&gt;COUNT(Dong1),"",OFFSET(TH!F$1,SMALL(Dong1,ROWS($1:104)),))</f>
        <v/>
      </c>
      <c r="F117" s="87" t="str">
        <f ca="1">IF(ROWS($1:104)&gt;COUNT(Dong1),"",IF(OFFSET(TH!M$1,SMALL(Dong1,ROWS($1:104)),)="1111",OFFSET(TH!L$1,SMALL(Dong1,ROWS($1:104)),),OFFSET(TH!M$1,SMALL(Dong1,ROWS($1:104)),)))</f>
        <v/>
      </c>
      <c r="G117" s="88" t="str">
        <f ca="1">IF(ROWS($1:104)&gt;COUNT(Dong1),"",IF(OFFSET(TH!L$1,SMALL(Dong1,ROWS($1:104)),)="1111",OFFSET(TH!K$1,SMALL(Dong1,ROWS($1:104)),),0))</f>
        <v/>
      </c>
      <c r="H117" s="86" t="str">
        <f ca="1">IF(ROWS($1:104)&gt;COUNT(Dong1),"",IF(OFFSET(TH!M$1,SMALL(Dong1,ROWS($1:104)),)="1111",OFFSET(TH!K$1,SMALL(Dong1,ROWS($1:104)),),0))</f>
        <v/>
      </c>
      <c r="I117" s="84">
        <f t="shared" ca="1" si="4"/>
        <v>0</v>
      </c>
      <c r="J117" s="89"/>
    </row>
    <row r="118" spans="1:12" ht="21.75" customHeight="1">
      <c r="A118" s="90"/>
      <c r="B118" s="89"/>
      <c r="C118" s="89"/>
      <c r="D118" s="89"/>
      <c r="E118" s="134"/>
      <c r="F118" s="91"/>
      <c r="G118" s="89"/>
      <c r="H118" s="89"/>
      <c r="I118" s="84"/>
      <c r="J118" s="89"/>
    </row>
    <row r="119" spans="1:12" s="79" customFormat="1" ht="21.75" customHeight="1">
      <c r="A119" s="92"/>
      <c r="B119" s="92"/>
      <c r="C119" s="92"/>
      <c r="D119" s="92"/>
      <c r="E119" s="92" t="s">
        <v>129</v>
      </c>
      <c r="F119" s="93" t="s">
        <v>19</v>
      </c>
      <c r="G119" s="92">
        <f ca="1">SUM(G14:G118)</f>
        <v>911510286</v>
      </c>
      <c r="H119" s="92">
        <f ca="1">SUM(H14:H118)</f>
        <v>411867667</v>
      </c>
      <c r="I119" s="93" t="s">
        <v>19</v>
      </c>
      <c r="J119" s="93" t="s">
        <v>19</v>
      </c>
    </row>
    <row r="120" spans="1:12" s="79" customFormat="1" ht="21.75" customHeight="1">
      <c r="A120" s="94"/>
      <c r="B120" s="94"/>
      <c r="C120" s="94"/>
      <c r="D120" s="94"/>
      <c r="E120" s="94" t="s">
        <v>130</v>
      </c>
      <c r="F120" s="95" t="s">
        <v>19</v>
      </c>
      <c r="G120" s="95" t="s">
        <v>19</v>
      </c>
      <c r="H120" s="95" t="s">
        <v>19</v>
      </c>
      <c r="I120" s="96">
        <f ca="1">I13+G119-H119</f>
        <v>2080314584</v>
      </c>
      <c r="J120" s="95" t="s">
        <v>19</v>
      </c>
    </row>
    <row r="121" spans="1:12">
      <c r="L121" s="97" t="s">
        <v>150</v>
      </c>
    </row>
    <row r="122" spans="1:12">
      <c r="A122" s="97" t="s">
        <v>151</v>
      </c>
      <c r="L122" s="97" t="s">
        <v>151</v>
      </c>
    </row>
    <row r="123" spans="1:12">
      <c r="A123" s="699" t="str">
        <f ca="1">"- Ngày mở sổ: "&amp;DAY($A$14)&amp;"/"&amp;MONTH($A$14)&amp;"/ " &amp;YEAR($A$14)</f>
        <v>- Ngày mở sổ: 1/10/ 2016</v>
      </c>
      <c r="L123" s="97" t="s">
        <v>131</v>
      </c>
    </row>
    <row r="124" spans="1:12">
      <c r="I124" s="99" t="str">
        <f ca="1">"Ngày "&amp;IF(OR($L$11=4,$L$11=6,$L$11=9,$L$11=11),"30",IF($L$11=2,"28","31"))&amp;" tháng "&amp;$O$11&amp;"  năm  "&amp;YEAR($A$14)</f>
        <v>Ngày 31 tháng 12  năm  2016</v>
      </c>
      <c r="L124" s="97" t="s">
        <v>148</v>
      </c>
    </row>
    <row r="125" spans="1:12" s="98" customFormat="1" ht="14.25">
      <c r="C125" s="98" t="s">
        <v>11</v>
      </c>
      <c r="E125" s="98" t="s">
        <v>12</v>
      </c>
      <c r="I125" s="98" t="s">
        <v>105</v>
      </c>
    </row>
    <row r="126" spans="1:12" s="99" customFormat="1">
      <c r="C126" s="99" t="s">
        <v>13</v>
      </c>
      <c r="E126" s="99" t="s">
        <v>13</v>
      </c>
      <c r="I126" s="99" t="s">
        <v>132</v>
      </c>
    </row>
    <row r="127" spans="1:12" s="99" customFormat="1"/>
    <row r="128" spans="1:12" s="99" customFormat="1"/>
    <row r="129" spans="1:10" s="99" customFormat="1"/>
    <row r="130" spans="1:10" s="99" customFormat="1"/>
    <row r="133" spans="1:10">
      <c r="C133" s="656"/>
      <c r="I133" s="703"/>
    </row>
    <row r="134" spans="1:10">
      <c r="E134" s="77">
        <f ca="1">SUMIF($D$14:$D$36,#REF!,H14:H36)</f>
        <v>0</v>
      </c>
    </row>
    <row r="137" spans="1:10">
      <c r="A137" s="77">
        <v>2</v>
      </c>
      <c r="B137" s="77">
        <v>3</v>
      </c>
      <c r="C137" s="77">
        <v>4</v>
      </c>
      <c r="D137" s="77">
        <v>5</v>
      </c>
      <c r="E137" s="77">
        <v>6</v>
      </c>
      <c r="F137" s="77">
        <v>9</v>
      </c>
      <c r="G137" s="77">
        <v>10</v>
      </c>
      <c r="H137" s="77">
        <v>11</v>
      </c>
      <c r="I137" s="77">
        <v>12</v>
      </c>
      <c r="J137" s="77">
        <v>13</v>
      </c>
    </row>
  </sheetData>
  <autoFilter ref="A12:J120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17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5"/>
  <cols>
    <col min="1" max="1" width="3.7109375" style="28" customWidth="1"/>
    <col min="2" max="2" width="5.28515625" style="28" customWidth="1"/>
    <col min="3" max="3" width="15.140625" style="28" customWidth="1"/>
    <col min="4" max="4" width="16" style="28" customWidth="1"/>
    <col min="5" max="5" width="3.85546875" style="28" customWidth="1"/>
    <col min="6" max="6" width="6" style="28" customWidth="1"/>
    <col min="7" max="8" width="6.7109375" style="28" customWidth="1"/>
    <col min="9" max="9" width="10.42578125" style="28" customWidth="1"/>
    <col min="10" max="10" width="5.85546875" style="28" customWidth="1"/>
    <col min="11" max="11" width="8.28515625" style="28" customWidth="1"/>
    <col min="12" max="12" width="5" style="28" customWidth="1"/>
    <col min="13" max="13" width="6.42578125" style="28" customWidth="1"/>
    <col min="14" max="14" width="3.140625" style="28" customWidth="1"/>
    <col min="15" max="15" width="6.42578125" style="28" customWidth="1"/>
    <col min="16" max="16" width="5" style="64" customWidth="1"/>
    <col min="17" max="17" width="6.7109375" style="28" customWidth="1"/>
    <col min="18" max="18" width="1.5703125" style="28" customWidth="1"/>
    <col min="19" max="19" width="5.7109375" style="28" customWidth="1"/>
    <col min="20" max="20" width="1.5703125" style="28" customWidth="1"/>
    <col min="21" max="21" width="5" style="28" customWidth="1"/>
    <col min="22" max="22" width="1.5703125" style="28" customWidth="1"/>
    <col min="23" max="23" width="5.5703125" style="28" customWidth="1"/>
  </cols>
  <sheetData>
    <row r="1" spans="1:23" ht="13.5" customHeight="1">
      <c r="B1" s="26" t="str">
        <f>TH!A1</f>
        <v>Đơn vị: CÔNG TY TNHH BAO BÌ GIẤY KIM DUNG PHÁT</v>
      </c>
      <c r="C1" s="37"/>
      <c r="D1" s="27"/>
      <c r="E1" s="27"/>
      <c r="F1" s="27"/>
      <c r="G1" s="27"/>
      <c r="I1" s="29"/>
      <c r="L1" s="30" t="str">
        <f>+IF(LEFT($U$4,1)="T","Mẫu số 01 - TT","Mẫu số 02 - TT")</f>
        <v>Mẫu số 01 - TT</v>
      </c>
      <c r="N1" s="31"/>
      <c r="O1" s="31"/>
      <c r="P1" s="32"/>
      <c r="Q1" s="33"/>
      <c r="R1" s="33"/>
      <c r="S1" s="33"/>
      <c r="T1" s="33"/>
      <c r="U1" s="33"/>
      <c r="V1" s="34"/>
      <c r="W1" s="33"/>
    </row>
    <row r="2" spans="1:23" ht="13.5" customHeight="1">
      <c r="B2" s="37" t="str">
        <f>TH!A2</f>
        <v>Địa chỉ: Ấp Rừng Sến, xã Mỹ Hạnh Bắc, Huyện Đức Hòa, Tỉnh Long An, Việt Nam</v>
      </c>
      <c r="C2" s="37"/>
      <c r="D2" s="27"/>
      <c r="E2" s="27"/>
      <c r="F2" s="27"/>
      <c r="G2" s="27"/>
      <c r="H2" s="29"/>
      <c r="I2" s="29"/>
      <c r="L2" s="38" t="str">
        <f>IF($Q$4&gt;=2015,"(Ban hành theo Thông tư số 200/2014/TT-BTC ","(Ban hành kèm theo QĐ 48/2006/QĐ-BTC")</f>
        <v>(Ban hành kèm theo QĐ 48/2006/QĐ-BTC</v>
      </c>
      <c r="N2" s="39"/>
      <c r="O2" s="39"/>
      <c r="P2" s="32"/>
      <c r="Q2" s="33"/>
      <c r="R2" s="33"/>
      <c r="S2" s="33"/>
      <c r="T2" s="33"/>
      <c r="U2" s="33"/>
      <c r="V2" s="40"/>
      <c r="W2" s="41" t="s">
        <v>100</v>
      </c>
    </row>
    <row r="3" spans="1:23" ht="13.5" customHeight="1" thickBot="1">
      <c r="B3" s="37"/>
      <c r="C3" s="27"/>
      <c r="D3" s="27"/>
      <c r="E3" s="27"/>
      <c r="G3" s="27"/>
      <c r="I3" s="42"/>
      <c r="L3" s="38" t="str">
        <f>IF($Q$4=2015,"Ngày 22/12/2014 của Bộ Tài chính)","ngày 24/09/2006 của Bộ trưởng BTC)")</f>
        <v>ngày 24/09/2006 của Bộ trưởng BTC)</v>
      </c>
      <c r="N3" s="39"/>
      <c r="O3" s="39"/>
      <c r="P3" s="43"/>
      <c r="Q3" s="307"/>
      <c r="R3" s="117"/>
      <c r="S3" s="118" t="s">
        <v>328</v>
      </c>
      <c r="T3" s="117"/>
      <c r="U3" s="118" t="s">
        <v>101</v>
      </c>
      <c r="V3" s="40"/>
      <c r="W3" s="41" t="s">
        <v>101</v>
      </c>
    </row>
    <row r="4" spans="1:23" ht="22.5" thickBot="1">
      <c r="B4" s="37"/>
      <c r="C4" s="27"/>
      <c r="D4" s="27"/>
      <c r="E4" s="27"/>
      <c r="G4" s="44"/>
      <c r="H4" s="45" t="str">
        <f>IF(LEFT($U$4,1)="T","PHIẾU THU","PHIẾU CHI")</f>
        <v>PHIẾU THU</v>
      </c>
      <c r="J4" s="44"/>
      <c r="K4" s="46"/>
      <c r="M4" s="46"/>
      <c r="N4" s="46"/>
      <c r="O4" s="46"/>
      <c r="P4" s="47"/>
      <c r="Q4" s="308"/>
      <c r="R4" s="48"/>
      <c r="S4" s="413">
        <v>4</v>
      </c>
      <c r="T4" s="48"/>
      <c r="U4" s="309" t="s">
        <v>1070</v>
      </c>
      <c r="V4" s="74"/>
      <c r="W4" s="310">
        <v>1</v>
      </c>
    </row>
    <row r="5" spans="1:23">
      <c r="B5" s="37"/>
      <c r="C5" s="27"/>
      <c r="D5" s="27"/>
      <c r="E5" s="27"/>
      <c r="G5" s="44"/>
      <c r="H5" s="49" t="str">
        <f>IF(ISNA(VLOOKUP($M$7,TM,3,0)),"","Ngày  "&amp;DAY(VLOOKUP($M$7,TM,3,0))&amp;"  tháng  "&amp;MONTH(VLOOKUP($M$7,TM,3,0))&amp;"  năm  "&amp;YEAR(VLOOKUP($M$7,TM,3,0)))</f>
        <v>Ngày  3  tháng  10  năm  2016</v>
      </c>
      <c r="J5" s="44"/>
      <c r="K5" s="46"/>
      <c r="M5" s="46"/>
      <c r="N5" s="46"/>
      <c r="O5" s="46"/>
      <c r="P5" s="47"/>
      <c r="Q5" s="307"/>
      <c r="V5" s="36"/>
      <c r="W5" s="41"/>
    </row>
    <row r="6" spans="1:23" ht="13.5">
      <c r="A6" s="52"/>
      <c r="B6" s="50"/>
      <c r="C6" s="51"/>
      <c r="D6" s="51"/>
      <c r="E6" s="51"/>
      <c r="F6" s="52"/>
      <c r="G6" s="53"/>
      <c r="H6" s="53"/>
      <c r="I6" s="53"/>
      <c r="J6" s="52"/>
      <c r="K6" s="52"/>
      <c r="L6" s="54" t="str">
        <f>"Quyển số: 0"&amp;$S$4</f>
        <v>Quyển số: 04</v>
      </c>
      <c r="M6" s="52"/>
      <c r="N6" s="52"/>
      <c r="O6" s="55"/>
      <c r="P6" s="56"/>
      <c r="Q6" s="52"/>
      <c r="R6" s="52"/>
      <c r="S6" s="52"/>
      <c r="T6" s="52"/>
      <c r="U6" s="52"/>
      <c r="V6" s="57"/>
      <c r="W6" s="41"/>
    </row>
    <row r="7" spans="1:23" ht="13.5" customHeight="1">
      <c r="A7" s="52"/>
      <c r="B7" s="52"/>
      <c r="C7" s="52"/>
      <c r="D7" s="52"/>
      <c r="E7" s="50"/>
      <c r="F7" s="53"/>
      <c r="G7" s="53"/>
      <c r="H7" s="53"/>
      <c r="I7" s="53"/>
      <c r="J7" s="52"/>
      <c r="K7" s="52"/>
      <c r="L7" s="58" t="str">
        <f>"Số :    "</f>
        <v xml:space="preserve">Số :    </v>
      </c>
      <c r="M7" s="59" t="str">
        <f>$U$4&amp;IF($W$4&gt;=10,$W$4,"0"&amp;$W$4)</f>
        <v>T01</v>
      </c>
      <c r="N7" s="55"/>
      <c r="O7" s="55"/>
      <c r="P7" s="56"/>
      <c r="Q7" s="52"/>
      <c r="R7" s="52"/>
      <c r="S7" s="52"/>
      <c r="T7" s="52"/>
      <c r="U7" s="52"/>
      <c r="V7" s="52"/>
      <c r="W7" s="52"/>
    </row>
    <row r="8" spans="1:23" ht="13.5">
      <c r="A8" s="52"/>
      <c r="B8" s="52"/>
      <c r="C8" s="52"/>
      <c r="D8" s="52"/>
      <c r="E8" s="50"/>
      <c r="F8" s="50"/>
      <c r="G8" s="50"/>
      <c r="H8" s="50"/>
      <c r="I8" s="50"/>
      <c r="J8" s="52"/>
      <c r="K8" s="60"/>
      <c r="L8" s="54" t="s">
        <v>102</v>
      </c>
      <c r="M8" s="61" t="str">
        <f>IF($U$4="T","1111",IF($U$4="C",IF(ISNA(VLOOKUP($M$7,TM,13,0)),"",VLOOKUP($M$7,TM,12,0)),""))</f>
        <v>1111</v>
      </c>
      <c r="N8" s="55"/>
      <c r="O8" s="55"/>
      <c r="P8" s="62"/>
      <c r="Q8" s="52"/>
      <c r="R8" s="52"/>
      <c r="S8" s="52"/>
      <c r="T8" s="52"/>
      <c r="U8" s="52"/>
      <c r="V8" s="52"/>
      <c r="W8" s="52"/>
    </row>
    <row r="9" spans="1:23" ht="13.5">
      <c r="A9" s="52"/>
      <c r="B9" s="52"/>
      <c r="C9" s="52"/>
      <c r="D9" s="52"/>
      <c r="E9" s="50"/>
      <c r="F9" s="50"/>
      <c r="G9" s="50"/>
      <c r="H9" s="50"/>
      <c r="I9" s="50"/>
      <c r="J9" s="52"/>
      <c r="K9" s="60"/>
      <c r="L9" s="58" t="s">
        <v>103</v>
      </c>
      <c r="M9" s="61" t="str">
        <f>IF($U$4="C","1111",IF($U$4="T",IF(ISNA(VLOOKUP($M$7,TM,12,0)),"",VLOOKUP($M$7,TM,13,0)),""))</f>
        <v>1121</v>
      </c>
      <c r="N9" s="55"/>
      <c r="O9" s="55"/>
      <c r="P9" s="62"/>
      <c r="Q9" s="52"/>
      <c r="R9" s="52"/>
      <c r="S9" s="52"/>
      <c r="T9" s="52"/>
      <c r="U9" s="52"/>
      <c r="V9" s="52"/>
      <c r="W9" s="52"/>
    </row>
    <row r="10" spans="1:23">
      <c r="A10" s="52"/>
      <c r="B10" s="52"/>
      <c r="C10" s="63" t="str">
        <f>IF($U$4="T","Họ tên người nộp tiền :","Họ và tên người nhận tiền :")&amp;" "&amp;IF(ISNA(VLOOKUP($M$7,TM,8,0)),"",VLOOKUP($M$7,TM,8,0))</f>
        <v>Họ tên người nộp tiền : Lê Tấn Quí</v>
      </c>
      <c r="D10" s="50"/>
      <c r="E10" s="52"/>
      <c r="F10" s="50"/>
      <c r="G10" s="50"/>
      <c r="H10" s="50"/>
      <c r="I10" s="50"/>
      <c r="J10" s="52"/>
      <c r="K10" s="50"/>
      <c r="L10" s="58"/>
      <c r="M10" s="61"/>
      <c r="N10" s="55"/>
      <c r="O10" s="50"/>
      <c r="P10" s="56"/>
      <c r="Q10" s="52"/>
      <c r="R10" s="52"/>
      <c r="S10" s="52"/>
      <c r="T10" s="52"/>
      <c r="U10" s="52"/>
      <c r="V10" s="52"/>
      <c r="W10" s="52"/>
    </row>
    <row r="11" spans="1:23">
      <c r="C11" s="63" t="str">
        <f>"Địa chỉ :"</f>
        <v>Địa chỉ :</v>
      </c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43"/>
    </row>
    <row r="12" spans="1:23">
      <c r="C12" s="63" t="str">
        <f>IF($U$4="T","Lý do nộp :","Lý do chi :")&amp;" "&amp;IF(ISNA(VLOOKUP($M$7,TM,6,0)),"",VLOOKUP($M$7,TM,6,0))</f>
        <v>Lý do nộp : Rút tiền mặt</v>
      </c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23">
      <c r="C13" s="28" t="s">
        <v>114</v>
      </c>
      <c r="D13" s="65">
        <f ca="1">SUMIF(TM,$M$7,TH)</f>
        <v>19000000</v>
      </c>
      <c r="E13" s="28" t="s">
        <v>104</v>
      </c>
      <c r="F13" s="65"/>
      <c r="G13" s="65"/>
      <c r="P13" s="28"/>
    </row>
    <row r="14" spans="1:23">
      <c r="C14" s="28" t="str">
        <f ca="1">"Viết bằng chữ: " &amp;[1]!VND('IN-TC'!D13, TRUE)</f>
        <v>Viết bằng chữ: Mười chín triệu đồng</v>
      </c>
      <c r="P14" s="43"/>
    </row>
    <row r="15" spans="1:23">
      <c r="C15" s="63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VCB     chứng từ gốc. </v>
      </c>
      <c r="D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6"/>
    </row>
    <row r="16" spans="1:23">
      <c r="K16" s="67"/>
      <c r="L16" s="67"/>
      <c r="M16" s="75" t="str">
        <f>H5</f>
        <v>Ngày  3  tháng  10  năm  2016</v>
      </c>
      <c r="N16" s="67"/>
      <c r="O16" s="67"/>
      <c r="P16" s="28"/>
    </row>
    <row r="17" spans="1:23">
      <c r="C17" s="68" t="s">
        <v>105</v>
      </c>
      <c r="D17" s="69"/>
      <c r="E17" s="68" t="s">
        <v>12</v>
      </c>
      <c r="F17" s="69"/>
      <c r="G17" s="69"/>
      <c r="H17" s="68" t="str">
        <f>IF($U$4="C","Thủ quỹ","Người nộp tiền")</f>
        <v>Người nộp tiền</v>
      </c>
      <c r="J17" s="68" t="s">
        <v>106</v>
      </c>
      <c r="K17" s="69"/>
      <c r="M17" s="70" t="str">
        <f>IF($U$4="T","Thủ quỹ","Người nhận tiền")</f>
        <v>Thủ quỹ</v>
      </c>
      <c r="N17" s="71"/>
      <c r="O17" s="71"/>
      <c r="P17" s="28"/>
    </row>
    <row r="18" spans="1:23">
      <c r="A18" s="69"/>
      <c r="B18" s="69"/>
      <c r="C18" s="72" t="s">
        <v>107</v>
      </c>
      <c r="E18" s="72" t="s">
        <v>108</v>
      </c>
      <c r="H18" s="72" t="s">
        <v>108</v>
      </c>
      <c r="I18" s="69"/>
      <c r="J18" s="72" t="s">
        <v>108</v>
      </c>
      <c r="L18" s="69"/>
      <c r="M18" s="72" t="s">
        <v>108</v>
      </c>
      <c r="P18" s="69"/>
      <c r="Q18" s="69"/>
      <c r="R18" s="69"/>
      <c r="S18" s="69"/>
      <c r="T18" s="69"/>
      <c r="U18" s="69"/>
      <c r="V18" s="69"/>
      <c r="W18" s="69"/>
    </row>
    <row r="19" spans="1:23">
      <c r="P19" s="28"/>
    </row>
    <row r="20" spans="1:23">
      <c r="P20" s="28"/>
    </row>
    <row r="21" spans="1:23">
      <c r="P21" s="28"/>
    </row>
    <row r="22" spans="1:23">
      <c r="P22" s="28"/>
    </row>
    <row r="23" spans="1:23">
      <c r="I23" s="35"/>
      <c r="P23" s="28"/>
    </row>
    <row r="24" spans="1:23">
      <c r="C24" s="132"/>
      <c r="H24" s="132"/>
      <c r="J24" s="132"/>
      <c r="M24" s="132"/>
      <c r="P24" s="28"/>
    </row>
    <row r="25" spans="1:23">
      <c r="B25" s="28" t="s">
        <v>109</v>
      </c>
      <c r="P25" s="28"/>
    </row>
    <row r="26" spans="1:23">
      <c r="B26" s="63"/>
      <c r="C26" s="63" t="s">
        <v>110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28"/>
    </row>
    <row r="27" spans="1:23">
      <c r="B27" s="63"/>
      <c r="C27" s="63" t="s">
        <v>111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28"/>
    </row>
    <row r="46" spans="5:5">
      <c r="E46" s="73"/>
    </row>
    <row r="47" spans="5:5">
      <c r="E47" s="73"/>
    </row>
    <row r="48" spans="5:5">
      <c r="E48" s="73"/>
    </row>
    <row r="49" spans="5:5">
      <c r="E49" s="73"/>
    </row>
    <row r="50" spans="5:5">
      <c r="E50" s="73"/>
    </row>
    <row r="51" spans="5:5">
      <c r="E51" s="73"/>
    </row>
    <row r="52" spans="5:5">
      <c r="E52" s="73"/>
    </row>
    <row r="53" spans="5:5">
      <c r="E53" s="73"/>
    </row>
    <row r="54" spans="5:5">
      <c r="E54" s="73"/>
    </row>
    <row r="55" spans="5:5">
      <c r="E55" s="73"/>
    </row>
    <row r="56" spans="5:5">
      <c r="E56" s="73"/>
    </row>
    <row r="57" spans="5:5">
      <c r="E57" s="73"/>
    </row>
    <row r="58" spans="5:5">
      <c r="E58" s="73"/>
    </row>
    <row r="59" spans="5:5">
      <c r="E59" s="73"/>
    </row>
    <row r="60" spans="5:5">
      <c r="E60" s="73"/>
    </row>
    <row r="61" spans="5:5">
      <c r="E61" s="73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01"/>
  <sheetViews>
    <sheetView topLeftCell="A6" zoomScale="90" zoomScaleNormal="90" workbookViewId="0">
      <pane ySplit="6" topLeftCell="A57" activePane="bottomLeft" state="frozen"/>
      <selection activeCell="A6" sqref="A6"/>
      <selection pane="bottomLeft" activeCell="D71" sqref="D71"/>
    </sheetView>
  </sheetViews>
  <sheetFormatPr defaultRowHeight="15"/>
  <cols>
    <col min="1" max="1" width="9" style="104" customWidth="1"/>
    <col min="2" max="2" width="7" style="662" customWidth="1"/>
    <col min="3" max="3" width="9" style="104" customWidth="1"/>
    <col min="4" max="4" width="38.7109375" style="102" customWidth="1"/>
    <col min="5" max="5" width="7.5703125" style="102" customWidth="1"/>
    <col min="6" max="6" width="14.28515625" style="102" customWidth="1"/>
    <col min="7" max="7" width="14.5703125" style="102" customWidth="1"/>
    <col min="8" max="8" width="14.7109375" style="407" customWidth="1"/>
    <col min="9" max="9" width="6.5703125" style="102" customWidth="1"/>
    <col min="10" max="10" width="2.85546875" style="102" customWidth="1"/>
    <col min="11" max="11" width="9.140625" style="102" customWidth="1"/>
    <col min="12" max="12" width="3.28515625" style="102" customWidth="1"/>
    <col min="13" max="13" width="8" style="102" customWidth="1"/>
    <col min="14" max="15" width="3.85546875" style="102" hidden="1" customWidth="1"/>
    <col min="16" max="16" width="1.7109375" style="102" customWidth="1"/>
    <col min="17" max="17" width="12.85546875" style="102" bestFit="1" customWidth="1"/>
    <col min="18" max="19" width="12.7109375" style="102" customWidth="1"/>
    <col min="20" max="20" width="15.140625" style="102" customWidth="1"/>
    <col min="21" max="21" width="12" style="102" bestFit="1" customWidth="1"/>
    <col min="22" max="16384" width="9.140625" style="102"/>
  </cols>
  <sheetData>
    <row r="1" spans="1:21" ht="16.5" customHeight="1">
      <c r="A1" s="100" t="str">
        <f>TH!A1</f>
        <v>Đơn vị: CÔNG TY TNHH BAO BÌ GIẤY KIM DUNG PHÁT</v>
      </c>
      <c r="B1" s="103"/>
      <c r="F1" s="135"/>
      <c r="G1" s="135" t="s">
        <v>149</v>
      </c>
      <c r="H1" s="704"/>
      <c r="I1" s="135"/>
      <c r="K1" s="512"/>
      <c r="L1" s="512"/>
    </row>
    <row r="2" spans="1:21" ht="16.5" customHeight="1">
      <c r="A2" s="889" t="str">
        <f>TH!A2</f>
        <v>Địa chỉ: Ấp Rừng Sến, xã Mỹ Hạnh Bắc, Huyện Đức Hòa, Tỉnh Long An, Việt Nam</v>
      </c>
      <c r="B2" s="889"/>
      <c r="C2" s="889"/>
      <c r="D2" s="889"/>
      <c r="E2" s="889"/>
      <c r="F2" s="885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85"/>
      <c r="H2" s="885"/>
      <c r="I2" s="136"/>
      <c r="K2" s="513"/>
      <c r="L2" s="513"/>
    </row>
    <row r="3" spans="1:21" ht="16.5" customHeight="1">
      <c r="A3" s="889"/>
      <c r="B3" s="889"/>
      <c r="C3" s="889"/>
      <c r="D3" s="889"/>
      <c r="E3" s="889"/>
      <c r="F3" s="885"/>
      <c r="G3" s="885"/>
      <c r="H3" s="885"/>
      <c r="I3" s="136"/>
    </row>
    <row r="4" spans="1:21" ht="27.75" customHeight="1">
      <c r="A4" s="888" t="s">
        <v>133</v>
      </c>
      <c r="B4" s="888"/>
      <c r="C4" s="888"/>
      <c r="D4" s="888"/>
      <c r="E4" s="888"/>
      <c r="F4" s="888"/>
      <c r="G4" s="888"/>
      <c r="H4" s="888"/>
      <c r="I4" s="888"/>
    </row>
    <row r="5" spans="1:21">
      <c r="A5" s="877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877"/>
      <c r="C5" s="877"/>
      <c r="D5" s="877"/>
      <c r="E5" s="877"/>
      <c r="F5" s="877"/>
      <c r="G5" s="877"/>
      <c r="H5" s="877"/>
      <c r="I5" s="877"/>
    </row>
    <row r="6" spans="1:21">
      <c r="A6" s="102"/>
      <c r="B6" s="102"/>
      <c r="C6" s="102"/>
      <c r="D6" s="143" t="s">
        <v>153</v>
      </c>
      <c r="E6" s="877" t="str">
        <f>IF($M$9="VCB","0631000451708","")</f>
        <v>0631000451708</v>
      </c>
      <c r="F6" s="877"/>
      <c r="G6" s="877"/>
      <c r="H6" s="407" t="s">
        <v>104</v>
      </c>
      <c r="I6" s="144" t="str">
        <f>IF(H6="VNĐ","1121",IF(H6="USD","1122",""))</f>
        <v>1121</v>
      </c>
      <c r="N6" s="870" t="s">
        <v>323</v>
      </c>
      <c r="O6" s="870"/>
      <c r="Q6" s="886" t="s">
        <v>265</v>
      </c>
      <c r="R6" s="886" t="s">
        <v>474</v>
      </c>
      <c r="S6" s="886"/>
      <c r="T6" s="886"/>
    </row>
    <row r="7" spans="1:21" ht="8.25" customHeight="1" thickBot="1">
      <c r="A7" s="105"/>
      <c r="C7" s="105"/>
      <c r="D7" s="662"/>
      <c r="E7" s="662"/>
      <c r="F7" s="662"/>
      <c r="G7" s="662"/>
      <c r="H7" s="408"/>
      <c r="I7" s="662"/>
      <c r="Q7" s="887"/>
      <c r="R7" s="887"/>
      <c r="S7" s="887"/>
      <c r="T7" s="887"/>
    </row>
    <row r="8" spans="1:21" s="705" customFormat="1" ht="22.5" customHeight="1" thickBot="1">
      <c r="A8" s="878" t="s">
        <v>134</v>
      </c>
      <c r="B8" s="880" t="s">
        <v>1</v>
      </c>
      <c r="C8" s="881"/>
      <c r="D8" s="875" t="s">
        <v>0</v>
      </c>
      <c r="E8" s="882" t="s">
        <v>14</v>
      </c>
      <c r="F8" s="884" t="s">
        <v>135</v>
      </c>
      <c r="G8" s="884"/>
      <c r="H8" s="881"/>
      <c r="I8" s="875" t="s">
        <v>123</v>
      </c>
      <c r="K8" s="660"/>
      <c r="L8" s="102"/>
      <c r="N8" s="706">
        <f>IF(K9="Quý I",1,IF(K9="Quý II",4,IF(K9="Quý III",7,IF(K9="Quý IV",10,""))))</f>
        <v>10</v>
      </c>
      <c r="O8" s="707">
        <f>IF(K9="Quý I",3,IF(K9="Quý II",6,IF(K9="Quý III",9,IF(K9="Quý IV",12,""))))</f>
        <v>12</v>
      </c>
      <c r="Q8" s="708" t="s">
        <v>266</v>
      </c>
      <c r="R8" s="709"/>
      <c r="S8" s="709"/>
      <c r="T8" s="709"/>
      <c r="U8" s="710">
        <f>SUM(R8:T8)</f>
        <v>0</v>
      </c>
    </row>
    <row r="9" spans="1:21" s="705" customFormat="1" ht="22.5" customHeight="1" thickBot="1">
      <c r="A9" s="879"/>
      <c r="B9" s="711" t="s">
        <v>15</v>
      </c>
      <c r="C9" s="712" t="s">
        <v>136</v>
      </c>
      <c r="D9" s="876"/>
      <c r="E9" s="883"/>
      <c r="F9" s="711" t="s">
        <v>137</v>
      </c>
      <c r="G9" s="713" t="s">
        <v>138</v>
      </c>
      <c r="H9" s="714" t="s">
        <v>139</v>
      </c>
      <c r="I9" s="876"/>
      <c r="K9" s="457" t="s">
        <v>361</v>
      </c>
      <c r="L9" s="102"/>
      <c r="M9" s="715" t="s">
        <v>474</v>
      </c>
      <c r="Q9" s="102"/>
      <c r="R9" s="102"/>
      <c r="S9" s="102"/>
      <c r="T9" s="102"/>
      <c r="U9" s="102"/>
    </row>
    <row r="10" spans="1:21">
      <c r="A10" s="716" t="s">
        <v>2</v>
      </c>
      <c r="B10" s="717" t="s">
        <v>3</v>
      </c>
      <c r="C10" s="716" t="s">
        <v>4</v>
      </c>
      <c r="D10" s="717" t="s">
        <v>5</v>
      </c>
      <c r="E10" s="717" t="s">
        <v>6</v>
      </c>
      <c r="F10" s="717">
        <v>1</v>
      </c>
      <c r="G10" s="717">
        <v>2</v>
      </c>
      <c r="H10" s="717">
        <v>3</v>
      </c>
      <c r="I10" s="717" t="s">
        <v>126</v>
      </c>
    </row>
    <row r="11" spans="1:21" ht="18.75" customHeight="1">
      <c r="A11" s="718"/>
      <c r="B11" s="717"/>
      <c r="C11" s="718"/>
      <c r="D11" s="719" t="s">
        <v>7</v>
      </c>
      <c r="E11" s="719"/>
      <c r="F11" s="720"/>
      <c r="G11" s="720"/>
      <c r="H11" s="720">
        <f>IF($M$9="ACB",$R$8,IF($M$9="AGR",$S$8,$T$8))+SUMIF(_N112,"x",TH)-SUMIF(_C112,"x",TH)</f>
        <v>20360084</v>
      </c>
      <c r="I11" s="721"/>
      <c r="Q11" s="705"/>
      <c r="R11" s="705"/>
      <c r="S11" s="705"/>
      <c r="T11" s="705"/>
      <c r="U11" s="705"/>
    </row>
    <row r="12" spans="1:21" s="705" customFormat="1" ht="18.75" customHeight="1">
      <c r="A12" s="722">
        <f ca="1">IF(ROWS($1:1)&gt;COUNT(Dong2),"",OFFSET(TH!C$1,SMALL(Dong2,ROWS($1:1)),))</f>
        <v>42646</v>
      </c>
      <c r="B12" s="722" t="str">
        <f ca="1">IF(ROWS($1:1)&gt;COUNT(Dong2),"",OFFSET(TH!D$1,SMALL(Dong2,ROWS($1:1)),))</f>
        <v>T01</v>
      </c>
      <c r="C12" s="722">
        <f ca="1">IF(ROWS($1:1)&gt;COUNT(Dong2),"",OFFSET(TH!E$1,SMALL(Dong2,ROWS($1:1)),))</f>
        <v>42646</v>
      </c>
      <c r="D12" s="723" t="str">
        <f ca="1">IF(ROWS($1:1)&gt;COUNT(Dong2),"",OFFSET(TH!F$1,SMALL(Dong2,ROWS($1:1)),))</f>
        <v>Rút tiền mặt</v>
      </c>
      <c r="E12" s="722" t="str">
        <f ca="1">IF(ROWS($1:1)&gt;COUNT(Dong2),"",IF(OFFSET(TH!M$1,SMALL(Dong2,ROWS($1:1)),)=$I$6,OFFSET(TH!L$1,SMALL(Dong2,ROWS($1:1)),),OFFSET(TH!M$1,SMALL(Dong2,ROWS($1:1)),)))</f>
        <v>1111</v>
      </c>
      <c r="F12" s="724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724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19000000</v>
      </c>
      <c r="H12" s="725">
        <f ca="1">IF(A12&lt;&gt;"",H11+F12-G12,0)</f>
        <v>1360084</v>
      </c>
      <c r="I12" s="726"/>
      <c r="L12" s="102"/>
    </row>
    <row r="13" spans="1:21" s="705" customFormat="1" ht="18.75" customHeight="1">
      <c r="A13" s="722">
        <f ca="1">IF(ROWS($1:2)&gt;COUNT(Dong2),"",OFFSET(TH!C$1,SMALL(Dong2,ROWS($1:2)),))</f>
        <v>42647</v>
      </c>
      <c r="B13" s="722" t="str">
        <f ca="1">IF(ROWS($1:2)&gt;COUNT(Dong2),"",OFFSET(TH!D$1,SMALL(Dong2,ROWS($1:2)),))</f>
        <v>C04</v>
      </c>
      <c r="C13" s="722">
        <f ca="1">IF(ROWS($1:2)&gt;COUNT(Dong2),"",OFFSET(TH!E$1,SMALL(Dong2,ROWS($1:2)),))</f>
        <v>42647</v>
      </c>
      <c r="D13" s="723" t="str">
        <f ca="1">IF(ROWS($1:2)&gt;COUNT(Dong2),"",OFFSET(TH!F$1,SMALL(Dong2,ROWS($1:2)),))</f>
        <v>Nộp tiền mặt</v>
      </c>
      <c r="E13" s="722" t="str">
        <f ca="1">IF(ROWS($1:2)&gt;COUNT(Dong2),"",IF(OFFSET(TH!M$1,SMALL(Dong2,ROWS($1:2)),)=$I$6,OFFSET(TH!L$1,SMALL(Dong2,ROWS($1:2)),),OFFSET(TH!M$1,SMALL(Dong2,ROWS($1:2)),)))</f>
        <v>1111</v>
      </c>
      <c r="F13" s="724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50000000</v>
      </c>
      <c r="G13" s="724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725">
        <f t="shared" ref="H13:H76" ca="1" si="0">IF(A13&lt;&gt;"",H12+F13-G13,0)</f>
        <v>51360084</v>
      </c>
      <c r="I13" s="726"/>
      <c r="L13" s="102"/>
    </row>
    <row r="14" spans="1:21" s="705" customFormat="1" ht="18.75" customHeight="1">
      <c r="A14" s="722">
        <f ca="1">IF(ROWS($1:3)&gt;COUNT(Dong2),"",OFFSET(TH!C$1,SMALL(Dong2,ROWS($1:3)),))</f>
        <v>42647</v>
      </c>
      <c r="B14" s="722" t="str">
        <f ca="1">IF(ROWS($1:3)&gt;COUNT(Dong2),"",OFFSET(TH!D$1,SMALL(Dong2,ROWS($1:3)),))</f>
        <v>GBN</v>
      </c>
      <c r="C14" s="722">
        <f ca="1">IF(ROWS($1:3)&gt;COUNT(Dong2),"",OFFSET(TH!E$1,SMALL(Dong2,ROWS($1:3)),))</f>
        <v>42647</v>
      </c>
      <c r="D14" s="723" t="str">
        <f ca="1">IF(ROWS($1:3)&gt;COUNT(Dong2),"",OFFSET(TH!F$1,SMALL(Dong2,ROWS($1:3)),))</f>
        <v>Thanh toán tiền hàng</v>
      </c>
      <c r="E14" s="722" t="str">
        <f ca="1">IF(ROWS($1:3)&gt;COUNT(Dong2),"",IF(OFFSET(TH!M$1,SMALL(Dong2,ROWS($1:3)),)=$I$6,OFFSET(TH!L$1,SMALL(Dong2,ROWS($1:3)),),OFFSET(TH!M$1,SMALL(Dong2,ROWS($1:3)),)))</f>
        <v>331</v>
      </c>
      <c r="F14" s="724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724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50000000</v>
      </c>
      <c r="H14" s="725">
        <f t="shared" ca="1" si="0"/>
        <v>1360084</v>
      </c>
      <c r="I14" s="726"/>
      <c r="L14" s="102"/>
    </row>
    <row r="15" spans="1:21" s="705" customFormat="1" ht="18.75" customHeight="1">
      <c r="A15" s="722">
        <f ca="1">IF(ROWS($1:4)&gt;COUNT(Dong2),"",OFFSET(TH!C$1,SMALL(Dong2,ROWS($1:4)),))</f>
        <v>42647</v>
      </c>
      <c r="B15" s="722" t="str">
        <f ca="1">IF(ROWS($1:4)&gt;COUNT(Dong2),"",OFFSET(TH!D$1,SMALL(Dong2,ROWS($1:4)),))</f>
        <v>GBN</v>
      </c>
      <c r="C15" s="722">
        <f ca="1">IF(ROWS($1:4)&gt;COUNT(Dong2),"",OFFSET(TH!E$1,SMALL(Dong2,ROWS($1:4)),))</f>
        <v>42647</v>
      </c>
      <c r="D15" s="723" t="str">
        <f ca="1">IF(ROWS($1:4)&gt;COUNT(Dong2),"",OFFSET(TH!F$1,SMALL(Dong2,ROWS($1:4)),))</f>
        <v>Phí chuyển tiền</v>
      </c>
      <c r="E15" s="722" t="str">
        <f ca="1">IF(ROWS($1:4)&gt;COUNT(Dong2),"",IF(OFFSET(TH!M$1,SMALL(Dong2,ROWS($1:4)),)=$I$6,OFFSET(TH!L$1,SMALL(Dong2,ROWS($1:4)),),OFFSET(TH!M$1,SMALL(Dong2,ROWS($1:4)),)))</f>
        <v>642</v>
      </c>
      <c r="F15" s="724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724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725">
        <f t="shared" ca="1" si="0"/>
        <v>1350084</v>
      </c>
      <c r="I15" s="726"/>
      <c r="L15" s="102"/>
    </row>
    <row r="16" spans="1:21" s="705" customFormat="1" ht="18.75" customHeight="1">
      <c r="A16" s="722">
        <f ca="1">IF(ROWS($1:5)&gt;COUNT(Dong2),"",OFFSET(TH!C$1,SMALL(Dong2,ROWS($1:5)),))</f>
        <v>42647</v>
      </c>
      <c r="B16" s="722" t="str">
        <f ca="1">IF(ROWS($1:5)&gt;COUNT(Dong2),"",OFFSET(TH!D$1,SMALL(Dong2,ROWS($1:5)),))</f>
        <v>GBN</v>
      </c>
      <c r="C16" s="722">
        <f ca="1">IF(ROWS($1:5)&gt;COUNT(Dong2),"",OFFSET(TH!E$1,SMALL(Dong2,ROWS($1:5)),))</f>
        <v>42647</v>
      </c>
      <c r="D16" s="723" t="str">
        <f ca="1">IF(ROWS($1:5)&gt;COUNT(Dong2),"",OFFSET(TH!F$1,SMALL(Dong2,ROWS($1:5)),))</f>
        <v>VAT Phí chuyển tiền</v>
      </c>
      <c r="E16" s="722" t="str">
        <f ca="1">IF(ROWS($1:5)&gt;COUNT(Dong2),"",IF(OFFSET(TH!M$1,SMALL(Dong2,ROWS($1:5)),)=$I$6,OFFSET(TH!L$1,SMALL(Dong2,ROWS($1:5)),),OFFSET(TH!M$1,SMALL(Dong2,ROWS($1:5)),)))</f>
        <v>1331</v>
      </c>
      <c r="F16" s="724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724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</v>
      </c>
      <c r="H16" s="725">
        <f t="shared" ca="1" si="0"/>
        <v>1349084</v>
      </c>
      <c r="I16" s="726"/>
      <c r="L16" s="102"/>
    </row>
    <row r="17" spans="1:17" s="705" customFormat="1" ht="18.75" customHeight="1">
      <c r="A17" s="722">
        <f ca="1">IF(ROWS($1:6)&gt;COUNT(Dong2),"",OFFSET(TH!C$1,SMALL(Dong2,ROWS($1:6)),))</f>
        <v>42657</v>
      </c>
      <c r="B17" s="722" t="str">
        <f ca="1">IF(ROWS($1:6)&gt;COUNT(Dong2),"",OFFSET(TH!D$1,SMALL(Dong2,ROWS($1:6)),))</f>
        <v>GBC</v>
      </c>
      <c r="C17" s="722">
        <f ca="1">IF(ROWS($1:6)&gt;COUNT(Dong2),"",OFFSET(TH!E$1,SMALL(Dong2,ROWS($1:6)),))</f>
        <v>42657</v>
      </c>
      <c r="D17" s="723" t="str">
        <f ca="1">IF(ROWS($1:6)&gt;COUNT(Dong2),"",OFFSET(TH!F$1,SMALL(Dong2,ROWS($1:6)),))</f>
        <v>Thu tiền hàng</v>
      </c>
      <c r="E17" s="722" t="str">
        <f ca="1">IF(ROWS($1:6)&gt;COUNT(Dong2),"",IF(OFFSET(TH!M$1,SMALL(Dong2,ROWS($1:6)),)=$I$6,OFFSET(TH!L$1,SMALL(Dong2,ROWS($1:6)),),OFFSET(TH!M$1,SMALL(Dong2,ROWS($1:6)),)))</f>
        <v>131</v>
      </c>
      <c r="F17" s="724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43410950</v>
      </c>
      <c r="G17" s="724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725">
        <f t="shared" ca="1" si="0"/>
        <v>44760034</v>
      </c>
      <c r="I17" s="726"/>
      <c r="L17" s="102"/>
    </row>
    <row r="18" spans="1:17" s="705" customFormat="1" ht="18.75" customHeight="1">
      <c r="A18" s="722">
        <f ca="1">IF(ROWS($1:7)&gt;COUNT(Dong2),"",OFFSET(TH!C$1,SMALL(Dong2,ROWS($1:7)),))</f>
        <v>42660</v>
      </c>
      <c r="B18" s="722" t="str">
        <f ca="1">IF(ROWS($1:7)&gt;COUNT(Dong2),"",OFFSET(TH!D$1,SMALL(Dong2,ROWS($1:7)),))</f>
        <v>GBN</v>
      </c>
      <c r="C18" s="722">
        <f ca="1">IF(ROWS($1:7)&gt;COUNT(Dong2),"",OFFSET(TH!E$1,SMALL(Dong2,ROWS($1:7)),))</f>
        <v>42660</v>
      </c>
      <c r="D18" s="723" t="str">
        <f ca="1">IF(ROWS($1:7)&gt;COUNT(Dong2),"",OFFSET(TH!F$1,SMALL(Dong2,ROWS($1:7)),))</f>
        <v>Thanh toán tiền thuê kho</v>
      </c>
      <c r="E18" s="722" t="str">
        <f ca="1">IF(ROWS($1:7)&gt;COUNT(Dong2),"",IF(OFFSET(TH!M$1,SMALL(Dong2,ROWS($1:7)),)=$I$6,OFFSET(TH!L$1,SMALL(Dong2,ROWS($1:7)),),OFFSET(TH!M$1,SMALL(Dong2,ROWS($1:7)),)))</f>
        <v>331</v>
      </c>
      <c r="F18" s="724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724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40700000</v>
      </c>
      <c r="H18" s="725">
        <f t="shared" ca="1" si="0"/>
        <v>4060034</v>
      </c>
      <c r="I18" s="726"/>
      <c r="L18" s="102"/>
    </row>
    <row r="19" spans="1:17" s="705" customFormat="1" ht="18.75" customHeight="1">
      <c r="A19" s="722">
        <f ca="1">IF(ROWS($1:8)&gt;COUNT(Dong2),"",OFFSET(TH!C$1,SMALL(Dong2,ROWS($1:8)),))</f>
        <v>42661</v>
      </c>
      <c r="B19" s="722" t="str">
        <f ca="1">IF(ROWS($1:8)&gt;COUNT(Dong2),"",OFFSET(TH!D$1,SMALL(Dong2,ROWS($1:8)),))</f>
        <v>T04</v>
      </c>
      <c r="C19" s="722">
        <f ca="1">IF(ROWS($1:8)&gt;COUNT(Dong2),"",OFFSET(TH!E$1,SMALL(Dong2,ROWS($1:8)),))</f>
        <v>42661</v>
      </c>
      <c r="D19" s="723" t="str">
        <f ca="1">IF(ROWS($1:8)&gt;COUNT(Dong2),"",OFFSET(TH!F$1,SMALL(Dong2,ROWS($1:8)),))</f>
        <v>Rút tiền mặt</v>
      </c>
      <c r="E19" s="722" t="str">
        <f ca="1">IF(ROWS($1:8)&gt;COUNT(Dong2),"",IF(OFFSET(TH!M$1,SMALL(Dong2,ROWS($1:8)),)=$I$6,OFFSET(TH!L$1,SMALL(Dong2,ROWS($1:8)),),OFFSET(TH!M$1,SMALL(Dong2,ROWS($1:8)),)))</f>
        <v>1111</v>
      </c>
      <c r="F19" s="724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724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3000000</v>
      </c>
      <c r="H19" s="725">
        <f t="shared" ca="1" si="0"/>
        <v>1060034</v>
      </c>
      <c r="I19" s="726"/>
      <c r="L19" s="102"/>
    </row>
    <row r="20" spans="1:17" s="705" customFormat="1" ht="18.75" customHeight="1">
      <c r="A20" s="722">
        <f ca="1">IF(ROWS($1:9)&gt;COUNT(Dong2),"",OFFSET(TH!C$1,SMALL(Dong2,ROWS($1:9)),))</f>
        <v>42662</v>
      </c>
      <c r="B20" s="722" t="str">
        <f ca="1">IF(ROWS($1:9)&gt;COUNT(Dong2),"",OFFSET(TH!D$1,SMALL(Dong2,ROWS($1:9)),))</f>
        <v>GBC</v>
      </c>
      <c r="C20" s="722">
        <f ca="1">IF(ROWS($1:9)&gt;COUNT(Dong2),"",OFFSET(TH!E$1,SMALL(Dong2,ROWS($1:9)),))</f>
        <v>42662</v>
      </c>
      <c r="D20" s="723" t="str">
        <f ca="1">IF(ROWS($1:9)&gt;COUNT(Dong2),"",OFFSET(TH!F$1,SMALL(Dong2,ROWS($1:9)),))</f>
        <v>Thu tiền hàng</v>
      </c>
      <c r="E20" s="722" t="str">
        <f ca="1">IF(ROWS($1:9)&gt;COUNT(Dong2),"",IF(OFFSET(TH!M$1,SMALL(Dong2,ROWS($1:9)),)=$I$6,OFFSET(TH!L$1,SMALL(Dong2,ROWS($1:9)),),OFFSET(TH!M$1,SMALL(Dong2,ROWS($1:9)),)))</f>
        <v>131</v>
      </c>
      <c r="F20" s="724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104148000</v>
      </c>
      <c r="G20" s="724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725">
        <f t="shared" ca="1" si="0"/>
        <v>105208034</v>
      </c>
      <c r="I20" s="726"/>
      <c r="L20" s="102"/>
    </row>
    <row r="21" spans="1:17" s="705" customFormat="1" ht="18.75" customHeight="1">
      <c r="A21" s="722">
        <f ca="1">IF(ROWS($1:10)&gt;COUNT(Dong2),"",OFFSET(TH!C$1,SMALL(Dong2,ROWS($1:10)),))</f>
        <v>42663</v>
      </c>
      <c r="B21" s="722" t="str">
        <f ca="1">IF(ROWS($1:10)&gt;COUNT(Dong2),"",OFFSET(TH!D$1,SMALL(Dong2,ROWS($1:10)),))</f>
        <v>T06</v>
      </c>
      <c r="C21" s="722">
        <f ca="1">IF(ROWS($1:10)&gt;COUNT(Dong2),"",OFFSET(TH!E$1,SMALL(Dong2,ROWS($1:10)),))</f>
        <v>42663</v>
      </c>
      <c r="D21" s="723" t="str">
        <f ca="1">IF(ROWS($1:10)&gt;COUNT(Dong2),"",OFFSET(TH!F$1,SMALL(Dong2,ROWS($1:10)),))</f>
        <v>Rút tiền mặt</v>
      </c>
      <c r="E21" s="722" t="str">
        <f ca="1">IF(ROWS($1:10)&gt;COUNT(Dong2),"",IF(OFFSET(TH!M$1,SMALL(Dong2,ROWS($1:10)),)=$I$6,OFFSET(TH!L$1,SMALL(Dong2,ROWS($1:10)),),OFFSET(TH!M$1,SMALL(Dong2,ROWS($1:10)),)))</f>
        <v>1111</v>
      </c>
      <c r="F21" s="724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724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104000000</v>
      </c>
      <c r="H21" s="725">
        <f t="shared" ca="1" si="0"/>
        <v>1208034</v>
      </c>
      <c r="I21" s="726"/>
      <c r="L21" s="102"/>
      <c r="Q21" s="710"/>
    </row>
    <row r="22" spans="1:17" s="705" customFormat="1" ht="18.75" customHeight="1">
      <c r="A22" s="722">
        <f ca="1">IF(ROWS($1:11)&gt;COUNT(Dong2),"",OFFSET(TH!C$1,SMALL(Dong2,ROWS($1:11)),))</f>
        <v>42667</v>
      </c>
      <c r="B22" s="722" t="str">
        <f ca="1">IF(ROWS($1:11)&gt;COUNT(Dong2),"",OFFSET(TH!D$1,SMALL(Dong2,ROWS($1:11)),))</f>
        <v>GBC</v>
      </c>
      <c r="C22" s="722">
        <f ca="1">IF(ROWS($1:11)&gt;COUNT(Dong2),"",OFFSET(TH!E$1,SMALL(Dong2,ROWS($1:11)),))</f>
        <v>42667</v>
      </c>
      <c r="D22" s="723" t="str">
        <f ca="1">IF(ROWS($1:11)&gt;COUNT(Dong2),"",OFFSET(TH!F$1,SMALL(Dong2,ROWS($1:11)),))</f>
        <v>Thu tiền hàng</v>
      </c>
      <c r="E22" s="722" t="str">
        <f ca="1">IF(ROWS($1:11)&gt;COUNT(Dong2),"",IF(OFFSET(TH!M$1,SMALL(Dong2,ROWS($1:11)),)=$I$6,OFFSET(TH!L$1,SMALL(Dong2,ROWS($1:11)),),OFFSET(TH!M$1,SMALL(Dong2,ROWS($1:11)),)))</f>
        <v>131</v>
      </c>
      <c r="F22" s="724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3548160</v>
      </c>
      <c r="G22" s="724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725">
        <f t="shared" ca="1" si="0"/>
        <v>4756194</v>
      </c>
      <c r="I22" s="726"/>
      <c r="L22" s="102"/>
    </row>
    <row r="23" spans="1:17" s="705" customFormat="1" ht="18.75" customHeight="1">
      <c r="A23" s="722">
        <f ca="1">IF(ROWS($1:12)&gt;COUNT(Dong2),"",OFFSET(TH!C$1,SMALL(Dong2,ROWS($1:12)),))</f>
        <v>42668</v>
      </c>
      <c r="B23" s="722" t="str">
        <f ca="1">IF(ROWS($1:12)&gt;COUNT(Dong2),"",OFFSET(TH!D$1,SMALL(Dong2,ROWS($1:12)),))</f>
        <v>GBC</v>
      </c>
      <c r="C23" s="722">
        <f ca="1">IF(ROWS($1:12)&gt;COUNT(Dong2),"",OFFSET(TH!E$1,SMALL(Dong2,ROWS($1:12)),))</f>
        <v>42668</v>
      </c>
      <c r="D23" s="723" t="str">
        <f ca="1">IF(ROWS($1:12)&gt;COUNT(Dong2),"",OFFSET(TH!F$1,SMALL(Dong2,ROWS($1:12)),))</f>
        <v>Lãi tiền gửi</v>
      </c>
      <c r="E23" s="722" t="str">
        <f ca="1">IF(ROWS($1:12)&gt;COUNT(Dong2),"",IF(OFFSET(TH!M$1,SMALL(Dong2,ROWS($1:12)),)=$I$6,OFFSET(TH!L$1,SMALL(Dong2,ROWS($1:12)),),OFFSET(TH!M$1,SMALL(Dong2,ROWS($1:12)),)))</f>
        <v>515</v>
      </c>
      <c r="F23" s="724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4672</v>
      </c>
      <c r="G23" s="724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725">
        <f t="shared" ca="1" si="0"/>
        <v>4760866</v>
      </c>
      <c r="I23" s="726"/>
      <c r="L23" s="102"/>
      <c r="Q23" s="727"/>
    </row>
    <row r="24" spans="1:17" s="705" customFormat="1" ht="18.75" customHeight="1">
      <c r="A24" s="722">
        <f ca="1">IF(ROWS($1:13)&gt;COUNT(Dong2),"",OFFSET(TH!C$1,SMALL(Dong2,ROWS($1:13)),))</f>
        <v>42668</v>
      </c>
      <c r="B24" s="722" t="str">
        <f ca="1">IF(ROWS($1:13)&gt;COUNT(Dong2),"",OFFSET(TH!D$1,SMALL(Dong2,ROWS($1:13)),))</f>
        <v>T07</v>
      </c>
      <c r="C24" s="722">
        <f ca="1">IF(ROWS($1:13)&gt;COUNT(Dong2),"",OFFSET(TH!E$1,SMALL(Dong2,ROWS($1:13)),))</f>
        <v>42668</v>
      </c>
      <c r="D24" s="723" t="str">
        <f ca="1">IF(ROWS($1:13)&gt;COUNT(Dong2),"",OFFSET(TH!F$1,SMALL(Dong2,ROWS($1:13)),))</f>
        <v>Rút tiền mặt</v>
      </c>
      <c r="E24" s="722" t="str">
        <f ca="1">IF(ROWS($1:13)&gt;COUNT(Dong2),"",IF(OFFSET(TH!M$1,SMALL(Dong2,ROWS($1:13)),)=$I$6,OFFSET(TH!L$1,SMALL(Dong2,ROWS($1:13)),),OFFSET(TH!M$1,SMALL(Dong2,ROWS($1:13)),)))</f>
        <v>1111</v>
      </c>
      <c r="F24" s="724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724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3500000</v>
      </c>
      <c r="H24" s="725">
        <f t="shared" ca="1" si="0"/>
        <v>1260866</v>
      </c>
      <c r="I24" s="726"/>
      <c r="L24" s="102"/>
    </row>
    <row r="25" spans="1:17" s="705" customFormat="1" ht="18.75" customHeight="1">
      <c r="A25" s="722">
        <f ca="1">IF(ROWS($1:14)&gt;COUNT(Dong2),"",OFFSET(TH!C$1,SMALL(Dong2,ROWS($1:14)),))</f>
        <v>42668</v>
      </c>
      <c r="B25" s="722" t="str">
        <f ca="1">IF(ROWS($1:14)&gt;COUNT(Dong2),"",OFFSET(TH!D$1,SMALL(Dong2,ROWS($1:14)),))</f>
        <v>GBN</v>
      </c>
      <c r="C25" s="722">
        <f ca="1">IF(ROWS($1:14)&gt;COUNT(Dong2),"",OFFSET(TH!E$1,SMALL(Dong2,ROWS($1:14)),))</f>
        <v>42668</v>
      </c>
      <c r="D25" s="723" t="str">
        <f ca="1">IF(ROWS($1:14)&gt;COUNT(Dong2),"",OFFSET(TH!F$1,SMALL(Dong2,ROWS($1:14)),))</f>
        <v>Phí quản lý tài khoản</v>
      </c>
      <c r="E25" s="722" t="str">
        <f ca="1">IF(ROWS($1:14)&gt;COUNT(Dong2),"",IF(OFFSET(TH!M$1,SMALL(Dong2,ROWS($1:14)),)=$I$6,OFFSET(TH!L$1,SMALL(Dong2,ROWS($1:14)),),OFFSET(TH!M$1,SMALL(Dong2,ROWS($1:14)),)))</f>
        <v>642</v>
      </c>
      <c r="F25" s="724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724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725">
        <f t="shared" ca="1" si="0"/>
        <v>1250866</v>
      </c>
      <c r="I25" s="726"/>
      <c r="L25" s="102"/>
    </row>
    <row r="26" spans="1:17" s="705" customFormat="1" ht="18.75" customHeight="1">
      <c r="A26" s="722">
        <f ca="1">IF(ROWS($1:15)&gt;COUNT(Dong2),"",OFFSET(TH!C$1,SMALL(Dong2,ROWS($1:15)),))</f>
        <v>42668</v>
      </c>
      <c r="B26" s="722" t="str">
        <f ca="1">IF(ROWS($1:15)&gt;COUNT(Dong2),"",OFFSET(TH!D$1,SMALL(Dong2,ROWS($1:15)),))</f>
        <v>GBN</v>
      </c>
      <c r="C26" s="722">
        <f ca="1">IF(ROWS($1:15)&gt;COUNT(Dong2),"",OFFSET(TH!E$1,SMALL(Dong2,ROWS($1:15)),))</f>
        <v>42668</v>
      </c>
      <c r="D26" s="723" t="str">
        <f ca="1">IF(ROWS($1:15)&gt;COUNT(Dong2),"",OFFSET(TH!F$1,SMALL(Dong2,ROWS($1:15)),))</f>
        <v>VAT Phí quản lý tài khoản</v>
      </c>
      <c r="E26" s="722" t="str">
        <f ca="1">IF(ROWS($1:15)&gt;COUNT(Dong2),"",IF(OFFSET(TH!M$1,SMALL(Dong2,ROWS($1:15)),)=$I$6,OFFSET(TH!L$1,SMALL(Dong2,ROWS($1:15)),),OFFSET(TH!M$1,SMALL(Dong2,ROWS($1:15)),)))</f>
        <v>1331</v>
      </c>
      <c r="F26" s="724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724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</v>
      </c>
      <c r="H26" s="725">
        <f t="shared" ca="1" si="0"/>
        <v>1249866</v>
      </c>
      <c r="I26" s="726"/>
      <c r="L26" s="102"/>
    </row>
    <row r="27" spans="1:17" s="705" customFormat="1" ht="18.75" customHeight="1">
      <c r="A27" s="722">
        <f ca="1">IF(ROWS($1:16)&gt;COUNT(Dong2),"",OFFSET(TH!C$1,SMALL(Dong2,ROWS($1:16)),))</f>
        <v>42677</v>
      </c>
      <c r="B27" s="722" t="str">
        <f ca="1">IF(ROWS($1:16)&gt;COUNT(Dong2),"",OFFSET(TH!D$1,SMALL(Dong2,ROWS($1:16)),))</f>
        <v>GBC</v>
      </c>
      <c r="C27" s="722">
        <f ca="1">IF(ROWS($1:16)&gt;COUNT(Dong2),"",OFFSET(TH!E$1,SMALL(Dong2,ROWS($1:16)),))</f>
        <v>42677</v>
      </c>
      <c r="D27" s="723" t="str">
        <f ca="1">IF(ROWS($1:16)&gt;COUNT(Dong2),"",OFFSET(TH!F$1,SMALL(Dong2,ROWS($1:16)),))</f>
        <v>Thu tiền hàng</v>
      </c>
      <c r="E27" s="722" t="str">
        <f ca="1">IF(ROWS($1:16)&gt;COUNT(Dong2),"",IF(OFFSET(TH!M$1,SMALL(Dong2,ROWS($1:16)),)=$I$6,OFFSET(TH!L$1,SMALL(Dong2,ROWS($1:16)),),OFFSET(TH!M$1,SMALL(Dong2,ROWS($1:16)),)))</f>
        <v>131</v>
      </c>
      <c r="F27" s="724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84216000</v>
      </c>
      <c r="G27" s="724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725">
        <f t="shared" ca="1" si="0"/>
        <v>85465866</v>
      </c>
      <c r="I27" s="726"/>
      <c r="L27" s="102"/>
    </row>
    <row r="28" spans="1:17" s="705" customFormat="1" ht="18.75" customHeight="1">
      <c r="A28" s="722">
        <f ca="1">IF(ROWS($1:17)&gt;COUNT(Dong2),"",OFFSET(TH!C$1,SMALL(Dong2,ROWS($1:17)),))</f>
        <v>42678</v>
      </c>
      <c r="B28" s="722" t="str">
        <f ca="1">IF(ROWS($1:17)&gt;COUNT(Dong2),"",OFFSET(TH!D$1,SMALL(Dong2,ROWS($1:17)),))</f>
        <v>GBN</v>
      </c>
      <c r="C28" s="722">
        <f ca="1">IF(ROWS($1:17)&gt;COUNT(Dong2),"",OFFSET(TH!E$1,SMALL(Dong2,ROWS($1:17)),))</f>
        <v>42678</v>
      </c>
      <c r="D28" s="723" t="str">
        <f ca="1">IF(ROWS($1:17)&gt;COUNT(Dong2),"",OFFSET(TH!F$1,SMALL(Dong2,ROWS($1:17)),))</f>
        <v>Thanh toán tiền hàng</v>
      </c>
      <c r="E28" s="722" t="str">
        <f ca="1">IF(ROWS($1:17)&gt;COUNT(Dong2),"",IF(OFFSET(TH!M$1,SMALL(Dong2,ROWS($1:17)),)=$I$6,OFFSET(TH!L$1,SMALL(Dong2,ROWS($1:17)),),OFFSET(TH!M$1,SMALL(Dong2,ROWS($1:17)),)))</f>
        <v>331</v>
      </c>
      <c r="F28" s="724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724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25000000</v>
      </c>
      <c r="H28" s="725">
        <f t="shared" ca="1" si="0"/>
        <v>60465866</v>
      </c>
      <c r="I28" s="726"/>
      <c r="L28" s="102"/>
    </row>
    <row r="29" spans="1:17" s="705" customFormat="1" ht="18.75" customHeight="1">
      <c r="A29" s="722">
        <f ca="1">IF(ROWS($1:18)&gt;COUNT(Dong2),"",OFFSET(TH!C$1,SMALL(Dong2,ROWS($1:18)),))</f>
        <v>42678</v>
      </c>
      <c r="B29" s="722" t="str">
        <f ca="1">IF(ROWS($1:18)&gt;COUNT(Dong2),"",OFFSET(TH!D$1,SMALL(Dong2,ROWS($1:18)),))</f>
        <v>GBN</v>
      </c>
      <c r="C29" s="722">
        <f ca="1">IF(ROWS($1:18)&gt;COUNT(Dong2),"",OFFSET(TH!E$1,SMALL(Dong2,ROWS($1:18)),))</f>
        <v>42678</v>
      </c>
      <c r="D29" s="723" t="str">
        <f ca="1">IF(ROWS($1:18)&gt;COUNT(Dong2),"",OFFSET(TH!F$1,SMALL(Dong2,ROWS($1:18)),))</f>
        <v>Phí chuyển tiền</v>
      </c>
      <c r="E29" s="722" t="str">
        <f ca="1">IF(ROWS($1:18)&gt;COUNT(Dong2),"",IF(OFFSET(TH!M$1,SMALL(Dong2,ROWS($1:18)),)=$I$6,OFFSET(TH!L$1,SMALL(Dong2,ROWS($1:18)),),OFFSET(TH!M$1,SMALL(Dong2,ROWS($1:18)),)))</f>
        <v>642</v>
      </c>
      <c r="F29" s="724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724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20000</v>
      </c>
      <c r="H29" s="725">
        <f t="shared" ca="1" si="0"/>
        <v>60445866</v>
      </c>
      <c r="I29" s="726"/>
      <c r="L29" s="102"/>
    </row>
    <row r="30" spans="1:17" s="705" customFormat="1" ht="18.75" customHeight="1">
      <c r="A30" s="722">
        <f ca="1">IF(ROWS($1:19)&gt;COUNT(Dong2),"",OFFSET(TH!C$1,SMALL(Dong2,ROWS($1:19)),))</f>
        <v>42678</v>
      </c>
      <c r="B30" s="722" t="str">
        <f ca="1">IF(ROWS($1:19)&gt;COUNT(Dong2),"",OFFSET(TH!D$1,SMALL(Dong2,ROWS($1:19)),))</f>
        <v>GBN</v>
      </c>
      <c r="C30" s="722">
        <f ca="1">IF(ROWS($1:19)&gt;COUNT(Dong2),"",OFFSET(TH!E$1,SMALL(Dong2,ROWS($1:19)),))</f>
        <v>42678</v>
      </c>
      <c r="D30" s="723" t="str">
        <f ca="1">IF(ROWS($1:19)&gt;COUNT(Dong2),"",OFFSET(TH!F$1,SMALL(Dong2,ROWS($1:19)),))</f>
        <v>VAT Phí chuyển tiền</v>
      </c>
      <c r="E30" s="722" t="str">
        <f ca="1">IF(ROWS($1:19)&gt;COUNT(Dong2),"",IF(OFFSET(TH!M$1,SMALL(Dong2,ROWS($1:19)),)=$I$6,OFFSET(TH!L$1,SMALL(Dong2,ROWS($1:19)),),OFFSET(TH!M$1,SMALL(Dong2,ROWS($1:19)),)))</f>
        <v>1331</v>
      </c>
      <c r="F30" s="724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724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2000</v>
      </c>
      <c r="H30" s="725">
        <f t="shared" ca="1" si="0"/>
        <v>60443866</v>
      </c>
      <c r="I30" s="726"/>
      <c r="L30" s="102"/>
    </row>
    <row r="31" spans="1:17" s="705" customFormat="1" ht="18.75" customHeight="1">
      <c r="A31" s="722">
        <f ca="1">IF(ROWS($1:20)&gt;COUNT(Dong2),"",OFFSET(TH!C$1,SMALL(Dong2,ROWS($1:20)),))</f>
        <v>42678</v>
      </c>
      <c r="B31" s="722" t="str">
        <f ca="1">IF(ROWS($1:20)&gt;COUNT(Dong2),"",OFFSET(TH!D$1,SMALL(Dong2,ROWS($1:20)),))</f>
        <v>T08</v>
      </c>
      <c r="C31" s="722">
        <f ca="1">IF(ROWS($1:20)&gt;COUNT(Dong2),"",OFFSET(TH!E$1,SMALL(Dong2,ROWS($1:20)),))</f>
        <v>42678</v>
      </c>
      <c r="D31" s="723" t="str">
        <f ca="1">IF(ROWS($1:20)&gt;COUNT(Dong2),"",OFFSET(TH!F$1,SMALL(Dong2,ROWS($1:20)),))</f>
        <v>Rút tiền mặt</v>
      </c>
      <c r="E31" s="722" t="str">
        <f ca="1">IF(ROWS($1:20)&gt;COUNT(Dong2),"",IF(OFFSET(TH!M$1,SMALL(Dong2,ROWS($1:20)),)=$I$6,OFFSET(TH!L$1,SMALL(Dong2,ROWS($1:20)),),OFFSET(TH!M$1,SMALL(Dong2,ROWS($1:20)),)))</f>
        <v>1111</v>
      </c>
      <c r="F31" s="724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724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59000000</v>
      </c>
      <c r="H31" s="725">
        <f t="shared" ca="1" si="0"/>
        <v>1443866</v>
      </c>
      <c r="I31" s="726"/>
      <c r="L31" s="102"/>
    </row>
    <row r="32" spans="1:17" s="705" customFormat="1" ht="18.75" customHeight="1">
      <c r="A32" s="722">
        <f ca="1">IF(ROWS($1:21)&gt;COUNT(Dong2),"",OFFSET(TH!C$1,SMALL(Dong2,ROWS($1:21)),))</f>
        <v>42684</v>
      </c>
      <c r="B32" s="722" t="str">
        <f ca="1">IF(ROWS($1:21)&gt;COUNT(Dong2),"",OFFSET(TH!D$1,SMALL(Dong2,ROWS($1:21)),))</f>
        <v>GBC</v>
      </c>
      <c r="C32" s="722">
        <f ca="1">IF(ROWS($1:21)&gt;COUNT(Dong2),"",OFFSET(TH!E$1,SMALL(Dong2,ROWS($1:21)),))</f>
        <v>42684</v>
      </c>
      <c r="D32" s="723" t="str">
        <f ca="1">IF(ROWS($1:21)&gt;COUNT(Dong2),"",OFFSET(TH!F$1,SMALL(Dong2,ROWS($1:21)),))</f>
        <v>Thu tiền hàng</v>
      </c>
      <c r="E32" s="722" t="str">
        <f ca="1">IF(ROWS($1:21)&gt;COUNT(Dong2),"",IF(OFFSET(TH!M$1,SMALL(Dong2,ROWS($1:21)),)=$I$6,OFFSET(TH!L$1,SMALL(Dong2,ROWS($1:21)),),OFFSET(TH!M$1,SMALL(Dong2,ROWS($1:21)),)))</f>
        <v>131</v>
      </c>
      <c r="F32" s="724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29870500</v>
      </c>
      <c r="G32" s="724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25">
        <f t="shared" ca="1" si="0"/>
        <v>31314366</v>
      </c>
      <c r="I32" s="726"/>
      <c r="L32" s="102"/>
    </row>
    <row r="33" spans="1:12" s="705" customFormat="1" ht="18.75" customHeight="1">
      <c r="A33" s="722">
        <f ca="1">IF(ROWS($1:22)&gt;COUNT(Dong2),"",OFFSET(TH!C$1,SMALL(Dong2,ROWS($1:22)),))</f>
        <v>42685</v>
      </c>
      <c r="B33" s="722" t="str">
        <f ca="1">IF(ROWS($1:22)&gt;COUNT(Dong2),"",OFFSET(TH!D$1,SMALL(Dong2,ROWS($1:22)),))</f>
        <v>GBN</v>
      </c>
      <c r="C33" s="722">
        <f ca="1">IF(ROWS($1:22)&gt;COUNT(Dong2),"",OFFSET(TH!E$1,SMALL(Dong2,ROWS($1:22)),))</f>
        <v>42685</v>
      </c>
      <c r="D33" s="723" t="str">
        <f ca="1">IF(ROWS($1:22)&gt;COUNT(Dong2),"",OFFSET(TH!F$1,SMALL(Dong2,ROWS($1:22)),))</f>
        <v>Thanh toán tiền hàng</v>
      </c>
      <c r="E33" s="722" t="str">
        <f ca="1">IF(ROWS($1:22)&gt;COUNT(Dong2),"",IF(OFFSET(TH!M$1,SMALL(Dong2,ROWS($1:22)),)=$I$6,OFFSET(TH!L$1,SMALL(Dong2,ROWS($1:22)),),OFFSET(TH!M$1,SMALL(Dong2,ROWS($1:22)),)))</f>
        <v>331</v>
      </c>
      <c r="F33" s="724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724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12000000</v>
      </c>
      <c r="H33" s="725">
        <f t="shared" ca="1" si="0"/>
        <v>19314366</v>
      </c>
      <c r="I33" s="726"/>
      <c r="L33" s="102"/>
    </row>
    <row r="34" spans="1:12" s="705" customFormat="1" ht="18.75" customHeight="1">
      <c r="A34" s="722">
        <f ca="1">IF(ROWS($1:23)&gt;COUNT(Dong2),"",OFFSET(TH!C$1,SMALL(Dong2,ROWS($1:23)),))</f>
        <v>42685</v>
      </c>
      <c r="B34" s="722" t="str">
        <f ca="1">IF(ROWS($1:23)&gt;COUNT(Dong2),"",OFFSET(TH!D$1,SMALL(Dong2,ROWS($1:23)),))</f>
        <v>GBN</v>
      </c>
      <c r="C34" s="722">
        <f ca="1">IF(ROWS($1:23)&gt;COUNT(Dong2),"",OFFSET(TH!E$1,SMALL(Dong2,ROWS($1:23)),))</f>
        <v>42685</v>
      </c>
      <c r="D34" s="723" t="str">
        <f ca="1">IF(ROWS($1:23)&gt;COUNT(Dong2),"",OFFSET(TH!F$1,SMALL(Dong2,ROWS($1:23)),))</f>
        <v>Phí chuyển tiền</v>
      </c>
      <c r="E34" s="722" t="str">
        <f ca="1">IF(ROWS($1:23)&gt;COUNT(Dong2),"",IF(OFFSET(TH!M$1,SMALL(Dong2,ROWS($1:23)),)=$I$6,OFFSET(TH!L$1,SMALL(Dong2,ROWS($1:23)),),OFFSET(TH!M$1,SMALL(Dong2,ROWS($1:23)),)))</f>
        <v>642</v>
      </c>
      <c r="F34" s="724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724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20000</v>
      </c>
      <c r="H34" s="725">
        <f t="shared" ca="1" si="0"/>
        <v>19294366</v>
      </c>
      <c r="I34" s="726"/>
      <c r="L34" s="102"/>
    </row>
    <row r="35" spans="1:12" s="705" customFormat="1" ht="18.75" customHeight="1">
      <c r="A35" s="722">
        <f ca="1">IF(ROWS($1:24)&gt;COUNT(Dong2),"",OFFSET(TH!C$1,SMALL(Dong2,ROWS($1:24)),))</f>
        <v>42685</v>
      </c>
      <c r="B35" s="722" t="str">
        <f ca="1">IF(ROWS($1:24)&gt;COUNT(Dong2),"",OFFSET(TH!D$1,SMALL(Dong2,ROWS($1:24)),))</f>
        <v>GBN</v>
      </c>
      <c r="C35" s="722">
        <f ca="1">IF(ROWS($1:24)&gt;COUNT(Dong2),"",OFFSET(TH!E$1,SMALL(Dong2,ROWS($1:24)),))</f>
        <v>42685</v>
      </c>
      <c r="D35" s="723" t="str">
        <f ca="1">IF(ROWS($1:24)&gt;COUNT(Dong2),"",OFFSET(TH!F$1,SMALL(Dong2,ROWS($1:24)),))</f>
        <v>VAT Phí chuyển tiền</v>
      </c>
      <c r="E35" s="722" t="str">
        <f ca="1">IF(ROWS($1:24)&gt;COUNT(Dong2),"",IF(OFFSET(TH!M$1,SMALL(Dong2,ROWS($1:24)),)=$I$6,OFFSET(TH!L$1,SMALL(Dong2,ROWS($1:24)),),OFFSET(TH!M$1,SMALL(Dong2,ROWS($1:24)),)))</f>
        <v>1331</v>
      </c>
      <c r="F35" s="724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724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2000</v>
      </c>
      <c r="H35" s="725">
        <f t="shared" ca="1" si="0"/>
        <v>19292366</v>
      </c>
      <c r="I35" s="726"/>
      <c r="L35" s="102"/>
    </row>
    <row r="36" spans="1:12" s="705" customFormat="1" ht="18.75" customHeight="1">
      <c r="A36" s="722">
        <f ca="1">IF(ROWS($1:25)&gt;COUNT(Dong2),"",OFFSET(TH!C$1,SMALL(Dong2,ROWS($1:25)),))</f>
        <v>42685</v>
      </c>
      <c r="B36" s="722" t="str">
        <f ca="1">IF(ROWS($1:25)&gt;COUNT(Dong2),"",OFFSET(TH!D$1,SMALL(Dong2,ROWS($1:25)),))</f>
        <v>T11</v>
      </c>
      <c r="C36" s="722">
        <f ca="1">IF(ROWS($1:25)&gt;COUNT(Dong2),"",OFFSET(TH!E$1,SMALL(Dong2,ROWS($1:25)),))</f>
        <v>42685</v>
      </c>
      <c r="D36" s="723" t="str">
        <f ca="1">IF(ROWS($1:25)&gt;COUNT(Dong2),"",OFFSET(TH!F$1,SMALL(Dong2,ROWS($1:25)),))</f>
        <v>Rút tiền mặt</v>
      </c>
      <c r="E36" s="722" t="str">
        <f ca="1">IF(ROWS($1:25)&gt;COUNT(Dong2),"",IF(OFFSET(TH!M$1,SMALL(Dong2,ROWS($1:25)),)=$I$6,OFFSET(TH!L$1,SMALL(Dong2,ROWS($1:25)),),OFFSET(TH!M$1,SMALL(Dong2,ROWS($1:25)),)))</f>
        <v>1111</v>
      </c>
      <c r="F36" s="724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724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18000000</v>
      </c>
      <c r="H36" s="725">
        <f t="shared" ca="1" si="0"/>
        <v>1292366</v>
      </c>
      <c r="I36" s="726"/>
      <c r="L36" s="102"/>
    </row>
    <row r="37" spans="1:12" s="705" customFormat="1" ht="18.75" customHeight="1">
      <c r="A37" s="722">
        <f ca="1">IF(ROWS($1:26)&gt;COUNT(Dong2),"",OFFSET(TH!C$1,SMALL(Dong2,ROWS($1:26)),))</f>
        <v>42688</v>
      </c>
      <c r="B37" s="722" t="str">
        <f ca="1">IF(ROWS($1:26)&gt;COUNT(Dong2),"",OFFSET(TH!D$1,SMALL(Dong2,ROWS($1:26)),))</f>
        <v>C18</v>
      </c>
      <c r="C37" s="722">
        <f ca="1">IF(ROWS($1:26)&gt;COUNT(Dong2),"",OFFSET(TH!E$1,SMALL(Dong2,ROWS($1:26)),))</f>
        <v>42688</v>
      </c>
      <c r="D37" s="723" t="str">
        <f ca="1">IF(ROWS($1:26)&gt;COUNT(Dong2),"",OFFSET(TH!F$1,SMALL(Dong2,ROWS($1:26)),))</f>
        <v>Nộp tiền mặt</v>
      </c>
      <c r="E37" s="722" t="str">
        <f ca="1">IF(ROWS($1:26)&gt;COUNT(Dong2),"",IF(OFFSET(TH!M$1,SMALL(Dong2,ROWS($1:26)),)=$I$6,OFFSET(TH!L$1,SMALL(Dong2,ROWS($1:26)),),OFFSET(TH!M$1,SMALL(Dong2,ROWS($1:26)),)))</f>
        <v>1111</v>
      </c>
      <c r="F37" s="724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20000000</v>
      </c>
      <c r="G37" s="724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725">
        <f t="shared" ca="1" si="0"/>
        <v>21292366</v>
      </c>
      <c r="I37" s="726"/>
      <c r="L37" s="102"/>
    </row>
    <row r="38" spans="1:12" s="705" customFormat="1" ht="18.75" customHeight="1">
      <c r="A38" s="722">
        <f ca="1">IF(ROWS($1:27)&gt;COUNT(Dong2),"",OFFSET(TH!C$1,SMALL(Dong2,ROWS($1:27)),))</f>
        <v>42688</v>
      </c>
      <c r="B38" s="722" t="str">
        <f ca="1">IF(ROWS($1:27)&gt;COUNT(Dong2),"",OFFSET(TH!D$1,SMALL(Dong2,ROWS($1:27)),))</f>
        <v>GBN</v>
      </c>
      <c r="C38" s="722">
        <f ca="1">IF(ROWS($1:27)&gt;COUNT(Dong2),"",OFFSET(TH!E$1,SMALL(Dong2,ROWS($1:27)),))</f>
        <v>42688</v>
      </c>
      <c r="D38" s="723" t="str">
        <f ca="1">IF(ROWS($1:27)&gt;COUNT(Dong2),"",OFFSET(TH!F$1,SMALL(Dong2,ROWS($1:27)),))</f>
        <v>Phí nộp tiền chuyển trong ngày</v>
      </c>
      <c r="E38" s="722" t="str">
        <f ca="1">IF(ROWS($1:27)&gt;COUNT(Dong2),"",IF(OFFSET(TH!M$1,SMALL(Dong2,ROWS($1:27)),)=$I$6,OFFSET(TH!L$1,SMALL(Dong2,ROWS($1:27)),),OFFSET(TH!M$1,SMALL(Dong2,ROWS($1:27)),)))</f>
        <v>642</v>
      </c>
      <c r="F38" s="724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724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</v>
      </c>
      <c r="H38" s="725">
        <f t="shared" ca="1" si="0"/>
        <v>21272366</v>
      </c>
      <c r="I38" s="726"/>
      <c r="L38" s="102"/>
    </row>
    <row r="39" spans="1:12" s="705" customFormat="1" ht="18.75" customHeight="1">
      <c r="A39" s="722">
        <f ca="1">IF(ROWS($1:28)&gt;COUNT(Dong2),"",OFFSET(TH!C$1,SMALL(Dong2,ROWS($1:28)),))</f>
        <v>42688</v>
      </c>
      <c r="B39" s="722" t="str">
        <f ca="1">IF(ROWS($1:28)&gt;COUNT(Dong2),"",OFFSET(TH!D$1,SMALL(Dong2,ROWS($1:28)),))</f>
        <v>GBN</v>
      </c>
      <c r="C39" s="722">
        <f ca="1">IF(ROWS($1:28)&gt;COUNT(Dong2),"",OFFSET(TH!E$1,SMALL(Dong2,ROWS($1:28)),))</f>
        <v>42688</v>
      </c>
      <c r="D39" s="723" t="str">
        <f ca="1">IF(ROWS($1:28)&gt;COUNT(Dong2),"",OFFSET(TH!F$1,SMALL(Dong2,ROWS($1:28)),))</f>
        <v>VAT Phí nộp tiền chuyển trong ngày</v>
      </c>
      <c r="E39" s="722" t="str">
        <f ca="1">IF(ROWS($1:28)&gt;COUNT(Dong2),"",IF(OFFSET(TH!M$1,SMALL(Dong2,ROWS($1:28)),)=$I$6,OFFSET(TH!L$1,SMALL(Dong2,ROWS($1:28)),),OFFSET(TH!M$1,SMALL(Dong2,ROWS($1:28)),)))</f>
        <v>1331</v>
      </c>
      <c r="F39" s="724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724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</v>
      </c>
      <c r="H39" s="725">
        <f t="shared" ca="1" si="0"/>
        <v>21270366</v>
      </c>
      <c r="I39" s="726"/>
      <c r="L39" s="102"/>
    </row>
    <row r="40" spans="1:12" s="705" customFormat="1" ht="18.75" customHeight="1">
      <c r="A40" s="722">
        <f ca="1">IF(ROWS($1:29)&gt;COUNT(Dong2),"",OFFSET(TH!C$1,SMALL(Dong2,ROWS($1:29)),))</f>
        <v>42688</v>
      </c>
      <c r="B40" s="722" t="str">
        <f ca="1">IF(ROWS($1:29)&gt;COUNT(Dong2),"",OFFSET(TH!D$1,SMALL(Dong2,ROWS($1:29)),))</f>
        <v>GBN</v>
      </c>
      <c r="C40" s="722">
        <f ca="1">IF(ROWS($1:29)&gt;COUNT(Dong2),"",OFFSET(TH!E$1,SMALL(Dong2,ROWS($1:29)),))</f>
        <v>42688</v>
      </c>
      <c r="D40" s="723" t="str">
        <f ca="1">IF(ROWS($1:29)&gt;COUNT(Dong2),"",OFFSET(TH!F$1,SMALL(Dong2,ROWS($1:29)),))</f>
        <v>Thanh toán tiền hàng</v>
      </c>
      <c r="E40" s="722" t="str">
        <f ca="1">IF(ROWS($1:29)&gt;COUNT(Dong2),"",IF(OFFSET(TH!M$1,SMALL(Dong2,ROWS($1:29)),)=$I$6,OFFSET(TH!L$1,SMALL(Dong2,ROWS($1:29)),),OFFSET(TH!M$1,SMALL(Dong2,ROWS($1:29)),)))</f>
        <v>331</v>
      </c>
      <c r="F40" s="724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724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20000000</v>
      </c>
      <c r="H40" s="725">
        <f t="shared" ca="1" si="0"/>
        <v>1270366</v>
      </c>
      <c r="I40" s="726"/>
    </row>
    <row r="41" spans="1:12" s="705" customFormat="1" ht="18.75" customHeight="1">
      <c r="A41" s="722">
        <f ca="1">IF(ROWS($1:30)&gt;COUNT(Dong2),"",OFFSET(TH!C$1,SMALL(Dong2,ROWS($1:30)),))</f>
        <v>42688</v>
      </c>
      <c r="B41" s="722" t="str">
        <f ca="1">IF(ROWS($1:30)&gt;COUNT(Dong2),"",OFFSET(TH!D$1,SMALL(Dong2,ROWS($1:30)),))</f>
        <v>GBN</v>
      </c>
      <c r="C41" s="722">
        <f ca="1">IF(ROWS($1:30)&gt;COUNT(Dong2),"",OFFSET(TH!E$1,SMALL(Dong2,ROWS($1:30)),))</f>
        <v>42688</v>
      </c>
      <c r="D41" s="723" t="str">
        <f ca="1">IF(ROWS($1:30)&gt;COUNT(Dong2),"",OFFSET(TH!F$1,SMALL(Dong2,ROWS($1:30)),))</f>
        <v>Phí chuyển tiền</v>
      </c>
      <c r="E41" s="722" t="str">
        <f ca="1">IF(ROWS($1:30)&gt;COUNT(Dong2),"",IF(OFFSET(TH!M$1,SMALL(Dong2,ROWS($1:30)),)=$I$6,OFFSET(TH!L$1,SMALL(Dong2,ROWS($1:30)),),OFFSET(TH!M$1,SMALL(Dong2,ROWS($1:30)),)))</f>
        <v>642</v>
      </c>
      <c r="F41" s="724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724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10000</v>
      </c>
      <c r="H41" s="725">
        <f t="shared" ca="1" si="0"/>
        <v>1260366</v>
      </c>
      <c r="I41" s="726"/>
    </row>
    <row r="42" spans="1:12" s="705" customFormat="1" ht="18.75" customHeight="1">
      <c r="A42" s="722">
        <f ca="1">IF(ROWS($1:31)&gt;COUNT(Dong2),"",OFFSET(TH!C$1,SMALL(Dong2,ROWS($1:31)),))</f>
        <v>42688</v>
      </c>
      <c r="B42" s="722" t="str">
        <f ca="1">IF(ROWS($1:31)&gt;COUNT(Dong2),"",OFFSET(TH!D$1,SMALL(Dong2,ROWS($1:31)),))</f>
        <v>GBN</v>
      </c>
      <c r="C42" s="722">
        <f ca="1">IF(ROWS($1:31)&gt;COUNT(Dong2),"",OFFSET(TH!E$1,SMALL(Dong2,ROWS($1:31)),))</f>
        <v>42688</v>
      </c>
      <c r="D42" s="723" t="str">
        <f ca="1">IF(ROWS($1:31)&gt;COUNT(Dong2),"",OFFSET(TH!F$1,SMALL(Dong2,ROWS($1:31)),))</f>
        <v>VAT Phí chuyển tiền</v>
      </c>
      <c r="E42" s="722" t="str">
        <f ca="1">IF(ROWS($1:31)&gt;COUNT(Dong2),"",IF(OFFSET(TH!M$1,SMALL(Dong2,ROWS($1:31)),)=$I$6,OFFSET(TH!L$1,SMALL(Dong2,ROWS($1:31)),),OFFSET(TH!M$1,SMALL(Dong2,ROWS($1:31)),)))</f>
        <v>1331</v>
      </c>
      <c r="F42" s="724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724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</v>
      </c>
      <c r="H42" s="725">
        <f t="shared" ca="1" si="0"/>
        <v>1259366</v>
      </c>
      <c r="I42" s="726"/>
    </row>
    <row r="43" spans="1:12" s="705" customFormat="1" ht="18.75" customHeight="1">
      <c r="A43" s="722">
        <f ca="1">IF(ROWS($1:32)&gt;COUNT(Dong2),"",OFFSET(TH!C$1,SMALL(Dong2,ROWS($1:32)),))</f>
        <v>42689</v>
      </c>
      <c r="B43" s="722" t="str">
        <f ca="1">IF(ROWS($1:32)&gt;COUNT(Dong2),"",OFFSET(TH!D$1,SMALL(Dong2,ROWS($1:32)),))</f>
        <v>GBC</v>
      </c>
      <c r="C43" s="722">
        <f ca="1">IF(ROWS($1:32)&gt;COUNT(Dong2),"",OFFSET(TH!E$1,SMALL(Dong2,ROWS($1:32)),))</f>
        <v>42689</v>
      </c>
      <c r="D43" s="723" t="str">
        <f ca="1">IF(ROWS($1:32)&gt;COUNT(Dong2),"",OFFSET(TH!F$1,SMALL(Dong2,ROWS($1:32)),))</f>
        <v>Thu tiền hàng</v>
      </c>
      <c r="E43" s="722" t="str">
        <f ca="1">IF(ROWS($1:32)&gt;COUNT(Dong2),"",IF(OFFSET(TH!M$1,SMALL(Dong2,ROWS($1:32)),)=$I$6,OFFSET(TH!L$1,SMALL(Dong2,ROWS($1:32)),),OFFSET(TH!M$1,SMALL(Dong2,ROWS($1:32)),)))</f>
        <v>131</v>
      </c>
      <c r="F43" s="724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41492000</v>
      </c>
      <c r="G43" s="724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725">
        <f t="shared" ca="1" si="0"/>
        <v>42751366</v>
      </c>
      <c r="I43" s="726"/>
    </row>
    <row r="44" spans="1:12" s="705" customFormat="1" ht="18.75" customHeight="1">
      <c r="A44" s="722">
        <f ca="1">IF(ROWS($1:33)&gt;COUNT(Dong2),"",OFFSET(TH!C$1,SMALL(Dong2,ROWS($1:33)),))</f>
        <v>42689</v>
      </c>
      <c r="B44" s="722" t="str">
        <f ca="1">IF(ROWS($1:33)&gt;COUNT(Dong2),"",OFFSET(TH!D$1,SMALL(Dong2,ROWS($1:33)),))</f>
        <v>T12</v>
      </c>
      <c r="C44" s="722">
        <f ca="1">IF(ROWS($1:33)&gt;COUNT(Dong2),"",OFFSET(TH!E$1,SMALL(Dong2,ROWS($1:33)),))</f>
        <v>42689</v>
      </c>
      <c r="D44" s="723" t="str">
        <f ca="1">IF(ROWS($1:33)&gt;COUNT(Dong2),"",OFFSET(TH!F$1,SMALL(Dong2,ROWS($1:33)),))</f>
        <v>Rút tiền mặt</v>
      </c>
      <c r="E44" s="722" t="str">
        <f ca="1">IF(ROWS($1:33)&gt;COUNT(Dong2),"",IF(OFFSET(TH!M$1,SMALL(Dong2,ROWS($1:33)),)=$I$6,OFFSET(TH!L$1,SMALL(Dong2,ROWS($1:33)),),OFFSET(TH!M$1,SMALL(Dong2,ROWS($1:33)),)))</f>
        <v>1111</v>
      </c>
      <c r="F44" s="724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724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10000000</v>
      </c>
      <c r="H44" s="725">
        <f t="shared" ca="1" si="0"/>
        <v>32751366</v>
      </c>
      <c r="I44" s="726"/>
    </row>
    <row r="45" spans="1:12" s="705" customFormat="1" ht="18.75" customHeight="1">
      <c r="A45" s="722">
        <f ca="1">IF(ROWS($1:34)&gt;COUNT(Dong2),"",OFFSET(TH!C$1,SMALL(Dong2,ROWS($1:34)),))</f>
        <v>42691</v>
      </c>
      <c r="B45" s="722" t="str">
        <f ca="1">IF(ROWS($1:34)&gt;COUNT(Dong2),"",OFFSET(TH!D$1,SMALL(Dong2,ROWS($1:34)),))</f>
        <v>GBC</v>
      </c>
      <c r="C45" s="722">
        <f ca="1">IF(ROWS($1:34)&gt;COUNT(Dong2),"",OFFSET(TH!E$1,SMALL(Dong2,ROWS($1:34)),))</f>
        <v>42691</v>
      </c>
      <c r="D45" s="723" t="str">
        <f ca="1">IF(ROWS($1:34)&gt;COUNT(Dong2),"",OFFSET(TH!F$1,SMALL(Dong2,ROWS($1:34)),))</f>
        <v>Thu tiền hàng</v>
      </c>
      <c r="E45" s="722" t="str">
        <f ca="1">IF(ROWS($1:34)&gt;COUNT(Dong2),"",IF(OFFSET(TH!M$1,SMALL(Dong2,ROWS($1:34)),)=$I$6,OFFSET(TH!L$1,SMALL(Dong2,ROWS($1:34)),),OFFSET(TH!M$1,SMALL(Dong2,ROWS($1:34)),)))</f>
        <v>131</v>
      </c>
      <c r="F45" s="724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63756000</v>
      </c>
      <c r="G45" s="724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725">
        <f t="shared" ca="1" si="0"/>
        <v>96507366</v>
      </c>
      <c r="I45" s="726"/>
    </row>
    <row r="46" spans="1:12" s="705" customFormat="1" ht="18.75" customHeight="1">
      <c r="A46" s="722">
        <f ca="1">IF(ROWS($1:35)&gt;COUNT(Dong2),"",OFFSET(TH!C$1,SMALL(Dong2,ROWS($1:35)),))</f>
        <v>42692</v>
      </c>
      <c r="B46" s="722" t="str">
        <f ca="1">IF(ROWS($1:35)&gt;COUNT(Dong2),"",OFFSET(TH!D$1,SMALL(Dong2,ROWS($1:35)),))</f>
        <v>GBN</v>
      </c>
      <c r="C46" s="722">
        <f ca="1">IF(ROWS($1:35)&gt;COUNT(Dong2),"",OFFSET(TH!E$1,SMALL(Dong2,ROWS($1:35)),))</f>
        <v>42692</v>
      </c>
      <c r="D46" s="723" t="str">
        <f ca="1">IF(ROWS($1:35)&gt;COUNT(Dong2),"",OFFSET(TH!F$1,SMALL(Dong2,ROWS($1:35)),))</f>
        <v>Thanh toán tiền thuê kho</v>
      </c>
      <c r="E46" s="722" t="str">
        <f ca="1">IF(ROWS($1:35)&gt;COUNT(Dong2),"",IF(OFFSET(TH!M$1,SMALL(Dong2,ROWS($1:35)),)=$I$6,OFFSET(TH!L$1,SMALL(Dong2,ROWS($1:35)),),OFFSET(TH!M$1,SMALL(Dong2,ROWS($1:35)),)))</f>
        <v>331</v>
      </c>
      <c r="F46" s="724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724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40700000</v>
      </c>
      <c r="H46" s="725">
        <f t="shared" ca="1" si="0"/>
        <v>55807366</v>
      </c>
      <c r="I46" s="726"/>
    </row>
    <row r="47" spans="1:12" s="705" customFormat="1" ht="18.75" customHeight="1">
      <c r="A47" s="722">
        <f ca="1">IF(ROWS($1:36)&gt;COUNT(Dong2),"",OFFSET(TH!C$1,SMALL(Dong2,ROWS($1:36)),))</f>
        <v>42692</v>
      </c>
      <c r="B47" s="722" t="str">
        <f ca="1">IF(ROWS($1:36)&gt;COUNT(Dong2),"",OFFSET(TH!D$1,SMALL(Dong2,ROWS($1:36)),))</f>
        <v>GBN</v>
      </c>
      <c r="C47" s="722">
        <f ca="1">IF(ROWS($1:36)&gt;COUNT(Dong2),"",OFFSET(TH!E$1,SMALL(Dong2,ROWS($1:36)),))</f>
        <v>42692</v>
      </c>
      <c r="D47" s="723" t="str">
        <f ca="1">IF(ROWS($1:36)&gt;COUNT(Dong2),"",OFFSET(TH!F$1,SMALL(Dong2,ROWS($1:36)),))</f>
        <v>Phí chuyển tiền</v>
      </c>
      <c r="E47" s="722" t="str">
        <f ca="1">IF(ROWS($1:36)&gt;COUNT(Dong2),"",IF(OFFSET(TH!M$1,SMALL(Dong2,ROWS($1:36)),)=$I$6,OFFSET(TH!L$1,SMALL(Dong2,ROWS($1:36)),),OFFSET(TH!M$1,SMALL(Dong2,ROWS($1:36)),)))</f>
        <v>642</v>
      </c>
      <c r="F47" s="724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724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20000</v>
      </c>
      <c r="H47" s="725">
        <f t="shared" ca="1" si="0"/>
        <v>55787366</v>
      </c>
      <c r="I47" s="726"/>
    </row>
    <row r="48" spans="1:12" s="705" customFormat="1" ht="18.75" customHeight="1">
      <c r="A48" s="722">
        <f ca="1">IF(ROWS($1:37)&gt;COUNT(Dong2),"",OFFSET(TH!C$1,SMALL(Dong2,ROWS($1:37)),))</f>
        <v>42692</v>
      </c>
      <c r="B48" s="722" t="str">
        <f ca="1">IF(ROWS($1:37)&gt;COUNT(Dong2),"",OFFSET(TH!D$1,SMALL(Dong2,ROWS($1:37)),))</f>
        <v>GBN</v>
      </c>
      <c r="C48" s="722">
        <f ca="1">IF(ROWS($1:37)&gt;COUNT(Dong2),"",OFFSET(TH!E$1,SMALL(Dong2,ROWS($1:37)),))</f>
        <v>42692</v>
      </c>
      <c r="D48" s="723" t="str">
        <f ca="1">IF(ROWS($1:37)&gt;COUNT(Dong2),"",OFFSET(TH!F$1,SMALL(Dong2,ROWS($1:37)),))</f>
        <v>VAT Phí chuyển tiền</v>
      </c>
      <c r="E48" s="722" t="str">
        <f ca="1">IF(ROWS($1:37)&gt;COUNT(Dong2),"",IF(OFFSET(TH!M$1,SMALL(Dong2,ROWS($1:37)),)=$I$6,OFFSET(TH!L$1,SMALL(Dong2,ROWS($1:37)),),OFFSET(TH!M$1,SMALL(Dong2,ROWS($1:37)),)))</f>
        <v>1331</v>
      </c>
      <c r="F48" s="724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724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2000</v>
      </c>
      <c r="H48" s="725">
        <f t="shared" ca="1" si="0"/>
        <v>55785366</v>
      </c>
      <c r="I48" s="726"/>
    </row>
    <row r="49" spans="1:9" s="705" customFormat="1" ht="18.75" customHeight="1">
      <c r="A49" s="722">
        <f ca="1">IF(ROWS($1:38)&gt;COUNT(Dong2),"",OFFSET(TH!C$1,SMALL(Dong2,ROWS($1:38)),))</f>
        <v>42692</v>
      </c>
      <c r="B49" s="722" t="str">
        <f ca="1">IF(ROWS($1:38)&gt;COUNT(Dong2),"",OFFSET(TH!D$1,SMALL(Dong2,ROWS($1:38)),))</f>
        <v>T13</v>
      </c>
      <c r="C49" s="722">
        <f ca="1">IF(ROWS($1:38)&gt;COUNT(Dong2),"",OFFSET(TH!E$1,SMALL(Dong2,ROWS($1:38)),))</f>
        <v>42692</v>
      </c>
      <c r="D49" s="723" t="str">
        <f ca="1">IF(ROWS($1:38)&gt;COUNT(Dong2),"",OFFSET(TH!F$1,SMALL(Dong2,ROWS($1:38)),))</f>
        <v>Rút tiền mặt</v>
      </c>
      <c r="E49" s="722" t="str">
        <f ca="1">IF(ROWS($1:38)&gt;COUNT(Dong2),"",IF(OFFSET(TH!M$1,SMALL(Dong2,ROWS($1:38)),)=$I$6,OFFSET(TH!L$1,SMALL(Dong2,ROWS($1:38)),),OFFSET(TH!M$1,SMALL(Dong2,ROWS($1:38)),)))</f>
        <v>1111</v>
      </c>
      <c r="F49" s="724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724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54300000</v>
      </c>
      <c r="H49" s="725">
        <f t="shared" ca="1" si="0"/>
        <v>1485366</v>
      </c>
      <c r="I49" s="726"/>
    </row>
    <row r="50" spans="1:9" s="705" customFormat="1" ht="18.75" customHeight="1">
      <c r="A50" s="722">
        <f ca="1">IF(ROWS($1:39)&gt;COUNT(Dong2),"",OFFSET(TH!C$1,SMALL(Dong2,ROWS($1:39)),))</f>
        <v>42697</v>
      </c>
      <c r="B50" s="722" t="str">
        <f ca="1">IF(ROWS($1:39)&gt;COUNT(Dong2),"",OFFSET(TH!D$1,SMALL(Dong2,ROWS($1:39)),))</f>
        <v>GBC</v>
      </c>
      <c r="C50" s="722">
        <f ca="1">IF(ROWS($1:39)&gt;COUNT(Dong2),"",OFFSET(TH!E$1,SMALL(Dong2,ROWS($1:39)),))</f>
        <v>42697</v>
      </c>
      <c r="D50" s="723" t="str">
        <f ca="1">IF(ROWS($1:39)&gt;COUNT(Dong2),"",OFFSET(TH!F$1,SMALL(Dong2,ROWS($1:39)),))</f>
        <v>Thu tiền hàng</v>
      </c>
      <c r="E50" s="722" t="str">
        <f ca="1">IF(ROWS($1:39)&gt;COUNT(Dong2),"",IF(OFFSET(TH!M$1,SMALL(Dong2,ROWS($1:39)),)=$I$6,OFFSET(TH!L$1,SMALL(Dong2,ROWS($1:39)),),OFFSET(TH!M$1,SMALL(Dong2,ROWS($1:39)),)))</f>
        <v>131</v>
      </c>
      <c r="F50" s="724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13877600</v>
      </c>
      <c r="G50" s="724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725">
        <f t="shared" ca="1" si="0"/>
        <v>15362966</v>
      </c>
      <c r="I50" s="726"/>
    </row>
    <row r="51" spans="1:9" s="705" customFormat="1" ht="18.75" customHeight="1">
      <c r="A51" s="722">
        <f ca="1">IF(ROWS($1:40)&gt;COUNT(Dong2),"",OFFSET(TH!C$1,SMALL(Dong2,ROWS($1:40)),))</f>
        <v>42698</v>
      </c>
      <c r="B51" s="722" t="str">
        <f ca="1">IF(ROWS($1:40)&gt;COUNT(Dong2),"",OFFSET(TH!D$1,SMALL(Dong2,ROWS($1:40)),))</f>
        <v>GBC</v>
      </c>
      <c r="C51" s="722">
        <f ca="1">IF(ROWS($1:40)&gt;COUNT(Dong2),"",OFFSET(TH!E$1,SMALL(Dong2,ROWS($1:40)),))</f>
        <v>42698</v>
      </c>
      <c r="D51" s="723" t="str">
        <f ca="1">IF(ROWS($1:40)&gt;COUNT(Dong2),"",OFFSET(TH!F$1,SMALL(Dong2,ROWS($1:40)),))</f>
        <v>Thu tiền hàng</v>
      </c>
      <c r="E51" s="722" t="str">
        <f ca="1">IF(ROWS($1:40)&gt;COUNT(Dong2),"",IF(OFFSET(TH!M$1,SMALL(Dong2,ROWS($1:40)),)=$I$6,OFFSET(TH!L$1,SMALL(Dong2,ROWS($1:40)),),OFFSET(TH!M$1,SMALL(Dong2,ROWS($1:40)),)))</f>
        <v>131</v>
      </c>
      <c r="F51" s="724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18385400</v>
      </c>
      <c r="G51" s="724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725">
        <f t="shared" ca="1" si="0"/>
        <v>33748366</v>
      </c>
      <c r="I51" s="726"/>
    </row>
    <row r="52" spans="1:9" s="705" customFormat="1" ht="18.75" customHeight="1">
      <c r="A52" s="722">
        <f ca="1">IF(ROWS($1:41)&gt;COUNT(Dong2),"",OFFSET(TH!C$1,SMALL(Dong2,ROWS($1:41)),))</f>
        <v>42699</v>
      </c>
      <c r="B52" s="722" t="str">
        <f ca="1">IF(ROWS($1:41)&gt;COUNT(Dong2),"",OFFSET(TH!D$1,SMALL(Dong2,ROWS($1:41)),))</f>
        <v>GBC</v>
      </c>
      <c r="C52" s="722">
        <f ca="1">IF(ROWS($1:41)&gt;COUNT(Dong2),"",OFFSET(TH!E$1,SMALL(Dong2,ROWS($1:41)),))</f>
        <v>42699</v>
      </c>
      <c r="D52" s="723" t="str">
        <f ca="1">IF(ROWS($1:41)&gt;COUNT(Dong2),"",OFFSET(TH!F$1,SMALL(Dong2,ROWS($1:41)),))</f>
        <v>Lãi tiền gửi</v>
      </c>
      <c r="E52" s="722" t="str">
        <f ca="1">IF(ROWS($1:41)&gt;COUNT(Dong2),"",IF(OFFSET(TH!M$1,SMALL(Dong2,ROWS($1:41)),)=$I$6,OFFSET(TH!L$1,SMALL(Dong2,ROWS($1:41)),),OFFSET(TH!M$1,SMALL(Dong2,ROWS($1:41)),)))</f>
        <v>515</v>
      </c>
      <c r="F52" s="724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5005</v>
      </c>
      <c r="G52" s="724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725">
        <f t="shared" ca="1" si="0"/>
        <v>33753371</v>
      </c>
      <c r="I52" s="726"/>
    </row>
    <row r="53" spans="1:9" s="705" customFormat="1" ht="18.75" customHeight="1">
      <c r="A53" s="722">
        <f ca="1">IF(ROWS($1:42)&gt;COUNT(Dong2),"",OFFSET(TH!C$1,SMALL(Dong2,ROWS($1:42)),))</f>
        <v>42699</v>
      </c>
      <c r="B53" s="722" t="str">
        <f ca="1">IF(ROWS($1:42)&gt;COUNT(Dong2),"",OFFSET(TH!D$1,SMALL(Dong2,ROWS($1:42)),))</f>
        <v>T18</v>
      </c>
      <c r="C53" s="722">
        <f ca="1">IF(ROWS($1:42)&gt;COUNT(Dong2),"",OFFSET(TH!E$1,SMALL(Dong2,ROWS($1:42)),))</f>
        <v>42699</v>
      </c>
      <c r="D53" s="723" t="str">
        <f ca="1">IF(ROWS($1:42)&gt;COUNT(Dong2),"",OFFSET(TH!F$1,SMALL(Dong2,ROWS($1:42)),))</f>
        <v>Rút tiền mặt</v>
      </c>
      <c r="E53" s="722" t="str">
        <f ca="1">IF(ROWS($1:42)&gt;COUNT(Dong2),"",IF(OFFSET(TH!M$1,SMALL(Dong2,ROWS($1:42)),)=$I$6,OFFSET(TH!L$1,SMALL(Dong2,ROWS($1:42)),),OFFSET(TH!M$1,SMALL(Dong2,ROWS($1:42)),)))</f>
        <v>1111</v>
      </c>
      <c r="F53" s="724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724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20000000</v>
      </c>
      <c r="H53" s="725">
        <f t="shared" ca="1" si="0"/>
        <v>13753371</v>
      </c>
      <c r="I53" s="726"/>
    </row>
    <row r="54" spans="1:9" s="705" customFormat="1" ht="18.75" customHeight="1">
      <c r="A54" s="722">
        <f ca="1">IF(ROWS($1:43)&gt;COUNT(Dong2),"",OFFSET(TH!C$1,SMALL(Dong2,ROWS($1:43)),))</f>
        <v>42699</v>
      </c>
      <c r="B54" s="722" t="str">
        <f ca="1">IF(ROWS($1:43)&gt;COUNT(Dong2),"",OFFSET(TH!D$1,SMALL(Dong2,ROWS($1:43)),))</f>
        <v>GBN</v>
      </c>
      <c r="C54" s="722">
        <f ca="1">IF(ROWS($1:43)&gt;COUNT(Dong2),"",OFFSET(TH!E$1,SMALL(Dong2,ROWS($1:43)),))</f>
        <v>42699</v>
      </c>
      <c r="D54" s="723" t="str">
        <f ca="1">IF(ROWS($1:43)&gt;COUNT(Dong2),"",OFFSET(TH!F$1,SMALL(Dong2,ROWS($1:43)),))</f>
        <v>Thanh toán tiền hàng</v>
      </c>
      <c r="E54" s="722" t="str">
        <f ca="1">IF(ROWS($1:43)&gt;COUNT(Dong2),"",IF(OFFSET(TH!M$1,SMALL(Dong2,ROWS($1:43)),)=$I$6,OFFSET(TH!L$1,SMALL(Dong2,ROWS($1:43)),),OFFSET(TH!M$1,SMALL(Dong2,ROWS($1:43)),)))</f>
        <v>331</v>
      </c>
      <c r="F54" s="724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724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12500000</v>
      </c>
      <c r="H54" s="725">
        <f t="shared" ca="1" si="0"/>
        <v>1253371</v>
      </c>
      <c r="I54" s="726"/>
    </row>
    <row r="55" spans="1:9" s="705" customFormat="1" ht="18.75" customHeight="1">
      <c r="A55" s="722">
        <f ca="1">IF(ROWS($1:44)&gt;COUNT(Dong2),"",OFFSET(TH!C$1,SMALL(Dong2,ROWS($1:44)),))</f>
        <v>42699</v>
      </c>
      <c r="B55" s="722" t="str">
        <f ca="1">IF(ROWS($1:44)&gt;COUNT(Dong2),"",OFFSET(TH!D$1,SMALL(Dong2,ROWS($1:44)),))</f>
        <v>GBN</v>
      </c>
      <c r="C55" s="722">
        <f ca="1">IF(ROWS($1:44)&gt;COUNT(Dong2),"",OFFSET(TH!E$1,SMALL(Dong2,ROWS($1:44)),))</f>
        <v>42699</v>
      </c>
      <c r="D55" s="723" t="str">
        <f ca="1">IF(ROWS($1:44)&gt;COUNT(Dong2),"",OFFSET(TH!F$1,SMALL(Dong2,ROWS($1:44)),))</f>
        <v>Phí bán 2 cuốn sec</v>
      </c>
      <c r="E55" s="722" t="str">
        <f ca="1">IF(ROWS($1:44)&gt;COUNT(Dong2),"",IF(OFFSET(TH!M$1,SMALL(Dong2,ROWS($1:44)),)=$I$6,OFFSET(TH!L$1,SMALL(Dong2,ROWS($1:44)),),OFFSET(TH!M$1,SMALL(Dong2,ROWS($1:44)),)))</f>
        <v>642</v>
      </c>
      <c r="F55" s="724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724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20000</v>
      </c>
      <c r="H55" s="725">
        <f t="shared" ca="1" si="0"/>
        <v>1233371</v>
      </c>
      <c r="I55" s="726"/>
    </row>
    <row r="56" spans="1:9" s="705" customFormat="1" ht="18.75" customHeight="1">
      <c r="A56" s="722">
        <f ca="1">IF(ROWS($1:45)&gt;COUNT(Dong2),"",OFFSET(TH!C$1,SMALL(Dong2,ROWS($1:45)),))</f>
        <v>42699</v>
      </c>
      <c r="B56" s="722" t="str">
        <f ca="1">IF(ROWS($1:45)&gt;COUNT(Dong2),"",OFFSET(TH!D$1,SMALL(Dong2,ROWS($1:45)),))</f>
        <v>GBN</v>
      </c>
      <c r="C56" s="722">
        <f ca="1">IF(ROWS($1:45)&gt;COUNT(Dong2),"",OFFSET(TH!E$1,SMALL(Dong2,ROWS($1:45)),))</f>
        <v>42699</v>
      </c>
      <c r="D56" s="723" t="str">
        <f ca="1">IF(ROWS($1:45)&gt;COUNT(Dong2),"",OFFSET(TH!F$1,SMALL(Dong2,ROWS($1:45)),))</f>
        <v>VAT Phí bán 2 cuốn sec</v>
      </c>
      <c r="E56" s="722" t="str">
        <f ca="1">IF(ROWS($1:45)&gt;COUNT(Dong2),"",IF(OFFSET(TH!M$1,SMALL(Dong2,ROWS($1:45)),)=$I$6,OFFSET(TH!L$1,SMALL(Dong2,ROWS($1:45)),),OFFSET(TH!M$1,SMALL(Dong2,ROWS($1:45)),)))</f>
        <v>1331</v>
      </c>
      <c r="F56" s="724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724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2000</v>
      </c>
      <c r="H56" s="725">
        <f t="shared" ca="1" si="0"/>
        <v>1231371</v>
      </c>
      <c r="I56" s="726"/>
    </row>
    <row r="57" spans="1:9" s="705" customFormat="1" ht="18.75" customHeight="1">
      <c r="A57" s="722">
        <f ca="1">IF(ROWS($1:46)&gt;COUNT(Dong2),"",OFFSET(TH!C$1,SMALL(Dong2,ROWS($1:46)),))</f>
        <v>42699</v>
      </c>
      <c r="B57" s="722" t="str">
        <f ca="1">IF(ROWS($1:46)&gt;COUNT(Dong2),"",OFFSET(TH!D$1,SMALL(Dong2,ROWS($1:46)),))</f>
        <v>GBN</v>
      </c>
      <c r="C57" s="722">
        <f ca="1">IF(ROWS($1:46)&gt;COUNT(Dong2),"",OFFSET(TH!E$1,SMALL(Dong2,ROWS($1:46)),))</f>
        <v>42699</v>
      </c>
      <c r="D57" s="723" t="str">
        <f ca="1">IF(ROWS($1:46)&gt;COUNT(Dong2),"",OFFSET(TH!F$1,SMALL(Dong2,ROWS($1:46)),))</f>
        <v>Phí quản lý tài khoản</v>
      </c>
      <c r="E57" s="722" t="str">
        <f ca="1">IF(ROWS($1:46)&gt;COUNT(Dong2),"",IF(OFFSET(TH!M$1,SMALL(Dong2,ROWS($1:46)),)=$I$6,OFFSET(TH!L$1,SMALL(Dong2,ROWS($1:46)),),OFFSET(TH!M$1,SMALL(Dong2,ROWS($1:46)),)))</f>
        <v>642</v>
      </c>
      <c r="F57" s="724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724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725">
        <f t="shared" ca="1" si="0"/>
        <v>1221371</v>
      </c>
      <c r="I57" s="726"/>
    </row>
    <row r="58" spans="1:9" s="705" customFormat="1" ht="18.75" customHeight="1">
      <c r="A58" s="722">
        <f ca="1">IF(ROWS($1:47)&gt;COUNT(Dong2),"",OFFSET(TH!C$1,SMALL(Dong2,ROWS($1:47)),))</f>
        <v>42699</v>
      </c>
      <c r="B58" s="722" t="str">
        <f ca="1">IF(ROWS($1:47)&gt;COUNT(Dong2),"",OFFSET(TH!D$1,SMALL(Dong2,ROWS($1:47)),))</f>
        <v>GBN</v>
      </c>
      <c r="C58" s="722">
        <f ca="1">IF(ROWS($1:47)&gt;COUNT(Dong2),"",OFFSET(TH!E$1,SMALL(Dong2,ROWS($1:47)),))</f>
        <v>42699</v>
      </c>
      <c r="D58" s="723" t="str">
        <f ca="1">IF(ROWS($1:47)&gt;COUNT(Dong2),"",OFFSET(TH!F$1,SMALL(Dong2,ROWS($1:47)),))</f>
        <v>VAT Phí quản lý tài khoản</v>
      </c>
      <c r="E58" s="722" t="str">
        <f ca="1">IF(ROWS($1:47)&gt;COUNT(Dong2),"",IF(OFFSET(TH!M$1,SMALL(Dong2,ROWS($1:47)),)=$I$6,OFFSET(TH!L$1,SMALL(Dong2,ROWS($1:47)),),OFFSET(TH!M$1,SMALL(Dong2,ROWS($1:47)),)))</f>
        <v>1331</v>
      </c>
      <c r="F58" s="724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724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725">
        <f t="shared" ca="1" si="0"/>
        <v>1220371</v>
      </c>
      <c r="I58" s="726"/>
    </row>
    <row r="59" spans="1:9" s="705" customFormat="1" ht="18.75" customHeight="1">
      <c r="A59" s="722">
        <f ca="1">IF(ROWS($1:48)&gt;COUNT(Dong2),"",OFFSET(TH!C$1,SMALL(Dong2,ROWS($1:48)),))</f>
        <v>42702</v>
      </c>
      <c r="B59" s="722" t="str">
        <f ca="1">IF(ROWS($1:48)&gt;COUNT(Dong2),"",OFFSET(TH!D$1,SMALL(Dong2,ROWS($1:48)),))</f>
        <v>GBC</v>
      </c>
      <c r="C59" s="722">
        <f ca="1">IF(ROWS($1:48)&gt;COUNT(Dong2),"",OFFSET(TH!E$1,SMALL(Dong2,ROWS($1:48)),))</f>
        <v>42702</v>
      </c>
      <c r="D59" s="723" t="str">
        <f ca="1">IF(ROWS($1:48)&gt;COUNT(Dong2),"",OFFSET(TH!F$1,SMALL(Dong2,ROWS($1:48)),))</f>
        <v>Thu tiền hàng</v>
      </c>
      <c r="E59" s="722" t="str">
        <f ca="1">IF(ROWS($1:48)&gt;COUNT(Dong2),"",IF(OFFSET(TH!M$1,SMALL(Dong2,ROWS($1:48)),)=$I$6,OFFSET(TH!L$1,SMALL(Dong2,ROWS($1:48)),),OFFSET(TH!M$1,SMALL(Dong2,ROWS($1:48)),)))</f>
        <v>131</v>
      </c>
      <c r="F59" s="724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22471790</v>
      </c>
      <c r="G59" s="724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725">
        <f t="shared" ca="1" si="0"/>
        <v>23692161</v>
      </c>
      <c r="I59" s="726"/>
    </row>
    <row r="60" spans="1:9" s="705" customFormat="1" ht="18.75" customHeight="1">
      <c r="A60" s="722">
        <f ca="1">IF(ROWS($1:49)&gt;COUNT(Dong2),"",OFFSET(TH!C$1,SMALL(Dong2,ROWS($1:49)),))</f>
        <v>42703</v>
      </c>
      <c r="B60" s="722" t="str">
        <f ca="1">IF(ROWS($1:49)&gt;COUNT(Dong2),"",OFFSET(TH!D$1,SMALL(Dong2,ROWS($1:49)),))</f>
        <v>T19</v>
      </c>
      <c r="C60" s="722">
        <f ca="1">IF(ROWS($1:49)&gt;COUNT(Dong2),"",OFFSET(TH!E$1,SMALL(Dong2,ROWS($1:49)),))</f>
        <v>42703</v>
      </c>
      <c r="D60" s="723" t="str">
        <f ca="1">IF(ROWS($1:49)&gt;COUNT(Dong2),"",OFFSET(TH!F$1,SMALL(Dong2,ROWS($1:49)),))</f>
        <v>Rút tiền mặt</v>
      </c>
      <c r="E60" s="722" t="str">
        <f ca="1">IF(ROWS($1:49)&gt;COUNT(Dong2),"",IF(OFFSET(TH!M$1,SMALL(Dong2,ROWS($1:49)),)=$I$6,OFFSET(TH!L$1,SMALL(Dong2,ROWS($1:49)),),OFFSET(TH!M$1,SMALL(Dong2,ROWS($1:49)),)))</f>
        <v>1111</v>
      </c>
      <c r="F60" s="724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724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22500000</v>
      </c>
      <c r="H60" s="725">
        <f t="shared" ca="1" si="0"/>
        <v>1192161</v>
      </c>
      <c r="I60" s="726"/>
    </row>
    <row r="61" spans="1:9" s="705" customFormat="1" ht="18.75" customHeight="1">
      <c r="A61" s="722">
        <f ca="1">IF(ROWS($1:50)&gt;COUNT(Dong2),"",OFFSET(TH!C$1,SMALL(Dong2,ROWS($1:50)),))</f>
        <v>42713</v>
      </c>
      <c r="B61" s="722" t="str">
        <f ca="1">IF(ROWS($1:50)&gt;COUNT(Dong2),"",OFFSET(TH!D$1,SMALL(Dong2,ROWS($1:50)),))</f>
        <v>GBC</v>
      </c>
      <c r="C61" s="722">
        <f ca="1">IF(ROWS($1:50)&gt;COUNT(Dong2),"",OFFSET(TH!E$1,SMALL(Dong2,ROWS($1:50)),))</f>
        <v>42713</v>
      </c>
      <c r="D61" s="723" t="str">
        <f ca="1">IF(ROWS($1:50)&gt;COUNT(Dong2),"",OFFSET(TH!F$1,SMALL(Dong2,ROWS($1:50)),))</f>
        <v>Thu tiền hàng</v>
      </c>
      <c r="E61" s="722" t="str">
        <f ca="1">IF(ROWS($1:50)&gt;COUNT(Dong2),"",IF(OFFSET(TH!M$1,SMALL(Dong2,ROWS($1:50)),)=$I$6,OFFSET(TH!L$1,SMALL(Dong2,ROWS($1:50)),),OFFSET(TH!M$1,SMALL(Dong2,ROWS($1:50)),)))</f>
        <v>131</v>
      </c>
      <c r="F61" s="724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15576000</v>
      </c>
      <c r="G61" s="724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0</v>
      </c>
      <c r="H61" s="725">
        <f t="shared" ca="1" si="0"/>
        <v>16768161</v>
      </c>
      <c r="I61" s="726"/>
    </row>
    <row r="62" spans="1:9" s="705" customFormat="1" ht="18.75" customHeight="1">
      <c r="A62" s="722">
        <f ca="1">IF(ROWS($1:51)&gt;COUNT(Dong2),"",OFFSET(TH!C$1,SMALL(Dong2,ROWS($1:51)),))</f>
        <v>42716</v>
      </c>
      <c r="B62" s="722" t="str">
        <f ca="1">IF(ROWS($1:51)&gt;COUNT(Dong2),"",OFFSET(TH!D$1,SMALL(Dong2,ROWS($1:51)),))</f>
        <v>C25</v>
      </c>
      <c r="C62" s="722">
        <f ca="1">IF(ROWS($1:51)&gt;COUNT(Dong2),"",OFFSET(TH!E$1,SMALL(Dong2,ROWS($1:51)),))</f>
        <v>42716</v>
      </c>
      <c r="D62" s="723" t="str">
        <f ca="1">IF(ROWS($1:51)&gt;COUNT(Dong2),"",OFFSET(TH!F$1,SMALL(Dong2,ROWS($1:51)),))</f>
        <v>Nộp tiền mặt</v>
      </c>
      <c r="E62" s="722" t="str">
        <f ca="1">IF(ROWS($1:51)&gt;COUNT(Dong2),"",IF(OFFSET(TH!M$1,SMALL(Dong2,ROWS($1:51)),)=$I$6,OFFSET(TH!L$1,SMALL(Dong2,ROWS($1:51)),),OFFSET(TH!M$1,SMALL(Dong2,ROWS($1:51)),)))</f>
        <v>1111</v>
      </c>
      <c r="F62" s="724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4500000</v>
      </c>
      <c r="G62" s="724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0</v>
      </c>
      <c r="H62" s="725">
        <f t="shared" ca="1" si="0"/>
        <v>21268161</v>
      </c>
      <c r="I62" s="726"/>
    </row>
    <row r="63" spans="1:9" s="705" customFormat="1" ht="18.75" customHeight="1">
      <c r="A63" s="722">
        <f ca="1">IF(ROWS($1:52)&gt;COUNT(Dong2),"",OFFSET(TH!C$1,SMALL(Dong2,ROWS($1:52)),))</f>
        <v>42716</v>
      </c>
      <c r="B63" s="722" t="str">
        <f ca="1">IF(ROWS($1:52)&gt;COUNT(Dong2),"",OFFSET(TH!D$1,SMALL(Dong2,ROWS($1:52)),))</f>
        <v>GBN</v>
      </c>
      <c r="C63" s="722">
        <f ca="1">IF(ROWS($1:52)&gt;COUNT(Dong2),"",OFFSET(TH!E$1,SMALL(Dong2,ROWS($1:52)),))</f>
        <v>42716</v>
      </c>
      <c r="D63" s="723" t="str">
        <f ca="1">IF(ROWS($1:52)&gt;COUNT(Dong2),"",OFFSET(TH!F$1,SMALL(Dong2,ROWS($1:52)),))</f>
        <v>Thanh toán tiền hàng</v>
      </c>
      <c r="E63" s="722" t="str">
        <f ca="1">IF(ROWS($1:52)&gt;COUNT(Dong2),"",IF(OFFSET(TH!M$1,SMALL(Dong2,ROWS($1:52)),)=$I$6,OFFSET(TH!L$1,SMALL(Dong2,ROWS($1:52)),),OFFSET(TH!M$1,SMALL(Dong2,ROWS($1:52)),)))</f>
        <v>331</v>
      </c>
      <c r="F63" s="724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724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20000000</v>
      </c>
      <c r="H63" s="725">
        <f t="shared" ca="1" si="0"/>
        <v>1268161</v>
      </c>
      <c r="I63" s="726"/>
    </row>
    <row r="64" spans="1:9" s="705" customFormat="1" ht="18.75" customHeight="1">
      <c r="A64" s="722">
        <f ca="1">IF(ROWS($1:53)&gt;COUNT(Dong2),"",OFFSET(TH!C$1,SMALL(Dong2,ROWS($1:53)),))</f>
        <v>42716</v>
      </c>
      <c r="B64" s="722" t="str">
        <f ca="1">IF(ROWS($1:53)&gt;COUNT(Dong2),"",OFFSET(TH!D$1,SMALL(Dong2,ROWS($1:53)),))</f>
        <v>GBN</v>
      </c>
      <c r="C64" s="722">
        <f ca="1">IF(ROWS($1:53)&gt;COUNT(Dong2),"",OFFSET(TH!E$1,SMALL(Dong2,ROWS($1:53)),))</f>
        <v>42716</v>
      </c>
      <c r="D64" s="723" t="str">
        <f ca="1">IF(ROWS($1:53)&gt;COUNT(Dong2),"",OFFSET(TH!F$1,SMALL(Dong2,ROWS($1:53)),))</f>
        <v>Phí kiểm đếm</v>
      </c>
      <c r="E64" s="722" t="str">
        <f ca="1">IF(ROWS($1:53)&gt;COUNT(Dong2),"",IF(OFFSET(TH!M$1,SMALL(Dong2,ROWS($1:53)),)=$I$6,OFFSET(TH!L$1,SMALL(Dong2,ROWS($1:53)),),OFFSET(TH!M$1,SMALL(Dong2,ROWS($1:53)),)))</f>
        <v>642</v>
      </c>
      <c r="F64" s="724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0</v>
      </c>
      <c r="G64" s="724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20000</v>
      </c>
      <c r="H64" s="725">
        <f t="shared" ca="1" si="0"/>
        <v>1248161</v>
      </c>
      <c r="I64" s="726"/>
    </row>
    <row r="65" spans="1:9" s="705" customFormat="1" ht="18.75" customHeight="1">
      <c r="A65" s="722">
        <f ca="1">IF(ROWS($1:54)&gt;COUNT(Dong2),"",OFFSET(TH!C$1,SMALL(Dong2,ROWS($1:54)),))</f>
        <v>42716</v>
      </c>
      <c r="B65" s="722" t="str">
        <f ca="1">IF(ROWS($1:54)&gt;COUNT(Dong2),"",OFFSET(TH!D$1,SMALL(Dong2,ROWS($1:54)),))</f>
        <v>GBN</v>
      </c>
      <c r="C65" s="722">
        <f ca="1">IF(ROWS($1:54)&gt;COUNT(Dong2),"",OFFSET(TH!E$1,SMALL(Dong2,ROWS($1:54)),))</f>
        <v>42716</v>
      </c>
      <c r="D65" s="723" t="str">
        <f ca="1">IF(ROWS($1:54)&gt;COUNT(Dong2),"",OFFSET(TH!F$1,SMALL(Dong2,ROWS($1:54)),))</f>
        <v>VAT Phí kiểm đếm</v>
      </c>
      <c r="E65" s="722" t="str">
        <f ca="1">IF(ROWS($1:54)&gt;COUNT(Dong2),"",IF(OFFSET(TH!M$1,SMALL(Dong2,ROWS($1:54)),)=$I$6,OFFSET(TH!L$1,SMALL(Dong2,ROWS($1:54)),),OFFSET(TH!M$1,SMALL(Dong2,ROWS($1:54)),)))</f>
        <v>1331</v>
      </c>
      <c r="F65" s="724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724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2000</v>
      </c>
      <c r="H65" s="725">
        <f t="shared" ca="1" si="0"/>
        <v>1246161</v>
      </c>
      <c r="I65" s="726"/>
    </row>
    <row r="66" spans="1:9" s="705" customFormat="1" ht="18.75" customHeight="1">
      <c r="A66" s="722">
        <f ca="1">IF(ROWS($1:55)&gt;COUNT(Dong2),"",OFFSET(TH!C$1,SMALL(Dong2,ROWS($1:55)),))</f>
        <v>42717</v>
      </c>
      <c r="B66" s="722" t="str">
        <f ca="1">IF(ROWS($1:55)&gt;COUNT(Dong2),"",OFFSET(TH!D$1,SMALL(Dong2,ROWS($1:55)),))</f>
        <v>C26</v>
      </c>
      <c r="C66" s="722">
        <f ca="1">IF(ROWS($1:55)&gt;COUNT(Dong2),"",OFFSET(TH!E$1,SMALL(Dong2,ROWS($1:55)),))</f>
        <v>42717</v>
      </c>
      <c r="D66" s="723" t="str">
        <f ca="1">IF(ROWS($1:55)&gt;COUNT(Dong2),"",OFFSET(TH!F$1,SMALL(Dong2,ROWS($1:55)),))</f>
        <v>Nộp tiền mặt</v>
      </c>
      <c r="E66" s="722" t="str">
        <f ca="1">IF(ROWS($1:55)&gt;COUNT(Dong2),"",IF(OFFSET(TH!M$1,SMALL(Dong2,ROWS($1:55)),)=$I$6,OFFSET(TH!L$1,SMALL(Dong2,ROWS($1:55)),),OFFSET(TH!M$1,SMALL(Dong2,ROWS($1:55)),)))</f>
        <v>1111</v>
      </c>
      <c r="F66" s="724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13300000</v>
      </c>
      <c r="G66" s="724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0</v>
      </c>
      <c r="H66" s="725">
        <f t="shared" ca="1" si="0"/>
        <v>14546161</v>
      </c>
      <c r="I66" s="726"/>
    </row>
    <row r="67" spans="1:9" s="705" customFormat="1" ht="18.75" customHeight="1">
      <c r="A67" s="722">
        <f ca="1">IF(ROWS($1:56)&gt;COUNT(Dong2),"",OFFSET(TH!C$1,SMALL(Dong2,ROWS($1:56)),))</f>
        <v>42717</v>
      </c>
      <c r="B67" s="722" t="str">
        <f ca="1">IF(ROWS($1:56)&gt;COUNT(Dong2),"",OFFSET(TH!D$1,SMALL(Dong2,ROWS($1:56)),))</f>
        <v>GBC</v>
      </c>
      <c r="C67" s="722">
        <f ca="1">IF(ROWS($1:56)&gt;COUNT(Dong2),"",OFFSET(TH!E$1,SMALL(Dong2,ROWS($1:56)),))</f>
        <v>42717</v>
      </c>
      <c r="D67" s="723" t="str">
        <f ca="1">IF(ROWS($1:56)&gt;COUNT(Dong2),"",OFFSET(TH!F$1,SMALL(Dong2,ROWS($1:56)),))</f>
        <v>Thu tiền hàng</v>
      </c>
      <c r="E67" s="722" t="str">
        <f ca="1">IF(ROWS($1:56)&gt;COUNT(Dong2),"",IF(OFFSET(TH!M$1,SMALL(Dong2,ROWS($1:56)),)=$I$6,OFFSET(TH!L$1,SMALL(Dong2,ROWS($1:56)),),OFFSET(TH!M$1,SMALL(Dong2,ROWS($1:56)),)))</f>
        <v>131</v>
      </c>
      <c r="F67" s="724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27324000</v>
      </c>
      <c r="G67" s="724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0</v>
      </c>
      <c r="H67" s="725">
        <f t="shared" ca="1" si="0"/>
        <v>41870161</v>
      </c>
      <c r="I67" s="726"/>
    </row>
    <row r="68" spans="1:9" s="705" customFormat="1" ht="18.75" customHeight="1">
      <c r="A68" s="722">
        <f ca="1">IF(ROWS($1:57)&gt;COUNT(Dong2),"",OFFSET(TH!C$1,SMALL(Dong2,ROWS($1:57)),))</f>
        <v>42718</v>
      </c>
      <c r="B68" s="722" t="str">
        <f ca="1">IF(ROWS($1:57)&gt;COUNT(Dong2),"",OFFSET(TH!D$1,SMALL(Dong2,ROWS($1:57)),))</f>
        <v>GBN</v>
      </c>
      <c r="C68" s="722">
        <f ca="1">IF(ROWS($1:57)&gt;COUNT(Dong2),"",OFFSET(TH!E$1,SMALL(Dong2,ROWS($1:57)),))</f>
        <v>42718</v>
      </c>
      <c r="D68" s="723" t="str">
        <f ca="1">IF(ROWS($1:57)&gt;COUNT(Dong2),"",OFFSET(TH!F$1,SMALL(Dong2,ROWS($1:57)),))</f>
        <v>Phí chuyển tiền</v>
      </c>
      <c r="E68" s="722" t="str">
        <f ca="1">IF(ROWS($1:57)&gt;COUNT(Dong2),"",IF(OFFSET(TH!M$1,SMALL(Dong2,ROWS($1:57)),)=$I$6,OFFSET(TH!L$1,SMALL(Dong2,ROWS($1:57)),),OFFSET(TH!M$1,SMALL(Dong2,ROWS($1:57)),)))</f>
        <v>642</v>
      </c>
      <c r="F68" s="724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724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20000</v>
      </c>
      <c r="H68" s="725">
        <f t="shared" ca="1" si="0"/>
        <v>41850161</v>
      </c>
      <c r="I68" s="726"/>
    </row>
    <row r="69" spans="1:9" s="705" customFormat="1" ht="18.75" customHeight="1">
      <c r="A69" s="722">
        <f ca="1">IF(ROWS($1:58)&gt;COUNT(Dong2),"",OFFSET(TH!C$1,SMALL(Dong2,ROWS($1:58)),))</f>
        <v>42718</v>
      </c>
      <c r="B69" s="722" t="str">
        <f ca="1">IF(ROWS($1:58)&gt;COUNT(Dong2),"",OFFSET(TH!D$1,SMALL(Dong2,ROWS($1:58)),))</f>
        <v>GBN</v>
      </c>
      <c r="C69" s="722">
        <f ca="1">IF(ROWS($1:58)&gt;COUNT(Dong2),"",OFFSET(TH!E$1,SMALL(Dong2,ROWS($1:58)),))</f>
        <v>42718</v>
      </c>
      <c r="D69" s="723" t="str">
        <f ca="1">IF(ROWS($1:58)&gt;COUNT(Dong2),"",OFFSET(TH!F$1,SMALL(Dong2,ROWS($1:58)),))</f>
        <v>VAT Phí chuyển tiền</v>
      </c>
      <c r="E69" s="722" t="str">
        <f ca="1">IF(ROWS($1:58)&gt;COUNT(Dong2),"",IF(OFFSET(TH!M$1,SMALL(Dong2,ROWS($1:58)),)=$I$6,OFFSET(TH!L$1,SMALL(Dong2,ROWS($1:58)),),OFFSET(TH!M$1,SMALL(Dong2,ROWS($1:58)),)))</f>
        <v>1331</v>
      </c>
      <c r="F69" s="724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724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2000</v>
      </c>
      <c r="H69" s="725">
        <f t="shared" ca="1" si="0"/>
        <v>41848161</v>
      </c>
      <c r="I69" s="726"/>
    </row>
    <row r="70" spans="1:9" s="705" customFormat="1" ht="18.75" customHeight="1">
      <c r="A70" s="722">
        <f ca="1">IF(ROWS($1:59)&gt;COUNT(Dong2),"",OFFSET(TH!C$1,SMALL(Dong2,ROWS($1:59)),))</f>
        <v>42718</v>
      </c>
      <c r="B70" s="722" t="str">
        <f ca="1">IF(ROWS($1:59)&gt;COUNT(Dong2),"",OFFSET(TH!D$1,SMALL(Dong2,ROWS($1:59)),))</f>
        <v>GBN</v>
      </c>
      <c r="C70" s="722">
        <f ca="1">IF(ROWS($1:59)&gt;COUNT(Dong2),"",OFFSET(TH!E$1,SMALL(Dong2,ROWS($1:59)),))</f>
        <v>42718</v>
      </c>
      <c r="D70" s="723" t="str">
        <f ca="1">IF(ROWS($1:59)&gt;COUNT(Dong2),"",OFFSET(TH!F$1,SMALL(Dong2,ROWS($1:59)),))</f>
        <v>Thanh toán tiền thuê kho T12/2016</v>
      </c>
      <c r="E70" s="722" t="str">
        <f ca="1">IF(ROWS($1:59)&gt;COUNT(Dong2),"",IF(OFFSET(TH!M$1,SMALL(Dong2,ROWS($1:59)),)=$I$6,OFFSET(TH!L$1,SMALL(Dong2,ROWS($1:59)),),OFFSET(TH!M$1,SMALL(Dong2,ROWS($1:59)),)))</f>
        <v>331</v>
      </c>
      <c r="F70" s="724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724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40700000</v>
      </c>
      <c r="H70" s="725">
        <f t="shared" ca="1" si="0"/>
        <v>1148161</v>
      </c>
      <c r="I70" s="726"/>
    </row>
    <row r="71" spans="1:9" s="705" customFormat="1" ht="18.75" customHeight="1">
      <c r="A71" s="722">
        <f ca="1">IF(ROWS($1:60)&gt;COUNT(Dong2),"",OFFSET(TH!C$1,SMALL(Dong2,ROWS($1:60)),))</f>
        <v>42718</v>
      </c>
      <c r="B71" s="722" t="str">
        <f ca="1">IF(ROWS($1:60)&gt;COUNT(Dong2),"",OFFSET(TH!D$1,SMALL(Dong2,ROWS($1:60)),))</f>
        <v>GBN</v>
      </c>
      <c r="C71" s="722">
        <f ca="1">IF(ROWS($1:60)&gt;COUNT(Dong2),"",OFFSET(TH!E$1,SMALL(Dong2,ROWS($1:60)),))</f>
        <v>42718</v>
      </c>
      <c r="D71" s="723" t="str">
        <f ca="1">IF(ROWS($1:60)&gt;COUNT(Dong2),"",OFFSET(TH!F$1,SMALL(Dong2,ROWS($1:60)),))</f>
        <v>Phí chuyển tiền</v>
      </c>
      <c r="E71" s="722" t="str">
        <f ca="1">IF(ROWS($1:60)&gt;COUNT(Dong2),"",IF(OFFSET(TH!M$1,SMALL(Dong2,ROWS($1:60)),)=$I$6,OFFSET(TH!L$1,SMALL(Dong2,ROWS($1:60)),),OFFSET(TH!M$1,SMALL(Dong2,ROWS($1:60)),)))</f>
        <v>642</v>
      </c>
      <c r="F71" s="724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724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20000</v>
      </c>
      <c r="H71" s="725">
        <f t="shared" ca="1" si="0"/>
        <v>1128161</v>
      </c>
      <c r="I71" s="726"/>
    </row>
    <row r="72" spans="1:9" s="705" customFormat="1" ht="18.75" customHeight="1">
      <c r="A72" s="722">
        <f ca="1">IF(ROWS($1:61)&gt;COUNT(Dong2),"",OFFSET(TH!C$1,SMALL(Dong2,ROWS($1:61)),))</f>
        <v>42718</v>
      </c>
      <c r="B72" s="722" t="str">
        <f ca="1">IF(ROWS($1:61)&gt;COUNT(Dong2),"",OFFSET(TH!D$1,SMALL(Dong2,ROWS($1:61)),))</f>
        <v>GBN</v>
      </c>
      <c r="C72" s="722">
        <f ca="1">IF(ROWS($1:61)&gt;COUNT(Dong2),"",OFFSET(TH!E$1,SMALL(Dong2,ROWS($1:61)),))</f>
        <v>42718</v>
      </c>
      <c r="D72" s="723" t="str">
        <f ca="1">IF(ROWS($1:61)&gt;COUNT(Dong2),"",OFFSET(TH!F$1,SMALL(Dong2,ROWS($1:61)),))</f>
        <v>VAT Phí chuyển tiền</v>
      </c>
      <c r="E72" s="722" t="str">
        <f ca="1">IF(ROWS($1:61)&gt;COUNT(Dong2),"",IF(OFFSET(TH!M$1,SMALL(Dong2,ROWS($1:61)),)=$I$6,OFFSET(TH!L$1,SMALL(Dong2,ROWS($1:61)),),OFFSET(TH!M$1,SMALL(Dong2,ROWS($1:61)),)))</f>
        <v>1331</v>
      </c>
      <c r="F72" s="724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724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2000</v>
      </c>
      <c r="H72" s="725">
        <f t="shared" ca="1" si="0"/>
        <v>1126161</v>
      </c>
      <c r="I72" s="726"/>
    </row>
    <row r="73" spans="1:9" s="705" customFormat="1" ht="18.75" customHeight="1">
      <c r="A73" s="722">
        <f ca="1">IF(ROWS($1:62)&gt;COUNT(Dong2),"",OFFSET(TH!C$1,SMALL(Dong2,ROWS($1:62)),))</f>
        <v>42723</v>
      </c>
      <c r="B73" s="722" t="str">
        <f ca="1">IF(ROWS($1:62)&gt;COUNT(Dong2),"",OFFSET(TH!D$1,SMALL(Dong2,ROWS($1:62)),))</f>
        <v>C28</v>
      </c>
      <c r="C73" s="722">
        <f ca="1">IF(ROWS($1:62)&gt;COUNT(Dong2),"",OFFSET(TH!E$1,SMALL(Dong2,ROWS($1:62)),))</f>
        <v>42723</v>
      </c>
      <c r="D73" s="723" t="str">
        <f ca="1">IF(ROWS($1:62)&gt;COUNT(Dong2),"",OFFSET(TH!F$1,SMALL(Dong2,ROWS($1:62)),))</f>
        <v>Nộp tiền mặt</v>
      </c>
      <c r="E73" s="722" t="str">
        <f ca="1">IF(ROWS($1:62)&gt;COUNT(Dong2),"",IF(OFFSET(TH!M$1,SMALL(Dong2,ROWS($1:62)),)=$I$6,OFFSET(TH!L$1,SMALL(Dong2,ROWS($1:62)),),OFFSET(TH!M$1,SMALL(Dong2,ROWS($1:62)),)))</f>
        <v>1111</v>
      </c>
      <c r="F73" s="724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11400000</v>
      </c>
      <c r="G73" s="724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0</v>
      </c>
      <c r="H73" s="725">
        <f t="shared" ca="1" si="0"/>
        <v>12526161</v>
      </c>
      <c r="I73" s="726"/>
    </row>
    <row r="74" spans="1:9" s="705" customFormat="1" ht="18.75" customHeight="1">
      <c r="A74" s="722">
        <f ca="1">IF(ROWS($1:63)&gt;COUNT(Dong2),"",OFFSET(TH!C$1,SMALL(Dong2,ROWS($1:63)),))</f>
        <v>42723</v>
      </c>
      <c r="B74" s="722" t="str">
        <f ca="1">IF(ROWS($1:63)&gt;COUNT(Dong2),"",OFFSET(TH!D$1,SMALL(Dong2,ROWS($1:63)),))</f>
        <v>GBN</v>
      </c>
      <c r="C74" s="722">
        <f ca="1">IF(ROWS($1:63)&gt;COUNT(Dong2),"",OFFSET(TH!E$1,SMALL(Dong2,ROWS($1:63)),))</f>
        <v>42723</v>
      </c>
      <c r="D74" s="723" t="str">
        <f ca="1">IF(ROWS($1:63)&gt;COUNT(Dong2),"",OFFSET(TH!F$1,SMALL(Dong2,ROWS($1:63)),))</f>
        <v>Thanh toán tiền điện</v>
      </c>
      <c r="E74" s="722" t="str">
        <f ca="1">IF(ROWS($1:63)&gt;COUNT(Dong2),"",IF(OFFSET(TH!M$1,SMALL(Dong2,ROWS($1:63)),)=$I$6,OFFSET(TH!L$1,SMALL(Dong2,ROWS($1:63)),),OFFSET(TH!M$1,SMALL(Dong2,ROWS($1:63)),)))</f>
        <v>1388</v>
      </c>
      <c r="F74" s="724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724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11286770</v>
      </c>
      <c r="H74" s="725">
        <f t="shared" ca="1" si="0"/>
        <v>1239391</v>
      </c>
      <c r="I74" s="726"/>
    </row>
    <row r="75" spans="1:9" s="705" customFormat="1" ht="18.75" customHeight="1">
      <c r="A75" s="722">
        <f ca="1">IF(ROWS($1:64)&gt;COUNT(Dong2),"",OFFSET(TH!C$1,SMALL(Dong2,ROWS($1:64)),))</f>
        <v>42723</v>
      </c>
      <c r="B75" s="722" t="str">
        <f ca="1">IF(ROWS($1:64)&gt;COUNT(Dong2),"",OFFSET(TH!D$1,SMALL(Dong2,ROWS($1:64)),))</f>
        <v>GBN</v>
      </c>
      <c r="C75" s="722">
        <f ca="1">IF(ROWS($1:64)&gt;COUNT(Dong2),"",OFFSET(TH!E$1,SMALL(Dong2,ROWS($1:64)),))</f>
        <v>42723</v>
      </c>
      <c r="D75" s="723" t="str">
        <f ca="1">IF(ROWS($1:64)&gt;COUNT(Dong2),"",OFFSET(TH!F$1,SMALL(Dong2,ROWS($1:64)),))</f>
        <v>Phí kiểm đếm</v>
      </c>
      <c r="E75" s="722" t="str">
        <f ca="1">IF(ROWS($1:64)&gt;COUNT(Dong2),"",IF(OFFSET(TH!M$1,SMALL(Dong2,ROWS($1:64)),)=$I$6,OFFSET(TH!L$1,SMALL(Dong2,ROWS($1:64)),),OFFSET(TH!M$1,SMALL(Dong2,ROWS($1:64)),)))</f>
        <v>642</v>
      </c>
      <c r="F75" s="724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724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20000</v>
      </c>
      <c r="H75" s="725">
        <f t="shared" ca="1" si="0"/>
        <v>1219391</v>
      </c>
      <c r="I75" s="726"/>
    </row>
    <row r="76" spans="1:9" s="705" customFormat="1" ht="18.75" customHeight="1">
      <c r="A76" s="722">
        <f ca="1">IF(ROWS($1:65)&gt;COUNT(Dong2),"",OFFSET(TH!C$1,SMALL(Dong2,ROWS($1:65)),))</f>
        <v>42723</v>
      </c>
      <c r="B76" s="722" t="str">
        <f ca="1">IF(ROWS($1:65)&gt;COUNT(Dong2),"",OFFSET(TH!D$1,SMALL(Dong2,ROWS($1:65)),))</f>
        <v>GBN</v>
      </c>
      <c r="C76" s="722">
        <f ca="1">IF(ROWS($1:65)&gt;COUNT(Dong2),"",OFFSET(TH!E$1,SMALL(Dong2,ROWS($1:65)),))</f>
        <v>42723</v>
      </c>
      <c r="D76" s="723" t="str">
        <f ca="1">IF(ROWS($1:65)&gt;COUNT(Dong2),"",OFFSET(TH!F$1,SMALL(Dong2,ROWS($1:65)),))</f>
        <v>VAT Phí kiểm đếm</v>
      </c>
      <c r="E76" s="722" t="str">
        <f ca="1">IF(ROWS($1:65)&gt;COUNT(Dong2),"",IF(OFFSET(TH!M$1,SMALL(Dong2,ROWS($1:65)),)=$I$6,OFFSET(TH!L$1,SMALL(Dong2,ROWS($1:65)),),OFFSET(TH!M$1,SMALL(Dong2,ROWS($1:65)),)))</f>
        <v>1331</v>
      </c>
      <c r="F76" s="724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0</v>
      </c>
      <c r="G76" s="724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2000</v>
      </c>
      <c r="H76" s="725">
        <f t="shared" ca="1" si="0"/>
        <v>1217391</v>
      </c>
      <c r="I76" s="726"/>
    </row>
    <row r="77" spans="1:9" s="705" customFormat="1" ht="18.75" customHeight="1">
      <c r="A77" s="722">
        <f ca="1">IF(ROWS($1:66)&gt;COUNT(Dong2),"",OFFSET(TH!C$1,SMALL(Dong2,ROWS($1:66)),))</f>
        <v>42724</v>
      </c>
      <c r="B77" s="722" t="str">
        <f ca="1">IF(ROWS($1:66)&gt;COUNT(Dong2),"",OFFSET(TH!D$1,SMALL(Dong2,ROWS($1:66)),))</f>
        <v>C29</v>
      </c>
      <c r="C77" s="722">
        <f ca="1">IF(ROWS($1:66)&gt;COUNT(Dong2),"",OFFSET(TH!E$1,SMALL(Dong2,ROWS($1:66)),))</f>
        <v>42724</v>
      </c>
      <c r="D77" s="723" t="str">
        <f ca="1">IF(ROWS($1:66)&gt;COUNT(Dong2),"",OFFSET(TH!F$1,SMALL(Dong2,ROWS($1:66)),))</f>
        <v>Nộp tiền mặt</v>
      </c>
      <c r="E77" s="722" t="str">
        <f ca="1">IF(ROWS($1:66)&gt;COUNT(Dong2),"",IF(OFFSET(TH!M$1,SMALL(Dong2,ROWS($1:66)),)=$I$6,OFFSET(TH!L$1,SMALL(Dong2,ROWS($1:66)),),OFFSET(TH!M$1,SMALL(Dong2,ROWS($1:66)),)))</f>
        <v>1111</v>
      </c>
      <c r="F77" s="724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30000000</v>
      </c>
      <c r="G77" s="724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0</v>
      </c>
      <c r="H77" s="725">
        <f t="shared" ref="H77:H90" ca="1" si="1">IF(A77&lt;&gt;"",H76+F77-G77,0)</f>
        <v>31217391</v>
      </c>
      <c r="I77" s="726"/>
    </row>
    <row r="78" spans="1:9" s="705" customFormat="1" ht="18.75" customHeight="1">
      <c r="A78" s="722">
        <f ca="1">IF(ROWS($1:67)&gt;COUNT(Dong2),"",OFFSET(TH!C$1,SMALL(Dong2,ROWS($1:67)),))</f>
        <v>42724</v>
      </c>
      <c r="B78" s="722" t="str">
        <f ca="1">IF(ROWS($1:67)&gt;COUNT(Dong2),"",OFFSET(TH!D$1,SMALL(Dong2,ROWS($1:67)),))</f>
        <v>GBN</v>
      </c>
      <c r="C78" s="722">
        <f ca="1">IF(ROWS($1:67)&gt;COUNT(Dong2),"",OFFSET(TH!E$1,SMALL(Dong2,ROWS($1:67)),))</f>
        <v>42724</v>
      </c>
      <c r="D78" s="723" t="str">
        <f ca="1">IF(ROWS($1:67)&gt;COUNT(Dong2),"",OFFSET(TH!F$1,SMALL(Dong2,ROWS($1:67)),))</f>
        <v>Thanh toán tiền hàng</v>
      </c>
      <c r="E78" s="722" t="str">
        <f ca="1">IF(ROWS($1:67)&gt;COUNT(Dong2),"",IF(OFFSET(TH!M$1,SMALL(Dong2,ROWS($1:67)),)=$I$6,OFFSET(TH!L$1,SMALL(Dong2,ROWS($1:67)),),OFFSET(TH!M$1,SMALL(Dong2,ROWS($1:67)),)))</f>
        <v>331</v>
      </c>
      <c r="F78" s="724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724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30000000</v>
      </c>
      <c r="H78" s="725">
        <f t="shared" ca="1" si="1"/>
        <v>1217391</v>
      </c>
      <c r="I78" s="726"/>
    </row>
    <row r="79" spans="1:9" s="705" customFormat="1" ht="18.75" customHeight="1">
      <c r="A79" s="722">
        <f ca="1">IF(ROWS($1:68)&gt;COUNT(Dong2),"",OFFSET(TH!C$1,SMALL(Dong2,ROWS($1:68)),))</f>
        <v>42724</v>
      </c>
      <c r="B79" s="722" t="str">
        <f ca="1">IF(ROWS($1:68)&gt;COUNT(Dong2),"",OFFSET(TH!D$1,SMALL(Dong2,ROWS($1:68)),))</f>
        <v>GBN</v>
      </c>
      <c r="C79" s="722">
        <f ca="1">IF(ROWS($1:68)&gt;COUNT(Dong2),"",OFFSET(TH!E$1,SMALL(Dong2,ROWS($1:68)),))</f>
        <v>42724</v>
      </c>
      <c r="D79" s="723" t="str">
        <f ca="1">IF(ROWS($1:68)&gt;COUNT(Dong2),"",OFFSET(TH!F$1,SMALL(Dong2,ROWS($1:68)),))</f>
        <v>Phí chuyển tiền</v>
      </c>
      <c r="E79" s="722" t="str">
        <f ca="1">IF(ROWS($1:68)&gt;COUNT(Dong2),"",IF(OFFSET(TH!M$1,SMALL(Dong2,ROWS($1:68)),)=$I$6,OFFSET(TH!L$1,SMALL(Dong2,ROWS($1:68)),),OFFSET(TH!M$1,SMALL(Dong2,ROWS($1:68)),)))</f>
        <v>642</v>
      </c>
      <c r="F79" s="724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724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20000</v>
      </c>
      <c r="H79" s="725">
        <f t="shared" ca="1" si="1"/>
        <v>1197391</v>
      </c>
      <c r="I79" s="726"/>
    </row>
    <row r="80" spans="1:9" s="705" customFormat="1" ht="18.75" customHeight="1">
      <c r="A80" s="722">
        <f ca="1">IF(ROWS($1:69)&gt;COUNT(Dong2),"",OFFSET(TH!C$1,SMALL(Dong2,ROWS($1:69)),))</f>
        <v>42724</v>
      </c>
      <c r="B80" s="722" t="str">
        <f ca="1">IF(ROWS($1:69)&gt;COUNT(Dong2),"",OFFSET(TH!D$1,SMALL(Dong2,ROWS($1:69)),))</f>
        <v>GBN</v>
      </c>
      <c r="C80" s="722">
        <f ca="1">IF(ROWS($1:69)&gt;COUNT(Dong2),"",OFFSET(TH!E$1,SMALL(Dong2,ROWS($1:69)),))</f>
        <v>42724</v>
      </c>
      <c r="D80" s="723" t="str">
        <f ca="1">IF(ROWS($1:69)&gt;COUNT(Dong2),"",OFFSET(TH!F$1,SMALL(Dong2,ROWS($1:69)),))</f>
        <v>VAT Phí chuyển tiền</v>
      </c>
      <c r="E80" s="722" t="str">
        <f ca="1">IF(ROWS($1:69)&gt;COUNT(Dong2),"",IF(OFFSET(TH!M$1,SMALL(Dong2,ROWS($1:69)),)=$I$6,OFFSET(TH!L$1,SMALL(Dong2,ROWS($1:69)),),OFFSET(TH!M$1,SMALL(Dong2,ROWS($1:69)),)))</f>
        <v>1331</v>
      </c>
      <c r="F80" s="724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724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2000</v>
      </c>
      <c r="H80" s="725">
        <f t="shared" ca="1" si="1"/>
        <v>1195391</v>
      </c>
      <c r="I80" s="726"/>
    </row>
    <row r="81" spans="1:21" s="705" customFormat="1" ht="18.75" customHeight="1">
      <c r="A81" s="722">
        <f ca="1">IF(ROWS($1:70)&gt;COUNT(Dong2),"",OFFSET(TH!C$1,SMALL(Dong2,ROWS($1:70)),))</f>
        <v>42724</v>
      </c>
      <c r="B81" s="722" t="str">
        <f ca="1">IF(ROWS($1:70)&gt;COUNT(Dong2),"",OFFSET(TH!D$1,SMALL(Dong2,ROWS($1:70)),))</f>
        <v>GBN</v>
      </c>
      <c r="C81" s="722">
        <f ca="1">IF(ROWS($1:70)&gt;COUNT(Dong2),"",OFFSET(TH!E$1,SMALL(Dong2,ROWS($1:70)),))</f>
        <v>42724</v>
      </c>
      <c r="D81" s="723" t="str">
        <f ca="1">IF(ROWS($1:70)&gt;COUNT(Dong2),"",OFFSET(TH!F$1,SMALL(Dong2,ROWS($1:70)),))</f>
        <v>Phí kiểm đếm</v>
      </c>
      <c r="E81" s="722" t="str">
        <f ca="1">IF(ROWS($1:70)&gt;COUNT(Dong2),"",IF(OFFSET(TH!M$1,SMALL(Dong2,ROWS($1:70)),)=$I$6,OFFSET(TH!L$1,SMALL(Dong2,ROWS($1:70)),),OFFSET(TH!M$1,SMALL(Dong2,ROWS($1:70)),)))</f>
        <v>642</v>
      </c>
      <c r="F81" s="724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724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20000</v>
      </c>
      <c r="H81" s="725">
        <f t="shared" ca="1" si="1"/>
        <v>1175391</v>
      </c>
      <c r="I81" s="726"/>
    </row>
    <row r="82" spans="1:21" s="705" customFormat="1" ht="18.75" customHeight="1">
      <c r="A82" s="722">
        <f ca="1">IF(ROWS($1:71)&gt;COUNT(Dong2),"",OFFSET(TH!C$1,SMALL(Dong2,ROWS($1:71)),))</f>
        <v>42724</v>
      </c>
      <c r="B82" s="722" t="str">
        <f ca="1">IF(ROWS($1:71)&gt;COUNT(Dong2),"",OFFSET(TH!D$1,SMALL(Dong2,ROWS($1:71)),))</f>
        <v>GBN</v>
      </c>
      <c r="C82" s="722">
        <f ca="1">IF(ROWS($1:71)&gt;COUNT(Dong2),"",OFFSET(TH!E$1,SMALL(Dong2,ROWS($1:71)),))</f>
        <v>42724</v>
      </c>
      <c r="D82" s="723" t="str">
        <f ca="1">IF(ROWS($1:71)&gt;COUNT(Dong2),"",OFFSET(TH!F$1,SMALL(Dong2,ROWS($1:71)),))</f>
        <v>VAT Phí kiểm đếm</v>
      </c>
      <c r="E82" s="722" t="str">
        <f ca="1">IF(ROWS($1:71)&gt;COUNT(Dong2),"",IF(OFFSET(TH!M$1,SMALL(Dong2,ROWS($1:71)),)=$I$6,OFFSET(TH!L$1,SMALL(Dong2,ROWS($1:71)),),OFFSET(TH!M$1,SMALL(Dong2,ROWS($1:71)),)))</f>
        <v>1331</v>
      </c>
      <c r="F82" s="724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724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2000</v>
      </c>
      <c r="H82" s="725">
        <f t="shared" ca="1" si="1"/>
        <v>1173391</v>
      </c>
      <c r="I82" s="726"/>
    </row>
    <row r="83" spans="1:21" s="705" customFormat="1" ht="18.75" customHeight="1">
      <c r="A83" s="722">
        <f ca="1">IF(ROWS($1:72)&gt;COUNT(Dong2),"",OFFSET(TH!C$1,SMALL(Dong2,ROWS($1:72)),))</f>
        <v>42726</v>
      </c>
      <c r="B83" s="722" t="str">
        <f ca="1">IF(ROWS($1:72)&gt;COUNT(Dong2),"",OFFSET(TH!D$1,SMALL(Dong2,ROWS($1:72)),))</f>
        <v>GBC</v>
      </c>
      <c r="C83" s="722">
        <f ca="1">IF(ROWS($1:72)&gt;COUNT(Dong2),"",OFFSET(TH!E$1,SMALL(Dong2,ROWS($1:72)),))</f>
        <v>42726</v>
      </c>
      <c r="D83" s="723" t="str">
        <f ca="1">IF(ROWS($1:72)&gt;COUNT(Dong2),"",OFFSET(TH!F$1,SMALL(Dong2,ROWS($1:72)),))</f>
        <v>Hoàn trả lệnh chuyển tiền do sai tên</v>
      </c>
      <c r="E83" s="722" t="str">
        <f ca="1">IF(ROWS($1:72)&gt;COUNT(Dong2),"",IF(OFFSET(TH!M$1,SMALL(Dong2,ROWS($1:72)),)=$I$6,OFFSET(TH!L$1,SMALL(Dong2,ROWS($1:72)),),OFFSET(TH!M$1,SMALL(Dong2,ROWS($1:72)),)))</f>
        <v>1388</v>
      </c>
      <c r="F83" s="724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11286770</v>
      </c>
      <c r="G83" s="724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0</v>
      </c>
      <c r="H83" s="725">
        <f t="shared" ca="1" si="1"/>
        <v>12460161</v>
      </c>
      <c r="I83" s="726"/>
    </row>
    <row r="84" spans="1:21" s="705" customFormat="1" ht="18.75" customHeight="1">
      <c r="A84" s="722">
        <f ca="1">IF(ROWS($1:73)&gt;COUNT(Dong2),"",OFFSET(TH!C$1,SMALL(Dong2,ROWS($1:73)),))</f>
        <v>42726</v>
      </c>
      <c r="B84" s="722" t="str">
        <f ca="1">IF(ROWS($1:73)&gt;COUNT(Dong2),"",OFFSET(TH!D$1,SMALL(Dong2,ROWS($1:73)),))</f>
        <v>T40</v>
      </c>
      <c r="C84" s="722">
        <f ca="1">IF(ROWS($1:73)&gt;COUNT(Dong2),"",OFFSET(TH!E$1,SMALL(Dong2,ROWS($1:73)),))</f>
        <v>42726</v>
      </c>
      <c r="D84" s="723" t="str">
        <f ca="1">IF(ROWS($1:73)&gt;COUNT(Dong2),"",OFFSET(TH!F$1,SMALL(Dong2,ROWS($1:73)),))</f>
        <v>Rút tiền mặt</v>
      </c>
      <c r="E84" s="722" t="str">
        <f ca="1">IF(ROWS($1:73)&gt;COUNT(Dong2),"",IF(OFFSET(TH!M$1,SMALL(Dong2,ROWS($1:73)),)=$I$6,OFFSET(TH!L$1,SMALL(Dong2,ROWS($1:73)),),OFFSET(TH!M$1,SMALL(Dong2,ROWS($1:73)),)))</f>
        <v>1111</v>
      </c>
      <c r="F84" s="724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724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11300000</v>
      </c>
      <c r="H84" s="725">
        <f t="shared" ca="1" si="1"/>
        <v>1160161</v>
      </c>
      <c r="I84" s="726"/>
    </row>
    <row r="85" spans="1:21" s="705" customFormat="1" ht="18.75" customHeight="1">
      <c r="A85" s="722">
        <f ca="1">IF(ROWS($1:74)&gt;COUNT(Dong2),"",OFFSET(TH!C$1,SMALL(Dong2,ROWS($1:74)),))</f>
        <v>42731</v>
      </c>
      <c r="B85" s="722" t="str">
        <f ca="1">IF(ROWS($1:74)&gt;COUNT(Dong2),"",OFFSET(TH!D$1,SMALL(Dong2,ROWS($1:74)),))</f>
        <v>GBC</v>
      </c>
      <c r="C85" s="722">
        <f ca="1">IF(ROWS($1:74)&gt;COUNT(Dong2),"",OFFSET(TH!E$1,SMALL(Dong2,ROWS($1:74)),))</f>
        <v>42731</v>
      </c>
      <c r="D85" s="723" t="str">
        <f ca="1">IF(ROWS($1:74)&gt;COUNT(Dong2),"",OFFSET(TH!F$1,SMALL(Dong2,ROWS($1:74)),))</f>
        <v>Thu tiền hàng</v>
      </c>
      <c r="E85" s="722" t="str">
        <f ca="1">IF(ROWS($1:74)&gt;COUNT(Dong2),"",IF(OFFSET(TH!M$1,SMALL(Dong2,ROWS($1:74)),)=$I$6,OFFSET(TH!L$1,SMALL(Dong2,ROWS($1:74)),),OFFSET(TH!M$1,SMALL(Dong2,ROWS($1:74)),)))</f>
        <v>131</v>
      </c>
      <c r="F85" s="724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5689640</v>
      </c>
      <c r="G85" s="724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0</v>
      </c>
      <c r="H85" s="725">
        <f t="shared" ca="1" si="1"/>
        <v>6849801</v>
      </c>
      <c r="I85" s="726"/>
    </row>
    <row r="86" spans="1:21" s="705" customFormat="1" ht="18.75" customHeight="1">
      <c r="A86" s="722">
        <f ca="1">IF(ROWS($1:75)&gt;COUNT(Dong2),"",OFFSET(TH!C$1,SMALL(Dong2,ROWS($1:75)),))</f>
        <v>42732</v>
      </c>
      <c r="B86" s="722" t="str">
        <f ca="1">IF(ROWS($1:75)&gt;COUNT(Dong2),"",OFFSET(TH!D$1,SMALL(Dong2,ROWS($1:75)),))</f>
        <v>T47</v>
      </c>
      <c r="C86" s="722">
        <f ca="1">IF(ROWS($1:75)&gt;COUNT(Dong2),"",OFFSET(TH!E$1,SMALL(Dong2,ROWS($1:75)),))</f>
        <v>42732</v>
      </c>
      <c r="D86" s="723" t="str">
        <f ca="1">IF(ROWS($1:75)&gt;COUNT(Dong2),"",OFFSET(TH!F$1,SMALL(Dong2,ROWS($1:75)),))</f>
        <v>Rút tiền mặt</v>
      </c>
      <c r="E86" s="722" t="str">
        <f ca="1">IF(ROWS($1:75)&gt;COUNT(Dong2),"",IF(OFFSET(TH!M$1,SMALL(Dong2,ROWS($1:75)),)=$I$6,OFFSET(TH!L$1,SMALL(Dong2,ROWS($1:75)),),OFFSET(TH!M$1,SMALL(Dong2,ROWS($1:75)),)))</f>
        <v>1111</v>
      </c>
      <c r="F86" s="724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724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5500000</v>
      </c>
      <c r="H86" s="725">
        <f t="shared" ca="1" si="1"/>
        <v>1349801</v>
      </c>
      <c r="I86" s="726"/>
    </row>
    <row r="87" spans="1:21" s="705" customFormat="1" ht="18.75" customHeight="1">
      <c r="A87" s="722">
        <f ca="1">IF(ROWS($1:76)&gt;COUNT(Dong2),"",OFFSET(TH!C$1,SMALL(Dong2,ROWS($1:76)),))</f>
        <v>42733</v>
      </c>
      <c r="B87" s="722" t="str">
        <f ca="1">IF(ROWS($1:76)&gt;COUNT(Dong2),"",OFFSET(TH!D$1,SMALL(Dong2,ROWS($1:76)),))</f>
        <v>GBC</v>
      </c>
      <c r="C87" s="722">
        <f ca="1">IF(ROWS($1:76)&gt;COUNT(Dong2),"",OFFSET(TH!E$1,SMALL(Dong2,ROWS($1:76)),))</f>
        <v>42733</v>
      </c>
      <c r="D87" s="723" t="str">
        <f ca="1">IF(ROWS($1:76)&gt;COUNT(Dong2),"",OFFSET(TH!F$1,SMALL(Dong2,ROWS($1:76)),))</f>
        <v>Thu tiền hàng</v>
      </c>
      <c r="E87" s="722" t="str">
        <f ca="1">IF(ROWS($1:76)&gt;COUNT(Dong2),"",IF(OFFSET(TH!M$1,SMALL(Dong2,ROWS($1:76)),)=$I$6,OFFSET(TH!L$1,SMALL(Dong2,ROWS($1:76)),),OFFSET(TH!M$1,SMALL(Dong2,ROWS($1:76)),)))</f>
        <v>131</v>
      </c>
      <c r="F87" s="724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9494100</v>
      </c>
      <c r="G87" s="724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0</v>
      </c>
      <c r="H87" s="725">
        <f t="shared" ca="1" si="1"/>
        <v>10843901</v>
      </c>
      <c r="I87" s="726"/>
    </row>
    <row r="88" spans="1:21" s="705" customFormat="1" ht="18.75" customHeight="1">
      <c r="A88" s="722">
        <f ca="1">IF(ROWS($1:77)&gt;COUNT(Dong2),"",OFFSET(TH!C$1,SMALL(Dong2,ROWS($1:77)),))</f>
        <v>42734</v>
      </c>
      <c r="B88" s="722" t="str">
        <f ca="1">IF(ROWS($1:77)&gt;COUNT(Dong2),"",OFFSET(TH!D$1,SMALL(Dong2,ROWS($1:77)),))</f>
        <v>GBC</v>
      </c>
      <c r="C88" s="722">
        <f ca="1">IF(ROWS($1:77)&gt;COUNT(Dong2),"",OFFSET(TH!E$1,SMALL(Dong2,ROWS($1:77)),))</f>
        <v>42734</v>
      </c>
      <c r="D88" s="723" t="str">
        <f ca="1">IF(ROWS($1:77)&gt;COUNT(Dong2),"",OFFSET(TH!F$1,SMALL(Dong2,ROWS($1:77)),))</f>
        <v>Thu tiền hàng</v>
      </c>
      <c r="E88" s="722" t="str">
        <f ca="1">IF(ROWS($1:77)&gt;COUNT(Dong2),"",IF(OFFSET(TH!M$1,SMALL(Dong2,ROWS($1:77)),)=$I$6,OFFSET(TH!L$1,SMALL(Dong2,ROWS($1:77)),),OFFSET(TH!M$1,SMALL(Dong2,ROWS($1:77)),)))</f>
        <v>131</v>
      </c>
      <c r="F88" s="724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14794287</v>
      </c>
      <c r="G88" s="724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0</v>
      </c>
      <c r="H88" s="725">
        <f t="shared" ca="1" si="1"/>
        <v>25638188</v>
      </c>
      <c r="I88" s="726"/>
    </row>
    <row r="89" spans="1:21" s="705" customFormat="1" ht="18.75" customHeight="1">
      <c r="A89" s="722">
        <f ca="1">IF(ROWS($1:78)&gt;COUNT(Dong2),"",OFFSET(TH!C$1,SMALL(Dong2,ROWS($1:78)),))</f>
        <v>42734</v>
      </c>
      <c r="B89" s="722" t="str">
        <f ca="1">IF(ROWS($1:78)&gt;COUNT(Dong2),"",OFFSET(TH!D$1,SMALL(Dong2,ROWS($1:78)),))</f>
        <v>T49</v>
      </c>
      <c r="C89" s="722">
        <f ca="1">IF(ROWS($1:78)&gt;COUNT(Dong2),"",OFFSET(TH!E$1,SMALL(Dong2,ROWS($1:78)),))</f>
        <v>42734</v>
      </c>
      <c r="D89" s="723" t="str">
        <f ca="1">IF(ROWS($1:78)&gt;COUNT(Dong2),"",OFFSET(TH!F$1,SMALL(Dong2,ROWS($1:78)),))</f>
        <v>Rút tiền mặt</v>
      </c>
      <c r="E89" s="722" t="str">
        <f ca="1">IF(ROWS($1:78)&gt;COUNT(Dong2),"",IF(OFFSET(TH!M$1,SMALL(Dong2,ROWS($1:78)),)=$I$6,OFFSET(TH!L$1,SMALL(Dong2,ROWS($1:78)),),OFFSET(TH!M$1,SMALL(Dong2,ROWS($1:78)),)))</f>
        <v>1111</v>
      </c>
      <c r="F89" s="724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0</v>
      </c>
      <c r="G89" s="724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9500000</v>
      </c>
      <c r="H89" s="725">
        <f t="shared" ca="1" si="1"/>
        <v>16138188</v>
      </c>
      <c r="I89" s="726"/>
    </row>
    <row r="90" spans="1:21" s="705" customFormat="1" ht="18.75" customHeight="1">
      <c r="A90" s="722">
        <f ca="1">IF(ROWS($1:79)&gt;COUNT(Dong2),"",OFFSET(TH!C$1,SMALL(Dong2,ROWS($1:79)),))</f>
        <v>42735</v>
      </c>
      <c r="B90" s="722" t="str">
        <f ca="1">IF(ROWS($1:79)&gt;COUNT(Dong2),"",OFFSET(TH!D$1,SMALL(Dong2,ROWS($1:79)),))</f>
        <v>GBC</v>
      </c>
      <c r="C90" s="722">
        <f ca="1">IF(ROWS($1:79)&gt;COUNT(Dong2),"",OFFSET(TH!E$1,SMALL(Dong2,ROWS($1:79)),))</f>
        <v>42735</v>
      </c>
      <c r="D90" s="723" t="str">
        <f ca="1">IF(ROWS($1:79)&gt;COUNT(Dong2),"",OFFSET(TH!F$1,SMALL(Dong2,ROWS($1:79)),))</f>
        <v>Lãi tiền gửi</v>
      </c>
      <c r="E90" s="722" t="str">
        <f ca="1">IF(ROWS($1:79)&gt;COUNT(Dong2),"",IF(OFFSET(TH!M$1,SMALL(Dong2,ROWS($1:79)),)=$I$6,OFFSET(TH!L$1,SMALL(Dong2,ROWS($1:79)),),OFFSET(TH!M$1,SMALL(Dong2,ROWS($1:79)),)))</f>
        <v>515</v>
      </c>
      <c r="F90" s="724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2749</v>
      </c>
      <c r="G90" s="724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0</v>
      </c>
      <c r="H90" s="725">
        <f t="shared" ca="1" si="1"/>
        <v>16140937</v>
      </c>
      <c r="I90" s="726"/>
    </row>
    <row r="91" spans="1:21" s="705" customFormat="1" ht="18.75" customHeight="1">
      <c r="A91" s="722">
        <f ca="1">IF(ROWS($1:80)&gt;COUNT(Dong2),"",OFFSET(TH!C$1,SMALL(Dong2,ROWS($1:80)),))</f>
        <v>42735</v>
      </c>
      <c r="B91" s="722" t="str">
        <f ca="1">IF(ROWS($1:80)&gt;COUNT(Dong2),"",OFFSET(TH!D$1,SMALL(Dong2,ROWS($1:80)),))</f>
        <v>GBN</v>
      </c>
      <c r="C91" s="722">
        <f ca="1">IF(ROWS($1:80)&gt;COUNT(Dong2),"",OFFSET(TH!E$1,SMALL(Dong2,ROWS($1:80)),))</f>
        <v>42735</v>
      </c>
      <c r="D91" s="723" t="str">
        <f ca="1">IF(ROWS($1:80)&gt;COUNT(Dong2),"",OFFSET(TH!F$1,SMALL(Dong2,ROWS($1:80)),))</f>
        <v>Phí quản lý tài khoản</v>
      </c>
      <c r="E91" s="722" t="str">
        <f ca="1">IF(ROWS($1:80)&gt;COUNT(Dong2),"",IF(OFFSET(TH!M$1,SMALL(Dong2,ROWS($1:80)),)=$I$6,OFFSET(TH!L$1,SMALL(Dong2,ROWS($1:80)),),OFFSET(TH!M$1,SMALL(Dong2,ROWS($1:80)),)))</f>
        <v>642</v>
      </c>
      <c r="F91" s="724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>0</v>
      </c>
      <c r="G91" s="724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>10000</v>
      </c>
      <c r="H91" s="725">
        <f t="shared" ref="H91:H93" ca="1" si="2">IF(A91&lt;&gt;"",H90+F91-G91,0)</f>
        <v>16130937</v>
      </c>
      <c r="I91" s="726"/>
    </row>
    <row r="92" spans="1:21" s="705" customFormat="1" ht="18.75" customHeight="1">
      <c r="A92" s="722">
        <f ca="1">IF(ROWS($1:81)&gt;COUNT(Dong2),"",OFFSET(TH!C$1,SMALL(Dong2,ROWS($1:81)),))</f>
        <v>42735</v>
      </c>
      <c r="B92" s="722" t="str">
        <f ca="1">IF(ROWS($1:81)&gt;COUNT(Dong2),"",OFFSET(TH!D$1,SMALL(Dong2,ROWS($1:81)),))</f>
        <v>GBN</v>
      </c>
      <c r="C92" s="722">
        <f ca="1">IF(ROWS($1:81)&gt;COUNT(Dong2),"",OFFSET(TH!E$1,SMALL(Dong2,ROWS($1:81)),))</f>
        <v>42735</v>
      </c>
      <c r="D92" s="723" t="str">
        <f ca="1">IF(ROWS($1:81)&gt;COUNT(Dong2),"",OFFSET(TH!F$1,SMALL(Dong2,ROWS($1:81)),))</f>
        <v>VAT Phí quản lý tài khoản</v>
      </c>
      <c r="E92" s="722" t="str">
        <f ca="1">IF(ROWS($1:81)&gt;COUNT(Dong2),"",IF(OFFSET(TH!M$1,SMALL(Dong2,ROWS($1:81)),)=$I$6,OFFSET(TH!L$1,SMALL(Dong2,ROWS($1:81)),),OFFSET(TH!M$1,SMALL(Dong2,ROWS($1:81)),)))</f>
        <v>1331</v>
      </c>
      <c r="F92" s="724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>0</v>
      </c>
      <c r="G92" s="724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>1000</v>
      </c>
      <c r="H92" s="725">
        <f t="shared" ca="1" si="2"/>
        <v>16129937</v>
      </c>
      <c r="I92" s="726"/>
    </row>
    <row r="93" spans="1:21" s="705" customFormat="1" ht="18.75" customHeight="1">
      <c r="A93" s="722" t="str">
        <f ca="1">IF(ROWS($1:82)&gt;COUNT(Dong2),"",OFFSET(TH!C$1,SMALL(Dong2,ROWS($1:82)),))</f>
        <v/>
      </c>
      <c r="B93" s="722" t="str">
        <f ca="1">IF(ROWS($1:82)&gt;COUNT(Dong2),"",OFFSET(TH!D$1,SMALL(Dong2,ROWS($1:82)),))</f>
        <v/>
      </c>
      <c r="C93" s="722" t="str">
        <f ca="1">IF(ROWS($1:82)&gt;COUNT(Dong2),"",OFFSET(TH!E$1,SMALL(Dong2,ROWS($1:82)),))</f>
        <v/>
      </c>
      <c r="D93" s="723" t="str">
        <f ca="1">IF(ROWS($1:82)&gt;COUNT(Dong2),"",OFFSET(TH!F$1,SMALL(Dong2,ROWS($1:82)),))</f>
        <v/>
      </c>
      <c r="E93" s="722" t="str">
        <f ca="1">IF(ROWS($1:82)&gt;COUNT(Dong2),"",IF(OFFSET(TH!M$1,SMALL(Dong2,ROWS($1:82)),)=$I$6,OFFSET(TH!L$1,SMALL(Dong2,ROWS($1:82)),),OFFSET(TH!M$1,SMALL(Dong2,ROWS($1:82)),)))</f>
        <v/>
      </c>
      <c r="F93" s="724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724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725">
        <f t="shared" ca="1" si="2"/>
        <v>0</v>
      </c>
      <c r="I93" s="726"/>
    </row>
    <row r="94" spans="1:21" s="705" customFormat="1" ht="18.75" customHeight="1">
      <c r="A94" s="722"/>
      <c r="B94" s="722"/>
      <c r="C94" s="722"/>
      <c r="D94" s="723"/>
      <c r="E94" s="722"/>
      <c r="F94" s="724"/>
      <c r="G94" s="724"/>
      <c r="H94" s="725"/>
      <c r="I94" s="726"/>
      <c r="Q94" s="102"/>
      <c r="R94" s="102"/>
      <c r="S94" s="102"/>
      <c r="T94" s="102"/>
      <c r="U94" s="102"/>
    </row>
    <row r="95" spans="1:21" ht="18.75" customHeight="1">
      <c r="A95" s="728"/>
      <c r="B95" s="729"/>
      <c r="C95" s="728"/>
      <c r="D95" s="719" t="s">
        <v>129</v>
      </c>
      <c r="E95" s="730"/>
      <c r="F95" s="720">
        <f ca="1">SUM(F12:F94)</f>
        <v>638553623</v>
      </c>
      <c r="G95" s="720">
        <f ca="1">SUM(G12:G94)</f>
        <v>642783770</v>
      </c>
      <c r="H95" s="720">
        <f ca="1">H11+F95-G95</f>
        <v>16129937</v>
      </c>
      <c r="I95" s="731"/>
    </row>
    <row r="96" spans="1:21" ht="18.75" customHeight="1">
      <c r="A96" s="728"/>
      <c r="B96" s="729"/>
      <c r="C96" s="728"/>
      <c r="D96" s="719" t="s">
        <v>10</v>
      </c>
      <c r="E96" s="730"/>
      <c r="F96" s="732"/>
      <c r="G96" s="732"/>
      <c r="H96" s="720">
        <f ca="1">H95</f>
        <v>16129937</v>
      </c>
      <c r="I96" s="730"/>
    </row>
    <row r="97" spans="1:12" ht="22.5" customHeight="1">
      <c r="A97" s="97" t="s">
        <v>150</v>
      </c>
      <c r="B97" s="733"/>
      <c r="C97" s="102"/>
      <c r="F97" s="624"/>
      <c r="I97" s="111"/>
    </row>
    <row r="98" spans="1:12">
      <c r="A98" s="699" t="str">
        <f ca="1">"- Ngày mở sổ: "&amp;DAY($A$12)&amp;"/"&amp;MONTH($A$12)&amp;"/ " &amp;YEAR($A$12)</f>
        <v>- Ngày mở sổ: 3/10/ 2016</v>
      </c>
      <c r="C98" s="102"/>
      <c r="F98" s="624"/>
      <c r="I98" s="111"/>
    </row>
    <row r="99" spans="1:12">
      <c r="A99" s="106"/>
      <c r="B99" s="103"/>
      <c r="C99" s="734"/>
      <c r="F99" s="624"/>
      <c r="G99" s="99" t="str">
        <f ca="1">"Ngày "&amp;IF(OR($K$9=4,$K$9=6,$K$9=9,$K$9=11),"30",IF($K$9=2,"28","31"))&amp;"  tháng  "&amp;$O$8&amp;"  năm   "&amp;YEAR($A$12)</f>
        <v>Ngày 31  tháng  12  năm   2016</v>
      </c>
    </row>
    <row r="100" spans="1:12" ht="17.25" customHeight="1">
      <c r="A100" s="102"/>
      <c r="B100" s="735" t="s">
        <v>11</v>
      </c>
      <c r="C100" s="102"/>
      <c r="D100" s="735" t="s">
        <v>12</v>
      </c>
      <c r="F100" s="736"/>
      <c r="G100" s="737" t="s">
        <v>105</v>
      </c>
      <c r="H100" s="738"/>
      <c r="I100" s="739"/>
      <c r="J100" s="740"/>
      <c r="K100" s="106"/>
      <c r="L100" s="106"/>
    </row>
    <row r="101" spans="1:12">
      <c r="A101" s="102"/>
      <c r="B101" s="741" t="s">
        <v>13</v>
      </c>
      <c r="C101" s="102"/>
      <c r="D101" s="741" t="s">
        <v>13</v>
      </c>
      <c r="F101" s="742"/>
      <c r="G101" s="662" t="s">
        <v>132</v>
      </c>
      <c r="K101" s="743"/>
      <c r="L101" s="743"/>
    </row>
  </sheetData>
  <autoFilter ref="A10:K98"/>
  <mergeCells count="16">
    <mergeCell ref="F2:H3"/>
    <mergeCell ref="N6:O6"/>
    <mergeCell ref="Q6:Q7"/>
    <mergeCell ref="R6:R7"/>
    <mergeCell ref="T6:T7"/>
    <mergeCell ref="A4:I4"/>
    <mergeCell ref="A5:I5"/>
    <mergeCell ref="S6:S7"/>
    <mergeCell ref="A2:E3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7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42" sqref="B42"/>
    </sheetView>
  </sheetViews>
  <sheetFormatPr defaultColWidth="8" defaultRowHeight="16.5"/>
  <cols>
    <col min="1" max="1" width="5" style="744" customWidth="1"/>
    <col min="2" max="2" width="45.28515625" style="744" customWidth="1"/>
    <col min="3" max="4" width="10.7109375" style="744" customWidth="1"/>
    <col min="5" max="6" width="13.85546875" style="744" customWidth="1"/>
    <col min="7" max="7" width="13" style="744" customWidth="1"/>
    <col min="8" max="8" width="9" style="744" customWidth="1"/>
    <col min="9" max="16384" width="8" style="744"/>
  </cols>
  <sheetData>
    <row r="1" spans="1:8">
      <c r="A1" s="387" t="str">
        <f>TH!$A$1</f>
        <v>Đơn vị: CÔNG TY TNHH BAO BÌ GIẤY KIM DUNG PHÁT</v>
      </c>
    </row>
    <row r="2" spans="1:8">
      <c r="A2" s="416" t="str">
        <f>TH!$A$2</f>
        <v>Địa chỉ: Ấp Rừng Sến, xã Mỹ Hạnh Bắc, Huyện Đức Hòa, Tỉnh Long An, Việt Nam</v>
      </c>
    </row>
    <row r="3" spans="1:8" ht="33" customHeight="1">
      <c r="A3" s="891" t="s">
        <v>327</v>
      </c>
      <c r="B3" s="891"/>
      <c r="C3" s="891"/>
      <c r="D3" s="891"/>
      <c r="E3" s="891"/>
      <c r="F3" s="891"/>
      <c r="G3" s="891"/>
      <c r="H3" s="891"/>
    </row>
    <row r="4" spans="1:8" s="745" customFormat="1" ht="22.5" customHeight="1">
      <c r="A4" s="892" t="s">
        <v>34</v>
      </c>
      <c r="B4" s="894" t="s">
        <v>35</v>
      </c>
      <c r="C4" s="896" t="s">
        <v>36</v>
      </c>
      <c r="D4" s="897"/>
      <c r="E4" s="896" t="s">
        <v>37</v>
      </c>
      <c r="F4" s="897"/>
      <c r="G4" s="896" t="s">
        <v>40</v>
      </c>
      <c r="H4" s="897"/>
    </row>
    <row r="5" spans="1:8" s="745" customFormat="1" ht="22.5" customHeight="1">
      <c r="A5" s="893"/>
      <c r="B5" s="895"/>
      <c r="C5" s="746" t="s">
        <v>41</v>
      </c>
      <c r="D5" s="746" t="s">
        <v>42</v>
      </c>
      <c r="E5" s="746" t="s">
        <v>41</v>
      </c>
      <c r="F5" s="746" t="s">
        <v>42</v>
      </c>
      <c r="G5" s="746" t="s">
        <v>41</v>
      </c>
      <c r="H5" s="746" t="s">
        <v>42</v>
      </c>
    </row>
    <row r="6" spans="1:8" s="745" customFormat="1" ht="22.5" customHeight="1">
      <c r="A6" s="747">
        <f t="shared" ref="A6:A42" si="0">IF(B6&lt;&gt;"",ROW()-5,"")</f>
        <v>1</v>
      </c>
      <c r="B6" s="748" t="s">
        <v>617</v>
      </c>
      <c r="C6" s="749"/>
      <c r="D6" s="749"/>
      <c r="E6" s="749">
        <f t="array" ref="E6">SUM(IF("131"&amp;B6=KHN&amp;KH,TH))</f>
        <v>10756570</v>
      </c>
      <c r="F6" s="749">
        <f t="array" ref="F6">SUM(IF("131"&amp;B6=KHC&amp;KH,TH))</f>
        <v>8270680</v>
      </c>
      <c r="G6" s="750">
        <f t="shared" ref="G6:G27" si="1">ROUND(MAX(C6+E6-D6-F6,0),2)</f>
        <v>2485890</v>
      </c>
      <c r="H6" s="750">
        <f t="shared" ref="H6:H27" si="2">ROUND(MAX(D6+F6-C6-E6,0),2)</f>
        <v>0</v>
      </c>
    </row>
    <row r="7" spans="1:8" s="745" customFormat="1" ht="22.5" customHeight="1">
      <c r="A7" s="747">
        <f t="shared" si="0"/>
        <v>2</v>
      </c>
      <c r="B7" s="748" t="s">
        <v>371</v>
      </c>
      <c r="C7" s="749"/>
      <c r="D7" s="749"/>
      <c r="E7" s="749">
        <f t="array" ref="E7">SUM(IF("131"&amp;B7=KHN&amp;KH,TH))</f>
        <v>227902092</v>
      </c>
      <c r="F7" s="749">
        <f t="array" ref="F7">SUM(IF("131"&amp;B7=KHC&amp;KH,TH))</f>
        <v>189896410</v>
      </c>
      <c r="G7" s="750">
        <f t="shared" si="1"/>
        <v>38005682</v>
      </c>
      <c r="H7" s="750">
        <f t="shared" si="2"/>
        <v>0</v>
      </c>
    </row>
    <row r="8" spans="1:8" s="745" customFormat="1" ht="22.5" customHeight="1">
      <c r="A8" s="747">
        <f t="shared" si="0"/>
        <v>3</v>
      </c>
      <c r="B8" s="748" t="s">
        <v>365</v>
      </c>
      <c r="C8" s="749"/>
      <c r="D8" s="749"/>
      <c r="E8" s="749">
        <f t="array" ref="E8">SUM(IF("131"&amp;B8=KHN&amp;KH,TH))</f>
        <v>58190495</v>
      </c>
      <c r="F8" s="749">
        <f t="array" ref="F8">SUM(IF("131"&amp;B8=KHC&amp;KH,TH))</f>
        <v>17681180</v>
      </c>
      <c r="G8" s="750">
        <f t="shared" si="1"/>
        <v>40509315</v>
      </c>
      <c r="H8" s="750">
        <f t="shared" si="2"/>
        <v>0</v>
      </c>
    </row>
    <row r="9" spans="1:8" s="745" customFormat="1" ht="22.5" customHeight="1">
      <c r="A9" s="747">
        <f t="shared" si="0"/>
        <v>4</v>
      </c>
      <c r="B9" s="748" t="s">
        <v>374</v>
      </c>
      <c r="C9" s="749"/>
      <c r="D9" s="749"/>
      <c r="E9" s="749">
        <f t="array" ref="E9">SUM(IF("131"&amp;B9=KHN&amp;KH,TH))</f>
        <v>12569920</v>
      </c>
      <c r="F9" s="749">
        <f t="array" ref="F9">SUM(IF("131"&amp;B9=KHC&amp;KH,TH))</f>
        <v>12569920</v>
      </c>
      <c r="G9" s="750">
        <f t="shared" si="1"/>
        <v>0</v>
      </c>
      <c r="H9" s="750">
        <f t="shared" si="2"/>
        <v>0</v>
      </c>
    </row>
    <row r="10" spans="1:8" s="745" customFormat="1" ht="22.5" customHeight="1">
      <c r="A10" s="747">
        <f t="shared" si="0"/>
        <v>5</v>
      </c>
      <c r="B10" s="748" t="s">
        <v>369</v>
      </c>
      <c r="C10" s="749"/>
      <c r="D10" s="749"/>
      <c r="E10" s="749">
        <f t="array" ref="E10">SUM(IF("131"&amp;B10=KHN&amp;KH,TH))</f>
        <v>81035035</v>
      </c>
      <c r="F10" s="749">
        <f t="array" ref="F10">SUM(IF("131"&amp;B10=KHC&amp;KH,TH))</f>
        <v>65079192</v>
      </c>
      <c r="G10" s="750">
        <f t="shared" si="1"/>
        <v>15955843</v>
      </c>
      <c r="H10" s="750">
        <f t="shared" si="2"/>
        <v>0</v>
      </c>
    </row>
    <row r="11" spans="1:8" s="745" customFormat="1" ht="22.5" customHeight="1">
      <c r="A11" s="747">
        <f t="shared" si="0"/>
        <v>6</v>
      </c>
      <c r="B11" s="748" t="s">
        <v>368</v>
      </c>
      <c r="C11" s="749"/>
      <c r="D11" s="749"/>
      <c r="E11" s="749">
        <f t="array" ref="E11">SUM(IF("131"&amp;B11=KHN&amp;KH,TH))</f>
        <v>12160500</v>
      </c>
      <c r="F11" s="749">
        <f t="array" ref="F11">SUM(IF("131"&amp;B11=KHC&amp;KH,TH))</f>
        <v>12160500</v>
      </c>
      <c r="G11" s="750">
        <f t="shared" si="1"/>
        <v>0</v>
      </c>
      <c r="H11" s="750">
        <f t="shared" si="2"/>
        <v>0</v>
      </c>
    </row>
    <row r="12" spans="1:8" s="745" customFormat="1" ht="22.5" customHeight="1">
      <c r="A12" s="747">
        <f t="shared" si="0"/>
        <v>7</v>
      </c>
      <c r="B12" s="748" t="s">
        <v>367</v>
      </c>
      <c r="C12" s="749"/>
      <c r="D12" s="749"/>
      <c r="E12" s="749">
        <f t="array" ref="E12">SUM(IF("131"&amp;B12=KHN&amp;KH,TH))</f>
        <v>122508320</v>
      </c>
      <c r="F12" s="749">
        <f t="array" ref="F12">SUM(IF("131"&amp;B12=KHC&amp;KH,TH))</f>
        <v>89892000</v>
      </c>
      <c r="G12" s="750">
        <f t="shared" si="1"/>
        <v>32616320</v>
      </c>
      <c r="H12" s="750">
        <f t="shared" si="2"/>
        <v>0</v>
      </c>
    </row>
    <row r="13" spans="1:8" s="745" customFormat="1" ht="22.5" customHeight="1">
      <c r="A13" s="747">
        <f t="shared" si="0"/>
        <v>8</v>
      </c>
      <c r="B13" s="748" t="s">
        <v>372</v>
      </c>
      <c r="C13" s="749"/>
      <c r="D13" s="749"/>
      <c r="E13" s="749">
        <f t="array" ref="E13">SUM(IF("131"&amp;B13=KHN&amp;KH,TH))</f>
        <v>60836600</v>
      </c>
      <c r="F13" s="749">
        <f t="array" ref="F13">SUM(IF("131"&amp;B13=KHC&amp;KH,TH))</f>
        <v>60836600</v>
      </c>
      <c r="G13" s="750">
        <f t="shared" si="1"/>
        <v>0</v>
      </c>
      <c r="H13" s="750">
        <f t="shared" si="2"/>
        <v>0</v>
      </c>
    </row>
    <row r="14" spans="1:8" s="745" customFormat="1" ht="22.5" customHeight="1">
      <c r="A14" s="747">
        <f t="shared" si="0"/>
        <v>9</v>
      </c>
      <c r="B14" s="748" t="s">
        <v>506</v>
      </c>
      <c r="C14" s="749"/>
      <c r="D14" s="749"/>
      <c r="E14" s="749">
        <f t="array" ref="E14">SUM(IF("131"&amp;B14=KHN&amp;KH,TH))</f>
        <v>2486000</v>
      </c>
      <c r="F14" s="749">
        <f t="array" ref="F14">SUM(IF("131"&amp;B14=KHC&amp;KH,TH))</f>
        <v>2486000</v>
      </c>
      <c r="G14" s="750">
        <f t="shared" si="1"/>
        <v>0</v>
      </c>
      <c r="H14" s="750">
        <f t="shared" si="2"/>
        <v>0</v>
      </c>
    </row>
    <row r="15" spans="1:8" s="745" customFormat="1" ht="22.5" customHeight="1">
      <c r="A15" s="747">
        <f t="shared" si="0"/>
        <v>10</v>
      </c>
      <c r="B15" s="748" t="s">
        <v>618</v>
      </c>
      <c r="C15" s="749"/>
      <c r="D15" s="749"/>
      <c r="E15" s="749">
        <f t="array" ref="E15">SUM(IF("131"&amp;B15=KHN&amp;KH,TH))</f>
        <v>31987175</v>
      </c>
      <c r="F15" s="749">
        <f t="array" ref="F15">SUM(IF("131"&amp;B15=KHC&amp;KH,TH))</f>
        <v>24112825</v>
      </c>
      <c r="G15" s="750">
        <f t="shared" si="1"/>
        <v>7874350</v>
      </c>
      <c r="H15" s="750">
        <f t="shared" si="2"/>
        <v>0</v>
      </c>
    </row>
    <row r="16" spans="1:8" s="745" customFormat="1" ht="22.5" customHeight="1">
      <c r="A16" s="747">
        <f t="shared" si="0"/>
        <v>11</v>
      </c>
      <c r="B16" s="751" t="s">
        <v>495</v>
      </c>
      <c r="C16" s="749"/>
      <c r="D16" s="749"/>
      <c r="E16" s="749">
        <f t="array" ref="E16">SUM(IF("131"&amp;B16=KHN&amp;KH,TH))</f>
        <v>1754474</v>
      </c>
      <c r="F16" s="749">
        <f t="array" ref="F16">SUM(IF("131"&amp;B16=KHC&amp;KH,TH))</f>
        <v>1754474</v>
      </c>
      <c r="G16" s="750">
        <f t="shared" si="1"/>
        <v>0</v>
      </c>
      <c r="H16" s="750">
        <f t="shared" si="2"/>
        <v>0</v>
      </c>
    </row>
    <row r="17" spans="1:8" s="745" customFormat="1" ht="22.5" customHeight="1">
      <c r="A17" s="747">
        <f t="shared" si="0"/>
        <v>12</v>
      </c>
      <c r="B17" s="752" t="s">
        <v>544</v>
      </c>
      <c r="C17" s="749"/>
      <c r="D17" s="749"/>
      <c r="E17" s="749">
        <f t="array" ref="E17">SUM(IF("131"&amp;B17=KHN&amp;KH,TH))</f>
        <v>104148000</v>
      </c>
      <c r="F17" s="749">
        <f t="array" ref="F17">SUM(IF("131"&amp;B17=KHC&amp;KH,TH))</f>
        <v>104148000</v>
      </c>
      <c r="G17" s="750">
        <f t="shared" si="1"/>
        <v>0</v>
      </c>
      <c r="H17" s="750">
        <f t="shared" si="2"/>
        <v>0</v>
      </c>
    </row>
    <row r="18" spans="1:8" s="745" customFormat="1" ht="22.5" customHeight="1">
      <c r="A18" s="747">
        <f t="shared" si="0"/>
        <v>13</v>
      </c>
      <c r="B18" s="748" t="s">
        <v>366</v>
      </c>
      <c r="C18" s="749"/>
      <c r="D18" s="749"/>
      <c r="E18" s="749">
        <f t="array" ref="E18">SUM(IF("131"&amp;B18=KHN&amp;KH,TH))</f>
        <v>44756030</v>
      </c>
      <c r="F18" s="749">
        <f t="array" ref="F18">SUM(IF("131"&amp;B18=KHC&amp;KH,TH))</f>
        <v>37163830</v>
      </c>
      <c r="G18" s="750">
        <f t="shared" si="1"/>
        <v>7592200</v>
      </c>
      <c r="H18" s="750">
        <f t="shared" si="2"/>
        <v>0</v>
      </c>
    </row>
    <row r="19" spans="1:8" s="745" customFormat="1" ht="22.5" customHeight="1">
      <c r="A19" s="747">
        <f t="shared" si="0"/>
        <v>14</v>
      </c>
      <c r="B19" s="752" t="s">
        <v>616</v>
      </c>
      <c r="C19" s="749"/>
      <c r="D19" s="749"/>
      <c r="E19" s="749">
        <f t="array" ref="E19">SUM(IF("131"&amp;B19=KHN&amp;KH,TH))</f>
        <v>12281500</v>
      </c>
      <c r="F19" s="749">
        <f t="array" ref="F19">SUM(IF("131"&amp;B19=KHC&amp;KH,TH))</f>
        <v>5929000</v>
      </c>
      <c r="G19" s="750">
        <f t="shared" si="1"/>
        <v>6352500</v>
      </c>
      <c r="H19" s="750">
        <f t="shared" si="2"/>
        <v>0</v>
      </c>
    </row>
    <row r="20" spans="1:8" s="745" customFormat="1" ht="22.5" customHeight="1">
      <c r="A20" s="747">
        <f t="shared" si="0"/>
        <v>15</v>
      </c>
      <c r="B20" s="752" t="s">
        <v>525</v>
      </c>
      <c r="C20" s="749"/>
      <c r="D20" s="749"/>
      <c r="E20" s="749">
        <f t="array" ref="E20">SUM(IF("131"&amp;B20=KHN&amp;KH,TH))</f>
        <v>30625892</v>
      </c>
      <c r="F20" s="749">
        <f t="array" ref="F20">SUM(IF("131"&amp;B20=KHC&amp;KH,TH))</f>
        <v>30625892</v>
      </c>
      <c r="G20" s="750">
        <f t="shared" si="1"/>
        <v>0</v>
      </c>
      <c r="H20" s="750">
        <f t="shared" si="2"/>
        <v>0</v>
      </c>
    </row>
    <row r="21" spans="1:8" s="745" customFormat="1" ht="22.5" customHeight="1">
      <c r="A21" s="747">
        <f t="shared" si="0"/>
        <v>16</v>
      </c>
      <c r="B21" s="748" t="s">
        <v>620</v>
      </c>
      <c r="C21" s="749"/>
      <c r="D21" s="749"/>
      <c r="E21" s="749">
        <f t="array" ref="E21">SUM(IF("131"&amp;B21=KHN&amp;KH,TH))</f>
        <v>12640100</v>
      </c>
      <c r="F21" s="749">
        <f t="array" ref="F21">SUM(IF("131"&amp;B21=KHC&amp;KH,TH))</f>
        <v>12640100</v>
      </c>
      <c r="G21" s="750">
        <f t="shared" si="1"/>
        <v>0</v>
      </c>
      <c r="H21" s="750">
        <f t="shared" si="2"/>
        <v>0</v>
      </c>
    </row>
    <row r="22" spans="1:8" s="745" customFormat="1" ht="22.5" customHeight="1">
      <c r="A22" s="747">
        <f t="shared" si="0"/>
        <v>17</v>
      </c>
      <c r="B22" s="748" t="s">
        <v>551</v>
      </c>
      <c r="C22" s="749"/>
      <c r="D22" s="749"/>
      <c r="E22" s="749">
        <f t="array" ref="E22">SUM(IF("131"&amp;B22=KHN&amp;KH,TH))</f>
        <v>8100840</v>
      </c>
      <c r="F22" s="749">
        <f t="array" ref="F22">SUM(IF("131"&amp;B22=KHC&amp;KH,TH))</f>
        <v>8100840</v>
      </c>
      <c r="G22" s="750">
        <f t="shared" si="1"/>
        <v>0</v>
      </c>
      <c r="H22" s="750">
        <f t="shared" si="2"/>
        <v>0</v>
      </c>
    </row>
    <row r="23" spans="1:8" s="745" customFormat="1" ht="22.5" customHeight="1">
      <c r="A23" s="747">
        <f t="shared" si="0"/>
        <v>18</v>
      </c>
      <c r="B23" s="752" t="s">
        <v>621</v>
      </c>
      <c r="C23" s="749"/>
      <c r="D23" s="749"/>
      <c r="E23" s="749">
        <f t="array" ref="E23">SUM(IF("131"&amp;B23=KHN&amp;KH,TH))</f>
        <v>2970000</v>
      </c>
      <c r="F23" s="749">
        <f t="array" ref="F23">SUM(IF("131"&amp;B23=KHC&amp;KH,TH))</f>
        <v>2970000</v>
      </c>
      <c r="G23" s="750">
        <f t="shared" si="1"/>
        <v>0</v>
      </c>
      <c r="H23" s="750">
        <f t="shared" si="2"/>
        <v>0</v>
      </c>
    </row>
    <row r="24" spans="1:8" s="745" customFormat="1" ht="22.5" customHeight="1">
      <c r="A24" s="747">
        <f t="shared" si="0"/>
        <v>19</v>
      </c>
      <c r="B24" s="748" t="s">
        <v>622</v>
      </c>
      <c r="C24" s="749"/>
      <c r="D24" s="749"/>
      <c r="E24" s="749">
        <f t="array" ref="E24">SUM(IF("131"&amp;B24=KHN&amp;KH,TH))</f>
        <v>22867790</v>
      </c>
      <c r="F24" s="749">
        <f t="array" ref="F24">SUM(IF("131"&amp;B24=KHC&amp;KH,TH))</f>
        <v>22867790</v>
      </c>
      <c r="G24" s="750">
        <f t="shared" si="1"/>
        <v>0</v>
      </c>
      <c r="H24" s="750">
        <f t="shared" si="2"/>
        <v>0</v>
      </c>
    </row>
    <row r="25" spans="1:8" s="745" customFormat="1" ht="22.5" customHeight="1">
      <c r="A25" s="747">
        <f t="shared" si="0"/>
        <v>20</v>
      </c>
      <c r="B25" s="748" t="s">
        <v>623</v>
      </c>
      <c r="C25" s="749"/>
      <c r="D25" s="749"/>
      <c r="E25" s="749">
        <f t="array" ref="E25">SUM(IF("131"&amp;B25=KHN&amp;KH,TH))</f>
        <v>9237800</v>
      </c>
      <c r="F25" s="749">
        <f t="array" ref="F25">SUM(IF("131"&amp;B25=KHC&amp;KH,TH))</f>
        <v>9237800</v>
      </c>
      <c r="G25" s="750">
        <f t="shared" si="1"/>
        <v>0</v>
      </c>
      <c r="H25" s="750">
        <f t="shared" si="2"/>
        <v>0</v>
      </c>
    </row>
    <row r="26" spans="1:8" s="745" customFormat="1" ht="22.5" customHeight="1">
      <c r="A26" s="747">
        <f t="shared" si="0"/>
        <v>21</v>
      </c>
      <c r="B26" s="748" t="s">
        <v>373</v>
      </c>
      <c r="C26" s="749"/>
      <c r="D26" s="749"/>
      <c r="E26" s="749">
        <f t="array" ref="E26">SUM(IF("131"&amp;B26=KHN&amp;KH,TH))</f>
        <v>19338000</v>
      </c>
      <c r="F26" s="749">
        <f t="array" ref="F26">SUM(IF("131"&amp;B26=KHC&amp;KH,TH))</f>
        <v>19338000</v>
      </c>
      <c r="G26" s="750">
        <f t="shared" si="1"/>
        <v>0</v>
      </c>
      <c r="H26" s="750">
        <f t="shared" si="2"/>
        <v>0</v>
      </c>
    </row>
    <row r="27" spans="1:8" s="745" customFormat="1" ht="22.5" customHeight="1">
      <c r="A27" s="747">
        <f t="shared" si="0"/>
        <v>22</v>
      </c>
      <c r="B27" s="748" t="s">
        <v>619</v>
      </c>
      <c r="C27" s="749"/>
      <c r="D27" s="749"/>
      <c r="E27" s="749">
        <f t="array" ref="E27">SUM(IF("131"&amp;B27=KHN&amp;KH,TH))</f>
        <v>5236000</v>
      </c>
      <c r="F27" s="749">
        <f t="array" ref="F27">SUM(IF("131"&amp;B27=KHC&amp;KH,TH))</f>
        <v>5236000</v>
      </c>
      <c r="G27" s="750">
        <f t="shared" si="1"/>
        <v>0</v>
      </c>
      <c r="H27" s="750">
        <f t="shared" si="2"/>
        <v>0</v>
      </c>
    </row>
    <row r="28" spans="1:8" s="745" customFormat="1" ht="22.5" customHeight="1">
      <c r="A28" s="747">
        <f t="shared" si="0"/>
        <v>23</v>
      </c>
      <c r="B28" s="752" t="s">
        <v>683</v>
      </c>
      <c r="C28" s="749"/>
      <c r="D28" s="749"/>
      <c r="E28" s="749">
        <f t="array" ref="E28">SUM(IF("131"&amp;B28=KHN&amp;KH,TH))</f>
        <v>329035740</v>
      </c>
      <c r="F28" s="749">
        <f t="array" ref="F28">SUM(IF("131"&amp;B28=KHC&amp;KH,TH))</f>
        <v>175296000</v>
      </c>
      <c r="G28" s="750">
        <f t="shared" ref="G28:G31" si="3">ROUND(MAX(C28+E28-D28-F28,0),2)</f>
        <v>153739740</v>
      </c>
      <c r="H28" s="750">
        <f t="shared" ref="H28:H31" si="4">ROUND(MAX(D28+F28-C28-E28,0),2)</f>
        <v>0</v>
      </c>
    </row>
    <row r="29" spans="1:8" s="745" customFormat="1" ht="22.5" customHeight="1">
      <c r="A29" s="747">
        <f t="shared" si="0"/>
        <v>24</v>
      </c>
      <c r="B29" s="753" t="s">
        <v>823</v>
      </c>
      <c r="C29" s="749"/>
      <c r="D29" s="749"/>
      <c r="E29" s="749">
        <f t="array" ref="E29">SUM(IF("131"&amp;B29=KHN&amp;KH,TH))</f>
        <v>13877600</v>
      </c>
      <c r="F29" s="749">
        <f t="array" ref="F29">SUM(IF("131"&amp;B29=KHC&amp;KH,TH))</f>
        <v>13877600</v>
      </c>
      <c r="G29" s="750">
        <f t="shared" si="3"/>
        <v>0</v>
      </c>
      <c r="H29" s="750">
        <f t="shared" si="4"/>
        <v>0</v>
      </c>
    </row>
    <row r="30" spans="1:8" s="745" customFormat="1" ht="22.5" customHeight="1">
      <c r="A30" s="747">
        <f t="shared" si="0"/>
        <v>25</v>
      </c>
      <c r="B30" s="752" t="s">
        <v>690</v>
      </c>
      <c r="C30" s="749"/>
      <c r="D30" s="749"/>
      <c r="E30" s="749">
        <f t="array" ref="E30">SUM(IF("131"&amp;B30=KHN&amp;KH,TH))</f>
        <v>38466230</v>
      </c>
      <c r="F30" s="749">
        <f t="array" ref="F30">SUM(IF("131"&amp;B30=KHC&amp;KH,TH))</f>
        <v>19463510</v>
      </c>
      <c r="G30" s="750">
        <f t="shared" si="3"/>
        <v>19002720</v>
      </c>
      <c r="H30" s="750">
        <f t="shared" si="4"/>
        <v>0</v>
      </c>
    </row>
    <row r="31" spans="1:8" s="745" customFormat="1" ht="22.5" customHeight="1">
      <c r="A31" s="747">
        <f t="shared" si="0"/>
        <v>26</v>
      </c>
      <c r="B31" s="748" t="s">
        <v>814</v>
      </c>
      <c r="C31" s="749"/>
      <c r="D31" s="749"/>
      <c r="E31" s="749">
        <f t="array" ref="E31">SUM(IF("131"&amp;B31=KHN&amp;KH,TH))</f>
        <v>488167350</v>
      </c>
      <c r="F31" s="749">
        <f t="array" ref="F31">SUM(IF("131"&amp;B31=KHC&amp;KH,TH))</f>
        <v>488167350</v>
      </c>
      <c r="G31" s="750">
        <f t="shared" si="3"/>
        <v>0</v>
      </c>
      <c r="H31" s="750">
        <f t="shared" si="4"/>
        <v>0</v>
      </c>
    </row>
    <row r="32" spans="1:8" s="745" customFormat="1" ht="22.5" customHeight="1">
      <c r="A32" s="747">
        <f t="shared" si="0"/>
        <v>27</v>
      </c>
      <c r="B32" s="748" t="s">
        <v>831</v>
      </c>
      <c r="C32" s="749"/>
      <c r="D32" s="749"/>
      <c r="E32" s="749">
        <f t="array" ref="E32">SUM(IF("131"&amp;B32=KHN&amp;KH,TH))</f>
        <v>15576000</v>
      </c>
      <c r="F32" s="749">
        <f t="array" ref="F32">SUM(IF("131"&amp;B32=KHC&amp;KH,TH))</f>
        <v>15576000</v>
      </c>
      <c r="G32" s="750">
        <f t="shared" ref="G32:G37" si="5">ROUND(MAX(C32+E32-D32-F32,0),2)</f>
        <v>0</v>
      </c>
      <c r="H32" s="750">
        <f t="shared" ref="H32:H37" si="6">ROUND(MAX(D32+F32-C32-E32,0),2)</f>
        <v>0</v>
      </c>
    </row>
    <row r="33" spans="1:8" s="745" customFormat="1" ht="22.5" customHeight="1">
      <c r="A33" s="747">
        <f t="shared" si="0"/>
        <v>28</v>
      </c>
      <c r="B33" s="748" t="s">
        <v>835</v>
      </c>
      <c r="C33" s="749"/>
      <c r="D33" s="749"/>
      <c r="E33" s="749">
        <f t="array" ref="E33">SUM(IF("131"&amp;B33=KHN&amp;KH,TH))</f>
        <v>4913700</v>
      </c>
      <c r="F33" s="749">
        <f t="array" ref="F33">SUM(IF("131"&amp;B33=KHC&amp;KH,TH))</f>
        <v>0</v>
      </c>
      <c r="G33" s="750">
        <f t="shared" si="5"/>
        <v>4913700</v>
      </c>
      <c r="H33" s="750">
        <f t="shared" si="6"/>
        <v>0</v>
      </c>
    </row>
    <row r="34" spans="1:8" s="745" customFormat="1" ht="22.5" customHeight="1">
      <c r="A34" s="747">
        <f t="shared" si="0"/>
        <v>29</v>
      </c>
      <c r="B34" s="748" t="s">
        <v>846</v>
      </c>
      <c r="C34" s="749"/>
      <c r="D34" s="749"/>
      <c r="E34" s="749">
        <f t="array" ref="E34">SUM(IF("131"&amp;B34=KHN&amp;KH,TH))</f>
        <v>41245518</v>
      </c>
      <c r="F34" s="749">
        <f t="array" ref="F34">SUM(IF("131"&amp;B34=KHC&amp;KH,TH))</f>
        <v>14794287</v>
      </c>
      <c r="G34" s="750">
        <f t="shared" si="5"/>
        <v>26451231</v>
      </c>
      <c r="H34" s="750">
        <f t="shared" si="6"/>
        <v>0</v>
      </c>
    </row>
    <row r="35" spans="1:8" s="745" customFormat="1" ht="22.5" customHeight="1">
      <c r="A35" s="747">
        <f t="shared" si="0"/>
        <v>30</v>
      </c>
      <c r="B35" s="748" t="s">
        <v>894</v>
      </c>
      <c r="C35" s="749"/>
      <c r="D35" s="749"/>
      <c r="E35" s="749">
        <f t="array" ref="E35">SUM(IF("131"&amp;B35=KHN&amp;KH,TH))</f>
        <v>9494100</v>
      </c>
      <c r="F35" s="749">
        <f t="array" ref="F35">SUM(IF("131"&amp;B35=KHC&amp;KH,TH))</f>
        <v>9494100</v>
      </c>
      <c r="G35" s="750">
        <f t="shared" si="5"/>
        <v>0</v>
      </c>
      <c r="H35" s="750">
        <f t="shared" si="6"/>
        <v>0</v>
      </c>
    </row>
    <row r="36" spans="1:8" s="745" customFormat="1" ht="22.5" customHeight="1">
      <c r="A36" s="747">
        <f t="shared" si="0"/>
        <v>31</v>
      </c>
      <c r="B36" s="753" t="s">
        <v>898</v>
      </c>
      <c r="C36" s="749"/>
      <c r="D36" s="749"/>
      <c r="E36" s="749">
        <f t="array" ref="E36">SUM(IF("131"&amp;B36=KHN&amp;KH,TH))</f>
        <v>3146220</v>
      </c>
      <c r="F36" s="749">
        <f t="array" ref="F36">SUM(IF("131"&amp;B36=KHC&amp;KH,TH))</f>
        <v>0</v>
      </c>
      <c r="G36" s="750">
        <f t="shared" si="5"/>
        <v>3146220</v>
      </c>
      <c r="H36" s="750">
        <f t="shared" si="6"/>
        <v>0</v>
      </c>
    </row>
    <row r="37" spans="1:8" s="745" customFormat="1" ht="22.5" customHeight="1">
      <c r="A37" s="747">
        <f t="shared" si="0"/>
        <v>32</v>
      </c>
      <c r="B37" s="748" t="s">
        <v>921</v>
      </c>
      <c r="C37" s="749"/>
      <c r="D37" s="749"/>
      <c r="E37" s="749">
        <f t="array" ref="E37">SUM(IF("131"&amp;B37=KHN&amp;KH,TH))</f>
        <v>11416900</v>
      </c>
      <c r="F37" s="749">
        <f t="array" ref="F37">SUM(IF("131"&amp;B37=KHC&amp;KH,TH))</f>
        <v>0</v>
      </c>
      <c r="G37" s="750">
        <f t="shared" si="5"/>
        <v>11416900</v>
      </c>
      <c r="H37" s="750">
        <f t="shared" si="6"/>
        <v>0</v>
      </c>
    </row>
    <row r="38" spans="1:8" s="745" customFormat="1" ht="22.5" customHeight="1">
      <c r="A38" s="747">
        <f t="shared" si="0"/>
        <v>33</v>
      </c>
      <c r="B38" s="748" t="s">
        <v>935</v>
      </c>
      <c r="C38" s="749"/>
      <c r="D38" s="749"/>
      <c r="E38" s="749">
        <f t="array" ref="E38">SUM(IF("131"&amp;B38=KHN&amp;KH,TH))</f>
        <v>3217500</v>
      </c>
      <c r="F38" s="749">
        <f t="array" ref="F38">SUM(IF("131"&amp;B38=KHC&amp;KH,TH))</f>
        <v>0</v>
      </c>
      <c r="G38" s="750">
        <f t="shared" ref="G38:G40" si="7">ROUND(MAX(C38+E38-D38-F38,0),2)</f>
        <v>3217500</v>
      </c>
      <c r="H38" s="750">
        <f t="shared" ref="H38:H40" si="8">ROUND(MAX(D38+F38-C38-E38,0),2)</f>
        <v>0</v>
      </c>
    </row>
    <row r="39" spans="1:8" s="745" customFormat="1" ht="22.5" customHeight="1">
      <c r="A39" s="747">
        <f t="shared" si="0"/>
        <v>34</v>
      </c>
      <c r="B39" s="748" t="s">
        <v>958</v>
      </c>
      <c r="C39" s="749"/>
      <c r="D39" s="749"/>
      <c r="E39" s="749">
        <f t="array" ref="E39">SUM(IF("131"&amp;B39=KHN&amp;KH,TH))</f>
        <v>15123108</v>
      </c>
      <c r="F39" s="749">
        <f t="array" ref="F39">SUM(IF("131"&amp;B39=KHC&amp;KH,TH))</f>
        <v>15123108</v>
      </c>
      <c r="G39" s="750">
        <f t="shared" si="7"/>
        <v>0</v>
      </c>
      <c r="H39" s="750">
        <f t="shared" si="8"/>
        <v>0</v>
      </c>
    </row>
    <row r="40" spans="1:8" s="745" customFormat="1" ht="22.5" customHeight="1">
      <c r="A40" s="747">
        <f t="shared" si="0"/>
        <v>35</v>
      </c>
      <c r="B40" s="748" t="s">
        <v>962</v>
      </c>
      <c r="C40" s="749"/>
      <c r="D40" s="749"/>
      <c r="E40" s="749">
        <f t="array" ref="E40">SUM(IF("131"&amp;B40=KHN&amp;KH,TH))</f>
        <v>2895200</v>
      </c>
      <c r="F40" s="749">
        <f t="array" ref="F40">SUM(IF("131"&amp;B40=KHC&amp;KH,TH))</f>
        <v>0</v>
      </c>
      <c r="G40" s="750">
        <f t="shared" si="7"/>
        <v>2895200</v>
      </c>
      <c r="H40" s="750">
        <f t="shared" si="8"/>
        <v>0</v>
      </c>
    </row>
    <row r="41" spans="1:8" s="745" customFormat="1" ht="22.5" customHeight="1">
      <c r="A41" s="747">
        <f t="shared" ref="A41" si="9">IF(B41&lt;&gt;"",ROW()-5,"")</f>
        <v>36</v>
      </c>
      <c r="B41" s="748" t="s">
        <v>1084</v>
      </c>
      <c r="C41" s="749"/>
      <c r="D41" s="749"/>
      <c r="E41" s="749">
        <f t="array" ref="E41">SUM(IF("131"&amp;B41=KHN&amp;KH,TH))</f>
        <v>37112086</v>
      </c>
      <c r="F41" s="749">
        <f t="array" ref="F41">SUM(IF("131"&amp;B41=KHC&amp;KH,TH))</f>
        <v>0</v>
      </c>
      <c r="G41" s="750">
        <f t="shared" ref="G41" si="10">ROUND(MAX(C41+E41-D41-F41,0),2)</f>
        <v>37112086</v>
      </c>
      <c r="H41" s="750">
        <f t="shared" ref="H41" si="11">ROUND(MAX(D41+F41-C41-E41,0),2)</f>
        <v>0</v>
      </c>
    </row>
    <row r="42" spans="1:8" s="745" customFormat="1" ht="22.5" customHeight="1">
      <c r="A42" s="747" t="str">
        <f t="shared" si="0"/>
        <v/>
      </c>
      <c r="B42" s="754"/>
      <c r="C42" s="749"/>
      <c r="D42" s="749"/>
      <c r="E42" s="749"/>
      <c r="F42" s="749"/>
      <c r="G42" s="750"/>
      <c r="H42" s="750"/>
    </row>
    <row r="43" spans="1:8" s="758" customFormat="1" ht="22.5" customHeight="1">
      <c r="A43" s="755"/>
      <c r="B43" s="756" t="s">
        <v>38</v>
      </c>
      <c r="C43" s="757">
        <f t="shared" ref="C43:H43" si="12">SUM(C6:C42)</f>
        <v>0</v>
      </c>
      <c r="D43" s="757">
        <f t="shared" si="12"/>
        <v>0</v>
      </c>
      <c r="E43" s="757">
        <f t="shared" si="12"/>
        <v>1908076385</v>
      </c>
      <c r="F43" s="757">
        <f t="shared" si="12"/>
        <v>1494788988</v>
      </c>
      <c r="G43" s="757">
        <f t="shared" si="12"/>
        <v>413287397</v>
      </c>
      <c r="H43" s="757">
        <f t="shared" si="12"/>
        <v>0</v>
      </c>
    </row>
    <row r="44" spans="1:8">
      <c r="D44" s="759">
        <f>D43-CDPS!C15</f>
        <v>0</v>
      </c>
      <c r="E44" s="760">
        <f>E43-CDPS!E14</f>
        <v>0</v>
      </c>
      <c r="F44" s="760">
        <f>F43-CDPS!F14</f>
        <v>0</v>
      </c>
      <c r="G44" s="759">
        <f>G43-CDPS!G14-H43</f>
        <v>0</v>
      </c>
    </row>
    <row r="45" spans="1:8">
      <c r="E45" s="760"/>
      <c r="F45" s="890" t="str">
        <f>"Ngày 31 tháng  12  năm  "&amp;YEAR(TH!$C$10)</f>
        <v>Ngày 31 tháng  12  năm  2016</v>
      </c>
      <c r="G45" s="890"/>
      <c r="H45" s="890"/>
    </row>
    <row r="46" spans="1:8">
      <c r="F46" s="890" t="s">
        <v>105</v>
      </c>
      <c r="G46" s="890"/>
      <c r="H46" s="890"/>
    </row>
    <row r="47" spans="1:8">
      <c r="E47" s="759"/>
      <c r="F47" s="890" t="s">
        <v>132</v>
      </c>
      <c r="G47" s="890"/>
      <c r="H47" s="890"/>
    </row>
  </sheetData>
  <sortState ref="A6:I94">
    <sortCondition ref="B6:B94"/>
  </sortState>
  <mergeCells count="9">
    <mergeCell ref="F45:H45"/>
    <mergeCell ref="F46:H46"/>
    <mergeCell ref="F47:H47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69"/>
  <sheetViews>
    <sheetView topLeftCell="A6" zoomScale="90" zoomScaleNormal="90" workbookViewId="0">
      <pane ySplit="8" topLeftCell="A32" activePane="bottomLeft" state="frozen"/>
      <selection activeCell="A6" sqref="A6"/>
      <selection pane="bottomLeft" activeCell="I50" sqref="I50"/>
    </sheetView>
  </sheetViews>
  <sheetFormatPr defaultRowHeight="14.25"/>
  <cols>
    <col min="1" max="1" width="9.140625" style="772" customWidth="1"/>
    <col min="2" max="2" width="7.85546875" style="772" customWidth="1"/>
    <col min="3" max="3" width="9.140625" style="772" customWidth="1"/>
    <col min="4" max="4" width="33.28515625" style="772" customWidth="1"/>
    <col min="5" max="5" width="6.85546875" style="772" customWidth="1"/>
    <col min="6" max="9" width="13.7109375" style="772" customWidth="1"/>
    <col min="10" max="16384" width="9.140625" style="772"/>
  </cols>
  <sheetData>
    <row r="1" spans="1:9" s="300" customFormat="1" ht="14.25" customHeight="1">
      <c r="A1" s="700" t="str">
        <f>TH!A1</f>
        <v>Đơn vị: CÔNG TY TNHH BAO BÌ GIẤY KIM DUNG PHÁT</v>
      </c>
      <c r="B1" s="663"/>
      <c r="C1" s="663"/>
      <c r="F1" s="2"/>
      <c r="G1" s="859" t="s">
        <v>45</v>
      </c>
      <c r="H1" s="859"/>
      <c r="I1" s="859"/>
    </row>
    <row r="2" spans="1:9" s="300" customFormat="1" ht="14.25" customHeight="1">
      <c r="A2" s="1" t="str">
        <f>TH!A2</f>
        <v>Địa chỉ: Ấp Rừng Sến, xã Mỹ Hạnh Bắc, Huyện Đức Hòa, Tỉnh Long An, Việt Nam</v>
      </c>
      <c r="B2" s="663"/>
      <c r="C2" s="663"/>
      <c r="F2" s="6"/>
      <c r="G2" s="860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60"/>
      <c r="I2" s="860"/>
    </row>
    <row r="3" spans="1:9" s="300" customFormat="1" ht="14.25" customHeight="1">
      <c r="A3" s="412"/>
      <c r="B3" s="663"/>
      <c r="C3" s="663"/>
      <c r="F3" s="6"/>
      <c r="G3" s="860"/>
      <c r="H3" s="860"/>
      <c r="I3" s="860"/>
    </row>
    <row r="4" spans="1:9" s="3" customFormat="1" ht="28.5" customHeight="1">
      <c r="A4" s="861" t="s">
        <v>26</v>
      </c>
      <c r="B4" s="861"/>
      <c r="C4" s="861"/>
      <c r="D4" s="861"/>
      <c r="E4" s="861"/>
      <c r="F4" s="861"/>
      <c r="G4" s="861"/>
      <c r="H4" s="861"/>
      <c r="I4" s="861"/>
    </row>
    <row r="5" spans="1:9" s="3" customFormat="1" ht="14.25" customHeight="1">
      <c r="E5" s="664" t="s">
        <v>27</v>
      </c>
    </row>
    <row r="6" spans="1:9" s="3" customFormat="1" ht="14.25" customHeight="1">
      <c r="E6" s="664" t="s">
        <v>330</v>
      </c>
    </row>
    <row r="7" spans="1:9" s="3" customFormat="1" ht="15.75" customHeight="1">
      <c r="D7" s="109" t="s">
        <v>44</v>
      </c>
      <c r="E7" s="898" t="s">
        <v>369</v>
      </c>
      <c r="F7" s="898"/>
      <c r="G7" s="898"/>
      <c r="H7" s="898"/>
    </row>
    <row r="8" spans="1:9" s="3" customFormat="1" ht="14.25" customHeight="1">
      <c r="E8" s="664" t="s">
        <v>29</v>
      </c>
    </row>
    <row r="9" spans="1:9" s="3" customFormat="1" ht="6.75" customHeight="1">
      <c r="B9" s="664"/>
      <c r="C9" s="866"/>
      <c r="D9" s="866"/>
      <c r="E9" s="866"/>
      <c r="F9" s="866"/>
      <c r="G9" s="866"/>
      <c r="H9" s="866"/>
      <c r="I9" s="866"/>
    </row>
    <row r="10" spans="1:9" s="3" customFormat="1" ht="20.25" customHeight="1">
      <c r="A10" s="867" t="s">
        <v>20</v>
      </c>
      <c r="B10" s="899" t="s">
        <v>1</v>
      </c>
      <c r="C10" s="899"/>
      <c r="D10" s="867" t="s">
        <v>0</v>
      </c>
      <c r="E10" s="867" t="s">
        <v>14</v>
      </c>
      <c r="F10" s="900" t="s">
        <v>21</v>
      </c>
      <c r="G10" s="901"/>
      <c r="H10" s="900" t="s">
        <v>30</v>
      </c>
      <c r="I10" s="901"/>
    </row>
    <row r="11" spans="1:9" s="3" customFormat="1" ht="30.75" customHeight="1">
      <c r="A11" s="867"/>
      <c r="B11" s="761" t="s">
        <v>15</v>
      </c>
      <c r="C11" s="761" t="s">
        <v>31</v>
      </c>
      <c r="D11" s="867"/>
      <c r="E11" s="867"/>
      <c r="F11" s="761" t="s">
        <v>22</v>
      </c>
      <c r="G11" s="761" t="s">
        <v>23</v>
      </c>
      <c r="H11" s="761" t="s">
        <v>22</v>
      </c>
      <c r="I11" s="761" t="s">
        <v>23</v>
      </c>
    </row>
    <row r="12" spans="1:9" s="3" customFormat="1" ht="11.25" customHeight="1">
      <c r="A12" s="681" t="s">
        <v>2</v>
      </c>
      <c r="B12" s="682" t="s">
        <v>3</v>
      </c>
      <c r="C12" s="681" t="s">
        <v>4</v>
      </c>
      <c r="D12" s="681" t="s">
        <v>5</v>
      </c>
      <c r="E12" s="681" t="s">
        <v>6</v>
      </c>
      <c r="F12" s="681">
        <v>2</v>
      </c>
      <c r="G12" s="681">
        <v>3</v>
      </c>
      <c r="H12" s="681">
        <v>4</v>
      </c>
      <c r="I12" s="681">
        <v>5</v>
      </c>
    </row>
    <row r="13" spans="1:9" s="3" customFormat="1" ht="18" customHeight="1">
      <c r="A13" s="681"/>
      <c r="B13" s="681"/>
      <c r="C13" s="681"/>
      <c r="D13" s="762" t="s">
        <v>7</v>
      </c>
      <c r="E13" s="681"/>
      <c r="F13" s="763"/>
      <c r="G13" s="763"/>
      <c r="H13" s="532">
        <f>VLOOKUP($E$7,'131'!$B$6:$H$42,2,0)</f>
        <v>0</v>
      </c>
      <c r="I13" s="532">
        <f>VLOOKUP($E$7,'131'!$B$6:$H$42,3,0)</f>
        <v>0</v>
      </c>
    </row>
    <row r="14" spans="1:9" s="3" customFormat="1" ht="18" customHeight="1">
      <c r="A14" s="764">
        <f ca="1">IF(ROWS($1:1)&gt;COUNT(Dong14),"",OFFSET(TH!C$1,SMALL(Dong14,ROWS($1:1)),))</f>
        <v>42566</v>
      </c>
      <c r="B14" s="764" t="str">
        <f ca="1">IF(ROWS($1:1)&gt;COUNT(Dong14),"",OFFSET(TH!D$1,SMALL(Dong14,ROWS($1:1)),))</f>
        <v>TP/X02</v>
      </c>
      <c r="C14" s="764">
        <f ca="1">IF(ROWS($1:1)&gt;COUNT(Dong14),"",OFFSET(TH!E$1,SMALL(Dong14,ROWS($1:1)),))</f>
        <v>42566</v>
      </c>
      <c r="D14" s="765" t="str">
        <f ca="1">IF(ROWS($1:1)&gt;COUNT(Dong14),"",OFFSET(TH!F$1,SMALL(Dong14,ROWS($1:1)),))</f>
        <v>Thùng carton (117x87x5)</v>
      </c>
      <c r="E14" s="766" t="str">
        <f ca="1">IF(ROWS($1:1)&gt;COUNT(Dong14),"",IF(OFFSET(TH!L$1,SMALL(Dong14,ROWS($1:1)),)="331",OFFSET(TH!M$1,SMALL(Dong14,ROWS($1:1)),),OFFSET(TH!L$1,SMALL(Dong14,ROWS($1:1)),)))</f>
        <v>131</v>
      </c>
      <c r="F14" s="767">
        <f ca="1">IF(ROWS($1:1)&gt;COUNT(Dong14),"",IF(OFFSET(TH!L$1,SMALL(Dong14,ROWS($1:1)),)="131",OFFSET(TH!K$1,SMALL(Dong14,ROWS($1:1)),),0))</f>
        <v>1000000</v>
      </c>
      <c r="G14" s="767">
        <f ca="1">IF(ROWS($1:1)&gt;COUNT(Dong14),"",IF(OFFSET(TH!M$1,SMALL(Dong14,ROWS($1:1)),)="131",OFFSET(TH!K$1,SMALL(Dong14,ROWS($1:1)),),0))</f>
        <v>0</v>
      </c>
      <c r="H14" s="768">
        <f t="shared" ref="H14:H60" ca="1" si="0">IF(D14&lt;&gt;"",MAX(H13+F14-G14-I13,0),0)</f>
        <v>1000000</v>
      </c>
      <c r="I14" s="768">
        <f t="shared" ref="I14:I60" ca="1" si="1">IF(D14&lt;&gt;"",MAX(I13+G14-H13-F14,0),0)</f>
        <v>0</v>
      </c>
    </row>
    <row r="15" spans="1:9" s="3" customFormat="1" ht="18" customHeight="1">
      <c r="A15" s="764">
        <f ca="1">IF(ROWS($1:2)&gt;COUNT(Dong14),"",OFFSET(TH!C$1,SMALL(Dong14,ROWS($1:2)),))</f>
        <v>42566</v>
      </c>
      <c r="B15" s="764" t="str">
        <f ca="1">IF(ROWS($1:2)&gt;COUNT(Dong14),"",OFFSET(TH!D$1,SMALL(Dong14,ROWS($1:2)),))</f>
        <v>TP/X02</v>
      </c>
      <c r="C15" s="764">
        <f ca="1">IF(ROWS($1:2)&gt;COUNT(Dong14),"",OFFSET(TH!E$1,SMALL(Dong14,ROWS($1:2)),))</f>
        <v>42566</v>
      </c>
      <c r="D15" s="765" t="str">
        <f ca="1">IF(ROWS($1:2)&gt;COUNT(Dong14),"",OFFSET(TH!F$1,SMALL(Dong14,ROWS($1:2)),))</f>
        <v>Thùng carton (103x54x180)</v>
      </c>
      <c r="E15" s="766" t="str">
        <f ca="1">IF(ROWS($1:2)&gt;COUNT(Dong14),"",IF(OFFSET(TH!L$1,SMALL(Dong14,ROWS($1:2)),)="331",OFFSET(TH!M$1,SMALL(Dong14,ROWS($1:2)),),OFFSET(TH!L$1,SMALL(Dong14,ROWS($1:2)),)))</f>
        <v>131</v>
      </c>
      <c r="F15" s="767">
        <f ca="1">IF(ROWS($1:2)&gt;COUNT(Dong14),"",IF(OFFSET(TH!L$1,SMALL(Dong14,ROWS($1:2)),)="131",OFFSET(TH!K$1,SMALL(Dong14,ROWS($1:2)),),0))</f>
        <v>8479600</v>
      </c>
      <c r="G15" s="767">
        <f ca="1">IF(ROWS($1:2)&gt;COUNT(Dong14),"",IF(OFFSET(TH!M$1,SMALL(Dong14,ROWS($1:2)),)="131",OFFSET(TH!K$1,SMALL(Dong14,ROWS($1:2)),),0))</f>
        <v>0</v>
      </c>
      <c r="H15" s="768">
        <f t="shared" ca="1" si="0"/>
        <v>9479600</v>
      </c>
      <c r="I15" s="768">
        <f t="shared" ca="1" si="1"/>
        <v>0</v>
      </c>
    </row>
    <row r="16" spans="1:9" s="3" customFormat="1" ht="18" customHeight="1">
      <c r="A16" s="764">
        <f ca="1">IF(ROWS($1:3)&gt;COUNT(Dong14),"",OFFSET(TH!C$1,SMALL(Dong14,ROWS($1:3)),))</f>
        <v>42566</v>
      </c>
      <c r="B16" s="764" t="str">
        <f ca="1">IF(ROWS($1:3)&gt;COUNT(Dong14),"",OFFSET(TH!D$1,SMALL(Dong14,ROWS($1:3)),))</f>
        <v>TP/X02</v>
      </c>
      <c r="C16" s="764">
        <f ca="1">IF(ROWS($1:3)&gt;COUNT(Dong14),"",OFFSET(TH!E$1,SMALL(Dong14,ROWS($1:3)),))</f>
        <v>42566</v>
      </c>
      <c r="D16" s="765" t="str">
        <f ca="1">IF(ROWS($1:3)&gt;COUNT(Dong14),"",OFFSET(TH!F$1,SMALL(Dong14,ROWS($1:3)),))</f>
        <v>VAT Thùng carton</v>
      </c>
      <c r="E16" s="766" t="str">
        <f ca="1">IF(ROWS($1:3)&gt;COUNT(Dong14),"",IF(OFFSET(TH!L$1,SMALL(Dong14,ROWS($1:3)),)="331",OFFSET(TH!M$1,SMALL(Dong14,ROWS($1:3)),),OFFSET(TH!L$1,SMALL(Dong14,ROWS($1:3)),)))</f>
        <v>131</v>
      </c>
      <c r="F16" s="767">
        <f ca="1">IF(ROWS($1:3)&gt;COUNT(Dong14),"",IF(OFFSET(TH!L$1,SMALL(Dong14,ROWS($1:3)),)="131",OFFSET(TH!K$1,SMALL(Dong14,ROWS($1:3)),),0))</f>
        <v>947960</v>
      </c>
      <c r="G16" s="767">
        <f ca="1">IF(ROWS($1:3)&gt;COUNT(Dong14),"",IF(OFFSET(TH!M$1,SMALL(Dong14,ROWS($1:3)),)="131",OFFSET(TH!K$1,SMALL(Dong14,ROWS($1:3)),),0))</f>
        <v>0</v>
      </c>
      <c r="H16" s="768">
        <f t="shared" ca="1" si="0"/>
        <v>10427560</v>
      </c>
      <c r="I16" s="768">
        <f t="shared" ca="1" si="1"/>
        <v>0</v>
      </c>
    </row>
    <row r="17" spans="1:9" s="3" customFormat="1" ht="18" customHeight="1">
      <c r="A17" s="764">
        <f ca="1">IF(ROWS($1:4)&gt;COUNT(Dong14),"",OFFSET(TH!C$1,SMALL(Dong14,ROWS($1:4)),))</f>
        <v>42566</v>
      </c>
      <c r="B17" s="764" t="str">
        <f ca="1">IF(ROWS($1:4)&gt;COUNT(Dong14),"",OFFSET(TH!D$1,SMALL(Dong14,ROWS($1:4)),))</f>
        <v>T02</v>
      </c>
      <c r="C17" s="764">
        <f ca="1">IF(ROWS($1:4)&gt;COUNT(Dong14),"",OFFSET(TH!E$1,SMALL(Dong14,ROWS($1:4)),))</f>
        <v>42566</v>
      </c>
      <c r="D17" s="765" t="str">
        <f ca="1">IF(ROWS($1:4)&gt;COUNT(Dong14),"",OFFSET(TH!F$1,SMALL(Dong14,ROWS($1:4)),))</f>
        <v>Thu tiền hàng</v>
      </c>
      <c r="E17" s="766" t="str">
        <f ca="1">IF(ROWS($1:4)&gt;COUNT(Dong14),"",IF(OFFSET(TH!L$1,SMALL(Dong14,ROWS($1:4)),)="331",OFFSET(TH!M$1,SMALL(Dong14,ROWS($1:4)),),OFFSET(TH!L$1,SMALL(Dong14,ROWS($1:4)),)))</f>
        <v>1111</v>
      </c>
      <c r="F17" s="767">
        <f ca="1">IF(ROWS($1:4)&gt;COUNT(Dong14),"",IF(OFFSET(TH!L$1,SMALL(Dong14,ROWS($1:4)),)="131",OFFSET(TH!K$1,SMALL(Dong14,ROWS($1:4)),),0))</f>
        <v>0</v>
      </c>
      <c r="G17" s="767">
        <f ca="1">IF(ROWS($1:4)&gt;COUNT(Dong14),"",IF(OFFSET(TH!M$1,SMALL(Dong14,ROWS($1:4)),)="131",OFFSET(TH!K$1,SMALL(Dong14,ROWS($1:4)),),0))</f>
        <v>10427560</v>
      </c>
      <c r="H17" s="768">
        <f t="shared" ca="1" si="0"/>
        <v>0</v>
      </c>
      <c r="I17" s="768">
        <f t="shared" ca="1" si="1"/>
        <v>0</v>
      </c>
    </row>
    <row r="18" spans="1:9" s="3" customFormat="1" ht="18" customHeight="1">
      <c r="A18" s="764">
        <f ca="1">IF(ROWS($1:5)&gt;COUNT(Dong14),"",OFFSET(TH!C$1,SMALL(Dong14,ROWS($1:5)),))</f>
        <v>42597</v>
      </c>
      <c r="B18" s="764" t="str">
        <f ca="1">IF(ROWS($1:5)&gt;COUNT(Dong14),"",OFFSET(TH!D$1,SMALL(Dong14,ROWS($1:5)),))</f>
        <v>TP/X28</v>
      </c>
      <c r="C18" s="764">
        <f ca="1">IF(ROWS($1:5)&gt;COUNT(Dong14),"",OFFSET(TH!E$1,SMALL(Dong14,ROWS($1:5)),))</f>
        <v>42597</v>
      </c>
      <c r="D18" s="765" t="str">
        <f ca="1">IF(ROWS($1:5)&gt;COUNT(Dong14),"",OFFSET(TH!F$1,SMALL(Dong14,ROWS($1:5)),))</f>
        <v>Thùng carton (103x50x180)</v>
      </c>
      <c r="E18" s="766" t="str">
        <f ca="1">IF(ROWS($1:5)&gt;COUNT(Dong14),"",IF(OFFSET(TH!L$1,SMALL(Dong14,ROWS($1:5)),)="331",OFFSET(TH!M$1,SMALL(Dong14,ROWS($1:5)),),OFFSET(TH!L$1,SMALL(Dong14,ROWS($1:5)),)))</f>
        <v>131</v>
      </c>
      <c r="F18" s="767">
        <f ca="1">IF(ROWS($1:5)&gt;COUNT(Dong14),"",IF(OFFSET(TH!L$1,SMALL(Dong14,ROWS($1:5)),)="131",OFFSET(TH!K$1,SMALL(Dong14,ROWS($1:5)),),0))</f>
        <v>6168370</v>
      </c>
      <c r="G18" s="767">
        <f ca="1">IF(ROWS($1:5)&gt;COUNT(Dong14),"",IF(OFFSET(TH!M$1,SMALL(Dong14,ROWS($1:5)),)="131",OFFSET(TH!K$1,SMALL(Dong14,ROWS($1:5)),),0))</f>
        <v>0</v>
      </c>
      <c r="H18" s="768">
        <f t="shared" ca="1" si="0"/>
        <v>6168370</v>
      </c>
      <c r="I18" s="768">
        <f t="shared" ca="1" si="1"/>
        <v>0</v>
      </c>
    </row>
    <row r="19" spans="1:9" s="3" customFormat="1" ht="18" customHeight="1">
      <c r="A19" s="764">
        <f ca="1">IF(ROWS($1:6)&gt;COUNT(Dong14),"",OFFSET(TH!C$1,SMALL(Dong14,ROWS($1:6)),))</f>
        <v>42597</v>
      </c>
      <c r="B19" s="764" t="str">
        <f ca="1">IF(ROWS($1:6)&gt;COUNT(Dong14),"",OFFSET(TH!D$1,SMALL(Dong14,ROWS($1:6)),))</f>
        <v>TP/X28</v>
      </c>
      <c r="C19" s="764">
        <f ca="1">IF(ROWS($1:6)&gt;COUNT(Dong14),"",OFFSET(TH!E$1,SMALL(Dong14,ROWS($1:6)),))</f>
        <v>42597</v>
      </c>
      <c r="D19" s="765" t="str">
        <f ca="1">IF(ROWS($1:6)&gt;COUNT(Dong14),"",OFFSET(TH!F$1,SMALL(Dong14,ROWS($1:6)),))</f>
        <v>VAT Thùng carton</v>
      </c>
      <c r="E19" s="766" t="str">
        <f ca="1">IF(ROWS($1:6)&gt;COUNT(Dong14),"",IF(OFFSET(TH!L$1,SMALL(Dong14,ROWS($1:6)),)="331",OFFSET(TH!M$1,SMALL(Dong14,ROWS($1:6)),),OFFSET(TH!L$1,SMALL(Dong14,ROWS($1:6)),)))</f>
        <v>131</v>
      </c>
      <c r="F19" s="767">
        <f ca="1">IF(ROWS($1:6)&gt;COUNT(Dong14),"",IF(OFFSET(TH!L$1,SMALL(Dong14,ROWS($1:6)),)="131",OFFSET(TH!K$1,SMALL(Dong14,ROWS($1:6)),),0))</f>
        <v>616837</v>
      </c>
      <c r="G19" s="767">
        <f ca="1">IF(ROWS($1:6)&gt;COUNT(Dong14),"",IF(OFFSET(TH!M$1,SMALL(Dong14,ROWS($1:6)),)="131",OFFSET(TH!K$1,SMALL(Dong14,ROWS($1:6)),),0))</f>
        <v>0</v>
      </c>
      <c r="H19" s="768">
        <f t="shared" ca="1" si="0"/>
        <v>6785207</v>
      </c>
      <c r="I19" s="768">
        <f t="shared" ca="1" si="1"/>
        <v>0</v>
      </c>
    </row>
    <row r="20" spans="1:9" s="3" customFormat="1" ht="18" customHeight="1">
      <c r="A20" s="764">
        <f ca="1">IF(ROWS($1:7)&gt;COUNT(Dong14),"",OFFSET(TH!C$1,SMALL(Dong14,ROWS($1:7)),))</f>
        <v>42597</v>
      </c>
      <c r="B20" s="764" t="str">
        <f ca="1">IF(ROWS($1:7)&gt;COUNT(Dong14),"",OFFSET(TH!D$1,SMALL(Dong14,ROWS($1:7)),))</f>
        <v>T11</v>
      </c>
      <c r="C20" s="764">
        <f ca="1">IF(ROWS($1:7)&gt;COUNT(Dong14),"",OFFSET(TH!E$1,SMALL(Dong14,ROWS($1:7)),))</f>
        <v>42597</v>
      </c>
      <c r="D20" s="765" t="str">
        <f ca="1">IF(ROWS($1:7)&gt;COUNT(Dong14),"",OFFSET(TH!F$1,SMALL(Dong14,ROWS($1:7)),))</f>
        <v>Thu tiền hàng</v>
      </c>
      <c r="E20" s="766" t="str">
        <f ca="1">IF(ROWS($1:7)&gt;COUNT(Dong14),"",IF(OFFSET(TH!L$1,SMALL(Dong14,ROWS($1:7)),)="331",OFFSET(TH!M$1,SMALL(Dong14,ROWS($1:7)),),OFFSET(TH!L$1,SMALL(Dong14,ROWS($1:7)),)))</f>
        <v>1111</v>
      </c>
      <c r="F20" s="767">
        <f ca="1">IF(ROWS($1:7)&gt;COUNT(Dong14),"",IF(OFFSET(TH!L$1,SMALL(Dong14,ROWS($1:7)),)="131",OFFSET(TH!K$1,SMALL(Dong14,ROWS($1:7)),),0))</f>
        <v>0</v>
      </c>
      <c r="G20" s="767">
        <f ca="1">IF(ROWS($1:7)&gt;COUNT(Dong14),"",IF(OFFSET(TH!M$1,SMALL(Dong14,ROWS($1:7)),)="131",OFFSET(TH!K$1,SMALL(Dong14,ROWS($1:7)),),0))</f>
        <v>6785207</v>
      </c>
      <c r="H20" s="768">
        <f t="shared" ca="1" si="0"/>
        <v>0</v>
      </c>
      <c r="I20" s="768">
        <f t="shared" ca="1" si="1"/>
        <v>0</v>
      </c>
    </row>
    <row r="21" spans="1:9" s="3" customFormat="1" ht="18" customHeight="1">
      <c r="A21" s="764">
        <f ca="1">IF(ROWS($1:8)&gt;COUNT(Dong14),"",OFFSET(TH!C$1,SMALL(Dong14,ROWS($1:8)),))</f>
        <v>42605</v>
      </c>
      <c r="B21" s="764" t="str">
        <f ca="1">IF(ROWS($1:8)&gt;COUNT(Dong14),"",OFFSET(TH!D$1,SMALL(Dong14,ROWS($1:8)),))</f>
        <v>TP/X33</v>
      </c>
      <c r="C21" s="764">
        <f ca="1">IF(ROWS($1:8)&gt;COUNT(Dong14),"",OFFSET(TH!E$1,SMALL(Dong14,ROWS($1:8)),))</f>
        <v>42605</v>
      </c>
      <c r="D21" s="765" t="str">
        <f ca="1">IF(ROWS($1:8)&gt;COUNT(Dong14),"",OFFSET(TH!F$1,SMALL(Dong14,ROWS($1:8)),))</f>
        <v>Thùng carton (47x47x52)</v>
      </c>
      <c r="E21" s="766" t="str">
        <f ca="1">IF(ROWS($1:8)&gt;COUNT(Dong14),"",IF(OFFSET(TH!L$1,SMALL(Dong14,ROWS($1:8)),)="331",OFFSET(TH!M$1,SMALL(Dong14,ROWS($1:8)),),OFFSET(TH!L$1,SMALL(Dong14,ROWS($1:8)),)))</f>
        <v>131</v>
      </c>
      <c r="F21" s="767">
        <f ca="1">IF(ROWS($1:8)&gt;COUNT(Dong14),"",IF(OFFSET(TH!L$1,SMALL(Dong14,ROWS($1:8)),)="131",OFFSET(TH!K$1,SMALL(Dong14,ROWS($1:8)),),0))</f>
        <v>932060</v>
      </c>
      <c r="G21" s="767">
        <f ca="1">IF(ROWS($1:8)&gt;COUNT(Dong14),"",IF(OFFSET(TH!M$1,SMALL(Dong14,ROWS($1:8)),)="131",OFFSET(TH!K$1,SMALL(Dong14,ROWS($1:8)),),0))</f>
        <v>0</v>
      </c>
      <c r="H21" s="768">
        <f t="shared" ca="1" si="0"/>
        <v>932060</v>
      </c>
      <c r="I21" s="768">
        <f t="shared" ca="1" si="1"/>
        <v>0</v>
      </c>
    </row>
    <row r="22" spans="1:9" s="3" customFormat="1" ht="18" customHeight="1">
      <c r="A22" s="764">
        <f ca="1">IF(ROWS($1:9)&gt;COUNT(Dong14),"",OFFSET(TH!C$1,SMALL(Dong14,ROWS($1:9)),))</f>
        <v>42605</v>
      </c>
      <c r="B22" s="764" t="str">
        <f ca="1">IF(ROWS($1:9)&gt;COUNT(Dong14),"",OFFSET(TH!D$1,SMALL(Dong14,ROWS($1:9)),))</f>
        <v>TP/X33</v>
      </c>
      <c r="C22" s="764">
        <f ca="1">IF(ROWS($1:9)&gt;COUNT(Dong14),"",OFFSET(TH!E$1,SMALL(Dong14,ROWS($1:9)),))</f>
        <v>42605</v>
      </c>
      <c r="D22" s="765" t="str">
        <f ca="1">IF(ROWS($1:9)&gt;COUNT(Dong14),"",OFFSET(TH!F$1,SMALL(Dong14,ROWS($1:9)),))</f>
        <v>Thùng carton (103x54x180)</v>
      </c>
      <c r="E22" s="766" t="str">
        <f ca="1">IF(ROWS($1:9)&gt;COUNT(Dong14),"",IF(OFFSET(TH!L$1,SMALL(Dong14,ROWS($1:9)),)="331",OFFSET(TH!M$1,SMALL(Dong14,ROWS($1:9)),),OFFSET(TH!L$1,SMALL(Dong14,ROWS($1:9)),)))</f>
        <v>131</v>
      </c>
      <c r="F22" s="767">
        <f ca="1">IF(ROWS($1:9)&gt;COUNT(Dong14),"",IF(OFFSET(TH!L$1,SMALL(Dong14,ROWS($1:9)),)="131",OFFSET(TH!K$1,SMALL(Dong14,ROWS($1:9)),),0))</f>
        <v>4093600</v>
      </c>
      <c r="G22" s="767">
        <f ca="1">IF(ROWS($1:9)&gt;COUNT(Dong14),"",IF(OFFSET(TH!M$1,SMALL(Dong14,ROWS($1:9)),)="131",OFFSET(TH!K$1,SMALL(Dong14,ROWS($1:9)),),0))</f>
        <v>0</v>
      </c>
      <c r="H22" s="768">
        <f t="shared" ca="1" si="0"/>
        <v>5025660</v>
      </c>
      <c r="I22" s="768">
        <f t="shared" ca="1" si="1"/>
        <v>0</v>
      </c>
    </row>
    <row r="23" spans="1:9" s="3" customFormat="1" ht="18" customHeight="1">
      <c r="A23" s="764">
        <f ca="1">IF(ROWS($1:10)&gt;COUNT(Dong14),"",OFFSET(TH!C$1,SMALL(Dong14,ROWS($1:10)),))</f>
        <v>42605</v>
      </c>
      <c r="B23" s="764" t="str">
        <f ca="1">IF(ROWS($1:10)&gt;COUNT(Dong14),"",OFFSET(TH!D$1,SMALL(Dong14,ROWS($1:10)),))</f>
        <v>TP/X33</v>
      </c>
      <c r="C23" s="764">
        <f ca="1">IF(ROWS($1:10)&gt;COUNT(Dong14),"",OFFSET(TH!E$1,SMALL(Dong14,ROWS($1:10)),))</f>
        <v>42605</v>
      </c>
      <c r="D23" s="765" t="str">
        <f ca="1">IF(ROWS($1:10)&gt;COUNT(Dong14),"",OFFSET(TH!F$1,SMALL(Dong14,ROWS($1:10)),))</f>
        <v>VAT Thùng carton</v>
      </c>
      <c r="E23" s="766" t="str">
        <f ca="1">IF(ROWS($1:10)&gt;COUNT(Dong14),"",IF(OFFSET(TH!L$1,SMALL(Dong14,ROWS($1:10)),)="331",OFFSET(TH!M$1,SMALL(Dong14,ROWS($1:10)),),OFFSET(TH!L$1,SMALL(Dong14,ROWS($1:10)),)))</f>
        <v>131</v>
      </c>
      <c r="F23" s="767">
        <f ca="1">IF(ROWS($1:10)&gt;COUNT(Dong14),"",IF(OFFSET(TH!L$1,SMALL(Dong14,ROWS($1:10)),)="131",OFFSET(TH!K$1,SMALL(Dong14,ROWS($1:10)),),0))</f>
        <v>502566</v>
      </c>
      <c r="G23" s="767">
        <f ca="1">IF(ROWS($1:10)&gt;COUNT(Dong14),"",IF(OFFSET(TH!M$1,SMALL(Dong14,ROWS($1:10)),)="131",OFFSET(TH!K$1,SMALL(Dong14,ROWS($1:10)),),0))</f>
        <v>0</v>
      </c>
      <c r="H23" s="768">
        <f t="shared" ca="1" si="0"/>
        <v>5528226</v>
      </c>
      <c r="I23" s="768">
        <f t="shared" ca="1" si="1"/>
        <v>0</v>
      </c>
    </row>
    <row r="24" spans="1:9" s="3" customFormat="1" ht="18" customHeight="1">
      <c r="A24" s="764">
        <f ca="1">IF(ROWS($1:11)&gt;COUNT(Dong14),"",OFFSET(TH!C$1,SMALL(Dong14,ROWS($1:11)),))</f>
        <v>42605</v>
      </c>
      <c r="B24" s="764" t="str">
        <f ca="1">IF(ROWS($1:11)&gt;COUNT(Dong14),"",OFFSET(TH!D$1,SMALL(Dong14,ROWS($1:11)),))</f>
        <v>T16</v>
      </c>
      <c r="C24" s="764">
        <f ca="1">IF(ROWS($1:11)&gt;COUNT(Dong14),"",OFFSET(TH!E$1,SMALL(Dong14,ROWS($1:11)),))</f>
        <v>42605</v>
      </c>
      <c r="D24" s="765" t="str">
        <f ca="1">IF(ROWS($1:11)&gt;COUNT(Dong14),"",OFFSET(TH!F$1,SMALL(Dong14,ROWS($1:11)),))</f>
        <v>Thu tiền hàng</v>
      </c>
      <c r="E24" s="766" t="str">
        <f ca="1">IF(ROWS($1:11)&gt;COUNT(Dong14),"",IF(OFFSET(TH!L$1,SMALL(Dong14,ROWS($1:11)),)="331",OFFSET(TH!M$1,SMALL(Dong14,ROWS($1:11)),),OFFSET(TH!L$1,SMALL(Dong14,ROWS($1:11)),)))</f>
        <v>1111</v>
      </c>
      <c r="F24" s="767">
        <f ca="1">IF(ROWS($1:11)&gt;COUNT(Dong14),"",IF(OFFSET(TH!L$1,SMALL(Dong14,ROWS($1:11)),)="131",OFFSET(TH!K$1,SMALL(Dong14,ROWS($1:11)),),0))</f>
        <v>0</v>
      </c>
      <c r="G24" s="767">
        <f ca="1">IF(ROWS($1:11)&gt;COUNT(Dong14),"",IF(OFFSET(TH!M$1,SMALL(Dong14,ROWS($1:11)),)="131",OFFSET(TH!K$1,SMALL(Dong14,ROWS($1:11)),),0))</f>
        <v>5528226</v>
      </c>
      <c r="H24" s="768">
        <f t="shared" ca="1" si="0"/>
        <v>0</v>
      </c>
      <c r="I24" s="768">
        <f t="shared" ca="1" si="1"/>
        <v>0</v>
      </c>
    </row>
    <row r="25" spans="1:9" s="3" customFormat="1" ht="18" customHeight="1">
      <c r="A25" s="764">
        <f ca="1">IF(ROWS($1:12)&gt;COUNT(Dong14),"",OFFSET(TH!C$1,SMALL(Dong14,ROWS($1:12)),))</f>
        <v>42611</v>
      </c>
      <c r="B25" s="764" t="str">
        <f ca="1">IF(ROWS($1:12)&gt;COUNT(Dong14),"",OFFSET(TH!D$1,SMALL(Dong14,ROWS($1:12)),))</f>
        <v>TP/X40</v>
      </c>
      <c r="C25" s="764">
        <f ca="1">IF(ROWS($1:12)&gt;COUNT(Dong14),"",OFFSET(TH!E$1,SMALL(Dong14,ROWS($1:12)),))</f>
        <v>42611</v>
      </c>
      <c r="D25" s="765" t="str">
        <f ca="1">IF(ROWS($1:12)&gt;COUNT(Dong14),"",OFFSET(TH!F$1,SMALL(Dong14,ROWS($1:12)),))</f>
        <v>Thùng carton (103x50x180)</v>
      </c>
      <c r="E25" s="766" t="str">
        <f ca="1">IF(ROWS($1:12)&gt;COUNT(Dong14),"",IF(OFFSET(TH!L$1,SMALL(Dong14,ROWS($1:12)),)="331",OFFSET(TH!M$1,SMALL(Dong14,ROWS($1:12)),),OFFSET(TH!L$1,SMALL(Dong14,ROWS($1:12)),)))</f>
        <v>131</v>
      </c>
      <c r="F25" s="767">
        <f ca="1">IF(ROWS($1:12)&gt;COUNT(Dong14),"",IF(OFFSET(TH!L$1,SMALL(Dong14,ROWS($1:12)),)="131",OFFSET(TH!K$1,SMALL(Dong14,ROWS($1:12)),),0))</f>
        <v>7591840</v>
      </c>
      <c r="G25" s="767">
        <f ca="1">IF(ROWS($1:12)&gt;COUNT(Dong14),"",IF(OFFSET(TH!M$1,SMALL(Dong14,ROWS($1:12)),)="131",OFFSET(TH!K$1,SMALL(Dong14,ROWS($1:12)),),0))</f>
        <v>0</v>
      </c>
      <c r="H25" s="768">
        <f t="shared" ca="1" si="0"/>
        <v>7591840</v>
      </c>
      <c r="I25" s="768">
        <f t="shared" ca="1" si="1"/>
        <v>0</v>
      </c>
    </row>
    <row r="26" spans="1:9" s="3" customFormat="1" ht="18" customHeight="1">
      <c r="A26" s="764">
        <f ca="1">IF(ROWS($1:13)&gt;COUNT(Dong14),"",OFFSET(TH!C$1,SMALL(Dong14,ROWS($1:13)),))</f>
        <v>42611</v>
      </c>
      <c r="B26" s="764" t="str">
        <f ca="1">IF(ROWS($1:13)&gt;COUNT(Dong14),"",OFFSET(TH!D$1,SMALL(Dong14,ROWS($1:13)),))</f>
        <v>TP/X40</v>
      </c>
      <c r="C26" s="764">
        <f ca="1">IF(ROWS($1:13)&gt;COUNT(Dong14),"",OFFSET(TH!E$1,SMALL(Dong14,ROWS($1:13)),))</f>
        <v>42611</v>
      </c>
      <c r="D26" s="765" t="str">
        <f ca="1">IF(ROWS($1:13)&gt;COUNT(Dong14),"",OFFSET(TH!F$1,SMALL(Dong14,ROWS($1:13)),))</f>
        <v>VAT Thùng carton</v>
      </c>
      <c r="E26" s="766" t="str">
        <f ca="1">IF(ROWS($1:13)&gt;COUNT(Dong14),"",IF(OFFSET(TH!L$1,SMALL(Dong14,ROWS($1:13)),)="331",OFFSET(TH!M$1,SMALL(Dong14,ROWS($1:13)),),OFFSET(TH!L$1,SMALL(Dong14,ROWS($1:13)),)))</f>
        <v>131</v>
      </c>
      <c r="F26" s="767">
        <f ca="1">IF(ROWS($1:13)&gt;COUNT(Dong14),"",IF(OFFSET(TH!L$1,SMALL(Dong14,ROWS($1:13)),)="131",OFFSET(TH!K$1,SMALL(Dong14,ROWS($1:13)),),0))</f>
        <v>759184</v>
      </c>
      <c r="G26" s="767">
        <f ca="1">IF(ROWS($1:13)&gt;COUNT(Dong14),"",IF(OFFSET(TH!M$1,SMALL(Dong14,ROWS($1:13)),)="131",OFFSET(TH!K$1,SMALL(Dong14,ROWS($1:13)),),0))</f>
        <v>0</v>
      </c>
      <c r="H26" s="768">
        <f t="shared" ca="1" si="0"/>
        <v>8351024</v>
      </c>
      <c r="I26" s="768">
        <f t="shared" ca="1" si="1"/>
        <v>0</v>
      </c>
    </row>
    <row r="27" spans="1:9" s="3" customFormat="1" ht="18" customHeight="1">
      <c r="A27" s="764">
        <f ca="1">IF(ROWS($1:14)&gt;COUNT(Dong14),"",OFFSET(TH!C$1,SMALL(Dong14,ROWS($1:14)),))</f>
        <v>42611</v>
      </c>
      <c r="B27" s="764" t="str">
        <f ca="1">IF(ROWS($1:14)&gt;COUNT(Dong14),"",OFFSET(TH!D$1,SMALL(Dong14,ROWS($1:14)),))</f>
        <v>T21</v>
      </c>
      <c r="C27" s="764">
        <f ca="1">IF(ROWS($1:14)&gt;COUNT(Dong14),"",OFFSET(TH!E$1,SMALL(Dong14,ROWS($1:14)),))</f>
        <v>42611</v>
      </c>
      <c r="D27" s="765" t="str">
        <f ca="1">IF(ROWS($1:14)&gt;COUNT(Dong14),"",OFFSET(TH!F$1,SMALL(Dong14,ROWS($1:14)),))</f>
        <v>Thu tiền hàng</v>
      </c>
      <c r="E27" s="766" t="str">
        <f ca="1">IF(ROWS($1:14)&gt;COUNT(Dong14),"",IF(OFFSET(TH!L$1,SMALL(Dong14,ROWS($1:14)),)="331",OFFSET(TH!M$1,SMALL(Dong14,ROWS($1:14)),),OFFSET(TH!L$1,SMALL(Dong14,ROWS($1:14)),)))</f>
        <v>1111</v>
      </c>
      <c r="F27" s="767">
        <f ca="1">IF(ROWS($1:14)&gt;COUNT(Dong14),"",IF(OFFSET(TH!L$1,SMALL(Dong14,ROWS($1:14)),)="131",OFFSET(TH!K$1,SMALL(Dong14,ROWS($1:14)),),0))</f>
        <v>0</v>
      </c>
      <c r="G27" s="767">
        <f ca="1">IF(ROWS($1:14)&gt;COUNT(Dong14),"",IF(OFFSET(TH!M$1,SMALL(Dong14,ROWS($1:14)),)="131",OFFSET(TH!K$1,SMALL(Dong14,ROWS($1:14)),),0))</f>
        <v>8351024</v>
      </c>
      <c r="H27" s="768">
        <f t="shared" ca="1" si="0"/>
        <v>0</v>
      </c>
      <c r="I27" s="768">
        <f t="shared" ca="1" si="1"/>
        <v>0</v>
      </c>
    </row>
    <row r="28" spans="1:9" s="3" customFormat="1" ht="18" customHeight="1">
      <c r="A28" s="764">
        <f ca="1">IF(ROWS($1:15)&gt;COUNT(Dong14),"",OFFSET(TH!C$1,SMALL(Dong14,ROWS($1:15)),))</f>
        <v>42620</v>
      </c>
      <c r="B28" s="764" t="str">
        <f ca="1">IF(ROWS($1:15)&gt;COUNT(Dong14),"",OFFSET(TH!D$1,SMALL(Dong14,ROWS($1:15)),))</f>
        <v>TP/X52</v>
      </c>
      <c r="C28" s="764">
        <f ca="1">IF(ROWS($1:15)&gt;COUNT(Dong14),"",OFFSET(TH!E$1,SMALL(Dong14,ROWS($1:15)),))</f>
        <v>42620</v>
      </c>
      <c r="D28" s="765" t="str">
        <f ca="1">IF(ROWS($1:15)&gt;COUNT(Dong14),"",OFFSET(TH!F$1,SMALL(Dong14,ROWS($1:15)),))</f>
        <v>Thùng carton (103x50x180)</v>
      </c>
      <c r="E28" s="766" t="str">
        <f ca="1">IF(ROWS($1:15)&gt;COUNT(Dong14),"",IF(OFFSET(TH!L$1,SMALL(Dong14,ROWS($1:15)),)="331",OFFSET(TH!M$1,SMALL(Dong14,ROWS($1:15)),),OFFSET(TH!L$1,SMALL(Dong14,ROWS($1:15)),)))</f>
        <v>131</v>
      </c>
      <c r="F28" s="767">
        <f ca="1">IF(ROWS($1:15)&gt;COUNT(Dong14),"",IF(OFFSET(TH!L$1,SMALL(Dong14,ROWS($1:15)),)="131",OFFSET(TH!K$1,SMALL(Dong14,ROWS($1:15)),),0))</f>
        <v>2846940</v>
      </c>
      <c r="G28" s="767">
        <f ca="1">IF(ROWS($1:15)&gt;COUNT(Dong14),"",IF(OFFSET(TH!M$1,SMALL(Dong14,ROWS($1:15)),)="131",OFFSET(TH!K$1,SMALL(Dong14,ROWS($1:15)),),0))</f>
        <v>0</v>
      </c>
      <c r="H28" s="768">
        <f t="shared" ca="1" si="0"/>
        <v>2846940</v>
      </c>
      <c r="I28" s="768">
        <f t="shared" ca="1" si="1"/>
        <v>0</v>
      </c>
    </row>
    <row r="29" spans="1:9" s="3" customFormat="1" ht="18" customHeight="1">
      <c r="A29" s="764">
        <f ca="1">IF(ROWS($1:16)&gt;COUNT(Dong14),"",OFFSET(TH!C$1,SMALL(Dong14,ROWS($1:16)),))</f>
        <v>42620</v>
      </c>
      <c r="B29" s="764" t="str">
        <f ca="1">IF(ROWS($1:16)&gt;COUNT(Dong14),"",OFFSET(TH!D$1,SMALL(Dong14,ROWS($1:16)),))</f>
        <v>TP/X52</v>
      </c>
      <c r="C29" s="764">
        <f ca="1">IF(ROWS($1:16)&gt;COUNT(Dong14),"",OFFSET(TH!E$1,SMALL(Dong14,ROWS($1:16)),))</f>
        <v>42620</v>
      </c>
      <c r="D29" s="765" t="str">
        <f ca="1">IF(ROWS($1:16)&gt;COUNT(Dong14),"",OFFSET(TH!F$1,SMALL(Dong14,ROWS($1:16)),))</f>
        <v>Thùng carton (122x54x180)</v>
      </c>
      <c r="E29" s="766" t="str">
        <f ca="1">IF(ROWS($1:16)&gt;COUNT(Dong14),"",IF(OFFSET(TH!L$1,SMALL(Dong14,ROWS($1:16)),)="331",OFFSET(TH!M$1,SMALL(Dong14,ROWS($1:16)),),OFFSET(TH!L$1,SMALL(Dong14,ROWS($1:16)),)))</f>
        <v>131</v>
      </c>
      <c r="F29" s="767">
        <f ca="1">IF(ROWS($1:16)&gt;COUNT(Dong14),"",IF(OFFSET(TH!L$1,SMALL(Dong14,ROWS($1:16)),)="131",OFFSET(TH!K$1,SMALL(Dong14,ROWS($1:16)),),0))</f>
        <v>1090600</v>
      </c>
      <c r="G29" s="767">
        <f ca="1">IF(ROWS($1:16)&gt;COUNT(Dong14),"",IF(OFFSET(TH!M$1,SMALL(Dong14,ROWS($1:16)),)="131",OFFSET(TH!K$1,SMALL(Dong14,ROWS($1:16)),),0))</f>
        <v>0</v>
      </c>
      <c r="H29" s="768">
        <f t="shared" ca="1" si="0"/>
        <v>3937540</v>
      </c>
      <c r="I29" s="768">
        <f t="shared" ca="1" si="1"/>
        <v>0</v>
      </c>
    </row>
    <row r="30" spans="1:9" s="3" customFormat="1" ht="18" customHeight="1">
      <c r="A30" s="764">
        <f ca="1">IF(ROWS($1:17)&gt;COUNT(Dong14),"",OFFSET(TH!C$1,SMALL(Dong14,ROWS($1:17)),))</f>
        <v>42620</v>
      </c>
      <c r="B30" s="764" t="str">
        <f ca="1">IF(ROWS($1:17)&gt;COUNT(Dong14),"",OFFSET(TH!D$1,SMALL(Dong14,ROWS($1:17)),))</f>
        <v>TP/X52</v>
      </c>
      <c r="C30" s="764">
        <f ca="1">IF(ROWS($1:17)&gt;COUNT(Dong14),"",OFFSET(TH!E$1,SMALL(Dong14,ROWS($1:17)),))</f>
        <v>42620</v>
      </c>
      <c r="D30" s="765" t="str">
        <f ca="1">IF(ROWS($1:17)&gt;COUNT(Dong14),"",OFFSET(TH!F$1,SMALL(Dong14,ROWS($1:17)),))</f>
        <v>VAT Thùng carton</v>
      </c>
      <c r="E30" s="766" t="str">
        <f ca="1">IF(ROWS($1:17)&gt;COUNT(Dong14),"",IF(OFFSET(TH!L$1,SMALL(Dong14,ROWS($1:17)),)="331",OFFSET(TH!M$1,SMALL(Dong14,ROWS($1:17)),),OFFSET(TH!L$1,SMALL(Dong14,ROWS($1:17)),)))</f>
        <v>131</v>
      </c>
      <c r="F30" s="767">
        <f ca="1">IF(ROWS($1:17)&gt;COUNT(Dong14),"",IF(OFFSET(TH!L$1,SMALL(Dong14,ROWS($1:17)),)="131",OFFSET(TH!K$1,SMALL(Dong14,ROWS($1:17)),),0))</f>
        <v>393754</v>
      </c>
      <c r="G30" s="767">
        <f ca="1">IF(ROWS($1:17)&gt;COUNT(Dong14),"",IF(OFFSET(TH!M$1,SMALL(Dong14,ROWS($1:17)),)="131",OFFSET(TH!K$1,SMALL(Dong14,ROWS($1:17)),),0))</f>
        <v>0</v>
      </c>
      <c r="H30" s="768">
        <f t="shared" ca="1" si="0"/>
        <v>4331294</v>
      </c>
      <c r="I30" s="768">
        <f t="shared" ca="1" si="1"/>
        <v>0</v>
      </c>
    </row>
    <row r="31" spans="1:9" s="3" customFormat="1" ht="18" customHeight="1">
      <c r="A31" s="764">
        <f ca="1">IF(ROWS($1:18)&gt;COUNT(Dong14),"",OFFSET(TH!C$1,SMALL(Dong14,ROWS($1:18)),))</f>
        <v>42620</v>
      </c>
      <c r="B31" s="764" t="str">
        <f ca="1">IF(ROWS($1:18)&gt;COUNT(Dong14),"",OFFSET(TH!D$1,SMALL(Dong14,ROWS($1:18)),))</f>
        <v>T28</v>
      </c>
      <c r="C31" s="764">
        <f ca="1">IF(ROWS($1:18)&gt;COUNT(Dong14),"",OFFSET(TH!E$1,SMALL(Dong14,ROWS($1:18)),))</f>
        <v>42620</v>
      </c>
      <c r="D31" s="765" t="str">
        <f ca="1">IF(ROWS($1:18)&gt;COUNT(Dong14),"",OFFSET(TH!F$1,SMALL(Dong14,ROWS($1:18)),))</f>
        <v>Thu tiền hàng</v>
      </c>
      <c r="E31" s="766" t="str">
        <f ca="1">IF(ROWS($1:18)&gt;COUNT(Dong14),"",IF(OFFSET(TH!L$1,SMALL(Dong14,ROWS($1:18)),)="331",OFFSET(TH!M$1,SMALL(Dong14,ROWS($1:18)),),OFFSET(TH!L$1,SMALL(Dong14,ROWS($1:18)),)))</f>
        <v>1111</v>
      </c>
      <c r="F31" s="767">
        <f ca="1">IF(ROWS($1:18)&gt;COUNT(Dong14),"",IF(OFFSET(TH!L$1,SMALL(Dong14,ROWS($1:18)),)="131",OFFSET(TH!K$1,SMALL(Dong14,ROWS($1:18)),),0))</f>
        <v>0</v>
      </c>
      <c r="G31" s="767">
        <f ca="1">IF(ROWS($1:18)&gt;COUNT(Dong14),"",IF(OFFSET(TH!M$1,SMALL(Dong14,ROWS($1:18)),)="131",OFFSET(TH!K$1,SMALL(Dong14,ROWS($1:18)),),0))</f>
        <v>4331294</v>
      </c>
      <c r="H31" s="768">
        <f t="shared" ca="1" si="0"/>
        <v>0</v>
      </c>
      <c r="I31" s="768">
        <f t="shared" ca="1" si="1"/>
        <v>0</v>
      </c>
    </row>
    <row r="32" spans="1:9" s="3" customFormat="1" ht="18" customHeight="1">
      <c r="A32" s="764">
        <f ca="1">IF(ROWS($1:19)&gt;COUNT(Dong14),"",OFFSET(TH!C$1,SMALL(Dong14,ROWS($1:19)),))</f>
        <v>42647</v>
      </c>
      <c r="B32" s="764" t="str">
        <f ca="1">IF(ROWS($1:19)&gt;COUNT(Dong14),"",OFFSET(TH!D$1,SMALL(Dong14,ROWS($1:19)),))</f>
        <v>TP/X02</v>
      </c>
      <c r="C32" s="764">
        <f ca="1">IF(ROWS($1:19)&gt;COUNT(Dong14),"",OFFSET(TH!E$1,SMALL(Dong14,ROWS($1:19)),))</f>
        <v>42647</v>
      </c>
      <c r="D32" s="765" t="str">
        <f ca="1">IF(ROWS($1:19)&gt;COUNT(Dong14),"",OFFSET(TH!F$1,SMALL(Dong14,ROWS($1:19)),))</f>
        <v>Thùng carton (48x23x22)</v>
      </c>
      <c r="E32" s="766" t="str">
        <f ca="1">IF(ROWS($1:19)&gt;COUNT(Dong14),"",IF(OFFSET(TH!L$1,SMALL(Dong14,ROWS($1:19)),)="331",OFFSET(TH!M$1,SMALL(Dong14,ROWS($1:19)),),OFFSET(TH!L$1,SMALL(Dong14,ROWS($1:19)),)))</f>
        <v>131</v>
      </c>
      <c r="F32" s="767">
        <f ca="1">IF(ROWS($1:19)&gt;COUNT(Dong14),"",IF(OFFSET(TH!L$1,SMALL(Dong14,ROWS($1:19)),)="131",OFFSET(TH!K$1,SMALL(Dong14,ROWS($1:19)),),0))</f>
        <v>6728305</v>
      </c>
      <c r="G32" s="767">
        <f ca="1">IF(ROWS($1:19)&gt;COUNT(Dong14),"",IF(OFFSET(TH!M$1,SMALL(Dong14,ROWS($1:19)),)="131",OFFSET(TH!K$1,SMALL(Dong14,ROWS($1:19)),),0))</f>
        <v>0</v>
      </c>
      <c r="H32" s="768">
        <f t="shared" ca="1" si="0"/>
        <v>6728305</v>
      </c>
      <c r="I32" s="768">
        <f t="shared" ca="1" si="1"/>
        <v>0</v>
      </c>
    </row>
    <row r="33" spans="1:9" s="3" customFormat="1" ht="18" customHeight="1">
      <c r="A33" s="764">
        <f ca="1">IF(ROWS($1:20)&gt;COUNT(Dong14),"",OFFSET(TH!C$1,SMALL(Dong14,ROWS($1:20)),))</f>
        <v>42647</v>
      </c>
      <c r="B33" s="764" t="str">
        <f ca="1">IF(ROWS($1:20)&gt;COUNT(Dong14),"",OFFSET(TH!D$1,SMALL(Dong14,ROWS($1:20)),))</f>
        <v>TP/X02</v>
      </c>
      <c r="C33" s="764">
        <f ca="1">IF(ROWS($1:20)&gt;COUNT(Dong14),"",OFFSET(TH!E$1,SMALL(Dong14,ROWS($1:20)),))</f>
        <v>42647</v>
      </c>
      <c r="D33" s="765" t="str">
        <f ca="1">IF(ROWS($1:20)&gt;COUNT(Dong14),"",OFFSET(TH!F$1,SMALL(Dong14,ROWS($1:20)),))</f>
        <v>Thùng carton (49x23.5x30.5)</v>
      </c>
      <c r="E33" s="766" t="str">
        <f ca="1">IF(ROWS($1:20)&gt;COUNT(Dong14),"",IF(OFFSET(TH!L$1,SMALL(Dong14,ROWS($1:20)),)="331",OFFSET(TH!M$1,SMALL(Dong14,ROWS($1:20)),),OFFSET(TH!L$1,SMALL(Dong14,ROWS($1:20)),)))</f>
        <v>131</v>
      </c>
      <c r="F33" s="767">
        <f ca="1">IF(ROWS($1:20)&gt;COUNT(Dong14),"",IF(OFFSET(TH!L$1,SMALL(Dong14,ROWS($1:20)),)="131",OFFSET(TH!K$1,SMALL(Dong14,ROWS($1:20)),),0))</f>
        <v>2354130</v>
      </c>
      <c r="G33" s="767">
        <f ca="1">IF(ROWS($1:20)&gt;COUNT(Dong14),"",IF(OFFSET(TH!M$1,SMALL(Dong14,ROWS($1:20)),)="131",OFFSET(TH!K$1,SMALL(Dong14,ROWS($1:20)),),0))</f>
        <v>0</v>
      </c>
      <c r="H33" s="768">
        <f t="shared" ca="1" si="0"/>
        <v>9082435</v>
      </c>
      <c r="I33" s="768">
        <f t="shared" ca="1" si="1"/>
        <v>0</v>
      </c>
    </row>
    <row r="34" spans="1:9" s="3" customFormat="1" ht="18" customHeight="1">
      <c r="A34" s="764">
        <f ca="1">IF(ROWS($1:21)&gt;COUNT(Dong14),"",OFFSET(TH!C$1,SMALL(Dong14,ROWS($1:21)),))</f>
        <v>42647</v>
      </c>
      <c r="B34" s="764" t="str">
        <f ca="1">IF(ROWS($1:21)&gt;COUNT(Dong14),"",OFFSET(TH!D$1,SMALL(Dong14,ROWS($1:21)),))</f>
        <v>TP/X02</v>
      </c>
      <c r="C34" s="764">
        <f ca="1">IF(ROWS($1:21)&gt;COUNT(Dong14),"",OFFSET(TH!E$1,SMALL(Dong14,ROWS($1:21)),))</f>
        <v>42647</v>
      </c>
      <c r="D34" s="765" t="str">
        <f ca="1">IF(ROWS($1:21)&gt;COUNT(Dong14),"",OFFSET(TH!F$1,SMALL(Dong14,ROWS($1:21)),))</f>
        <v>VAT Thùng carton</v>
      </c>
      <c r="E34" s="766" t="str">
        <f ca="1">IF(ROWS($1:21)&gt;COUNT(Dong14),"",IF(OFFSET(TH!L$1,SMALL(Dong14,ROWS($1:21)),)="331",OFFSET(TH!M$1,SMALL(Dong14,ROWS($1:21)),),OFFSET(TH!L$1,SMALL(Dong14,ROWS($1:21)),)))</f>
        <v>131</v>
      </c>
      <c r="F34" s="767">
        <f ca="1">IF(ROWS($1:21)&gt;COUNT(Dong14),"",IF(OFFSET(TH!L$1,SMALL(Dong14,ROWS($1:21)),)="131",OFFSET(TH!K$1,SMALL(Dong14,ROWS($1:21)),),0))</f>
        <v>908243</v>
      </c>
      <c r="G34" s="767">
        <f ca="1">IF(ROWS($1:21)&gt;COUNT(Dong14),"",IF(OFFSET(TH!M$1,SMALL(Dong14,ROWS($1:21)),)="131",OFFSET(TH!K$1,SMALL(Dong14,ROWS($1:21)),),0))</f>
        <v>0</v>
      </c>
      <c r="H34" s="768">
        <f t="shared" ca="1" si="0"/>
        <v>9990678</v>
      </c>
      <c r="I34" s="768">
        <f t="shared" ca="1" si="1"/>
        <v>0</v>
      </c>
    </row>
    <row r="35" spans="1:9" s="3" customFormat="1" ht="18" customHeight="1">
      <c r="A35" s="764">
        <f ca="1">IF(ROWS($1:22)&gt;COUNT(Dong14),"",OFFSET(TH!C$1,SMALL(Dong14,ROWS($1:22)),))</f>
        <v>42647</v>
      </c>
      <c r="B35" s="764" t="str">
        <f ca="1">IF(ROWS($1:22)&gt;COUNT(Dong14),"",OFFSET(TH!D$1,SMALL(Dong14,ROWS($1:22)),))</f>
        <v>T02</v>
      </c>
      <c r="C35" s="764">
        <f ca="1">IF(ROWS($1:22)&gt;COUNT(Dong14),"",OFFSET(TH!E$1,SMALL(Dong14,ROWS($1:22)),))</f>
        <v>42647</v>
      </c>
      <c r="D35" s="765" t="str">
        <f ca="1">IF(ROWS($1:22)&gt;COUNT(Dong14),"",OFFSET(TH!F$1,SMALL(Dong14,ROWS($1:22)),))</f>
        <v>Thu tiền hàng</v>
      </c>
      <c r="E35" s="766" t="str">
        <f ca="1">IF(ROWS($1:22)&gt;COUNT(Dong14),"",IF(OFFSET(TH!L$1,SMALL(Dong14,ROWS($1:22)),)="331",OFFSET(TH!M$1,SMALL(Dong14,ROWS($1:22)),),OFFSET(TH!L$1,SMALL(Dong14,ROWS($1:22)),)))</f>
        <v>1111</v>
      </c>
      <c r="F35" s="767">
        <f ca="1">IF(ROWS($1:22)&gt;COUNT(Dong14),"",IF(OFFSET(TH!L$1,SMALL(Dong14,ROWS($1:22)),)="131",OFFSET(TH!K$1,SMALL(Dong14,ROWS($1:22)),),0))</f>
        <v>0</v>
      </c>
      <c r="G35" s="767">
        <f ca="1">IF(ROWS($1:22)&gt;COUNT(Dong14),"",IF(OFFSET(TH!M$1,SMALL(Dong14,ROWS($1:22)),)="131",OFFSET(TH!K$1,SMALL(Dong14,ROWS($1:22)),),0))</f>
        <v>9990678</v>
      </c>
      <c r="H35" s="768">
        <f t="shared" ca="1" si="0"/>
        <v>0</v>
      </c>
      <c r="I35" s="768">
        <f t="shared" ca="1" si="1"/>
        <v>0</v>
      </c>
    </row>
    <row r="36" spans="1:9" s="3" customFormat="1" ht="18" customHeight="1">
      <c r="A36" s="764">
        <f ca="1">IF(ROWS($1:23)&gt;COUNT(Dong14),"",OFFSET(TH!C$1,SMALL(Dong14,ROWS($1:23)),))</f>
        <v>42693</v>
      </c>
      <c r="B36" s="764" t="str">
        <f ca="1">IF(ROWS($1:23)&gt;COUNT(Dong14),"",OFFSET(TH!D$1,SMALL(Dong14,ROWS($1:23)),))</f>
        <v>TP/X16</v>
      </c>
      <c r="C36" s="764">
        <f ca="1">IF(ROWS($1:23)&gt;COUNT(Dong14),"",OFFSET(TH!E$1,SMALL(Dong14,ROWS($1:23)),))</f>
        <v>42693</v>
      </c>
      <c r="D36" s="765" t="str">
        <f ca="1">IF(ROWS($1:23)&gt;COUNT(Dong14),"",OFFSET(TH!F$1,SMALL(Dong14,ROWS($1:23)),))</f>
        <v>Thùng carton (47x47x52)</v>
      </c>
      <c r="E36" s="766" t="str">
        <f ca="1">IF(ROWS($1:23)&gt;COUNT(Dong14),"",IF(OFFSET(TH!L$1,SMALL(Dong14,ROWS($1:23)),)="331",OFFSET(TH!M$1,SMALL(Dong14,ROWS($1:23)),),OFFSET(TH!L$1,SMALL(Dong14,ROWS($1:23)),)))</f>
        <v>131</v>
      </c>
      <c r="F36" s="767">
        <f ca="1">IF(ROWS($1:23)&gt;COUNT(Dong14),"",IF(OFFSET(TH!L$1,SMALL(Dong14,ROWS($1:23)),)="131",OFFSET(TH!K$1,SMALL(Dong14,ROWS($1:23)),),0))</f>
        <v>369610</v>
      </c>
      <c r="G36" s="767">
        <f ca="1">IF(ROWS($1:23)&gt;COUNT(Dong14),"",IF(OFFSET(TH!M$1,SMALL(Dong14,ROWS($1:23)),)="131",OFFSET(TH!K$1,SMALL(Dong14,ROWS($1:23)),),0))</f>
        <v>0</v>
      </c>
      <c r="H36" s="768">
        <f t="shared" ca="1" si="0"/>
        <v>369610</v>
      </c>
      <c r="I36" s="768">
        <f t="shared" ca="1" si="1"/>
        <v>0</v>
      </c>
    </row>
    <row r="37" spans="1:9" s="3" customFormat="1" ht="18" customHeight="1">
      <c r="A37" s="764">
        <f ca="1">IF(ROWS($1:24)&gt;COUNT(Dong14),"",OFFSET(TH!C$1,SMALL(Dong14,ROWS($1:24)),))</f>
        <v>42693</v>
      </c>
      <c r="B37" s="764" t="str">
        <f ca="1">IF(ROWS($1:24)&gt;COUNT(Dong14),"",OFFSET(TH!D$1,SMALL(Dong14,ROWS($1:24)),))</f>
        <v>TP/X16</v>
      </c>
      <c r="C37" s="764">
        <f ca="1">IF(ROWS($1:24)&gt;COUNT(Dong14),"",OFFSET(TH!E$1,SMALL(Dong14,ROWS($1:24)),))</f>
        <v>42693</v>
      </c>
      <c r="D37" s="765" t="str">
        <f ca="1">IF(ROWS($1:24)&gt;COUNT(Dong14),"",OFFSET(TH!F$1,SMALL(Dong14,ROWS($1:24)),))</f>
        <v>Thùng carton (103x54x180)</v>
      </c>
      <c r="E37" s="766" t="str">
        <f ca="1">IF(ROWS($1:24)&gt;COUNT(Dong14),"",IF(OFFSET(TH!L$1,SMALL(Dong14,ROWS($1:24)),)="331",OFFSET(TH!M$1,SMALL(Dong14,ROWS($1:24)),),OFFSET(TH!L$1,SMALL(Dong14,ROWS($1:24)),)))</f>
        <v>131</v>
      </c>
      <c r="F37" s="767">
        <f ca="1">IF(ROWS($1:24)&gt;COUNT(Dong14),"",IF(OFFSET(TH!L$1,SMALL(Dong14,ROWS($1:24)),)="131",OFFSET(TH!K$1,SMALL(Dong14,ROWS($1:24)),),0))</f>
        <v>4742388</v>
      </c>
      <c r="G37" s="767">
        <f ca="1">IF(ROWS($1:24)&gt;COUNT(Dong14),"",IF(OFFSET(TH!M$1,SMALL(Dong14,ROWS($1:24)),)="131",OFFSET(TH!K$1,SMALL(Dong14,ROWS($1:24)),),0))</f>
        <v>0</v>
      </c>
      <c r="H37" s="768">
        <f t="shared" ca="1" si="0"/>
        <v>5111998</v>
      </c>
      <c r="I37" s="768">
        <f t="shared" ca="1" si="1"/>
        <v>0</v>
      </c>
    </row>
    <row r="38" spans="1:9" s="3" customFormat="1" ht="18" customHeight="1">
      <c r="A38" s="764">
        <f ca="1">IF(ROWS($1:25)&gt;COUNT(Dong14),"",OFFSET(TH!C$1,SMALL(Dong14,ROWS($1:25)),))</f>
        <v>42693</v>
      </c>
      <c r="B38" s="764" t="str">
        <f ca="1">IF(ROWS($1:25)&gt;COUNT(Dong14),"",OFFSET(TH!D$1,SMALL(Dong14,ROWS($1:25)),))</f>
        <v>TP/X16</v>
      </c>
      <c r="C38" s="764">
        <f ca="1">IF(ROWS($1:25)&gt;COUNT(Dong14),"",OFFSET(TH!E$1,SMALL(Dong14,ROWS($1:25)),))</f>
        <v>42693</v>
      </c>
      <c r="D38" s="765" t="str">
        <f ca="1">IF(ROWS($1:25)&gt;COUNT(Dong14),"",OFFSET(TH!F$1,SMALL(Dong14,ROWS($1:25)),))</f>
        <v>Thùng carton (58x57x95)</v>
      </c>
      <c r="E38" s="766" t="str">
        <f ca="1">IF(ROWS($1:25)&gt;COUNT(Dong14),"",IF(OFFSET(TH!L$1,SMALL(Dong14,ROWS($1:25)),)="331",OFFSET(TH!M$1,SMALL(Dong14,ROWS($1:25)),),OFFSET(TH!L$1,SMALL(Dong14,ROWS($1:25)),)))</f>
        <v>131</v>
      </c>
      <c r="F38" s="767">
        <f ca="1">IF(ROWS($1:25)&gt;COUNT(Dong14),"",IF(OFFSET(TH!L$1,SMALL(Dong14,ROWS($1:25)),)="131",OFFSET(TH!K$1,SMALL(Dong14,ROWS($1:25)),),0))</f>
        <v>808758</v>
      </c>
      <c r="G38" s="767">
        <f ca="1">IF(ROWS($1:25)&gt;COUNT(Dong14),"",IF(OFFSET(TH!M$1,SMALL(Dong14,ROWS($1:25)),)="131",OFFSET(TH!K$1,SMALL(Dong14,ROWS($1:25)),),0))</f>
        <v>0</v>
      </c>
      <c r="H38" s="768">
        <f t="shared" ca="1" si="0"/>
        <v>5920756</v>
      </c>
      <c r="I38" s="768">
        <f t="shared" ca="1" si="1"/>
        <v>0</v>
      </c>
    </row>
    <row r="39" spans="1:9" s="3" customFormat="1" ht="18" customHeight="1">
      <c r="A39" s="764">
        <f ca="1">IF(ROWS($1:26)&gt;COUNT(Dong14),"",OFFSET(TH!C$1,SMALL(Dong14,ROWS($1:26)),))</f>
        <v>42693</v>
      </c>
      <c r="B39" s="764" t="str">
        <f ca="1">IF(ROWS($1:26)&gt;COUNT(Dong14),"",OFFSET(TH!D$1,SMALL(Dong14,ROWS($1:26)),))</f>
        <v>TP/X16</v>
      </c>
      <c r="C39" s="764">
        <f ca="1">IF(ROWS($1:26)&gt;COUNT(Dong14),"",OFFSET(TH!E$1,SMALL(Dong14,ROWS($1:26)),))</f>
        <v>42693</v>
      </c>
      <c r="D39" s="765" t="str">
        <f ca="1">IF(ROWS($1:26)&gt;COUNT(Dong14),"",OFFSET(TH!F$1,SMALL(Dong14,ROWS($1:26)),))</f>
        <v>Thùng carton (58x57x81)</v>
      </c>
      <c r="E39" s="766" t="str">
        <f ca="1">IF(ROWS($1:26)&gt;COUNT(Dong14),"",IF(OFFSET(TH!L$1,SMALL(Dong14,ROWS($1:26)),)="331",OFFSET(TH!M$1,SMALL(Dong14,ROWS($1:26)),),OFFSET(TH!L$1,SMALL(Dong14,ROWS($1:26)),)))</f>
        <v>131</v>
      </c>
      <c r="F39" s="767">
        <f ca="1">IF(ROWS($1:26)&gt;COUNT(Dong14),"",IF(OFFSET(TH!L$1,SMALL(Dong14,ROWS($1:26)),)="131",OFFSET(TH!K$1,SMALL(Dong14,ROWS($1:26)),),0))</f>
        <v>754002</v>
      </c>
      <c r="G39" s="767">
        <f ca="1">IF(ROWS($1:26)&gt;COUNT(Dong14),"",IF(OFFSET(TH!M$1,SMALL(Dong14,ROWS($1:26)),)="131",OFFSET(TH!K$1,SMALL(Dong14,ROWS($1:26)),),0))</f>
        <v>0</v>
      </c>
      <c r="H39" s="768">
        <f t="shared" ca="1" si="0"/>
        <v>6674758</v>
      </c>
      <c r="I39" s="768">
        <f t="shared" ca="1" si="1"/>
        <v>0</v>
      </c>
    </row>
    <row r="40" spans="1:9" s="3" customFormat="1" ht="18" customHeight="1">
      <c r="A40" s="764">
        <f ca="1">IF(ROWS($1:27)&gt;COUNT(Dong14),"",OFFSET(TH!C$1,SMALL(Dong14,ROWS($1:27)),))</f>
        <v>42693</v>
      </c>
      <c r="B40" s="764" t="str">
        <f ca="1">IF(ROWS($1:27)&gt;COUNT(Dong14),"",OFFSET(TH!D$1,SMALL(Dong14,ROWS($1:27)),))</f>
        <v>TP/X16</v>
      </c>
      <c r="C40" s="764">
        <f ca="1">IF(ROWS($1:27)&gt;COUNT(Dong14),"",OFFSET(TH!E$1,SMALL(Dong14,ROWS($1:27)),))</f>
        <v>42693</v>
      </c>
      <c r="D40" s="765" t="str">
        <f ca="1">IF(ROWS($1:27)&gt;COUNT(Dong14),"",OFFSET(TH!F$1,SMALL(Dong14,ROWS($1:27)),))</f>
        <v>Thùng carton (67x62x114)</v>
      </c>
      <c r="E40" s="766" t="str">
        <f ca="1">IF(ROWS($1:27)&gt;COUNT(Dong14),"",IF(OFFSET(TH!L$1,SMALL(Dong14,ROWS($1:27)),)="331",OFFSET(TH!M$1,SMALL(Dong14,ROWS($1:27)),),OFFSET(TH!L$1,SMALL(Dong14,ROWS($1:27)),)))</f>
        <v>131</v>
      </c>
      <c r="F40" s="767">
        <f ca="1">IF(ROWS($1:27)&gt;COUNT(Dong14),"",IF(OFFSET(TH!L$1,SMALL(Dong14,ROWS($1:27)),)="131",OFFSET(TH!K$1,SMALL(Dong14,ROWS($1:27)),),0))</f>
        <v>1097980</v>
      </c>
      <c r="G40" s="767">
        <f ca="1">IF(ROWS($1:27)&gt;COUNT(Dong14),"",IF(OFFSET(TH!M$1,SMALL(Dong14,ROWS($1:27)),)="131",OFFSET(TH!K$1,SMALL(Dong14,ROWS($1:27)),),0))</f>
        <v>0</v>
      </c>
      <c r="H40" s="768">
        <f t="shared" ca="1" si="0"/>
        <v>7772738</v>
      </c>
      <c r="I40" s="768">
        <f t="shared" ca="1" si="1"/>
        <v>0</v>
      </c>
    </row>
    <row r="41" spans="1:9" s="3" customFormat="1" ht="18" customHeight="1">
      <c r="A41" s="764">
        <f ca="1">IF(ROWS($1:28)&gt;COUNT(Dong14),"",OFFSET(TH!C$1,SMALL(Dong14,ROWS($1:28)),))</f>
        <v>42693</v>
      </c>
      <c r="B41" s="764" t="str">
        <f ca="1">IF(ROWS($1:28)&gt;COUNT(Dong14),"",OFFSET(TH!D$1,SMALL(Dong14,ROWS($1:28)),))</f>
        <v>TP/X16</v>
      </c>
      <c r="C41" s="764">
        <f ca="1">IF(ROWS($1:28)&gt;COUNT(Dong14),"",OFFSET(TH!E$1,SMALL(Dong14,ROWS($1:28)),))</f>
        <v>42693</v>
      </c>
      <c r="D41" s="765" t="str">
        <f ca="1">IF(ROWS($1:28)&gt;COUNT(Dong14),"",OFFSET(TH!F$1,SMALL(Dong14,ROWS($1:28)),))</f>
        <v>Thùng carton (58x57x62)</v>
      </c>
      <c r="E41" s="766" t="str">
        <f ca="1">IF(ROWS($1:28)&gt;COUNT(Dong14),"",IF(OFFSET(TH!L$1,SMALL(Dong14,ROWS($1:28)),)="331",OFFSET(TH!M$1,SMALL(Dong14,ROWS($1:28)),),OFFSET(TH!L$1,SMALL(Dong14,ROWS($1:28)),)))</f>
        <v>131</v>
      </c>
      <c r="F41" s="767">
        <f ca="1">IF(ROWS($1:28)&gt;COUNT(Dong14),"",IF(OFFSET(TH!L$1,SMALL(Dong14,ROWS($1:28)),)="131",OFFSET(TH!K$1,SMALL(Dong14,ROWS($1:28)),),0))</f>
        <v>458619</v>
      </c>
      <c r="G41" s="767">
        <f ca="1">IF(ROWS($1:28)&gt;COUNT(Dong14),"",IF(OFFSET(TH!M$1,SMALL(Dong14,ROWS($1:28)),)="131",OFFSET(TH!K$1,SMALL(Dong14,ROWS($1:28)),),0))</f>
        <v>0</v>
      </c>
      <c r="H41" s="768">
        <f t="shared" ca="1" si="0"/>
        <v>8231357</v>
      </c>
      <c r="I41" s="768">
        <f t="shared" ca="1" si="1"/>
        <v>0</v>
      </c>
    </row>
    <row r="42" spans="1:9" s="3" customFormat="1" ht="18" customHeight="1">
      <c r="A42" s="764">
        <f ca="1">IF(ROWS($1:29)&gt;COUNT(Dong14),"",OFFSET(TH!C$1,SMALL(Dong14,ROWS($1:29)),))</f>
        <v>42693</v>
      </c>
      <c r="B42" s="764" t="str">
        <f ca="1">IF(ROWS($1:29)&gt;COUNT(Dong14),"",OFFSET(TH!D$1,SMALL(Dong14,ROWS($1:29)),))</f>
        <v>TP/X16</v>
      </c>
      <c r="C42" s="764">
        <f ca="1">IF(ROWS($1:29)&gt;COUNT(Dong14),"",OFFSET(TH!E$1,SMALL(Dong14,ROWS($1:29)),))</f>
        <v>42693</v>
      </c>
      <c r="D42" s="765" t="str">
        <f ca="1">IF(ROWS($1:29)&gt;COUNT(Dong14),"",OFFSET(TH!F$1,SMALL(Dong14,ROWS($1:29)),))</f>
        <v>VAT Thùng carton</v>
      </c>
      <c r="E42" s="766" t="str">
        <f ca="1">IF(ROWS($1:29)&gt;COUNT(Dong14),"",IF(OFFSET(TH!L$1,SMALL(Dong14,ROWS($1:29)),)="331",OFFSET(TH!M$1,SMALL(Dong14,ROWS($1:29)),),OFFSET(TH!L$1,SMALL(Dong14,ROWS($1:29)),)))</f>
        <v>131</v>
      </c>
      <c r="F42" s="767">
        <f ca="1">IF(ROWS($1:29)&gt;COUNT(Dong14),"",IF(OFFSET(TH!L$1,SMALL(Dong14,ROWS($1:29)),)="131",OFFSET(TH!K$1,SMALL(Dong14,ROWS($1:29)),),0))</f>
        <v>823136</v>
      </c>
      <c r="G42" s="767">
        <f ca="1">IF(ROWS($1:29)&gt;COUNT(Dong14),"",IF(OFFSET(TH!M$1,SMALL(Dong14,ROWS($1:29)),)="131",OFFSET(TH!K$1,SMALL(Dong14,ROWS($1:29)),),0))</f>
        <v>0</v>
      </c>
      <c r="H42" s="768">
        <f t="shared" ca="1" si="0"/>
        <v>9054493</v>
      </c>
      <c r="I42" s="768">
        <f t="shared" ca="1" si="1"/>
        <v>0</v>
      </c>
    </row>
    <row r="43" spans="1:9" s="3" customFormat="1" ht="18" customHeight="1">
      <c r="A43" s="764">
        <f ca="1">IF(ROWS($1:30)&gt;COUNT(Dong14),"",OFFSET(TH!C$1,SMALL(Dong14,ROWS($1:30)),))</f>
        <v>42693</v>
      </c>
      <c r="B43" s="764" t="str">
        <f ca="1">IF(ROWS($1:30)&gt;COUNT(Dong14),"",OFFSET(TH!D$1,SMALL(Dong14,ROWS($1:30)),))</f>
        <v>T14</v>
      </c>
      <c r="C43" s="764">
        <f ca="1">IF(ROWS($1:30)&gt;COUNT(Dong14),"",OFFSET(TH!E$1,SMALL(Dong14,ROWS($1:30)),))</f>
        <v>42693</v>
      </c>
      <c r="D43" s="765" t="str">
        <f ca="1">IF(ROWS($1:30)&gt;COUNT(Dong14),"",OFFSET(TH!F$1,SMALL(Dong14,ROWS($1:30)),))</f>
        <v>Thu tiền hàng</v>
      </c>
      <c r="E43" s="766" t="str">
        <f ca="1">IF(ROWS($1:30)&gt;COUNT(Dong14),"",IF(OFFSET(TH!L$1,SMALL(Dong14,ROWS($1:30)),)="331",OFFSET(TH!M$1,SMALL(Dong14,ROWS($1:30)),),OFFSET(TH!L$1,SMALL(Dong14,ROWS($1:30)),)))</f>
        <v>1111</v>
      </c>
      <c r="F43" s="767">
        <f ca="1">IF(ROWS($1:30)&gt;COUNT(Dong14),"",IF(OFFSET(TH!L$1,SMALL(Dong14,ROWS($1:30)),)="131",OFFSET(TH!K$1,SMALL(Dong14,ROWS($1:30)),),0))</f>
        <v>0</v>
      </c>
      <c r="G43" s="767">
        <f ca="1">IF(ROWS($1:30)&gt;COUNT(Dong14),"",IF(OFFSET(TH!M$1,SMALL(Dong14,ROWS($1:30)),)="131",OFFSET(TH!K$1,SMALL(Dong14,ROWS($1:30)),),0))</f>
        <v>9054493</v>
      </c>
      <c r="H43" s="768">
        <f t="shared" ca="1" si="0"/>
        <v>0</v>
      </c>
      <c r="I43" s="768">
        <f t="shared" ca="1" si="1"/>
        <v>0</v>
      </c>
    </row>
    <row r="44" spans="1:9" s="3" customFormat="1" ht="18" customHeight="1">
      <c r="A44" s="764">
        <f ca="1">IF(ROWS($1:31)&gt;COUNT(Dong14),"",OFFSET(TH!C$1,SMALL(Dong14,ROWS($1:31)),))</f>
        <v>42703</v>
      </c>
      <c r="B44" s="764" t="str">
        <f ca="1">IF(ROWS($1:31)&gt;COUNT(Dong14),"",OFFSET(TH!D$1,SMALL(Dong14,ROWS($1:31)),))</f>
        <v>TP/X22</v>
      </c>
      <c r="C44" s="764">
        <f ca="1">IF(ROWS($1:31)&gt;COUNT(Dong14),"",OFFSET(TH!E$1,SMALL(Dong14,ROWS($1:31)),))</f>
        <v>42703</v>
      </c>
      <c r="D44" s="765" t="str">
        <f ca="1">IF(ROWS($1:31)&gt;COUNT(Dong14),"",OFFSET(TH!F$1,SMALL(Dong14,ROWS($1:31)),))</f>
        <v>Thùng carton (123x63x186)</v>
      </c>
      <c r="E44" s="766" t="str">
        <f ca="1">IF(ROWS($1:31)&gt;COUNT(Dong14),"",IF(OFFSET(TH!L$1,SMALL(Dong14,ROWS($1:31)),)="331",OFFSET(TH!M$1,SMALL(Dong14,ROWS($1:31)),),OFFSET(TH!L$1,SMALL(Dong14,ROWS($1:31)),)))</f>
        <v>131</v>
      </c>
      <c r="F44" s="767">
        <f ca="1">IF(ROWS($1:31)&gt;COUNT(Dong14),"",IF(OFFSET(TH!L$1,SMALL(Dong14,ROWS($1:31)),)="131",OFFSET(TH!K$1,SMALL(Dong14,ROWS($1:31)),),0))</f>
        <v>1400000</v>
      </c>
      <c r="G44" s="767">
        <f ca="1">IF(ROWS($1:31)&gt;COUNT(Dong14),"",IF(OFFSET(TH!M$1,SMALL(Dong14,ROWS($1:31)),)="131",OFFSET(TH!K$1,SMALL(Dong14,ROWS($1:31)),),0))</f>
        <v>0</v>
      </c>
      <c r="H44" s="768">
        <f t="shared" ca="1" si="0"/>
        <v>1400000</v>
      </c>
      <c r="I44" s="768">
        <f t="shared" ca="1" si="1"/>
        <v>0</v>
      </c>
    </row>
    <row r="45" spans="1:9" s="3" customFormat="1" ht="18" customHeight="1">
      <c r="A45" s="764">
        <f ca="1">IF(ROWS($1:32)&gt;COUNT(Dong14),"",OFFSET(TH!C$1,SMALL(Dong14,ROWS($1:32)),))</f>
        <v>42703</v>
      </c>
      <c r="B45" s="764" t="str">
        <f ca="1">IF(ROWS($1:32)&gt;COUNT(Dong14),"",OFFSET(TH!D$1,SMALL(Dong14,ROWS($1:32)),))</f>
        <v>TP/X22</v>
      </c>
      <c r="C45" s="764">
        <f ca="1">IF(ROWS($1:32)&gt;COUNT(Dong14),"",OFFSET(TH!E$1,SMALL(Dong14,ROWS($1:32)),))</f>
        <v>42703</v>
      </c>
      <c r="D45" s="765" t="str">
        <f ca="1">IF(ROWS($1:32)&gt;COUNT(Dong14),"",OFFSET(TH!F$1,SMALL(Dong14,ROWS($1:32)),))</f>
        <v>Thùng carton (123x63x138)</v>
      </c>
      <c r="E45" s="766" t="str">
        <f ca="1">IF(ROWS($1:32)&gt;COUNT(Dong14),"",IF(OFFSET(TH!L$1,SMALL(Dong14,ROWS($1:32)),)="331",OFFSET(TH!M$1,SMALL(Dong14,ROWS($1:32)),),OFFSET(TH!L$1,SMALL(Dong14,ROWS($1:32)),)))</f>
        <v>131</v>
      </c>
      <c r="F45" s="767">
        <f ca="1">IF(ROWS($1:32)&gt;COUNT(Dong14),"",IF(OFFSET(TH!L$1,SMALL(Dong14,ROWS($1:32)),)="131",OFFSET(TH!K$1,SMALL(Dong14,ROWS($1:32)),),0))</f>
        <v>265000</v>
      </c>
      <c r="G45" s="767">
        <f ca="1">IF(ROWS($1:32)&gt;COUNT(Dong14),"",IF(OFFSET(TH!M$1,SMALL(Dong14,ROWS($1:32)),)="131",OFFSET(TH!K$1,SMALL(Dong14,ROWS($1:32)),),0))</f>
        <v>0</v>
      </c>
      <c r="H45" s="768">
        <f t="shared" ca="1" si="0"/>
        <v>1665000</v>
      </c>
      <c r="I45" s="768">
        <f t="shared" ca="1" si="1"/>
        <v>0</v>
      </c>
    </row>
    <row r="46" spans="1:9" s="3" customFormat="1" ht="18" customHeight="1">
      <c r="A46" s="764">
        <f ca="1">IF(ROWS($1:33)&gt;COUNT(Dong14),"",OFFSET(TH!C$1,SMALL(Dong14,ROWS($1:33)),))</f>
        <v>42703</v>
      </c>
      <c r="B46" s="764" t="str">
        <f ca="1">IF(ROWS($1:33)&gt;COUNT(Dong14),"",OFFSET(TH!D$1,SMALL(Dong14,ROWS($1:33)),))</f>
        <v>TP/X22</v>
      </c>
      <c r="C46" s="764">
        <f ca="1">IF(ROWS($1:33)&gt;COUNT(Dong14),"",OFFSET(TH!E$1,SMALL(Dong14,ROWS($1:33)),))</f>
        <v>42703</v>
      </c>
      <c r="D46" s="765" t="str">
        <f ca="1">IF(ROWS($1:33)&gt;COUNT(Dong14),"",OFFSET(TH!F$1,SMALL(Dong14,ROWS($1:33)),))</f>
        <v>Thùng carton (142x72x58)</v>
      </c>
      <c r="E46" s="766" t="str">
        <f ca="1">IF(ROWS($1:33)&gt;COUNT(Dong14),"",IF(OFFSET(TH!L$1,SMALL(Dong14,ROWS($1:33)),)="331",OFFSET(TH!M$1,SMALL(Dong14,ROWS($1:33)),),OFFSET(TH!L$1,SMALL(Dong14,ROWS($1:33)),)))</f>
        <v>131</v>
      </c>
      <c r="F46" s="767">
        <f ca="1">IF(ROWS($1:33)&gt;COUNT(Dong14),"",IF(OFFSET(TH!L$1,SMALL(Dong14,ROWS($1:33)),)="131",OFFSET(TH!K$1,SMALL(Dong14,ROWS($1:33)),),0))</f>
        <v>3023700</v>
      </c>
      <c r="G46" s="767">
        <f ca="1">IF(ROWS($1:33)&gt;COUNT(Dong14),"",IF(OFFSET(TH!M$1,SMALL(Dong14,ROWS($1:33)),)="131",OFFSET(TH!K$1,SMALL(Dong14,ROWS($1:33)),),0))</f>
        <v>0</v>
      </c>
      <c r="H46" s="768">
        <f t="shared" ca="1" si="0"/>
        <v>4688700</v>
      </c>
      <c r="I46" s="768">
        <f t="shared" ca="1" si="1"/>
        <v>0</v>
      </c>
    </row>
    <row r="47" spans="1:9" s="3" customFormat="1" ht="18" customHeight="1">
      <c r="A47" s="764">
        <f ca="1">IF(ROWS($1:34)&gt;COUNT(Dong14),"",OFFSET(TH!C$1,SMALL(Dong14,ROWS($1:34)),))</f>
        <v>42703</v>
      </c>
      <c r="B47" s="764" t="str">
        <f ca="1">IF(ROWS($1:34)&gt;COUNT(Dong14),"",OFFSET(TH!D$1,SMALL(Dong14,ROWS($1:34)),))</f>
        <v>TP/X22</v>
      </c>
      <c r="C47" s="764">
        <f ca="1">IF(ROWS($1:34)&gt;COUNT(Dong14),"",OFFSET(TH!E$1,SMALL(Dong14,ROWS($1:34)),))</f>
        <v>42703</v>
      </c>
      <c r="D47" s="765" t="str">
        <f ca="1">IF(ROWS($1:34)&gt;COUNT(Dong14),"",OFFSET(TH!F$1,SMALL(Dong14,ROWS($1:34)),))</f>
        <v>Thùng carton (162x64x178)</v>
      </c>
      <c r="E47" s="766" t="str">
        <f ca="1">IF(ROWS($1:34)&gt;COUNT(Dong14),"",IF(OFFSET(TH!L$1,SMALL(Dong14,ROWS($1:34)),)="331",OFFSET(TH!M$1,SMALL(Dong14,ROWS($1:34)),),OFFSET(TH!L$1,SMALL(Dong14,ROWS($1:34)),)))</f>
        <v>131</v>
      </c>
      <c r="F47" s="767">
        <f ca="1">IF(ROWS($1:34)&gt;COUNT(Dong14),"",IF(OFFSET(TH!L$1,SMALL(Dong14,ROWS($1:34)),)="131",OFFSET(TH!K$1,SMALL(Dong14,ROWS($1:34)),),0))</f>
        <v>910800</v>
      </c>
      <c r="G47" s="767">
        <f ca="1">IF(ROWS($1:34)&gt;COUNT(Dong14),"",IF(OFFSET(TH!M$1,SMALL(Dong14,ROWS($1:34)),)="131",OFFSET(TH!K$1,SMALL(Dong14,ROWS($1:34)),),0))</f>
        <v>0</v>
      </c>
      <c r="H47" s="768">
        <f t="shared" ca="1" si="0"/>
        <v>5599500</v>
      </c>
      <c r="I47" s="768">
        <f t="shared" ca="1" si="1"/>
        <v>0</v>
      </c>
    </row>
    <row r="48" spans="1:9" s="3" customFormat="1" ht="18" customHeight="1">
      <c r="A48" s="764">
        <f ca="1">IF(ROWS($1:35)&gt;COUNT(Dong14),"",OFFSET(TH!C$1,SMALL(Dong14,ROWS($1:35)),))</f>
        <v>42703</v>
      </c>
      <c r="B48" s="764" t="str">
        <f ca="1">IF(ROWS($1:35)&gt;COUNT(Dong14),"",OFFSET(TH!D$1,SMALL(Dong14,ROWS($1:35)),))</f>
        <v>TP/X22</v>
      </c>
      <c r="C48" s="764">
        <f ca="1">IF(ROWS($1:35)&gt;COUNT(Dong14),"",OFFSET(TH!E$1,SMALL(Dong14,ROWS($1:35)),))</f>
        <v>42703</v>
      </c>
      <c r="D48" s="765" t="str">
        <f ca="1">IF(ROWS($1:35)&gt;COUNT(Dong14),"",OFFSET(TH!F$1,SMALL(Dong14,ROWS($1:35)),))</f>
        <v>VAT Thùng carton</v>
      </c>
      <c r="E48" s="766" t="str">
        <f ca="1">IF(ROWS($1:35)&gt;COUNT(Dong14),"",IF(OFFSET(TH!L$1,SMALL(Dong14,ROWS($1:35)),)="331",OFFSET(TH!M$1,SMALL(Dong14,ROWS($1:35)),),OFFSET(TH!L$1,SMALL(Dong14,ROWS($1:35)),)))</f>
        <v>131</v>
      </c>
      <c r="F48" s="767">
        <f ca="1">IF(ROWS($1:35)&gt;COUNT(Dong14),"",IF(OFFSET(TH!L$1,SMALL(Dong14,ROWS($1:35)),)="131",OFFSET(TH!K$1,SMALL(Dong14,ROWS($1:35)),),0))</f>
        <v>559950</v>
      </c>
      <c r="G48" s="767">
        <f ca="1">IF(ROWS($1:35)&gt;COUNT(Dong14),"",IF(OFFSET(TH!M$1,SMALL(Dong14,ROWS($1:35)),)="131",OFFSET(TH!K$1,SMALL(Dong14,ROWS($1:35)),),0))</f>
        <v>0</v>
      </c>
      <c r="H48" s="768">
        <f t="shared" ca="1" si="0"/>
        <v>6159450</v>
      </c>
      <c r="I48" s="768">
        <f t="shared" ca="1" si="1"/>
        <v>0</v>
      </c>
    </row>
    <row r="49" spans="1:9" s="3" customFormat="1" ht="18" customHeight="1">
      <c r="A49" s="764">
        <f ca="1">IF(ROWS($1:36)&gt;COUNT(Dong14),"",OFFSET(TH!C$1,SMALL(Dong14,ROWS($1:36)),))</f>
        <v>42703</v>
      </c>
      <c r="B49" s="764" t="str">
        <f ca="1">IF(ROWS($1:36)&gt;COUNT(Dong14),"",OFFSET(TH!D$1,SMALL(Dong14,ROWS($1:36)),))</f>
        <v>T20</v>
      </c>
      <c r="C49" s="764">
        <f ca="1">IF(ROWS($1:36)&gt;COUNT(Dong14),"",OFFSET(TH!E$1,SMALL(Dong14,ROWS($1:36)),))</f>
        <v>42703</v>
      </c>
      <c r="D49" s="765" t="str">
        <f ca="1">IF(ROWS($1:36)&gt;COUNT(Dong14),"",OFFSET(TH!F$1,SMALL(Dong14,ROWS($1:36)),))</f>
        <v>Thu tiền hàng</v>
      </c>
      <c r="E49" s="766" t="str">
        <f ca="1">IF(ROWS($1:36)&gt;COUNT(Dong14),"",IF(OFFSET(TH!L$1,SMALL(Dong14,ROWS($1:36)),)="331",OFFSET(TH!M$1,SMALL(Dong14,ROWS($1:36)),),OFFSET(TH!L$1,SMALL(Dong14,ROWS($1:36)),)))</f>
        <v>1111</v>
      </c>
      <c r="F49" s="767">
        <f ca="1">IF(ROWS($1:36)&gt;COUNT(Dong14),"",IF(OFFSET(TH!L$1,SMALL(Dong14,ROWS($1:36)),)="131",OFFSET(TH!K$1,SMALL(Dong14,ROWS($1:36)),),0))</f>
        <v>0</v>
      </c>
      <c r="G49" s="767">
        <f ca="1">IF(ROWS($1:36)&gt;COUNT(Dong14),"",IF(OFFSET(TH!M$1,SMALL(Dong14,ROWS($1:36)),)="131",OFFSET(TH!K$1,SMALL(Dong14,ROWS($1:36)),),0))</f>
        <v>6159450</v>
      </c>
      <c r="H49" s="768">
        <f t="shared" ca="1" si="0"/>
        <v>0</v>
      </c>
      <c r="I49" s="768">
        <f t="shared" ca="1" si="1"/>
        <v>0</v>
      </c>
    </row>
    <row r="50" spans="1:9" s="3" customFormat="1" ht="18" customHeight="1">
      <c r="A50" s="764">
        <f ca="1">IF(ROWS($1:37)&gt;COUNT(Dong14),"",OFFSET(TH!C$1,SMALL(Dong14,ROWS($1:37)),))</f>
        <v>42717</v>
      </c>
      <c r="B50" s="764" t="str">
        <f ca="1">IF(ROWS($1:37)&gt;COUNT(Dong14),"",OFFSET(TH!D$1,SMALL(Dong14,ROWS($1:37)),))</f>
        <v>TP/X37</v>
      </c>
      <c r="C50" s="764">
        <f ca="1">IF(ROWS($1:37)&gt;COUNT(Dong14),"",OFFSET(TH!E$1,SMALL(Dong14,ROWS($1:37)),))</f>
        <v>42717</v>
      </c>
      <c r="D50" s="765" t="str">
        <f ca="1">IF(ROWS($1:37)&gt;COUNT(Dong14),"",OFFSET(TH!F$1,SMALL(Dong14,ROWS($1:37)),))</f>
        <v>Thùng carton (103x50x180)</v>
      </c>
      <c r="E50" s="766" t="str">
        <f ca="1">IF(ROWS($1:37)&gt;COUNT(Dong14),"",IF(OFFSET(TH!L$1,SMALL(Dong14,ROWS($1:37)),)="331",OFFSET(TH!M$1,SMALL(Dong14,ROWS($1:37)),),OFFSET(TH!L$1,SMALL(Dong14,ROWS($1:37)),)))</f>
        <v>131</v>
      </c>
      <c r="F50" s="767">
        <f ca="1">IF(ROWS($1:37)&gt;COUNT(Dong14),"",IF(OFFSET(TH!L$1,SMALL(Dong14,ROWS($1:37)),)="131",OFFSET(TH!K$1,SMALL(Dong14,ROWS($1:37)),),0))</f>
        <v>2846940</v>
      </c>
      <c r="G50" s="767">
        <f ca="1">IF(ROWS($1:37)&gt;COUNT(Dong14),"",IF(OFFSET(TH!M$1,SMALL(Dong14,ROWS($1:37)),)="131",OFFSET(TH!K$1,SMALL(Dong14,ROWS($1:37)),),0))</f>
        <v>0</v>
      </c>
      <c r="H50" s="768">
        <f t="shared" ca="1" si="0"/>
        <v>2846940</v>
      </c>
      <c r="I50" s="768">
        <f t="shared" ca="1" si="1"/>
        <v>0</v>
      </c>
    </row>
    <row r="51" spans="1:9" s="3" customFormat="1" ht="18" customHeight="1">
      <c r="A51" s="764">
        <f ca="1">IF(ROWS($1:38)&gt;COUNT(Dong14),"",OFFSET(TH!C$1,SMALL(Dong14,ROWS($1:38)),))</f>
        <v>42717</v>
      </c>
      <c r="B51" s="764" t="str">
        <f ca="1">IF(ROWS($1:38)&gt;COUNT(Dong14),"",OFFSET(TH!D$1,SMALL(Dong14,ROWS($1:38)),))</f>
        <v>TP/X37</v>
      </c>
      <c r="C51" s="764">
        <f ca="1">IF(ROWS($1:38)&gt;COUNT(Dong14),"",OFFSET(TH!E$1,SMALL(Dong14,ROWS($1:38)),))</f>
        <v>42717</v>
      </c>
      <c r="D51" s="765" t="str">
        <f ca="1">IF(ROWS($1:38)&gt;COUNT(Dong14),"",OFFSET(TH!F$1,SMALL(Dong14,ROWS($1:38)),))</f>
        <v>Thùng carton (122x54x180)</v>
      </c>
      <c r="E51" s="766" t="str">
        <f ca="1">IF(ROWS($1:38)&gt;COUNT(Dong14),"",IF(OFFSET(TH!L$1,SMALL(Dong14,ROWS($1:38)),)="331",OFFSET(TH!M$1,SMALL(Dong14,ROWS($1:38)),),OFFSET(TH!L$1,SMALL(Dong14,ROWS($1:38)),)))</f>
        <v>131</v>
      </c>
      <c r="F51" s="767">
        <f ca="1">IF(ROWS($1:38)&gt;COUNT(Dong14),"",IF(OFFSET(TH!L$1,SMALL(Dong14,ROWS($1:38)),)="131",OFFSET(TH!K$1,SMALL(Dong14,ROWS($1:38)),),0))</f>
        <v>1199660</v>
      </c>
      <c r="G51" s="767">
        <f ca="1">IF(ROWS($1:38)&gt;COUNT(Dong14),"",IF(OFFSET(TH!M$1,SMALL(Dong14,ROWS($1:38)),)="131",OFFSET(TH!K$1,SMALL(Dong14,ROWS($1:38)),),0))</f>
        <v>0</v>
      </c>
      <c r="H51" s="768">
        <f t="shared" ca="1" si="0"/>
        <v>4046600</v>
      </c>
      <c r="I51" s="768">
        <f t="shared" ca="1" si="1"/>
        <v>0</v>
      </c>
    </row>
    <row r="52" spans="1:9" s="3" customFormat="1" ht="18" customHeight="1">
      <c r="A52" s="764">
        <f ca="1">IF(ROWS($1:39)&gt;COUNT(Dong14),"",OFFSET(TH!C$1,SMALL(Dong14,ROWS($1:39)),))</f>
        <v>42717</v>
      </c>
      <c r="B52" s="764" t="str">
        <f ca="1">IF(ROWS($1:39)&gt;COUNT(Dong14),"",OFFSET(TH!D$1,SMALL(Dong14,ROWS($1:39)),))</f>
        <v>TP/X37</v>
      </c>
      <c r="C52" s="764">
        <f ca="1">IF(ROWS($1:39)&gt;COUNT(Dong14),"",OFFSET(TH!E$1,SMALL(Dong14,ROWS($1:39)),))</f>
        <v>42717</v>
      </c>
      <c r="D52" s="765" t="str">
        <f ca="1">IF(ROWS($1:39)&gt;COUNT(Dong14),"",OFFSET(TH!F$1,SMALL(Dong14,ROWS($1:39)),))</f>
        <v>VAT Thùng carton</v>
      </c>
      <c r="E52" s="766" t="str">
        <f ca="1">IF(ROWS($1:39)&gt;COUNT(Dong14),"",IF(OFFSET(TH!L$1,SMALL(Dong14,ROWS($1:39)),)="331",OFFSET(TH!M$1,SMALL(Dong14,ROWS($1:39)),),OFFSET(TH!L$1,SMALL(Dong14,ROWS($1:39)),)))</f>
        <v>131</v>
      </c>
      <c r="F52" s="767">
        <f ca="1">IF(ROWS($1:39)&gt;COUNT(Dong14),"",IF(OFFSET(TH!L$1,SMALL(Dong14,ROWS($1:39)),)="131",OFFSET(TH!K$1,SMALL(Dong14,ROWS($1:39)),),0))</f>
        <v>404660</v>
      </c>
      <c r="G52" s="767">
        <f ca="1">IF(ROWS($1:39)&gt;COUNT(Dong14),"",IF(OFFSET(TH!M$1,SMALL(Dong14,ROWS($1:39)),)="131",OFFSET(TH!K$1,SMALL(Dong14,ROWS($1:39)),),0))</f>
        <v>0</v>
      </c>
      <c r="H52" s="768">
        <f t="shared" ca="1" si="0"/>
        <v>4451260</v>
      </c>
      <c r="I52" s="768">
        <f t="shared" ca="1" si="1"/>
        <v>0</v>
      </c>
    </row>
    <row r="53" spans="1:9" s="3" customFormat="1" ht="18" customHeight="1">
      <c r="A53" s="764">
        <f ca="1">IF(ROWS($1:40)&gt;COUNT(Dong14),"",OFFSET(TH!C$1,SMALL(Dong14,ROWS($1:40)),))</f>
        <v>42717</v>
      </c>
      <c r="B53" s="764" t="str">
        <f ca="1">IF(ROWS($1:40)&gt;COUNT(Dong14),"",OFFSET(TH!D$1,SMALL(Dong14,ROWS($1:40)),))</f>
        <v>T32</v>
      </c>
      <c r="C53" s="764">
        <f ca="1">IF(ROWS($1:40)&gt;COUNT(Dong14),"",OFFSET(TH!E$1,SMALL(Dong14,ROWS($1:40)),))</f>
        <v>42717</v>
      </c>
      <c r="D53" s="765" t="str">
        <f ca="1">IF(ROWS($1:40)&gt;COUNT(Dong14),"",OFFSET(TH!F$1,SMALL(Dong14,ROWS($1:40)),))</f>
        <v>Thu tiền hàng</v>
      </c>
      <c r="E53" s="766" t="str">
        <f ca="1">IF(ROWS($1:40)&gt;COUNT(Dong14),"",IF(OFFSET(TH!L$1,SMALL(Dong14,ROWS($1:40)),)="331",OFFSET(TH!M$1,SMALL(Dong14,ROWS($1:40)),),OFFSET(TH!L$1,SMALL(Dong14,ROWS($1:40)),)))</f>
        <v>1111</v>
      </c>
      <c r="F53" s="767">
        <f ca="1">IF(ROWS($1:40)&gt;COUNT(Dong14),"",IF(OFFSET(TH!L$1,SMALL(Dong14,ROWS($1:40)),)="131",OFFSET(TH!K$1,SMALL(Dong14,ROWS($1:40)),),0))</f>
        <v>0</v>
      </c>
      <c r="G53" s="767">
        <f ca="1">IF(ROWS($1:40)&gt;COUNT(Dong14),"",IF(OFFSET(TH!M$1,SMALL(Dong14,ROWS($1:40)),)="131",OFFSET(TH!K$1,SMALL(Dong14,ROWS($1:40)),),0))</f>
        <v>4451260</v>
      </c>
      <c r="H53" s="768">
        <f t="shared" ca="1" si="0"/>
        <v>0</v>
      </c>
      <c r="I53" s="768">
        <f t="shared" ca="1" si="1"/>
        <v>0</v>
      </c>
    </row>
    <row r="54" spans="1:9" s="3" customFormat="1" ht="18" customHeight="1">
      <c r="A54" s="764">
        <f ca="1">IF(ROWS($1:41)&gt;COUNT(Dong14),"",OFFSET(TH!C$1,SMALL(Dong14,ROWS($1:41)),))</f>
        <v>42726</v>
      </c>
      <c r="B54" s="764" t="str">
        <f ca="1">IF(ROWS($1:41)&gt;COUNT(Dong14),"",OFFSET(TH!D$1,SMALL(Dong14,ROWS($1:41)),))</f>
        <v>TP/X57</v>
      </c>
      <c r="C54" s="764">
        <f ca="1">IF(ROWS($1:41)&gt;COUNT(Dong14),"",OFFSET(TH!E$1,SMALL(Dong14,ROWS($1:41)),))</f>
        <v>42726</v>
      </c>
      <c r="D54" s="765" t="str">
        <f ca="1">IF(ROWS($1:41)&gt;COUNT(Dong14),"",OFFSET(TH!F$1,SMALL(Dong14,ROWS($1:41)),))</f>
        <v>Thùng carton (103x50x180)</v>
      </c>
      <c r="E54" s="766" t="str">
        <f ca="1">IF(ROWS($1:41)&gt;COUNT(Dong14),"",IF(OFFSET(TH!L$1,SMALL(Dong14,ROWS($1:41)),)="331",OFFSET(TH!M$1,SMALL(Dong14,ROWS($1:41)),),OFFSET(TH!L$1,SMALL(Dong14,ROWS($1:41)),)))</f>
        <v>131</v>
      </c>
      <c r="F54" s="767">
        <f ca="1">IF(ROWS($1:41)&gt;COUNT(Dong14),"",IF(OFFSET(TH!L$1,SMALL(Dong14,ROWS($1:41)),)="131",OFFSET(TH!K$1,SMALL(Dong14,ROWS($1:41)),),0))</f>
        <v>13665312</v>
      </c>
      <c r="G54" s="767">
        <f ca="1">IF(ROWS($1:41)&gt;COUNT(Dong14),"",IF(OFFSET(TH!M$1,SMALL(Dong14,ROWS($1:41)),)="131",OFFSET(TH!K$1,SMALL(Dong14,ROWS($1:41)),),0))</f>
        <v>0</v>
      </c>
      <c r="H54" s="768">
        <f t="shared" ca="1" si="0"/>
        <v>13665312</v>
      </c>
      <c r="I54" s="768">
        <f t="shared" ca="1" si="1"/>
        <v>0</v>
      </c>
    </row>
    <row r="55" spans="1:9" s="3" customFormat="1" ht="18" customHeight="1">
      <c r="A55" s="764">
        <f ca="1">IF(ROWS($1:42)&gt;COUNT(Dong14),"",OFFSET(TH!C$1,SMALL(Dong14,ROWS($1:42)),))</f>
        <v>42726</v>
      </c>
      <c r="B55" s="764" t="str">
        <f ca="1">IF(ROWS($1:42)&gt;COUNT(Dong14),"",OFFSET(TH!D$1,SMALL(Dong14,ROWS($1:42)),))</f>
        <v>TP/X57</v>
      </c>
      <c r="C55" s="764">
        <f ca="1">IF(ROWS($1:42)&gt;COUNT(Dong14),"",OFFSET(TH!E$1,SMALL(Dong14,ROWS($1:42)),))</f>
        <v>42726</v>
      </c>
      <c r="D55" s="765" t="str">
        <f ca="1">IF(ROWS($1:42)&gt;COUNT(Dong14),"",OFFSET(TH!F$1,SMALL(Dong14,ROWS($1:42)),))</f>
        <v>Thùng carton (76x54x140)</v>
      </c>
      <c r="E55" s="766" t="str">
        <f ca="1">IF(ROWS($1:42)&gt;COUNT(Dong14),"",IF(OFFSET(TH!L$1,SMALL(Dong14,ROWS($1:42)),)="331",OFFSET(TH!M$1,SMALL(Dong14,ROWS($1:42)),),OFFSET(TH!L$1,SMALL(Dong14,ROWS($1:42)),)))</f>
        <v>131</v>
      </c>
      <c r="F55" s="767">
        <f ca="1">IF(ROWS($1:42)&gt;COUNT(Dong14),"",IF(OFFSET(TH!L$1,SMALL(Dong14,ROWS($1:42)),)="131",OFFSET(TH!K$1,SMALL(Dong14,ROWS($1:42)),),0))</f>
        <v>840000</v>
      </c>
      <c r="G55" s="767">
        <f ca="1">IF(ROWS($1:42)&gt;COUNT(Dong14),"",IF(OFFSET(TH!M$1,SMALL(Dong14,ROWS($1:42)),)="131",OFFSET(TH!K$1,SMALL(Dong14,ROWS($1:42)),),0))</f>
        <v>0</v>
      </c>
      <c r="H55" s="768">
        <f t="shared" ca="1" si="0"/>
        <v>14505312</v>
      </c>
      <c r="I55" s="768">
        <f t="shared" ca="1" si="1"/>
        <v>0</v>
      </c>
    </row>
    <row r="56" spans="1:9" s="3" customFormat="1" ht="18" customHeight="1">
      <c r="A56" s="764">
        <f ca="1">IF(ROWS($1:43)&gt;COUNT(Dong14),"",OFFSET(TH!C$1,SMALL(Dong14,ROWS($1:43)),))</f>
        <v>42726</v>
      </c>
      <c r="B56" s="764" t="str">
        <f ca="1">IF(ROWS($1:43)&gt;COUNT(Dong14),"",OFFSET(TH!D$1,SMALL(Dong14,ROWS($1:43)),))</f>
        <v>TP/X57</v>
      </c>
      <c r="C56" s="764">
        <f ca="1">IF(ROWS($1:43)&gt;COUNT(Dong14),"",OFFSET(TH!E$1,SMALL(Dong14,ROWS($1:43)),))</f>
        <v>42726</v>
      </c>
      <c r="D56" s="765" t="str">
        <f ca="1">IF(ROWS($1:43)&gt;COUNT(Dong14),"",OFFSET(TH!F$1,SMALL(Dong14,ROWS($1:43)),))</f>
        <v>VAT Thùng carton</v>
      </c>
      <c r="E56" s="766" t="str">
        <f ca="1">IF(ROWS($1:43)&gt;COUNT(Dong14),"",IF(OFFSET(TH!L$1,SMALL(Dong14,ROWS($1:43)),)="331",OFFSET(TH!M$1,SMALL(Dong14,ROWS($1:43)),),OFFSET(TH!L$1,SMALL(Dong14,ROWS($1:43)),)))</f>
        <v>131</v>
      </c>
      <c r="F56" s="767">
        <f ca="1">IF(ROWS($1:43)&gt;COUNT(Dong14),"",IF(OFFSET(TH!L$1,SMALL(Dong14,ROWS($1:43)),)="131",OFFSET(TH!K$1,SMALL(Dong14,ROWS($1:43)),),0))</f>
        <v>1450531</v>
      </c>
      <c r="G56" s="767">
        <f ca="1">IF(ROWS($1:43)&gt;COUNT(Dong14),"",IF(OFFSET(TH!M$1,SMALL(Dong14,ROWS($1:43)),)="131",OFFSET(TH!K$1,SMALL(Dong14,ROWS($1:43)),),0))</f>
        <v>0</v>
      </c>
      <c r="H56" s="768">
        <f t="shared" ca="1" si="0"/>
        <v>15955843</v>
      </c>
      <c r="I56" s="768">
        <f t="shared" ca="1" si="1"/>
        <v>0</v>
      </c>
    </row>
    <row r="57" spans="1:9" s="3" customFormat="1" ht="18" customHeight="1">
      <c r="A57" s="764" t="str">
        <f ca="1">IF(ROWS($1:44)&gt;COUNT(Dong14),"",OFFSET(TH!C$1,SMALL(Dong14,ROWS($1:44)),))</f>
        <v/>
      </c>
      <c r="B57" s="764" t="str">
        <f ca="1">IF(ROWS($1:44)&gt;COUNT(Dong14),"",OFFSET(TH!D$1,SMALL(Dong14,ROWS($1:44)),))</f>
        <v/>
      </c>
      <c r="C57" s="764" t="str">
        <f ca="1">IF(ROWS($1:44)&gt;COUNT(Dong14),"",OFFSET(TH!E$1,SMALL(Dong14,ROWS($1:44)),))</f>
        <v/>
      </c>
      <c r="D57" s="765" t="str">
        <f ca="1">IF(ROWS($1:44)&gt;COUNT(Dong14),"",OFFSET(TH!F$1,SMALL(Dong14,ROWS($1:44)),))</f>
        <v/>
      </c>
      <c r="E57" s="766" t="str">
        <f ca="1">IF(ROWS($1:44)&gt;COUNT(Dong14),"",IF(OFFSET(TH!L$1,SMALL(Dong14,ROWS($1:44)),)="331",OFFSET(TH!M$1,SMALL(Dong14,ROWS($1:44)),),OFFSET(TH!L$1,SMALL(Dong14,ROWS($1:44)),)))</f>
        <v/>
      </c>
      <c r="F57" s="767" t="str">
        <f ca="1">IF(ROWS($1:44)&gt;COUNT(Dong14),"",IF(OFFSET(TH!L$1,SMALL(Dong14,ROWS($1:44)),)="131",OFFSET(TH!K$1,SMALL(Dong14,ROWS($1:44)),),0))</f>
        <v/>
      </c>
      <c r="G57" s="767" t="str">
        <f ca="1">IF(ROWS($1:44)&gt;COUNT(Dong14),"",IF(OFFSET(TH!M$1,SMALL(Dong14,ROWS($1:44)),)="131",OFFSET(TH!K$1,SMALL(Dong14,ROWS($1:44)),),0))</f>
        <v/>
      </c>
      <c r="H57" s="768">
        <f t="shared" ca="1" si="0"/>
        <v>0</v>
      </c>
      <c r="I57" s="768">
        <f t="shared" ca="1" si="1"/>
        <v>0</v>
      </c>
    </row>
    <row r="58" spans="1:9" s="3" customFormat="1" ht="18" customHeight="1">
      <c r="A58" s="764" t="str">
        <f ca="1">IF(ROWS($1:45)&gt;COUNT(Dong14),"",OFFSET(TH!C$1,SMALL(Dong14,ROWS($1:45)),))</f>
        <v/>
      </c>
      <c r="B58" s="764" t="str">
        <f ca="1">IF(ROWS($1:45)&gt;COUNT(Dong14),"",OFFSET(TH!D$1,SMALL(Dong14,ROWS($1:45)),))</f>
        <v/>
      </c>
      <c r="C58" s="764" t="str">
        <f ca="1">IF(ROWS($1:45)&gt;COUNT(Dong14),"",OFFSET(TH!E$1,SMALL(Dong14,ROWS($1:45)),))</f>
        <v/>
      </c>
      <c r="D58" s="765" t="str">
        <f ca="1">IF(ROWS($1:45)&gt;COUNT(Dong14),"",OFFSET(TH!F$1,SMALL(Dong14,ROWS($1:45)),))</f>
        <v/>
      </c>
      <c r="E58" s="766" t="str">
        <f ca="1">IF(ROWS($1:45)&gt;COUNT(Dong14),"",IF(OFFSET(TH!L$1,SMALL(Dong14,ROWS($1:45)),)="331",OFFSET(TH!M$1,SMALL(Dong14,ROWS($1:45)),),OFFSET(TH!L$1,SMALL(Dong14,ROWS($1:45)),)))</f>
        <v/>
      </c>
      <c r="F58" s="767" t="str">
        <f ca="1">IF(ROWS($1:45)&gt;COUNT(Dong14),"",IF(OFFSET(TH!L$1,SMALL(Dong14,ROWS($1:45)),)="131",OFFSET(TH!K$1,SMALL(Dong14,ROWS($1:45)),),0))</f>
        <v/>
      </c>
      <c r="G58" s="767" t="str">
        <f ca="1">IF(ROWS($1:45)&gt;COUNT(Dong14),"",IF(OFFSET(TH!M$1,SMALL(Dong14,ROWS($1:45)),)="131",OFFSET(TH!K$1,SMALL(Dong14,ROWS($1:45)),),0))</f>
        <v/>
      </c>
      <c r="H58" s="768">
        <f t="shared" ca="1" si="0"/>
        <v>0</v>
      </c>
      <c r="I58" s="768">
        <f t="shared" ca="1" si="1"/>
        <v>0</v>
      </c>
    </row>
    <row r="59" spans="1:9" s="3" customFormat="1" ht="18" customHeight="1">
      <c r="A59" s="764" t="str">
        <f ca="1">IF(ROWS($1:46)&gt;COUNT(Dong14),"",OFFSET(TH!C$1,SMALL(Dong14,ROWS($1:46)),))</f>
        <v/>
      </c>
      <c r="B59" s="764" t="str">
        <f ca="1">IF(ROWS($1:46)&gt;COUNT(Dong14),"",OFFSET(TH!D$1,SMALL(Dong14,ROWS($1:46)),))</f>
        <v/>
      </c>
      <c r="C59" s="764" t="str">
        <f ca="1">IF(ROWS($1:46)&gt;COUNT(Dong14),"",OFFSET(TH!E$1,SMALL(Dong14,ROWS($1:46)),))</f>
        <v/>
      </c>
      <c r="D59" s="765" t="str">
        <f ca="1">IF(ROWS($1:46)&gt;COUNT(Dong14),"",OFFSET(TH!F$1,SMALL(Dong14,ROWS($1:46)),))</f>
        <v/>
      </c>
      <c r="E59" s="766" t="str">
        <f ca="1">IF(ROWS($1:46)&gt;COUNT(Dong14),"",IF(OFFSET(TH!L$1,SMALL(Dong14,ROWS($1:46)),)="331",OFFSET(TH!M$1,SMALL(Dong14,ROWS($1:46)),),OFFSET(TH!L$1,SMALL(Dong14,ROWS($1:46)),)))</f>
        <v/>
      </c>
      <c r="F59" s="767" t="str">
        <f ca="1">IF(ROWS($1:46)&gt;COUNT(Dong14),"",IF(OFFSET(TH!L$1,SMALL(Dong14,ROWS($1:46)),)="131",OFFSET(TH!K$1,SMALL(Dong14,ROWS($1:46)),),0))</f>
        <v/>
      </c>
      <c r="G59" s="767" t="str">
        <f ca="1">IF(ROWS($1:46)&gt;COUNT(Dong14),"",IF(OFFSET(TH!M$1,SMALL(Dong14,ROWS($1:46)),)="131",OFFSET(TH!K$1,SMALL(Dong14,ROWS($1:46)),),0))</f>
        <v/>
      </c>
      <c r="H59" s="768">
        <f t="shared" ca="1" si="0"/>
        <v>0</v>
      </c>
      <c r="I59" s="768">
        <f t="shared" ca="1" si="1"/>
        <v>0</v>
      </c>
    </row>
    <row r="60" spans="1:9" s="3" customFormat="1" ht="18" customHeight="1">
      <c r="A60" s="764" t="str">
        <f ca="1">IF(ROWS($1:47)&gt;COUNT(Dong14),"",OFFSET(TH!C$1,SMALL(Dong14,ROWS($1:47)),))</f>
        <v/>
      </c>
      <c r="B60" s="764" t="str">
        <f ca="1">IF(ROWS($1:47)&gt;COUNT(Dong14),"",OFFSET(TH!D$1,SMALL(Dong14,ROWS($1:47)),))</f>
        <v/>
      </c>
      <c r="C60" s="764" t="str">
        <f ca="1">IF(ROWS($1:47)&gt;COUNT(Dong14),"",OFFSET(TH!E$1,SMALL(Dong14,ROWS($1:47)),))</f>
        <v/>
      </c>
      <c r="D60" s="765" t="str">
        <f ca="1">IF(ROWS($1:47)&gt;COUNT(Dong14),"",OFFSET(TH!F$1,SMALL(Dong14,ROWS($1:47)),))</f>
        <v/>
      </c>
      <c r="E60" s="766" t="str">
        <f ca="1">IF(ROWS($1:47)&gt;COUNT(Dong14),"",IF(OFFSET(TH!L$1,SMALL(Dong14,ROWS($1:47)),)="331",OFFSET(TH!M$1,SMALL(Dong14,ROWS($1:47)),),OFFSET(TH!L$1,SMALL(Dong14,ROWS($1:47)),)))</f>
        <v/>
      </c>
      <c r="F60" s="767" t="str">
        <f ca="1">IF(ROWS($1:47)&gt;COUNT(Dong14),"",IF(OFFSET(TH!L$1,SMALL(Dong14,ROWS($1:47)),)="131",OFFSET(TH!K$1,SMALL(Dong14,ROWS($1:47)),),0))</f>
        <v/>
      </c>
      <c r="G60" s="767" t="str">
        <f ca="1">IF(ROWS($1:47)&gt;COUNT(Dong14),"",IF(OFFSET(TH!M$1,SMALL(Dong14,ROWS($1:47)),)="131",OFFSET(TH!K$1,SMALL(Dong14,ROWS($1:47)),),0))</f>
        <v/>
      </c>
      <c r="H60" s="768">
        <f t="shared" ca="1" si="0"/>
        <v>0</v>
      </c>
      <c r="I60" s="768">
        <f t="shared" ca="1" si="1"/>
        <v>0</v>
      </c>
    </row>
    <row r="61" spans="1:9" s="3" customFormat="1" ht="18" customHeight="1">
      <c r="A61" s="764"/>
      <c r="B61" s="764"/>
      <c r="C61" s="764"/>
      <c r="D61" s="765"/>
      <c r="E61" s="766"/>
      <c r="F61" s="767"/>
      <c r="G61" s="767"/>
      <c r="H61" s="768"/>
      <c r="I61" s="768"/>
    </row>
    <row r="62" spans="1:9" s="3" customFormat="1" ht="18" customHeight="1">
      <c r="A62" s="763"/>
      <c r="B62" s="681"/>
      <c r="C62" s="769"/>
      <c r="D62" s="762" t="s">
        <v>32</v>
      </c>
      <c r="E62" s="681" t="s">
        <v>19</v>
      </c>
      <c r="F62" s="770">
        <f ca="1">SUM(F14:F61)</f>
        <v>81035035</v>
      </c>
      <c r="G62" s="770">
        <f ca="1">SUM(G14:G61)</f>
        <v>65079192</v>
      </c>
      <c r="H62" s="770" t="s">
        <v>19</v>
      </c>
      <c r="I62" s="770" t="s">
        <v>19</v>
      </c>
    </row>
    <row r="63" spans="1:9" s="3" customFormat="1" ht="18" customHeight="1">
      <c r="A63" s="763"/>
      <c r="B63" s="681"/>
      <c r="C63" s="681"/>
      <c r="D63" s="762" t="s">
        <v>10</v>
      </c>
      <c r="E63" s="681" t="s">
        <v>19</v>
      </c>
      <c r="F63" s="770" t="s">
        <v>19</v>
      </c>
      <c r="G63" s="770" t="s">
        <v>19</v>
      </c>
      <c r="H63" s="770">
        <f ca="1">MAX(H13+F62-G62-I13,0)</f>
        <v>15955843</v>
      </c>
      <c r="I63" s="770">
        <f ca="1">MAX(I13+G62-F62-H13,0)</f>
        <v>0</v>
      </c>
    </row>
    <row r="64" spans="1:9" s="3" customFormat="1" ht="6" customHeight="1">
      <c r="B64" s="664"/>
      <c r="C64" s="664"/>
      <c r="E64" s="664"/>
    </row>
    <row r="65" spans="1:9" s="3" customFormat="1" ht="14.25" customHeight="1">
      <c r="A65" s="771" t="s">
        <v>147</v>
      </c>
      <c r="B65" s="664"/>
      <c r="C65" s="664"/>
      <c r="E65" s="664"/>
    </row>
    <row r="66" spans="1:9" s="3" customFormat="1" ht="14.25" customHeight="1">
      <c r="A66" s="771" t="str">
        <f ca="1">"- Ngày mở sổ: "&amp;DAY($A$14)&amp;"/"&amp;MONTH($A$14)&amp;"/ " &amp;YEAR($A$14)</f>
        <v>- Ngày mở sổ: 15/7/ 2016</v>
      </c>
      <c r="B66" s="664"/>
      <c r="C66" s="664"/>
      <c r="E66" s="664"/>
    </row>
    <row r="67" spans="1:9" s="3" customFormat="1" ht="14.25" customHeight="1">
      <c r="B67" s="664"/>
      <c r="C67" s="664"/>
      <c r="E67" s="863" t="str">
        <f ca="1">"Ngày 31 tháng  12  năm  "&amp;YEAR($A$14)</f>
        <v>Ngày 31 tháng  12  năm  2016</v>
      </c>
      <c r="F67" s="863"/>
      <c r="G67" s="863"/>
      <c r="H67" s="863"/>
      <c r="I67" s="863"/>
    </row>
    <row r="68" spans="1:9" s="3" customFormat="1" ht="14.25" customHeight="1">
      <c r="C68" s="664" t="s">
        <v>11</v>
      </c>
      <c r="E68" s="863" t="s">
        <v>12</v>
      </c>
      <c r="F68" s="863"/>
      <c r="G68" s="863"/>
      <c r="H68" s="863"/>
      <c r="I68" s="863"/>
    </row>
    <row r="69" spans="1:9" s="3" customFormat="1" ht="14.25" customHeight="1">
      <c r="C69" s="664" t="s">
        <v>13</v>
      </c>
      <c r="E69" s="863" t="s">
        <v>13</v>
      </c>
      <c r="F69" s="863"/>
      <c r="G69" s="863"/>
      <c r="H69" s="863"/>
      <c r="I69" s="863"/>
    </row>
  </sheetData>
  <autoFilter ref="A12:I25"/>
  <mergeCells count="14">
    <mergeCell ref="E67:I67"/>
    <mergeCell ref="E68:I68"/>
    <mergeCell ref="E69:I69"/>
    <mergeCell ref="A10:A11"/>
    <mergeCell ref="B10:C10"/>
    <mergeCell ref="D10:D11"/>
    <mergeCell ref="E10:E11"/>
    <mergeCell ref="F10:G10"/>
    <mergeCell ref="H10:I10"/>
    <mergeCell ref="G1:I1"/>
    <mergeCell ref="G2:I3"/>
    <mergeCell ref="A4:I4"/>
    <mergeCell ref="C9:I9"/>
    <mergeCell ref="E7:H7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0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18" sqref="B18"/>
    </sheetView>
  </sheetViews>
  <sheetFormatPr defaultColWidth="8" defaultRowHeight="16.5"/>
  <cols>
    <col min="1" max="1" width="4.7109375" style="744" customWidth="1"/>
    <col min="2" max="2" width="43.42578125" style="744" customWidth="1"/>
    <col min="3" max="4" width="9" style="744" customWidth="1"/>
    <col min="5" max="6" width="16.42578125" style="744" customWidth="1"/>
    <col min="7" max="7" width="9.28515625" style="744" customWidth="1"/>
    <col min="8" max="8" width="16.42578125" style="744" customWidth="1"/>
    <col min="9" max="16384" width="8" style="744"/>
  </cols>
  <sheetData>
    <row r="1" spans="1:9">
      <c r="A1" s="387" t="str">
        <f>TH!$A$1</f>
        <v>Đơn vị: CÔNG TY TNHH BAO BÌ GIẤY KIM DUNG PHÁT</v>
      </c>
    </row>
    <row r="2" spans="1:9">
      <c r="A2" s="416" t="str">
        <f>TH!$A$2</f>
        <v>Địa chỉ: Ấp Rừng Sến, xã Mỹ Hạnh Bắc, Huyện Đức Hòa, Tỉnh Long An, Việt Nam</v>
      </c>
    </row>
    <row r="3" spans="1:9" ht="27" customHeight="1">
      <c r="A3" s="891" t="s">
        <v>98</v>
      </c>
      <c r="B3" s="891"/>
      <c r="C3" s="891"/>
      <c r="D3" s="891"/>
      <c r="E3" s="891"/>
      <c r="F3" s="891"/>
      <c r="G3" s="891"/>
      <c r="H3" s="891"/>
    </row>
    <row r="4" spans="1:9" s="745" customFormat="1" ht="23.25" customHeight="1">
      <c r="A4" s="892" t="s">
        <v>34</v>
      </c>
      <c r="B4" s="894" t="s">
        <v>35</v>
      </c>
      <c r="C4" s="896" t="s">
        <v>36</v>
      </c>
      <c r="D4" s="897"/>
      <c r="E4" s="896" t="s">
        <v>37</v>
      </c>
      <c r="F4" s="897"/>
      <c r="G4" s="896" t="s">
        <v>40</v>
      </c>
      <c r="H4" s="897"/>
    </row>
    <row r="5" spans="1:9" s="745" customFormat="1" ht="23.25" customHeight="1">
      <c r="A5" s="893"/>
      <c r="B5" s="895"/>
      <c r="C5" s="746" t="s">
        <v>41</v>
      </c>
      <c r="D5" s="746" t="s">
        <v>42</v>
      </c>
      <c r="E5" s="746" t="s">
        <v>41</v>
      </c>
      <c r="F5" s="746" t="s">
        <v>42</v>
      </c>
      <c r="G5" s="746" t="s">
        <v>41</v>
      </c>
      <c r="H5" s="746" t="s">
        <v>42</v>
      </c>
    </row>
    <row r="6" spans="1:9" s="745" customFormat="1" ht="23.25" customHeight="1">
      <c r="A6" s="747">
        <f>IF(B6&lt;&gt;"",ROW()-5,"")</f>
        <v>1</v>
      </c>
      <c r="B6" s="748" t="s">
        <v>398</v>
      </c>
      <c r="C6" s="749"/>
      <c r="D6" s="749"/>
      <c r="E6" s="749">
        <f t="array" ref="E6">SUM(IF("331"&amp;B6=KHN&amp;KH,TH))</f>
        <v>95500000</v>
      </c>
      <c r="F6" s="749">
        <f t="array" ref="F6">SUM(IF("331"&amp;B6=KHC&amp;KH,TH))</f>
        <v>377864740</v>
      </c>
      <c r="G6" s="750">
        <f t="shared" ref="G6:G10" si="0">ROUND(MAX(C6+E6-D6-F6,0),2)</f>
        <v>0</v>
      </c>
      <c r="H6" s="750">
        <f t="shared" ref="H6:H10" si="1">ROUND(MAX(D6+F6-C6-E6,0),2)</f>
        <v>282364740</v>
      </c>
      <c r="I6" s="745" t="str">
        <f>IF(ISNA(VLOOKUP(B6,[2]!DSKH,1,0)),"","x")</f>
        <v/>
      </c>
    </row>
    <row r="7" spans="1:9" s="745" customFormat="1" ht="23.25" customHeight="1">
      <c r="A7" s="747">
        <f t="shared" ref="A7:A13" si="2">IF(B7&lt;&gt;"",ROW()-5,"")</f>
        <v>2</v>
      </c>
      <c r="B7" s="748" t="s">
        <v>399</v>
      </c>
      <c r="C7" s="749"/>
      <c r="D7" s="749"/>
      <c r="E7" s="749">
        <f t="array" ref="E7">SUM(IF("331"&amp;B7=KHN&amp;KH,TH))</f>
        <v>341000000</v>
      </c>
      <c r="F7" s="749">
        <f t="array" ref="F7">SUM(IF("331"&amp;B7=KHC&amp;KH,TH))</f>
        <v>674384700</v>
      </c>
      <c r="G7" s="750">
        <f t="shared" si="0"/>
        <v>0</v>
      </c>
      <c r="H7" s="750">
        <f t="shared" si="1"/>
        <v>333384700</v>
      </c>
      <c r="I7" s="745" t="str">
        <f>IF(ISNA(VLOOKUP(B7,[2]!DSKH,1,0)),"","x")</f>
        <v/>
      </c>
    </row>
    <row r="8" spans="1:9" s="745" customFormat="1" ht="23.25" customHeight="1">
      <c r="A8" s="747">
        <f>IF(B8&lt;&gt;"",ROW()-5,"")</f>
        <v>3</v>
      </c>
      <c r="B8" s="752" t="s">
        <v>881</v>
      </c>
      <c r="C8" s="749"/>
      <c r="D8" s="749"/>
      <c r="E8" s="749">
        <f t="array" ref="E8">SUM(IF("331"&amp;B8=KHN&amp;KH,TH))</f>
        <v>0</v>
      </c>
      <c r="F8" s="749">
        <f t="array" ref="F8">SUM(IF("331"&amp;B8=KHC&amp;KH,TH))</f>
        <v>514668000</v>
      </c>
      <c r="G8" s="750">
        <f>ROUND(MAX(C8+E8-D8-F8,0),2)</f>
        <v>0</v>
      </c>
      <c r="H8" s="750">
        <f>ROUND(MAX(D8+F8-C8-E8,0),2)</f>
        <v>514668000</v>
      </c>
    </row>
    <row r="9" spans="1:9" s="745" customFormat="1" ht="23.25" customHeight="1">
      <c r="A9" s="747">
        <f t="shared" si="2"/>
        <v>4</v>
      </c>
      <c r="B9" s="752" t="s">
        <v>442</v>
      </c>
      <c r="C9" s="749"/>
      <c r="D9" s="749"/>
      <c r="E9" s="749">
        <f t="array" ref="E9">SUM(IF("331"&amp;B9=KHN&amp;KH,TH))</f>
        <v>103992460</v>
      </c>
      <c r="F9" s="749">
        <f t="array" ref="F9">SUM(IF("331"&amp;B9=KHC&amp;KH,TH))</f>
        <v>103992460</v>
      </c>
      <c r="G9" s="750">
        <f t="shared" si="0"/>
        <v>0</v>
      </c>
      <c r="H9" s="750">
        <f t="shared" si="1"/>
        <v>0</v>
      </c>
      <c r="I9" s="745" t="str">
        <f>IF(ISNA(VLOOKUP(B9,[2]!DSKH,1,0)),"","x")</f>
        <v/>
      </c>
    </row>
    <row r="10" spans="1:9" s="745" customFormat="1" ht="23.25" customHeight="1">
      <c r="A10" s="747">
        <f t="shared" si="2"/>
        <v>5</v>
      </c>
      <c r="B10" s="752" t="s">
        <v>624</v>
      </c>
      <c r="C10" s="749"/>
      <c r="D10" s="749"/>
      <c r="E10" s="749">
        <f t="array" ref="E10">SUM(IF("331"&amp;B10=KHN&amp;KH,TH))</f>
        <v>244200000</v>
      </c>
      <c r="F10" s="749">
        <f t="array" ref="F10">SUM(IF("331"&amp;B10=KHC&amp;KH,TH))</f>
        <v>263021550</v>
      </c>
      <c r="G10" s="750">
        <f t="shared" si="0"/>
        <v>0</v>
      </c>
      <c r="H10" s="750">
        <f t="shared" si="1"/>
        <v>18821550</v>
      </c>
      <c r="I10" s="745" t="str">
        <f>IF(ISNA(VLOOKUP(B10,[2]!DSKH,1,0)),"","x")</f>
        <v/>
      </c>
    </row>
    <row r="11" spans="1:9" s="745" customFormat="1" ht="23.25" customHeight="1">
      <c r="A11" s="747">
        <f t="shared" si="2"/>
        <v>6</v>
      </c>
      <c r="B11" s="752" t="s">
        <v>780</v>
      </c>
      <c r="C11" s="749"/>
      <c r="D11" s="749"/>
      <c r="E11" s="749">
        <f t="array" ref="E11">SUM(IF("331"&amp;B11=KHN&amp;KH,TH))</f>
        <v>103583150</v>
      </c>
      <c r="F11" s="749">
        <f t="array" ref="F11">SUM(IF("331"&amp;B11=KHC&amp;KH,TH))</f>
        <v>103583150</v>
      </c>
      <c r="G11" s="750">
        <f t="shared" ref="G11:G13" si="3">ROUND(MAX(C11+E11-D11-F11,0),2)</f>
        <v>0</v>
      </c>
      <c r="H11" s="750">
        <f t="shared" ref="H11:H13" si="4">ROUND(MAX(D11+F11-C11-E11,0),2)</f>
        <v>0</v>
      </c>
    </row>
    <row r="12" spans="1:9" s="745" customFormat="1" ht="23.25" customHeight="1">
      <c r="A12" s="747">
        <f t="shared" si="2"/>
        <v>7</v>
      </c>
      <c r="B12" s="752" t="s">
        <v>988</v>
      </c>
      <c r="C12" s="749"/>
      <c r="D12" s="749"/>
      <c r="E12" s="749">
        <f t="array" ref="E12">SUM(IF("331"&amp;B12=KHN&amp;KH,TH))</f>
        <v>0</v>
      </c>
      <c r="F12" s="749">
        <f t="array" ref="F12">SUM(IF("331"&amp;B12=KHC&amp;KH,TH))</f>
        <v>924000000</v>
      </c>
      <c r="G12" s="750">
        <f t="shared" si="3"/>
        <v>0</v>
      </c>
      <c r="H12" s="750">
        <f t="shared" si="4"/>
        <v>924000000</v>
      </c>
    </row>
    <row r="13" spans="1:9" s="745" customFormat="1" ht="23.25" customHeight="1">
      <c r="A13" s="747">
        <f t="shared" si="2"/>
        <v>8</v>
      </c>
      <c r="B13" s="752" t="s">
        <v>863</v>
      </c>
      <c r="C13" s="749"/>
      <c r="D13" s="749"/>
      <c r="E13" s="749">
        <f t="array" ref="E13">SUM(IF("331"&amp;B13=KHN&amp;KH,TH))</f>
        <v>63530500</v>
      </c>
      <c r="F13" s="749">
        <f t="array" ref="F13">SUM(IF("331"&amp;B13=KHC&amp;KH,TH))</f>
        <v>63530500</v>
      </c>
      <c r="G13" s="750">
        <f t="shared" si="3"/>
        <v>0</v>
      </c>
      <c r="H13" s="750">
        <f t="shared" si="4"/>
        <v>0</v>
      </c>
    </row>
    <row r="14" spans="1:9" s="745" customFormat="1" ht="23.25" customHeight="1">
      <c r="A14" s="747">
        <f t="shared" ref="A14" si="5">IF(B14&lt;&gt;"",ROW()-5,"")</f>
        <v>9</v>
      </c>
      <c r="B14" s="752" t="s">
        <v>1077</v>
      </c>
      <c r="C14" s="749"/>
      <c r="D14" s="749"/>
      <c r="E14" s="749">
        <f t="array" ref="E14">SUM(IF("331"&amp;B14=KHN&amp;KH,TH))</f>
        <v>0</v>
      </c>
      <c r="F14" s="749">
        <f t="array" ref="F14">SUM(IF("331"&amp;B14=KHC&amp;KH,TH))</f>
        <v>139236240</v>
      </c>
      <c r="G14" s="750">
        <f t="shared" ref="G14" si="6">ROUND(MAX(C14+E14-D14-F14,0),2)</f>
        <v>0</v>
      </c>
      <c r="H14" s="750">
        <f t="shared" ref="H14" si="7">ROUND(MAX(D14+F14-C14-E14,0),2)</f>
        <v>139236240</v>
      </c>
    </row>
    <row r="15" spans="1:9" s="745" customFormat="1" ht="23.25" customHeight="1">
      <c r="A15" s="747" t="str">
        <f>IF(B15&lt;&gt;"",ROW()-3,"")</f>
        <v/>
      </c>
      <c r="B15" s="754"/>
      <c r="C15" s="749"/>
      <c r="D15" s="749"/>
      <c r="E15" s="773"/>
      <c r="F15" s="773"/>
      <c r="G15" s="774"/>
      <c r="H15" s="774"/>
      <c r="I15" s="745" t="str">
        <f>IF(ISNA(VLOOKUP(B15,[2]!DSKH,1,0)),"","x")</f>
        <v/>
      </c>
    </row>
    <row r="16" spans="1:9" s="758" customFormat="1" ht="23.25" customHeight="1">
      <c r="A16" s="755"/>
      <c r="B16" s="756" t="s">
        <v>38</v>
      </c>
      <c r="C16" s="757">
        <f t="shared" ref="C16:H16" si="8">SUM(C6:C15)</f>
        <v>0</v>
      </c>
      <c r="D16" s="757">
        <f t="shared" si="8"/>
        <v>0</v>
      </c>
      <c r="E16" s="757">
        <f t="shared" si="8"/>
        <v>951806110</v>
      </c>
      <c r="F16" s="757">
        <f t="shared" si="8"/>
        <v>3164281340</v>
      </c>
      <c r="G16" s="757">
        <f t="shared" si="8"/>
        <v>0</v>
      </c>
      <c r="H16" s="757">
        <f t="shared" si="8"/>
        <v>2212475230</v>
      </c>
    </row>
    <row r="17" spans="3:8">
      <c r="C17" s="759"/>
      <c r="D17" s="759">
        <f>D16-C16-CDPS!D28</f>
        <v>0</v>
      </c>
      <c r="E17" s="759">
        <f>E16-CDPS!E28</f>
        <v>-50000000</v>
      </c>
      <c r="F17" s="759">
        <f>F16-CDPS!F28</f>
        <v>0</v>
      </c>
      <c r="H17" s="759">
        <f>H16-G16-CDPS!H28</f>
        <v>50000000</v>
      </c>
    </row>
    <row r="18" spans="3:8">
      <c r="E18" s="760"/>
      <c r="F18" s="890" t="str">
        <f>"Ngày 31 tháng  12  năm  "&amp;YEAR(TH!$C$10)</f>
        <v>Ngày 31 tháng  12  năm  2016</v>
      </c>
      <c r="G18" s="890"/>
      <c r="H18" s="890"/>
    </row>
    <row r="19" spans="3:8">
      <c r="F19" s="890" t="s">
        <v>105</v>
      </c>
      <c r="G19" s="890"/>
      <c r="H19" s="890"/>
    </row>
    <row r="20" spans="3:8">
      <c r="E20" s="759"/>
      <c r="F20" s="890" t="s">
        <v>132</v>
      </c>
      <c r="G20" s="890"/>
      <c r="H20" s="890"/>
    </row>
  </sheetData>
  <mergeCells count="9">
    <mergeCell ref="F18:H18"/>
    <mergeCell ref="F19:H19"/>
    <mergeCell ref="F20:H20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4" right="0.2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8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E54" sqref="E54"/>
    </sheetView>
  </sheetViews>
  <sheetFormatPr defaultRowHeight="14.25"/>
  <cols>
    <col min="1" max="1" width="9.140625" style="772" customWidth="1"/>
    <col min="2" max="2" width="8.28515625" style="772" customWidth="1"/>
    <col min="3" max="3" width="9.140625" style="772" customWidth="1"/>
    <col min="4" max="4" width="30.28515625" style="772" customWidth="1"/>
    <col min="5" max="5" width="6.85546875" style="772" customWidth="1"/>
    <col min="6" max="9" width="14" style="772" customWidth="1"/>
    <col min="10" max="16384" width="9.140625" style="772"/>
  </cols>
  <sheetData>
    <row r="1" spans="1:9" s="300" customFormat="1" ht="14.25" customHeight="1">
      <c r="A1" s="700" t="str">
        <f>TH!A1</f>
        <v>Đơn vị: CÔNG TY TNHH BAO BÌ GIẤY KIM DUNG PHÁT</v>
      </c>
      <c r="B1" s="663"/>
      <c r="C1" s="663"/>
      <c r="F1" s="2"/>
      <c r="G1" s="859" t="s">
        <v>45</v>
      </c>
      <c r="H1" s="859"/>
      <c r="I1" s="859"/>
    </row>
    <row r="2" spans="1:9" s="300" customFormat="1" ht="14.25" customHeight="1">
      <c r="A2" s="1" t="str">
        <f>TH!A2</f>
        <v>Địa chỉ: Ấp Rừng Sến, xã Mỹ Hạnh Bắc, Huyện Đức Hòa, Tỉnh Long An, Việt Nam</v>
      </c>
      <c r="B2" s="663"/>
      <c r="C2" s="663"/>
      <c r="F2" s="6"/>
      <c r="G2" s="860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60"/>
      <c r="I2" s="860"/>
    </row>
    <row r="3" spans="1:9" s="300" customFormat="1" ht="14.25" customHeight="1">
      <c r="A3" s="412"/>
      <c r="B3" s="663"/>
      <c r="C3" s="663"/>
      <c r="F3" s="6"/>
      <c r="G3" s="860"/>
      <c r="H3" s="860"/>
      <c r="I3" s="860"/>
    </row>
    <row r="4" spans="1:9" s="3" customFormat="1" ht="28.5" customHeight="1">
      <c r="A4" s="861" t="s">
        <v>26</v>
      </c>
      <c r="B4" s="861"/>
      <c r="C4" s="861"/>
      <c r="D4" s="861"/>
      <c r="E4" s="861"/>
      <c r="F4" s="861"/>
      <c r="G4" s="861"/>
      <c r="H4" s="861"/>
      <c r="I4" s="861"/>
    </row>
    <row r="5" spans="1:9" s="3" customFormat="1" ht="14.25" customHeight="1">
      <c r="E5" s="664" t="s">
        <v>27</v>
      </c>
    </row>
    <row r="6" spans="1:9" s="3" customFormat="1" ht="14.25" customHeight="1">
      <c r="E6" s="664" t="s">
        <v>28</v>
      </c>
    </row>
    <row r="7" spans="1:9" s="3" customFormat="1" ht="16.5" customHeight="1">
      <c r="D7" s="109" t="s">
        <v>44</v>
      </c>
      <c r="E7" s="898" t="s">
        <v>442</v>
      </c>
      <c r="F7" s="898"/>
      <c r="G7" s="898"/>
      <c r="H7" s="898"/>
    </row>
    <row r="8" spans="1:9" s="3" customFormat="1" ht="14.25" customHeight="1">
      <c r="E8" s="664" t="s">
        <v>29</v>
      </c>
    </row>
    <row r="9" spans="1:9" s="3" customFormat="1" ht="6.75" customHeight="1">
      <c r="B9" s="664"/>
      <c r="C9" s="866"/>
      <c r="D9" s="866"/>
      <c r="E9" s="866"/>
      <c r="F9" s="866"/>
      <c r="G9" s="866"/>
      <c r="H9" s="866"/>
      <c r="I9" s="866"/>
    </row>
    <row r="10" spans="1:9" s="3" customFormat="1" ht="14.25" customHeight="1">
      <c r="A10" s="867" t="s">
        <v>20</v>
      </c>
      <c r="B10" s="899" t="s">
        <v>1</v>
      </c>
      <c r="C10" s="899"/>
      <c r="D10" s="867" t="s">
        <v>0</v>
      </c>
      <c r="E10" s="867" t="s">
        <v>14</v>
      </c>
      <c r="F10" s="900" t="s">
        <v>21</v>
      </c>
      <c r="G10" s="901"/>
      <c r="H10" s="900" t="s">
        <v>30</v>
      </c>
      <c r="I10" s="901"/>
    </row>
    <row r="11" spans="1:9" s="3" customFormat="1" ht="24.75" customHeight="1">
      <c r="A11" s="867"/>
      <c r="B11" s="761" t="s">
        <v>15</v>
      </c>
      <c r="C11" s="761" t="s">
        <v>31</v>
      </c>
      <c r="D11" s="867"/>
      <c r="E11" s="867"/>
      <c r="F11" s="761" t="s">
        <v>22</v>
      </c>
      <c r="G11" s="761" t="s">
        <v>23</v>
      </c>
      <c r="H11" s="761" t="s">
        <v>22</v>
      </c>
      <c r="I11" s="761" t="s">
        <v>23</v>
      </c>
    </row>
    <row r="12" spans="1:9" s="3" customFormat="1" ht="11.25" customHeight="1">
      <c r="A12" s="681" t="s">
        <v>2</v>
      </c>
      <c r="B12" s="682" t="s">
        <v>3</v>
      </c>
      <c r="C12" s="681" t="s">
        <v>4</v>
      </c>
      <c r="D12" s="681" t="s">
        <v>5</v>
      </c>
      <c r="E12" s="681" t="s">
        <v>6</v>
      </c>
      <c r="F12" s="681">
        <v>2</v>
      </c>
      <c r="G12" s="681">
        <v>3</v>
      </c>
      <c r="H12" s="681">
        <v>4</v>
      </c>
      <c r="I12" s="681">
        <v>5</v>
      </c>
    </row>
    <row r="13" spans="1:9" s="3" customFormat="1" ht="18" customHeight="1">
      <c r="A13" s="681"/>
      <c r="B13" s="681"/>
      <c r="C13" s="681"/>
      <c r="D13" s="762" t="s">
        <v>7</v>
      </c>
      <c r="E13" s="681"/>
      <c r="F13" s="763"/>
      <c r="G13" s="763"/>
      <c r="H13" s="532">
        <f>VLOOKUP($E$7,'331'!$B$6:$H$15,2,0)</f>
        <v>0</v>
      </c>
      <c r="I13" s="532">
        <f>VLOOKUP($E$7,'331'!$B$6:$H$15,3,0)</f>
        <v>0</v>
      </c>
    </row>
    <row r="14" spans="1:9" s="3" customFormat="1" ht="18" customHeight="1">
      <c r="A14" s="764">
        <f ca="1">IF(ROWS($1:1)&gt;COUNT(Dong),"",OFFSET(TH!C$1,SMALL(Dong,ROWS($1:1)),))</f>
        <v>42595</v>
      </c>
      <c r="B14" s="764" t="str">
        <f ca="1">IF(ROWS($1:1)&gt;COUNT(Dong),"",OFFSET(TH!D$1,SMALL(Dong,ROWS($1:1)),))</f>
        <v>VL/N01</v>
      </c>
      <c r="C14" s="764">
        <f ca="1">IF(ROWS($1:1)&gt;COUNT(Dong),"",OFFSET(TH!E$1,SMALL(Dong,ROWS($1:1)),))</f>
        <v>42595</v>
      </c>
      <c r="D14" s="765" t="str">
        <f ca="1">IF(ROWS($1:1)&gt;COUNT(Dong),"",OFFSET(TH!F$1,SMALL(Dong,ROWS($1:1)),))</f>
        <v>Củi cau su</v>
      </c>
      <c r="E14" s="766" t="str">
        <f ca="1">IF(ROWS($1:1)&gt;COUNT(Dong),"",IF(OFFSET(TH!L$1,SMALL(Dong,ROWS($1:1)),)="331",OFFSET(TH!M$1,SMALL(Dong,ROWS($1:1)),),OFFSET(TH!L$1,SMALL(Dong,ROWS($1:1)),)))</f>
        <v>1522</v>
      </c>
      <c r="F14" s="767">
        <f ca="1">IF(ROWS($1:1)&gt;COUNT(Dong),"",IF(OFFSET(TH!L$1,SMALL(Dong,ROWS($1:1)),)="331",OFFSET(TH!K$1,SMALL(Dong,ROWS($1:1)),),0))</f>
        <v>0</v>
      </c>
      <c r="G14" s="767">
        <f ca="1">IF(ROWS($1:1)&gt;COUNT(Dong),"",IF(OFFSET(TH!M$1,SMALL(Dong,ROWS($1:1)),)="331",OFFSET(TH!K$1,SMALL(Dong,ROWS($1:1)),),0))</f>
        <v>15451800</v>
      </c>
      <c r="H14" s="768">
        <f t="shared" ref="H14:H49" ca="1" si="0">IF(D14&lt;&gt;"",MAX(H13+F14-G14-I13,0),0)</f>
        <v>0</v>
      </c>
      <c r="I14" s="768">
        <f t="shared" ref="I14:I49" ca="1" si="1">IF(D14&lt;&gt;"",MAX(I13+G14-H13-F14,0),0)</f>
        <v>15451800</v>
      </c>
    </row>
    <row r="15" spans="1:9" s="3" customFormat="1" ht="18" customHeight="1">
      <c r="A15" s="764">
        <f ca="1">IF(ROWS($1:2)&gt;COUNT(Dong),"",OFFSET(TH!C$1,SMALL(Dong,ROWS($1:2)),))</f>
        <v>42595</v>
      </c>
      <c r="B15" s="764" t="str">
        <f ca="1">IF(ROWS($1:2)&gt;COUNT(Dong),"",OFFSET(TH!D$1,SMALL(Dong,ROWS($1:2)),))</f>
        <v>VL/N01</v>
      </c>
      <c r="C15" s="764">
        <f ca="1">IF(ROWS($1:2)&gt;COUNT(Dong),"",OFFSET(TH!E$1,SMALL(Dong,ROWS($1:2)),))</f>
        <v>42595</v>
      </c>
      <c r="D15" s="765" t="str">
        <f ca="1">IF(ROWS($1:2)&gt;COUNT(Dong),"",OFFSET(TH!F$1,SMALL(Dong,ROWS($1:2)),))</f>
        <v>VAT Củi cau su</v>
      </c>
      <c r="E15" s="766" t="str">
        <f ca="1">IF(ROWS($1:2)&gt;COUNT(Dong),"",IF(OFFSET(TH!L$1,SMALL(Dong,ROWS($1:2)),)="331",OFFSET(TH!M$1,SMALL(Dong,ROWS($1:2)),),OFFSET(TH!L$1,SMALL(Dong,ROWS($1:2)),)))</f>
        <v>1331</v>
      </c>
      <c r="F15" s="767">
        <f ca="1">IF(ROWS($1:2)&gt;COUNT(Dong),"",IF(OFFSET(TH!L$1,SMALL(Dong,ROWS($1:2)),)="331",OFFSET(TH!K$1,SMALL(Dong,ROWS($1:2)),),0))</f>
        <v>0</v>
      </c>
      <c r="G15" s="767">
        <f ca="1">IF(ROWS($1:2)&gt;COUNT(Dong),"",IF(OFFSET(TH!M$1,SMALL(Dong,ROWS($1:2)),)="331",OFFSET(TH!K$1,SMALL(Dong,ROWS($1:2)),),0))</f>
        <v>1545180</v>
      </c>
      <c r="H15" s="768">
        <f t="shared" ca="1" si="0"/>
        <v>0</v>
      </c>
      <c r="I15" s="768">
        <f t="shared" ca="1" si="1"/>
        <v>16996980</v>
      </c>
    </row>
    <row r="16" spans="1:9" s="3" customFormat="1" ht="18" customHeight="1">
      <c r="A16" s="764">
        <f ca="1">IF(ROWS($1:3)&gt;COUNT(Dong),"",OFFSET(TH!C$1,SMALL(Dong,ROWS($1:3)),))</f>
        <v>42595</v>
      </c>
      <c r="B16" s="764" t="str">
        <f ca="1">IF(ROWS($1:3)&gt;COUNT(Dong),"",OFFSET(TH!D$1,SMALL(Dong,ROWS($1:3)),))</f>
        <v>C08</v>
      </c>
      <c r="C16" s="764">
        <f ca="1">IF(ROWS($1:3)&gt;COUNT(Dong),"",OFFSET(TH!E$1,SMALL(Dong,ROWS($1:3)),))</f>
        <v>42595</v>
      </c>
      <c r="D16" s="765" t="str">
        <f ca="1">IF(ROWS($1:3)&gt;COUNT(Dong),"",OFFSET(TH!F$1,SMALL(Dong,ROWS($1:3)),))</f>
        <v>Thanh toán tiền hàng</v>
      </c>
      <c r="E16" s="766" t="str">
        <f ca="1">IF(ROWS($1:3)&gt;COUNT(Dong),"",IF(OFFSET(TH!L$1,SMALL(Dong,ROWS($1:3)),)="331",OFFSET(TH!M$1,SMALL(Dong,ROWS($1:3)),),OFFSET(TH!L$1,SMALL(Dong,ROWS($1:3)),)))</f>
        <v>1111</v>
      </c>
      <c r="F16" s="767">
        <f ca="1">IF(ROWS($1:3)&gt;COUNT(Dong),"",IF(OFFSET(TH!L$1,SMALL(Dong,ROWS($1:3)),)="331",OFFSET(TH!K$1,SMALL(Dong,ROWS($1:3)),),0))</f>
        <v>16996980</v>
      </c>
      <c r="G16" s="767">
        <f ca="1">IF(ROWS($1:3)&gt;COUNT(Dong),"",IF(OFFSET(TH!M$1,SMALL(Dong,ROWS($1:3)),)="331",OFFSET(TH!K$1,SMALL(Dong,ROWS($1:3)),),0))</f>
        <v>0</v>
      </c>
      <c r="H16" s="768">
        <f t="shared" ca="1" si="0"/>
        <v>0</v>
      </c>
      <c r="I16" s="768">
        <f t="shared" ca="1" si="1"/>
        <v>0</v>
      </c>
    </row>
    <row r="17" spans="1:9" s="3" customFormat="1" ht="18" customHeight="1">
      <c r="A17" s="764">
        <f ca="1">IF(ROWS($1:4)&gt;COUNT(Dong),"",OFFSET(TH!C$1,SMALL(Dong,ROWS($1:4)),))</f>
        <v>42601</v>
      </c>
      <c r="B17" s="764" t="str">
        <f ca="1">IF(ROWS($1:4)&gt;COUNT(Dong),"",OFFSET(TH!D$1,SMALL(Dong,ROWS($1:4)),))</f>
        <v>VL/N02</v>
      </c>
      <c r="C17" s="764">
        <f ca="1">IF(ROWS($1:4)&gt;COUNT(Dong),"",OFFSET(TH!E$1,SMALL(Dong,ROWS($1:4)),))</f>
        <v>42601</v>
      </c>
      <c r="D17" s="765" t="str">
        <f ca="1">IF(ROWS($1:4)&gt;COUNT(Dong),"",OFFSET(TH!F$1,SMALL(Dong,ROWS($1:4)),))</f>
        <v>Củi cau su</v>
      </c>
      <c r="E17" s="766" t="str">
        <f ca="1">IF(ROWS($1:4)&gt;COUNT(Dong),"",IF(OFFSET(TH!L$1,SMALL(Dong,ROWS($1:4)),)="331",OFFSET(TH!M$1,SMALL(Dong,ROWS($1:4)),),OFFSET(TH!L$1,SMALL(Dong,ROWS($1:4)),)))</f>
        <v>1522</v>
      </c>
      <c r="F17" s="767">
        <f ca="1">IF(ROWS($1:4)&gt;COUNT(Dong),"",IF(OFFSET(TH!L$1,SMALL(Dong,ROWS($1:4)),)="331",OFFSET(TH!K$1,SMALL(Dong,ROWS($1:4)),),0))</f>
        <v>0</v>
      </c>
      <c r="G17" s="767">
        <f ca="1">IF(ROWS($1:4)&gt;COUNT(Dong),"",IF(OFFSET(TH!M$1,SMALL(Dong,ROWS($1:4)),)="331",OFFSET(TH!K$1,SMALL(Dong,ROWS($1:4)),),0))</f>
        <v>11177400</v>
      </c>
      <c r="H17" s="768">
        <f t="shared" ca="1" si="0"/>
        <v>0</v>
      </c>
      <c r="I17" s="768">
        <f t="shared" ca="1" si="1"/>
        <v>11177400</v>
      </c>
    </row>
    <row r="18" spans="1:9" s="3" customFormat="1" ht="18" customHeight="1">
      <c r="A18" s="764">
        <f ca="1">IF(ROWS($1:5)&gt;COUNT(Dong),"",OFFSET(TH!C$1,SMALL(Dong,ROWS($1:5)),))</f>
        <v>42601</v>
      </c>
      <c r="B18" s="764" t="str">
        <f ca="1">IF(ROWS($1:5)&gt;COUNT(Dong),"",OFFSET(TH!D$1,SMALL(Dong,ROWS($1:5)),))</f>
        <v>VL/N02</v>
      </c>
      <c r="C18" s="764">
        <f ca="1">IF(ROWS($1:5)&gt;COUNT(Dong),"",OFFSET(TH!E$1,SMALL(Dong,ROWS($1:5)),))</f>
        <v>42601</v>
      </c>
      <c r="D18" s="765" t="str">
        <f ca="1">IF(ROWS($1:5)&gt;COUNT(Dong),"",OFFSET(TH!F$1,SMALL(Dong,ROWS($1:5)),))</f>
        <v>VAT Củi cau su</v>
      </c>
      <c r="E18" s="766" t="str">
        <f ca="1">IF(ROWS($1:5)&gt;COUNT(Dong),"",IF(OFFSET(TH!L$1,SMALL(Dong,ROWS($1:5)),)="331",OFFSET(TH!M$1,SMALL(Dong,ROWS($1:5)),),OFFSET(TH!L$1,SMALL(Dong,ROWS($1:5)),)))</f>
        <v>1331</v>
      </c>
      <c r="F18" s="767">
        <f ca="1">IF(ROWS($1:5)&gt;COUNT(Dong),"",IF(OFFSET(TH!L$1,SMALL(Dong,ROWS($1:5)),)="331",OFFSET(TH!K$1,SMALL(Dong,ROWS($1:5)),),0))</f>
        <v>0</v>
      </c>
      <c r="G18" s="767">
        <f ca="1">IF(ROWS($1:5)&gt;COUNT(Dong),"",IF(OFFSET(TH!M$1,SMALL(Dong,ROWS($1:5)),)="331",OFFSET(TH!K$1,SMALL(Dong,ROWS($1:5)),),0))</f>
        <v>1117740</v>
      </c>
      <c r="H18" s="768">
        <f t="shared" ca="1" si="0"/>
        <v>0</v>
      </c>
      <c r="I18" s="768">
        <f t="shared" ca="1" si="1"/>
        <v>12295140</v>
      </c>
    </row>
    <row r="19" spans="1:9" s="3" customFormat="1" ht="18" customHeight="1">
      <c r="A19" s="764">
        <f ca="1">IF(ROWS($1:6)&gt;COUNT(Dong),"",OFFSET(TH!C$1,SMALL(Dong,ROWS($1:6)),))</f>
        <v>42613</v>
      </c>
      <c r="B19" s="764" t="str">
        <f ca="1">IF(ROWS($1:6)&gt;COUNT(Dong),"",OFFSET(TH!D$1,SMALL(Dong,ROWS($1:6)),))</f>
        <v>VL/N03</v>
      </c>
      <c r="C19" s="764">
        <f ca="1">IF(ROWS($1:6)&gt;COUNT(Dong),"",OFFSET(TH!E$1,SMALL(Dong,ROWS($1:6)),))</f>
        <v>42613</v>
      </c>
      <c r="D19" s="765" t="str">
        <f ca="1">IF(ROWS($1:6)&gt;COUNT(Dong),"",OFFSET(TH!F$1,SMALL(Dong,ROWS($1:6)),))</f>
        <v>Củi cau su</v>
      </c>
      <c r="E19" s="766" t="str">
        <f ca="1">IF(ROWS($1:6)&gt;COUNT(Dong),"",IF(OFFSET(TH!L$1,SMALL(Dong,ROWS($1:6)),)="331",OFFSET(TH!M$1,SMALL(Dong,ROWS($1:6)),),OFFSET(TH!L$1,SMALL(Dong,ROWS($1:6)),)))</f>
        <v>1522</v>
      </c>
      <c r="F19" s="767">
        <f ca="1">IF(ROWS($1:6)&gt;COUNT(Dong),"",IF(OFFSET(TH!L$1,SMALL(Dong,ROWS($1:6)),)="331",OFFSET(TH!K$1,SMALL(Dong,ROWS($1:6)),),0))</f>
        <v>0</v>
      </c>
      <c r="G19" s="767">
        <f ca="1">IF(ROWS($1:6)&gt;COUNT(Dong),"",IF(OFFSET(TH!M$1,SMALL(Dong,ROWS($1:6)),)="331",OFFSET(TH!K$1,SMALL(Dong,ROWS($1:6)),),0))</f>
        <v>10007400</v>
      </c>
      <c r="H19" s="768">
        <f t="shared" ca="1" si="0"/>
        <v>0</v>
      </c>
      <c r="I19" s="768">
        <f t="shared" ca="1" si="1"/>
        <v>22302540</v>
      </c>
    </row>
    <row r="20" spans="1:9" s="3" customFormat="1" ht="18" customHeight="1">
      <c r="A20" s="764">
        <f ca="1">IF(ROWS($1:7)&gt;COUNT(Dong),"",OFFSET(TH!C$1,SMALL(Dong,ROWS($1:7)),))</f>
        <v>42613</v>
      </c>
      <c r="B20" s="764" t="str">
        <f ca="1">IF(ROWS($1:7)&gt;COUNT(Dong),"",OFFSET(TH!D$1,SMALL(Dong,ROWS($1:7)),))</f>
        <v>VL/N03</v>
      </c>
      <c r="C20" s="764">
        <f ca="1">IF(ROWS($1:7)&gt;COUNT(Dong),"",OFFSET(TH!E$1,SMALL(Dong,ROWS($1:7)),))</f>
        <v>42613</v>
      </c>
      <c r="D20" s="765" t="str">
        <f ca="1">IF(ROWS($1:7)&gt;COUNT(Dong),"",OFFSET(TH!F$1,SMALL(Dong,ROWS($1:7)),))</f>
        <v>VAT Củi cau su</v>
      </c>
      <c r="E20" s="766" t="str">
        <f ca="1">IF(ROWS($1:7)&gt;COUNT(Dong),"",IF(OFFSET(TH!L$1,SMALL(Dong,ROWS($1:7)),)="331",OFFSET(TH!M$1,SMALL(Dong,ROWS($1:7)),),OFFSET(TH!L$1,SMALL(Dong,ROWS($1:7)),)))</f>
        <v>1331</v>
      </c>
      <c r="F20" s="767">
        <f ca="1">IF(ROWS($1:7)&gt;COUNT(Dong),"",IF(OFFSET(TH!L$1,SMALL(Dong,ROWS($1:7)),)="331",OFFSET(TH!K$1,SMALL(Dong,ROWS($1:7)),),0))</f>
        <v>0</v>
      </c>
      <c r="G20" s="767">
        <f ca="1">IF(ROWS($1:7)&gt;COUNT(Dong),"",IF(OFFSET(TH!M$1,SMALL(Dong,ROWS($1:7)),)="331",OFFSET(TH!K$1,SMALL(Dong,ROWS($1:7)),),0))</f>
        <v>1000740</v>
      </c>
      <c r="H20" s="768">
        <f t="shared" ca="1" si="0"/>
        <v>0</v>
      </c>
      <c r="I20" s="768">
        <f t="shared" ca="1" si="1"/>
        <v>23303280</v>
      </c>
    </row>
    <row r="21" spans="1:9" s="3" customFormat="1" ht="18" customHeight="1">
      <c r="A21" s="764">
        <f ca="1">IF(ROWS($1:8)&gt;COUNT(Dong),"",OFFSET(TH!C$1,SMALL(Dong,ROWS($1:8)),))</f>
        <v>42613</v>
      </c>
      <c r="B21" s="764" t="str">
        <f ca="1">IF(ROWS($1:8)&gt;COUNT(Dong),"",OFFSET(TH!D$1,SMALL(Dong,ROWS($1:8)),))</f>
        <v>C13</v>
      </c>
      <c r="C21" s="764">
        <f ca="1">IF(ROWS($1:8)&gt;COUNT(Dong),"",OFFSET(TH!E$1,SMALL(Dong,ROWS($1:8)),))</f>
        <v>42613</v>
      </c>
      <c r="D21" s="765" t="str">
        <f ca="1">IF(ROWS($1:8)&gt;COUNT(Dong),"",OFFSET(TH!F$1,SMALL(Dong,ROWS($1:8)),))</f>
        <v>Thanh toán tiền hàng</v>
      </c>
      <c r="E21" s="766" t="str">
        <f ca="1">IF(ROWS($1:8)&gt;COUNT(Dong),"",IF(OFFSET(TH!L$1,SMALL(Dong,ROWS($1:8)),)="331",OFFSET(TH!M$1,SMALL(Dong,ROWS($1:8)),),OFFSET(TH!L$1,SMALL(Dong,ROWS($1:8)),)))</f>
        <v>1111</v>
      </c>
      <c r="F21" s="767">
        <f ca="1">IF(ROWS($1:8)&gt;COUNT(Dong),"",IF(OFFSET(TH!L$1,SMALL(Dong,ROWS($1:8)),)="331",OFFSET(TH!K$1,SMALL(Dong,ROWS($1:8)),),0))</f>
        <v>11008140</v>
      </c>
      <c r="G21" s="767">
        <f ca="1">IF(ROWS($1:8)&gt;COUNT(Dong),"",IF(OFFSET(TH!M$1,SMALL(Dong,ROWS($1:8)),)="331",OFFSET(TH!K$1,SMALL(Dong,ROWS($1:8)),),0))</f>
        <v>0</v>
      </c>
      <c r="H21" s="768">
        <f t="shared" ca="1" si="0"/>
        <v>0</v>
      </c>
      <c r="I21" s="768">
        <f t="shared" ca="1" si="1"/>
        <v>12295140</v>
      </c>
    </row>
    <row r="22" spans="1:9" s="3" customFormat="1" ht="18" customHeight="1">
      <c r="A22" s="764">
        <f ca="1">IF(ROWS($1:9)&gt;COUNT(Dong),"",OFFSET(TH!C$1,SMALL(Dong,ROWS($1:9)),))</f>
        <v>42630</v>
      </c>
      <c r="B22" s="764" t="str">
        <f ca="1">IF(ROWS($1:9)&gt;COUNT(Dong),"",OFFSET(TH!D$1,SMALL(Dong,ROWS($1:9)),))</f>
        <v>VL/N05</v>
      </c>
      <c r="C22" s="764">
        <f ca="1">IF(ROWS($1:9)&gt;COUNT(Dong),"",OFFSET(TH!E$1,SMALL(Dong,ROWS($1:9)),))</f>
        <v>42630</v>
      </c>
      <c r="D22" s="765" t="str">
        <f ca="1">IF(ROWS($1:9)&gt;COUNT(Dong),"",OFFSET(TH!F$1,SMALL(Dong,ROWS($1:9)),))</f>
        <v>Củi cau su</v>
      </c>
      <c r="E22" s="766" t="str">
        <f ca="1">IF(ROWS($1:9)&gt;COUNT(Dong),"",IF(OFFSET(TH!L$1,SMALL(Dong,ROWS($1:9)),)="331",OFFSET(TH!M$1,SMALL(Dong,ROWS($1:9)),),OFFSET(TH!L$1,SMALL(Dong,ROWS($1:9)),)))</f>
        <v>1522</v>
      </c>
      <c r="F22" s="767">
        <f ca="1">IF(ROWS($1:9)&gt;COUNT(Dong),"",IF(OFFSET(TH!L$1,SMALL(Dong,ROWS($1:9)),)="331",OFFSET(TH!K$1,SMALL(Dong,ROWS($1:9)),),0))</f>
        <v>0</v>
      </c>
      <c r="G22" s="767">
        <f ca="1">IF(ROWS($1:9)&gt;COUNT(Dong),"",IF(OFFSET(TH!M$1,SMALL(Dong,ROWS($1:9)),)="331",OFFSET(TH!K$1,SMALL(Dong,ROWS($1:9)),),0))</f>
        <v>14430000</v>
      </c>
      <c r="H22" s="768">
        <f t="shared" ca="1" si="0"/>
        <v>0</v>
      </c>
      <c r="I22" s="768">
        <f t="shared" ca="1" si="1"/>
        <v>26725140</v>
      </c>
    </row>
    <row r="23" spans="1:9" s="3" customFormat="1" ht="18" customHeight="1">
      <c r="A23" s="764">
        <f ca="1">IF(ROWS($1:10)&gt;COUNT(Dong),"",OFFSET(TH!C$1,SMALL(Dong,ROWS($1:10)),))</f>
        <v>42630</v>
      </c>
      <c r="B23" s="764" t="str">
        <f ca="1">IF(ROWS($1:10)&gt;COUNT(Dong),"",OFFSET(TH!D$1,SMALL(Dong,ROWS($1:10)),))</f>
        <v>VL/N05</v>
      </c>
      <c r="C23" s="764">
        <f ca="1">IF(ROWS($1:10)&gt;COUNT(Dong),"",OFFSET(TH!E$1,SMALL(Dong,ROWS($1:10)),))</f>
        <v>42630</v>
      </c>
      <c r="D23" s="765" t="str">
        <f ca="1">IF(ROWS($1:10)&gt;COUNT(Dong),"",OFFSET(TH!F$1,SMALL(Dong,ROWS($1:10)),))</f>
        <v>VAT Củi cau su</v>
      </c>
      <c r="E23" s="766" t="str">
        <f ca="1">IF(ROWS($1:10)&gt;COUNT(Dong),"",IF(OFFSET(TH!L$1,SMALL(Dong,ROWS($1:10)),)="331",OFFSET(TH!M$1,SMALL(Dong,ROWS($1:10)),),OFFSET(TH!L$1,SMALL(Dong,ROWS($1:10)),)))</f>
        <v>1331</v>
      </c>
      <c r="F23" s="767">
        <f ca="1">IF(ROWS($1:10)&gt;COUNT(Dong),"",IF(OFFSET(TH!L$1,SMALL(Dong,ROWS($1:10)),)="331",OFFSET(TH!K$1,SMALL(Dong,ROWS($1:10)),),0))</f>
        <v>0</v>
      </c>
      <c r="G23" s="767">
        <f ca="1">IF(ROWS($1:10)&gt;COUNT(Dong),"",IF(OFFSET(TH!M$1,SMALL(Dong,ROWS($1:10)),)="331",OFFSET(TH!K$1,SMALL(Dong,ROWS($1:10)),),0))</f>
        <v>1443000</v>
      </c>
      <c r="H23" s="768">
        <f t="shared" ca="1" si="0"/>
        <v>0</v>
      </c>
      <c r="I23" s="768">
        <f t="shared" ca="1" si="1"/>
        <v>28168140</v>
      </c>
    </row>
    <row r="24" spans="1:9" s="3" customFormat="1" ht="18" customHeight="1">
      <c r="A24" s="764">
        <f ca="1">IF(ROWS($1:11)&gt;COUNT(Dong),"",OFFSET(TH!C$1,SMALL(Dong,ROWS($1:11)),))</f>
        <v>42630</v>
      </c>
      <c r="B24" s="764" t="str">
        <f ca="1">IF(ROWS($1:11)&gt;COUNT(Dong),"",OFFSET(TH!D$1,SMALL(Dong,ROWS($1:11)),))</f>
        <v>C19</v>
      </c>
      <c r="C24" s="764">
        <f ca="1">IF(ROWS($1:11)&gt;COUNT(Dong),"",OFFSET(TH!E$1,SMALL(Dong,ROWS($1:11)),))</f>
        <v>42630</v>
      </c>
      <c r="D24" s="765" t="str">
        <f ca="1">IF(ROWS($1:11)&gt;COUNT(Dong),"",OFFSET(TH!F$1,SMALL(Dong,ROWS($1:11)),))</f>
        <v>Thanh toán tiền hàng</v>
      </c>
      <c r="E24" s="766" t="str">
        <f ca="1">IF(ROWS($1:11)&gt;COUNT(Dong),"",IF(OFFSET(TH!L$1,SMALL(Dong,ROWS($1:11)),)="331",OFFSET(TH!M$1,SMALL(Dong,ROWS($1:11)),),OFFSET(TH!L$1,SMALL(Dong,ROWS($1:11)),)))</f>
        <v>1111</v>
      </c>
      <c r="F24" s="767">
        <f ca="1">IF(ROWS($1:11)&gt;COUNT(Dong),"",IF(OFFSET(TH!L$1,SMALL(Dong,ROWS($1:11)),)="331",OFFSET(TH!K$1,SMALL(Dong,ROWS($1:11)),),0))</f>
        <v>15873000</v>
      </c>
      <c r="G24" s="767">
        <f ca="1">IF(ROWS($1:11)&gt;COUNT(Dong),"",IF(OFFSET(TH!M$1,SMALL(Dong,ROWS($1:11)),)="331",OFFSET(TH!K$1,SMALL(Dong,ROWS($1:11)),),0))</f>
        <v>0</v>
      </c>
      <c r="H24" s="768">
        <f t="shared" ca="1" si="0"/>
        <v>0</v>
      </c>
      <c r="I24" s="768">
        <f t="shared" ca="1" si="1"/>
        <v>12295140</v>
      </c>
    </row>
    <row r="25" spans="1:9" s="3" customFormat="1" ht="18" customHeight="1">
      <c r="A25" s="764">
        <f ca="1">IF(ROWS($1:12)&gt;COUNT(Dong),"",OFFSET(TH!C$1,SMALL(Dong,ROWS($1:12)),))</f>
        <v>42635</v>
      </c>
      <c r="B25" s="764" t="str">
        <f ca="1">IF(ROWS($1:12)&gt;COUNT(Dong),"",OFFSET(TH!D$1,SMALL(Dong,ROWS($1:12)),))</f>
        <v>GBN</v>
      </c>
      <c r="C25" s="764">
        <f ca="1">IF(ROWS($1:12)&gt;COUNT(Dong),"",OFFSET(TH!E$1,SMALL(Dong,ROWS($1:12)),))</f>
        <v>42635</v>
      </c>
      <c r="D25" s="765" t="str">
        <f ca="1">IF(ROWS($1:12)&gt;COUNT(Dong),"",OFFSET(TH!F$1,SMALL(Dong,ROWS($1:12)),))</f>
        <v>Thanh toán tiền hàng</v>
      </c>
      <c r="E25" s="766" t="str">
        <f ca="1">IF(ROWS($1:12)&gt;COUNT(Dong),"",IF(OFFSET(TH!L$1,SMALL(Dong,ROWS($1:12)),)="331",OFFSET(TH!M$1,SMALL(Dong,ROWS($1:12)),),OFFSET(TH!L$1,SMALL(Dong,ROWS($1:12)),)))</f>
        <v>1121</v>
      </c>
      <c r="F25" s="767">
        <f ca="1">IF(ROWS($1:12)&gt;COUNT(Dong),"",IF(OFFSET(TH!L$1,SMALL(Dong,ROWS($1:12)),)="331",OFFSET(TH!K$1,SMALL(Dong,ROWS($1:12)),),0))</f>
        <v>12295140</v>
      </c>
      <c r="G25" s="767">
        <f ca="1">IF(ROWS($1:12)&gt;COUNT(Dong),"",IF(OFFSET(TH!M$1,SMALL(Dong,ROWS($1:12)),)="331",OFFSET(TH!K$1,SMALL(Dong,ROWS($1:12)),),0))</f>
        <v>0</v>
      </c>
      <c r="H25" s="768">
        <f t="shared" ca="1" si="0"/>
        <v>0</v>
      </c>
      <c r="I25" s="768">
        <f t="shared" ca="1" si="1"/>
        <v>0</v>
      </c>
    </row>
    <row r="26" spans="1:9" s="3" customFormat="1" ht="18" customHeight="1">
      <c r="A26" s="764">
        <f ca="1">IF(ROWS($1:13)&gt;COUNT(Dong),"",OFFSET(TH!C$1,SMALL(Dong,ROWS($1:13)),))</f>
        <v>42712</v>
      </c>
      <c r="B26" s="764" t="str">
        <f ca="1">IF(ROWS($1:13)&gt;COUNT(Dong),"",OFFSET(TH!D$1,SMALL(Dong,ROWS($1:13)),))</f>
        <v>VL/N08</v>
      </c>
      <c r="C26" s="764">
        <f ca="1">IF(ROWS($1:13)&gt;COUNT(Dong),"",OFFSET(TH!E$1,SMALL(Dong,ROWS($1:13)),))</f>
        <v>42712</v>
      </c>
      <c r="D26" s="765" t="str">
        <f ca="1">IF(ROWS($1:13)&gt;COUNT(Dong),"",OFFSET(TH!F$1,SMALL(Dong,ROWS($1:13)),))</f>
        <v>Củi cau su</v>
      </c>
      <c r="E26" s="766" t="str">
        <f ca="1">IF(ROWS($1:13)&gt;COUNT(Dong),"",IF(OFFSET(TH!L$1,SMALL(Dong,ROWS($1:13)),)="331",OFFSET(TH!M$1,SMALL(Dong,ROWS($1:13)),),OFFSET(TH!L$1,SMALL(Dong,ROWS($1:13)),)))</f>
        <v>1522</v>
      </c>
      <c r="F26" s="767">
        <f ca="1">IF(ROWS($1:13)&gt;COUNT(Dong),"",IF(OFFSET(TH!L$1,SMALL(Dong,ROWS($1:13)),)="331",OFFSET(TH!K$1,SMALL(Dong,ROWS($1:13)),),0))</f>
        <v>0</v>
      </c>
      <c r="G26" s="767">
        <f ca="1">IF(ROWS($1:13)&gt;COUNT(Dong),"",IF(OFFSET(TH!M$1,SMALL(Dong,ROWS($1:13)),)="331",OFFSET(TH!K$1,SMALL(Dong,ROWS($1:13)),),0))</f>
        <v>15856000</v>
      </c>
      <c r="H26" s="768">
        <f t="shared" ca="1" si="0"/>
        <v>0</v>
      </c>
      <c r="I26" s="768">
        <f t="shared" ca="1" si="1"/>
        <v>15856000</v>
      </c>
    </row>
    <row r="27" spans="1:9" s="3" customFormat="1" ht="18" customHeight="1">
      <c r="A27" s="764">
        <f ca="1">IF(ROWS($1:14)&gt;COUNT(Dong),"",OFFSET(TH!C$1,SMALL(Dong,ROWS($1:14)),))</f>
        <v>42712</v>
      </c>
      <c r="B27" s="764" t="str">
        <f ca="1">IF(ROWS($1:14)&gt;COUNT(Dong),"",OFFSET(TH!D$1,SMALL(Dong,ROWS($1:14)),))</f>
        <v>VL/N08</v>
      </c>
      <c r="C27" s="764">
        <f ca="1">IF(ROWS($1:14)&gt;COUNT(Dong),"",OFFSET(TH!E$1,SMALL(Dong,ROWS($1:14)),))</f>
        <v>42712</v>
      </c>
      <c r="D27" s="765" t="str">
        <f ca="1">IF(ROWS($1:14)&gt;COUNT(Dong),"",OFFSET(TH!F$1,SMALL(Dong,ROWS($1:14)),))</f>
        <v>VAT Củi cau su</v>
      </c>
      <c r="E27" s="766" t="str">
        <f ca="1">IF(ROWS($1:14)&gt;COUNT(Dong),"",IF(OFFSET(TH!L$1,SMALL(Dong,ROWS($1:14)),)="331",OFFSET(TH!M$1,SMALL(Dong,ROWS($1:14)),),OFFSET(TH!L$1,SMALL(Dong,ROWS($1:14)),)))</f>
        <v>1331</v>
      </c>
      <c r="F27" s="767">
        <f ca="1">IF(ROWS($1:14)&gt;COUNT(Dong),"",IF(OFFSET(TH!L$1,SMALL(Dong,ROWS($1:14)),)="331",OFFSET(TH!K$1,SMALL(Dong,ROWS($1:14)),),0))</f>
        <v>0</v>
      </c>
      <c r="G27" s="767">
        <f ca="1">IF(ROWS($1:14)&gt;COUNT(Dong),"",IF(OFFSET(TH!M$1,SMALL(Dong,ROWS($1:14)),)="331",OFFSET(TH!K$1,SMALL(Dong,ROWS($1:14)),),0))</f>
        <v>1585600</v>
      </c>
      <c r="H27" s="768">
        <f t="shared" ca="1" si="0"/>
        <v>0</v>
      </c>
      <c r="I27" s="768">
        <f t="shared" ca="1" si="1"/>
        <v>17441600</v>
      </c>
    </row>
    <row r="28" spans="1:9" s="3" customFormat="1" ht="18" customHeight="1">
      <c r="A28" s="764">
        <f ca="1">IF(ROWS($1:15)&gt;COUNT(Dong),"",OFFSET(TH!C$1,SMALL(Dong,ROWS($1:15)),))</f>
        <v>42712</v>
      </c>
      <c r="B28" s="764" t="str">
        <f ca="1">IF(ROWS($1:15)&gt;COUNT(Dong),"",OFFSET(TH!D$1,SMALL(Dong,ROWS($1:15)),))</f>
        <v>C24</v>
      </c>
      <c r="C28" s="764">
        <f ca="1">IF(ROWS($1:15)&gt;COUNT(Dong),"",OFFSET(TH!E$1,SMALL(Dong,ROWS($1:15)),))</f>
        <v>42712</v>
      </c>
      <c r="D28" s="765" t="str">
        <f ca="1">IF(ROWS($1:15)&gt;COUNT(Dong),"",OFFSET(TH!F$1,SMALL(Dong,ROWS($1:15)),))</f>
        <v>Thanh toán tiền hàng</v>
      </c>
      <c r="E28" s="766" t="str">
        <f ca="1">IF(ROWS($1:15)&gt;COUNT(Dong),"",IF(OFFSET(TH!L$1,SMALL(Dong,ROWS($1:15)),)="331",OFFSET(TH!M$1,SMALL(Dong,ROWS($1:15)),),OFFSET(TH!L$1,SMALL(Dong,ROWS($1:15)),)))</f>
        <v>1111</v>
      </c>
      <c r="F28" s="767">
        <f ca="1">IF(ROWS($1:15)&gt;COUNT(Dong),"",IF(OFFSET(TH!L$1,SMALL(Dong,ROWS($1:15)),)="331",OFFSET(TH!K$1,SMALL(Dong,ROWS($1:15)),),0))</f>
        <v>17441600</v>
      </c>
      <c r="G28" s="767">
        <f ca="1">IF(ROWS($1:15)&gt;COUNT(Dong),"",IF(OFFSET(TH!M$1,SMALL(Dong,ROWS($1:15)),)="331",OFFSET(TH!K$1,SMALL(Dong,ROWS($1:15)),),0))</f>
        <v>0</v>
      </c>
      <c r="H28" s="768">
        <f t="shared" ca="1" si="0"/>
        <v>0</v>
      </c>
      <c r="I28" s="768">
        <f t="shared" ca="1" si="1"/>
        <v>0</v>
      </c>
    </row>
    <row r="29" spans="1:9" s="3" customFormat="1" ht="18" customHeight="1">
      <c r="A29" s="764">
        <f ca="1">IF(ROWS($1:16)&gt;COUNT(Dong),"",OFFSET(TH!C$1,SMALL(Dong,ROWS($1:16)),))</f>
        <v>42723</v>
      </c>
      <c r="B29" s="764" t="str">
        <f ca="1">IF(ROWS($1:16)&gt;COUNT(Dong),"",OFFSET(TH!D$1,SMALL(Dong,ROWS($1:16)),))</f>
        <v>VL/N09</v>
      </c>
      <c r="C29" s="764">
        <f ca="1">IF(ROWS($1:16)&gt;COUNT(Dong),"",OFFSET(TH!E$1,SMALL(Dong,ROWS($1:16)),))</f>
        <v>42723</v>
      </c>
      <c r="D29" s="765" t="str">
        <f ca="1">IF(ROWS($1:16)&gt;COUNT(Dong),"",OFFSET(TH!F$1,SMALL(Dong,ROWS($1:16)),))</f>
        <v>Củi cau su</v>
      </c>
      <c r="E29" s="766" t="str">
        <f ca="1">IF(ROWS($1:16)&gt;COUNT(Dong),"",IF(OFFSET(TH!L$1,SMALL(Dong,ROWS($1:16)),)="331",OFFSET(TH!M$1,SMALL(Dong,ROWS($1:16)),),OFFSET(TH!L$1,SMALL(Dong,ROWS($1:16)),)))</f>
        <v>1522</v>
      </c>
      <c r="F29" s="767">
        <f ca="1">IF(ROWS($1:16)&gt;COUNT(Dong),"",IF(OFFSET(TH!L$1,SMALL(Dong,ROWS($1:16)),)="331",OFFSET(TH!K$1,SMALL(Dong,ROWS($1:16)),),0))</f>
        <v>0</v>
      </c>
      <c r="G29" s="767">
        <f ca="1">IF(ROWS($1:16)&gt;COUNT(Dong),"",IF(OFFSET(TH!M$1,SMALL(Dong,ROWS($1:16)),)="331",OFFSET(TH!K$1,SMALL(Dong,ROWS($1:16)),),0))</f>
        <v>5560000</v>
      </c>
      <c r="H29" s="768">
        <f t="shared" ca="1" si="0"/>
        <v>0</v>
      </c>
      <c r="I29" s="768">
        <f t="shared" ca="1" si="1"/>
        <v>5560000</v>
      </c>
    </row>
    <row r="30" spans="1:9" s="3" customFormat="1" ht="18" customHeight="1">
      <c r="A30" s="764">
        <f ca="1">IF(ROWS($1:17)&gt;COUNT(Dong),"",OFFSET(TH!C$1,SMALL(Dong,ROWS($1:17)),))</f>
        <v>42723</v>
      </c>
      <c r="B30" s="764" t="str">
        <f ca="1">IF(ROWS($1:17)&gt;COUNT(Dong),"",OFFSET(TH!D$1,SMALL(Dong,ROWS($1:17)),))</f>
        <v>VL/N09</v>
      </c>
      <c r="C30" s="764">
        <f ca="1">IF(ROWS($1:17)&gt;COUNT(Dong),"",OFFSET(TH!E$1,SMALL(Dong,ROWS($1:17)),))</f>
        <v>42723</v>
      </c>
      <c r="D30" s="765" t="str">
        <f ca="1">IF(ROWS($1:17)&gt;COUNT(Dong),"",OFFSET(TH!F$1,SMALL(Dong,ROWS($1:17)),))</f>
        <v>VAT Củi cau su</v>
      </c>
      <c r="E30" s="766" t="str">
        <f ca="1">IF(ROWS($1:17)&gt;COUNT(Dong),"",IF(OFFSET(TH!L$1,SMALL(Dong,ROWS($1:17)),)="331",OFFSET(TH!M$1,SMALL(Dong,ROWS($1:17)),),OFFSET(TH!L$1,SMALL(Dong,ROWS($1:17)),)))</f>
        <v>1331</v>
      </c>
      <c r="F30" s="767">
        <f ca="1">IF(ROWS($1:17)&gt;COUNT(Dong),"",IF(OFFSET(TH!L$1,SMALL(Dong,ROWS($1:17)),)="331",OFFSET(TH!K$1,SMALL(Dong,ROWS($1:17)),),0))</f>
        <v>0</v>
      </c>
      <c r="G30" s="767">
        <f ca="1">IF(ROWS($1:17)&gt;COUNT(Dong),"",IF(OFFSET(TH!M$1,SMALL(Dong,ROWS($1:17)),)="331",OFFSET(TH!K$1,SMALL(Dong,ROWS($1:17)),),0))</f>
        <v>556000</v>
      </c>
      <c r="H30" s="768">
        <f t="shared" ca="1" si="0"/>
        <v>0</v>
      </c>
      <c r="I30" s="768">
        <f t="shared" ca="1" si="1"/>
        <v>6116000</v>
      </c>
    </row>
    <row r="31" spans="1:9" s="3" customFormat="1" ht="18" customHeight="1">
      <c r="A31" s="764">
        <f ca="1">IF(ROWS($1:18)&gt;COUNT(Dong),"",OFFSET(TH!C$1,SMALL(Dong,ROWS($1:18)),))</f>
        <v>42723</v>
      </c>
      <c r="B31" s="764" t="str">
        <f ca="1">IF(ROWS($1:18)&gt;COUNT(Dong),"",OFFSET(TH!D$1,SMALL(Dong,ROWS($1:18)),))</f>
        <v>C27</v>
      </c>
      <c r="C31" s="764">
        <f ca="1">IF(ROWS($1:18)&gt;COUNT(Dong),"",OFFSET(TH!E$1,SMALL(Dong,ROWS($1:18)),))</f>
        <v>42723</v>
      </c>
      <c r="D31" s="765" t="str">
        <f ca="1">IF(ROWS($1:18)&gt;COUNT(Dong),"",OFFSET(TH!F$1,SMALL(Dong,ROWS($1:18)),))</f>
        <v>Thanh toán tiền hàng</v>
      </c>
      <c r="E31" s="766" t="str">
        <f ca="1">IF(ROWS($1:18)&gt;COUNT(Dong),"",IF(OFFSET(TH!L$1,SMALL(Dong,ROWS($1:18)),)="331",OFFSET(TH!M$1,SMALL(Dong,ROWS($1:18)),),OFFSET(TH!L$1,SMALL(Dong,ROWS($1:18)),)))</f>
        <v>1111</v>
      </c>
      <c r="F31" s="767">
        <f ca="1">IF(ROWS($1:18)&gt;COUNT(Dong),"",IF(OFFSET(TH!L$1,SMALL(Dong,ROWS($1:18)),)="331",OFFSET(TH!K$1,SMALL(Dong,ROWS($1:18)),),0))</f>
        <v>6116000</v>
      </c>
      <c r="G31" s="767">
        <f ca="1">IF(ROWS($1:18)&gt;COUNT(Dong),"",IF(OFFSET(TH!M$1,SMALL(Dong,ROWS($1:18)),)="331",OFFSET(TH!K$1,SMALL(Dong,ROWS($1:18)),),0))</f>
        <v>0</v>
      </c>
      <c r="H31" s="768">
        <f t="shared" ca="1" si="0"/>
        <v>0</v>
      </c>
      <c r="I31" s="768">
        <f t="shared" ca="1" si="1"/>
        <v>0</v>
      </c>
    </row>
    <row r="32" spans="1:9" s="3" customFormat="1" ht="18" customHeight="1">
      <c r="A32" s="764">
        <f ca="1">IF(ROWS($1:19)&gt;COUNT(Dong),"",OFFSET(TH!C$1,SMALL(Dong,ROWS($1:19)),))</f>
        <v>42732</v>
      </c>
      <c r="B32" s="764" t="str">
        <f ca="1">IF(ROWS($1:19)&gt;COUNT(Dong),"",OFFSET(TH!D$1,SMALL(Dong,ROWS($1:19)),))</f>
        <v>VL/N12</v>
      </c>
      <c r="C32" s="764">
        <f ca="1">IF(ROWS($1:19)&gt;COUNT(Dong),"",OFFSET(TH!E$1,SMALL(Dong,ROWS($1:19)),))</f>
        <v>42732</v>
      </c>
      <c r="D32" s="765" t="str">
        <f ca="1">IF(ROWS($1:19)&gt;COUNT(Dong),"",OFFSET(TH!F$1,SMALL(Dong,ROWS($1:19)),))</f>
        <v>Củi cau su</v>
      </c>
      <c r="E32" s="766" t="str">
        <f ca="1">IF(ROWS($1:19)&gt;COUNT(Dong),"",IF(OFFSET(TH!L$1,SMALL(Dong,ROWS($1:19)),)="331",OFFSET(TH!M$1,SMALL(Dong,ROWS($1:19)),),OFFSET(TH!L$1,SMALL(Dong,ROWS($1:19)),)))</f>
        <v>1522</v>
      </c>
      <c r="F32" s="767">
        <f ca="1">IF(ROWS($1:19)&gt;COUNT(Dong),"",IF(OFFSET(TH!L$1,SMALL(Dong,ROWS($1:19)),)="331",OFFSET(TH!K$1,SMALL(Dong,ROWS($1:19)),),0))</f>
        <v>0</v>
      </c>
      <c r="G32" s="767">
        <f ca="1">IF(ROWS($1:19)&gt;COUNT(Dong),"",IF(OFFSET(TH!M$1,SMALL(Dong,ROWS($1:19)),)="331",OFFSET(TH!K$1,SMALL(Dong,ROWS($1:19)),),0))</f>
        <v>15768000</v>
      </c>
      <c r="H32" s="768">
        <f t="shared" ca="1" si="0"/>
        <v>0</v>
      </c>
      <c r="I32" s="768">
        <f t="shared" ca="1" si="1"/>
        <v>15768000</v>
      </c>
    </row>
    <row r="33" spans="1:9" s="3" customFormat="1" ht="18" customHeight="1">
      <c r="A33" s="764">
        <f ca="1">IF(ROWS($1:20)&gt;COUNT(Dong),"",OFFSET(TH!C$1,SMALL(Dong,ROWS($1:20)),))</f>
        <v>42732</v>
      </c>
      <c r="B33" s="764" t="str">
        <f ca="1">IF(ROWS($1:20)&gt;COUNT(Dong),"",OFFSET(TH!D$1,SMALL(Dong,ROWS($1:20)),))</f>
        <v>VL/N12</v>
      </c>
      <c r="C33" s="764">
        <f ca="1">IF(ROWS($1:20)&gt;COUNT(Dong),"",OFFSET(TH!E$1,SMALL(Dong,ROWS($1:20)),))</f>
        <v>42732</v>
      </c>
      <c r="D33" s="765" t="str">
        <f ca="1">IF(ROWS($1:20)&gt;COUNT(Dong),"",OFFSET(TH!F$1,SMALL(Dong,ROWS($1:20)),))</f>
        <v>VAT Củi cau su</v>
      </c>
      <c r="E33" s="766" t="str">
        <f ca="1">IF(ROWS($1:20)&gt;COUNT(Dong),"",IF(OFFSET(TH!L$1,SMALL(Dong,ROWS($1:20)),)="331",OFFSET(TH!M$1,SMALL(Dong,ROWS($1:20)),),OFFSET(TH!L$1,SMALL(Dong,ROWS($1:20)),)))</f>
        <v>1331</v>
      </c>
      <c r="F33" s="767">
        <f ca="1">IF(ROWS($1:20)&gt;COUNT(Dong),"",IF(OFFSET(TH!L$1,SMALL(Dong,ROWS($1:20)),)="331",OFFSET(TH!K$1,SMALL(Dong,ROWS($1:20)),),0))</f>
        <v>0</v>
      </c>
      <c r="G33" s="767">
        <f ca="1">IF(ROWS($1:20)&gt;COUNT(Dong),"",IF(OFFSET(TH!M$1,SMALL(Dong,ROWS($1:20)),)="331",OFFSET(TH!K$1,SMALL(Dong,ROWS($1:20)),),0))</f>
        <v>1576800</v>
      </c>
      <c r="H33" s="768">
        <f t="shared" ca="1" si="0"/>
        <v>0</v>
      </c>
      <c r="I33" s="768">
        <f t="shared" ca="1" si="1"/>
        <v>17344800</v>
      </c>
    </row>
    <row r="34" spans="1:9" s="3" customFormat="1" ht="18" customHeight="1">
      <c r="A34" s="764">
        <f ca="1">IF(ROWS($1:21)&gt;COUNT(Dong),"",OFFSET(TH!C$1,SMALL(Dong,ROWS($1:21)),))</f>
        <v>42732</v>
      </c>
      <c r="B34" s="764" t="str">
        <f ca="1">IF(ROWS($1:21)&gt;COUNT(Dong),"",OFFSET(TH!D$1,SMALL(Dong,ROWS($1:21)),))</f>
        <v>C33</v>
      </c>
      <c r="C34" s="764">
        <f ca="1">IF(ROWS($1:21)&gt;COUNT(Dong),"",OFFSET(TH!E$1,SMALL(Dong,ROWS($1:21)),))</f>
        <v>42732</v>
      </c>
      <c r="D34" s="765" t="str">
        <f ca="1">IF(ROWS($1:21)&gt;COUNT(Dong),"",OFFSET(TH!F$1,SMALL(Dong,ROWS($1:21)),))</f>
        <v>Thanh toán tiền hàng</v>
      </c>
      <c r="E34" s="766" t="str">
        <f ca="1">IF(ROWS($1:21)&gt;COUNT(Dong),"",IF(OFFSET(TH!L$1,SMALL(Dong,ROWS($1:21)),)="331",OFFSET(TH!M$1,SMALL(Dong,ROWS($1:21)),),OFFSET(TH!L$1,SMALL(Dong,ROWS($1:21)),)))</f>
        <v>1111</v>
      </c>
      <c r="F34" s="767">
        <f ca="1">IF(ROWS($1:21)&gt;COUNT(Dong),"",IF(OFFSET(TH!L$1,SMALL(Dong,ROWS($1:21)),)="331",OFFSET(TH!K$1,SMALL(Dong,ROWS($1:21)),),0))</f>
        <v>17344800</v>
      </c>
      <c r="G34" s="767">
        <f ca="1">IF(ROWS($1:21)&gt;COUNT(Dong),"",IF(OFFSET(TH!M$1,SMALL(Dong,ROWS($1:21)),)="331",OFFSET(TH!K$1,SMALL(Dong,ROWS($1:21)),),0))</f>
        <v>0</v>
      </c>
      <c r="H34" s="768">
        <f t="shared" ca="1" si="0"/>
        <v>0</v>
      </c>
      <c r="I34" s="768">
        <f t="shared" ca="1" si="1"/>
        <v>0</v>
      </c>
    </row>
    <row r="35" spans="1:9" s="3" customFormat="1" ht="18" customHeight="1">
      <c r="A35" s="764">
        <f ca="1">IF(ROWS($1:22)&gt;COUNT(Dong),"",OFFSET(TH!C$1,SMALL(Dong,ROWS($1:22)),))</f>
        <v>42734</v>
      </c>
      <c r="B35" s="764" t="str">
        <f ca="1">IF(ROWS($1:22)&gt;COUNT(Dong),"",OFFSET(TH!D$1,SMALL(Dong,ROWS($1:22)),))</f>
        <v>VL/N13</v>
      </c>
      <c r="C35" s="764">
        <f ca="1">IF(ROWS($1:22)&gt;COUNT(Dong),"",OFFSET(TH!E$1,SMALL(Dong,ROWS($1:22)),))</f>
        <v>42734</v>
      </c>
      <c r="D35" s="765" t="str">
        <f ca="1">IF(ROWS($1:22)&gt;COUNT(Dong),"",OFFSET(TH!F$1,SMALL(Dong,ROWS($1:22)),))</f>
        <v>Củi cau su</v>
      </c>
      <c r="E35" s="766" t="str">
        <f ca="1">IF(ROWS($1:22)&gt;COUNT(Dong),"",IF(OFFSET(TH!L$1,SMALL(Dong,ROWS($1:22)),)="331",OFFSET(TH!M$1,SMALL(Dong,ROWS($1:22)),),OFFSET(TH!L$1,SMALL(Dong,ROWS($1:22)),)))</f>
        <v>1522</v>
      </c>
      <c r="F35" s="767">
        <f ca="1">IF(ROWS($1:22)&gt;COUNT(Dong),"",IF(OFFSET(TH!L$1,SMALL(Dong,ROWS($1:22)),)="331",OFFSET(TH!K$1,SMALL(Dong,ROWS($1:22)),),0))</f>
        <v>0</v>
      </c>
      <c r="G35" s="767">
        <f ca="1">IF(ROWS($1:22)&gt;COUNT(Dong),"",IF(OFFSET(TH!M$1,SMALL(Dong,ROWS($1:22)),)="331",OFFSET(TH!K$1,SMALL(Dong,ROWS($1:22)),),0))</f>
        <v>6288000</v>
      </c>
      <c r="H35" s="768">
        <f t="shared" ca="1" si="0"/>
        <v>0</v>
      </c>
      <c r="I35" s="768">
        <f t="shared" ca="1" si="1"/>
        <v>6288000</v>
      </c>
    </row>
    <row r="36" spans="1:9" s="3" customFormat="1" ht="18" customHeight="1">
      <c r="A36" s="764">
        <f ca="1">IF(ROWS($1:23)&gt;COUNT(Dong),"",OFFSET(TH!C$1,SMALL(Dong,ROWS($1:23)),))</f>
        <v>42734</v>
      </c>
      <c r="B36" s="764" t="str">
        <f ca="1">IF(ROWS($1:23)&gt;COUNT(Dong),"",OFFSET(TH!D$1,SMALL(Dong,ROWS($1:23)),))</f>
        <v>VL/N13</v>
      </c>
      <c r="C36" s="764">
        <f ca="1">IF(ROWS($1:23)&gt;COUNT(Dong),"",OFFSET(TH!E$1,SMALL(Dong,ROWS($1:23)),))</f>
        <v>42734</v>
      </c>
      <c r="D36" s="765" t="str">
        <f ca="1">IF(ROWS($1:23)&gt;COUNT(Dong),"",OFFSET(TH!F$1,SMALL(Dong,ROWS($1:23)),))</f>
        <v>VAT Củi cau su</v>
      </c>
      <c r="E36" s="766" t="str">
        <f ca="1">IF(ROWS($1:23)&gt;COUNT(Dong),"",IF(OFFSET(TH!L$1,SMALL(Dong,ROWS($1:23)),)="331",OFFSET(TH!M$1,SMALL(Dong,ROWS($1:23)),),OFFSET(TH!L$1,SMALL(Dong,ROWS($1:23)),)))</f>
        <v>1331</v>
      </c>
      <c r="F36" s="767">
        <f ca="1">IF(ROWS($1:23)&gt;COUNT(Dong),"",IF(OFFSET(TH!L$1,SMALL(Dong,ROWS($1:23)),)="331",OFFSET(TH!K$1,SMALL(Dong,ROWS($1:23)),),0))</f>
        <v>0</v>
      </c>
      <c r="G36" s="767">
        <f ca="1">IF(ROWS($1:23)&gt;COUNT(Dong),"",IF(OFFSET(TH!M$1,SMALL(Dong,ROWS($1:23)),)="331",OFFSET(TH!K$1,SMALL(Dong,ROWS($1:23)),),0))</f>
        <v>628800</v>
      </c>
      <c r="H36" s="768">
        <f t="shared" ca="1" si="0"/>
        <v>0</v>
      </c>
      <c r="I36" s="768">
        <f t="shared" ca="1" si="1"/>
        <v>6916800</v>
      </c>
    </row>
    <row r="37" spans="1:9" s="3" customFormat="1" ht="18" customHeight="1">
      <c r="A37" s="764">
        <f ca="1">IF(ROWS($1:24)&gt;COUNT(Dong),"",OFFSET(TH!C$1,SMALL(Dong,ROWS($1:24)),))</f>
        <v>42734</v>
      </c>
      <c r="B37" s="764" t="str">
        <f ca="1">IF(ROWS($1:24)&gt;COUNT(Dong),"",OFFSET(TH!D$1,SMALL(Dong,ROWS($1:24)),))</f>
        <v>C35</v>
      </c>
      <c r="C37" s="764">
        <f ca="1">IF(ROWS($1:24)&gt;COUNT(Dong),"",OFFSET(TH!E$1,SMALL(Dong,ROWS($1:24)),))</f>
        <v>42734</v>
      </c>
      <c r="D37" s="765" t="str">
        <f ca="1">IF(ROWS($1:24)&gt;COUNT(Dong),"",OFFSET(TH!F$1,SMALL(Dong,ROWS($1:24)),))</f>
        <v>Thanh toán tiền hàng</v>
      </c>
      <c r="E37" s="766" t="str">
        <f ca="1">IF(ROWS($1:24)&gt;COUNT(Dong),"",IF(OFFSET(TH!L$1,SMALL(Dong,ROWS($1:24)),)="331",OFFSET(TH!M$1,SMALL(Dong,ROWS($1:24)),),OFFSET(TH!L$1,SMALL(Dong,ROWS($1:24)),)))</f>
        <v>1111</v>
      </c>
      <c r="F37" s="767">
        <f ca="1">IF(ROWS($1:24)&gt;COUNT(Dong),"",IF(OFFSET(TH!L$1,SMALL(Dong,ROWS($1:24)),)="331",OFFSET(TH!K$1,SMALL(Dong,ROWS($1:24)),),0))</f>
        <v>6916800</v>
      </c>
      <c r="G37" s="767">
        <f ca="1">IF(ROWS($1:24)&gt;COUNT(Dong),"",IF(OFFSET(TH!M$1,SMALL(Dong,ROWS($1:24)),)="331",OFFSET(TH!K$1,SMALL(Dong,ROWS($1:24)),),0))</f>
        <v>0</v>
      </c>
      <c r="H37" s="768">
        <f t="shared" ca="1" si="0"/>
        <v>0</v>
      </c>
      <c r="I37" s="768">
        <f t="shared" ca="1" si="1"/>
        <v>0</v>
      </c>
    </row>
    <row r="38" spans="1:9" s="3" customFormat="1" ht="18" customHeight="1">
      <c r="A38" s="764" t="str">
        <f ca="1">IF(ROWS($1:25)&gt;COUNT(Dong),"",OFFSET(TH!C$1,SMALL(Dong,ROWS($1:25)),))</f>
        <v/>
      </c>
      <c r="B38" s="764" t="str">
        <f ca="1">IF(ROWS($1:25)&gt;COUNT(Dong),"",OFFSET(TH!D$1,SMALL(Dong,ROWS($1:25)),))</f>
        <v/>
      </c>
      <c r="C38" s="764" t="str">
        <f ca="1">IF(ROWS($1:25)&gt;COUNT(Dong),"",OFFSET(TH!E$1,SMALL(Dong,ROWS($1:25)),))</f>
        <v/>
      </c>
      <c r="D38" s="765" t="str">
        <f ca="1">IF(ROWS($1:25)&gt;COUNT(Dong),"",OFFSET(TH!F$1,SMALL(Dong,ROWS($1:25)),))</f>
        <v/>
      </c>
      <c r="E38" s="766" t="str">
        <f ca="1">IF(ROWS($1:25)&gt;COUNT(Dong),"",IF(OFFSET(TH!L$1,SMALL(Dong,ROWS($1:25)),)="331",OFFSET(TH!M$1,SMALL(Dong,ROWS($1:25)),),OFFSET(TH!L$1,SMALL(Dong,ROWS($1:25)),)))</f>
        <v/>
      </c>
      <c r="F38" s="767" t="str">
        <f ca="1">IF(ROWS($1:25)&gt;COUNT(Dong),"",IF(OFFSET(TH!L$1,SMALL(Dong,ROWS($1:25)),)="331",OFFSET(TH!K$1,SMALL(Dong,ROWS($1:25)),),0))</f>
        <v/>
      </c>
      <c r="G38" s="767" t="str">
        <f ca="1">IF(ROWS($1:25)&gt;COUNT(Dong),"",IF(OFFSET(TH!M$1,SMALL(Dong,ROWS($1:25)),)="331",OFFSET(TH!K$1,SMALL(Dong,ROWS($1:25)),),0))</f>
        <v/>
      </c>
      <c r="H38" s="768">
        <f t="shared" ca="1" si="0"/>
        <v>0</v>
      </c>
      <c r="I38" s="768">
        <f t="shared" ca="1" si="1"/>
        <v>0</v>
      </c>
    </row>
    <row r="39" spans="1:9" s="3" customFormat="1" ht="18" customHeight="1">
      <c r="A39" s="764" t="str">
        <f ca="1">IF(ROWS($1:26)&gt;COUNT(Dong),"",OFFSET(TH!C$1,SMALL(Dong,ROWS($1:26)),))</f>
        <v/>
      </c>
      <c r="B39" s="764" t="str">
        <f ca="1">IF(ROWS($1:26)&gt;COUNT(Dong),"",OFFSET(TH!D$1,SMALL(Dong,ROWS($1:26)),))</f>
        <v/>
      </c>
      <c r="C39" s="764" t="str">
        <f ca="1">IF(ROWS($1:26)&gt;COUNT(Dong),"",OFFSET(TH!E$1,SMALL(Dong,ROWS($1:26)),))</f>
        <v/>
      </c>
      <c r="D39" s="765" t="str">
        <f ca="1">IF(ROWS($1:26)&gt;COUNT(Dong),"",OFFSET(TH!F$1,SMALL(Dong,ROWS($1:26)),))</f>
        <v/>
      </c>
      <c r="E39" s="766" t="str">
        <f ca="1">IF(ROWS($1:26)&gt;COUNT(Dong),"",IF(OFFSET(TH!L$1,SMALL(Dong,ROWS($1:26)),)="331",OFFSET(TH!M$1,SMALL(Dong,ROWS($1:26)),),OFFSET(TH!L$1,SMALL(Dong,ROWS($1:26)),)))</f>
        <v/>
      </c>
      <c r="F39" s="767" t="str">
        <f ca="1">IF(ROWS($1:26)&gt;COUNT(Dong),"",IF(OFFSET(TH!L$1,SMALL(Dong,ROWS($1:26)),)="331",OFFSET(TH!K$1,SMALL(Dong,ROWS($1:26)),),0))</f>
        <v/>
      </c>
      <c r="G39" s="767" t="str">
        <f ca="1">IF(ROWS($1:26)&gt;COUNT(Dong),"",IF(OFFSET(TH!M$1,SMALL(Dong,ROWS($1:26)),)="331",OFFSET(TH!K$1,SMALL(Dong,ROWS($1:26)),),0))</f>
        <v/>
      </c>
      <c r="H39" s="768">
        <f t="shared" ca="1" si="0"/>
        <v>0</v>
      </c>
      <c r="I39" s="768">
        <f t="shared" ca="1" si="1"/>
        <v>0</v>
      </c>
    </row>
    <row r="40" spans="1:9" s="3" customFormat="1" ht="18" customHeight="1">
      <c r="A40" s="764" t="str">
        <f ca="1">IF(ROWS($1:27)&gt;COUNT(Dong),"",OFFSET(TH!C$1,SMALL(Dong,ROWS($1:27)),))</f>
        <v/>
      </c>
      <c r="B40" s="764" t="str">
        <f ca="1">IF(ROWS($1:27)&gt;COUNT(Dong),"",OFFSET(TH!D$1,SMALL(Dong,ROWS($1:27)),))</f>
        <v/>
      </c>
      <c r="C40" s="764" t="str">
        <f ca="1">IF(ROWS($1:27)&gt;COUNT(Dong),"",OFFSET(TH!E$1,SMALL(Dong,ROWS($1:27)),))</f>
        <v/>
      </c>
      <c r="D40" s="765" t="str">
        <f ca="1">IF(ROWS($1:27)&gt;COUNT(Dong),"",OFFSET(TH!F$1,SMALL(Dong,ROWS($1:27)),))</f>
        <v/>
      </c>
      <c r="E40" s="766" t="str">
        <f ca="1">IF(ROWS($1:27)&gt;COUNT(Dong),"",IF(OFFSET(TH!L$1,SMALL(Dong,ROWS($1:27)),)="331",OFFSET(TH!M$1,SMALL(Dong,ROWS($1:27)),),OFFSET(TH!L$1,SMALL(Dong,ROWS($1:27)),)))</f>
        <v/>
      </c>
      <c r="F40" s="767" t="str">
        <f ca="1">IF(ROWS($1:27)&gt;COUNT(Dong),"",IF(OFFSET(TH!L$1,SMALL(Dong,ROWS($1:27)),)="331",OFFSET(TH!K$1,SMALL(Dong,ROWS($1:27)),),0))</f>
        <v/>
      </c>
      <c r="G40" s="767" t="str">
        <f ca="1">IF(ROWS($1:27)&gt;COUNT(Dong),"",IF(OFFSET(TH!M$1,SMALL(Dong,ROWS($1:27)),)="331",OFFSET(TH!K$1,SMALL(Dong,ROWS($1:27)),),0))</f>
        <v/>
      </c>
      <c r="H40" s="768">
        <f t="shared" ca="1" si="0"/>
        <v>0</v>
      </c>
      <c r="I40" s="768">
        <f t="shared" ca="1" si="1"/>
        <v>0</v>
      </c>
    </row>
    <row r="41" spans="1:9" s="3" customFormat="1" ht="18" customHeight="1">
      <c r="A41" s="764" t="str">
        <f ca="1">IF(ROWS($1:28)&gt;COUNT(Dong),"",OFFSET(TH!C$1,SMALL(Dong,ROWS($1:28)),))</f>
        <v/>
      </c>
      <c r="B41" s="764" t="str">
        <f ca="1">IF(ROWS($1:28)&gt;COUNT(Dong),"",OFFSET(TH!D$1,SMALL(Dong,ROWS($1:28)),))</f>
        <v/>
      </c>
      <c r="C41" s="764" t="str">
        <f ca="1">IF(ROWS($1:28)&gt;COUNT(Dong),"",OFFSET(TH!E$1,SMALL(Dong,ROWS($1:28)),))</f>
        <v/>
      </c>
      <c r="D41" s="765" t="str">
        <f ca="1">IF(ROWS($1:28)&gt;COUNT(Dong),"",OFFSET(TH!F$1,SMALL(Dong,ROWS($1:28)),))</f>
        <v/>
      </c>
      <c r="E41" s="766" t="str">
        <f ca="1">IF(ROWS($1:28)&gt;COUNT(Dong),"",IF(OFFSET(TH!L$1,SMALL(Dong,ROWS($1:28)),)="331",OFFSET(TH!M$1,SMALL(Dong,ROWS($1:28)),),OFFSET(TH!L$1,SMALL(Dong,ROWS($1:28)),)))</f>
        <v/>
      </c>
      <c r="F41" s="767" t="str">
        <f ca="1">IF(ROWS($1:28)&gt;COUNT(Dong),"",IF(OFFSET(TH!L$1,SMALL(Dong,ROWS($1:28)),)="331",OFFSET(TH!K$1,SMALL(Dong,ROWS($1:28)),),0))</f>
        <v/>
      </c>
      <c r="G41" s="767" t="str">
        <f ca="1">IF(ROWS($1:28)&gt;COUNT(Dong),"",IF(OFFSET(TH!M$1,SMALL(Dong,ROWS($1:28)),)="331",OFFSET(TH!K$1,SMALL(Dong,ROWS($1:28)),),0))</f>
        <v/>
      </c>
      <c r="H41" s="768">
        <f t="shared" ca="1" si="0"/>
        <v>0</v>
      </c>
      <c r="I41" s="768">
        <f t="shared" ca="1" si="1"/>
        <v>0</v>
      </c>
    </row>
    <row r="42" spans="1:9" s="3" customFormat="1" ht="18" customHeight="1">
      <c r="A42" s="764" t="str">
        <f ca="1">IF(ROWS($1:29)&gt;COUNT(Dong),"",OFFSET(TH!C$1,SMALL(Dong,ROWS($1:29)),))</f>
        <v/>
      </c>
      <c r="B42" s="764" t="str">
        <f ca="1">IF(ROWS($1:29)&gt;COUNT(Dong),"",OFFSET(TH!D$1,SMALL(Dong,ROWS($1:29)),))</f>
        <v/>
      </c>
      <c r="C42" s="764" t="str">
        <f ca="1">IF(ROWS($1:29)&gt;COUNT(Dong),"",OFFSET(TH!E$1,SMALL(Dong,ROWS($1:29)),))</f>
        <v/>
      </c>
      <c r="D42" s="765" t="str">
        <f ca="1">IF(ROWS($1:29)&gt;COUNT(Dong),"",OFFSET(TH!F$1,SMALL(Dong,ROWS($1:29)),))</f>
        <v/>
      </c>
      <c r="E42" s="766" t="str">
        <f ca="1">IF(ROWS($1:29)&gt;COUNT(Dong),"",IF(OFFSET(TH!L$1,SMALL(Dong,ROWS($1:29)),)="331",OFFSET(TH!M$1,SMALL(Dong,ROWS($1:29)),),OFFSET(TH!L$1,SMALL(Dong,ROWS($1:29)),)))</f>
        <v/>
      </c>
      <c r="F42" s="767" t="str">
        <f ca="1">IF(ROWS($1:29)&gt;COUNT(Dong),"",IF(OFFSET(TH!L$1,SMALL(Dong,ROWS($1:29)),)="331",OFFSET(TH!K$1,SMALL(Dong,ROWS($1:29)),),0))</f>
        <v/>
      </c>
      <c r="G42" s="767" t="str">
        <f ca="1">IF(ROWS($1:29)&gt;COUNT(Dong),"",IF(OFFSET(TH!M$1,SMALL(Dong,ROWS($1:29)),)="331",OFFSET(TH!K$1,SMALL(Dong,ROWS($1:29)),),0))</f>
        <v/>
      </c>
      <c r="H42" s="768">
        <f t="shared" ca="1" si="0"/>
        <v>0</v>
      </c>
      <c r="I42" s="768">
        <f t="shared" ca="1" si="1"/>
        <v>0</v>
      </c>
    </row>
    <row r="43" spans="1:9" s="3" customFormat="1" ht="18" customHeight="1">
      <c r="A43" s="764" t="str">
        <f ca="1">IF(ROWS($1:30)&gt;COUNT(Dong),"",OFFSET(TH!C$1,SMALL(Dong,ROWS($1:30)),))</f>
        <v/>
      </c>
      <c r="B43" s="764" t="str">
        <f ca="1">IF(ROWS($1:30)&gt;COUNT(Dong),"",OFFSET(TH!D$1,SMALL(Dong,ROWS($1:30)),))</f>
        <v/>
      </c>
      <c r="C43" s="764" t="str">
        <f ca="1">IF(ROWS($1:30)&gt;COUNT(Dong),"",OFFSET(TH!E$1,SMALL(Dong,ROWS($1:30)),))</f>
        <v/>
      </c>
      <c r="D43" s="765" t="str">
        <f ca="1">IF(ROWS($1:30)&gt;COUNT(Dong),"",OFFSET(TH!F$1,SMALL(Dong,ROWS($1:30)),))</f>
        <v/>
      </c>
      <c r="E43" s="766" t="str">
        <f ca="1">IF(ROWS($1:30)&gt;COUNT(Dong),"",IF(OFFSET(TH!L$1,SMALL(Dong,ROWS($1:30)),)="331",OFFSET(TH!M$1,SMALL(Dong,ROWS($1:30)),),OFFSET(TH!L$1,SMALL(Dong,ROWS($1:30)),)))</f>
        <v/>
      </c>
      <c r="F43" s="767" t="str">
        <f ca="1">IF(ROWS($1:30)&gt;COUNT(Dong),"",IF(OFFSET(TH!L$1,SMALL(Dong,ROWS($1:30)),)="331",OFFSET(TH!K$1,SMALL(Dong,ROWS($1:30)),),0))</f>
        <v/>
      </c>
      <c r="G43" s="767" t="str">
        <f ca="1">IF(ROWS($1:30)&gt;COUNT(Dong),"",IF(OFFSET(TH!M$1,SMALL(Dong,ROWS($1:30)),)="331",OFFSET(TH!K$1,SMALL(Dong,ROWS($1:30)),),0))</f>
        <v/>
      </c>
      <c r="H43" s="768">
        <f t="shared" ca="1" si="0"/>
        <v>0</v>
      </c>
      <c r="I43" s="768">
        <f t="shared" ca="1" si="1"/>
        <v>0</v>
      </c>
    </row>
    <row r="44" spans="1:9" s="3" customFormat="1" ht="18" customHeight="1">
      <c r="A44" s="764" t="str">
        <f ca="1">IF(ROWS($1:31)&gt;COUNT(Dong),"",OFFSET(TH!C$1,SMALL(Dong,ROWS($1:31)),))</f>
        <v/>
      </c>
      <c r="B44" s="764" t="str">
        <f ca="1">IF(ROWS($1:31)&gt;COUNT(Dong),"",OFFSET(TH!D$1,SMALL(Dong,ROWS($1:31)),))</f>
        <v/>
      </c>
      <c r="C44" s="764" t="str">
        <f ca="1">IF(ROWS($1:31)&gt;COUNT(Dong),"",OFFSET(TH!E$1,SMALL(Dong,ROWS($1:31)),))</f>
        <v/>
      </c>
      <c r="D44" s="765" t="str">
        <f ca="1">IF(ROWS($1:31)&gt;COUNT(Dong),"",OFFSET(TH!F$1,SMALL(Dong,ROWS($1:31)),))</f>
        <v/>
      </c>
      <c r="E44" s="766" t="str">
        <f ca="1">IF(ROWS($1:31)&gt;COUNT(Dong),"",IF(OFFSET(TH!L$1,SMALL(Dong,ROWS($1:31)),)="331",OFFSET(TH!M$1,SMALL(Dong,ROWS($1:31)),),OFFSET(TH!L$1,SMALL(Dong,ROWS($1:31)),)))</f>
        <v/>
      </c>
      <c r="F44" s="767" t="str">
        <f ca="1">IF(ROWS($1:31)&gt;COUNT(Dong),"",IF(OFFSET(TH!L$1,SMALL(Dong,ROWS($1:31)),)="331",OFFSET(TH!K$1,SMALL(Dong,ROWS($1:31)),),0))</f>
        <v/>
      </c>
      <c r="G44" s="767" t="str">
        <f ca="1">IF(ROWS($1:31)&gt;COUNT(Dong),"",IF(OFFSET(TH!M$1,SMALL(Dong,ROWS($1:31)),)="331",OFFSET(TH!K$1,SMALL(Dong,ROWS($1:31)),),0))</f>
        <v/>
      </c>
      <c r="H44" s="768">
        <f t="shared" ca="1" si="0"/>
        <v>0</v>
      </c>
      <c r="I44" s="768">
        <f t="shared" ca="1" si="1"/>
        <v>0</v>
      </c>
    </row>
    <row r="45" spans="1:9" s="3" customFormat="1" ht="18" customHeight="1">
      <c r="A45" s="764" t="str">
        <f ca="1">IF(ROWS($1:32)&gt;COUNT(Dong),"",OFFSET(TH!C$1,SMALL(Dong,ROWS($1:32)),))</f>
        <v/>
      </c>
      <c r="B45" s="764" t="str">
        <f ca="1">IF(ROWS($1:32)&gt;COUNT(Dong),"",OFFSET(TH!D$1,SMALL(Dong,ROWS($1:32)),))</f>
        <v/>
      </c>
      <c r="C45" s="764" t="str">
        <f ca="1">IF(ROWS($1:32)&gt;COUNT(Dong),"",OFFSET(TH!E$1,SMALL(Dong,ROWS($1:32)),))</f>
        <v/>
      </c>
      <c r="D45" s="765" t="str">
        <f ca="1">IF(ROWS($1:32)&gt;COUNT(Dong),"",OFFSET(TH!F$1,SMALL(Dong,ROWS($1:32)),))</f>
        <v/>
      </c>
      <c r="E45" s="766" t="str">
        <f ca="1">IF(ROWS($1:32)&gt;COUNT(Dong),"",IF(OFFSET(TH!L$1,SMALL(Dong,ROWS($1:32)),)="331",OFFSET(TH!M$1,SMALL(Dong,ROWS($1:32)),),OFFSET(TH!L$1,SMALL(Dong,ROWS($1:32)),)))</f>
        <v/>
      </c>
      <c r="F45" s="767" t="str">
        <f ca="1">IF(ROWS($1:32)&gt;COUNT(Dong),"",IF(OFFSET(TH!L$1,SMALL(Dong,ROWS($1:32)),)="331",OFFSET(TH!K$1,SMALL(Dong,ROWS($1:32)),),0))</f>
        <v/>
      </c>
      <c r="G45" s="767" t="str">
        <f ca="1">IF(ROWS($1:32)&gt;COUNT(Dong),"",IF(OFFSET(TH!M$1,SMALL(Dong,ROWS($1:32)),)="331",OFFSET(TH!K$1,SMALL(Dong,ROWS($1:32)),),0))</f>
        <v/>
      </c>
      <c r="H45" s="768">
        <f t="shared" ca="1" si="0"/>
        <v>0</v>
      </c>
      <c r="I45" s="768">
        <f t="shared" ca="1" si="1"/>
        <v>0</v>
      </c>
    </row>
    <row r="46" spans="1:9" s="3" customFormat="1" ht="18" customHeight="1">
      <c r="A46" s="764" t="str">
        <f ca="1">IF(ROWS($1:33)&gt;COUNT(Dong),"",OFFSET(TH!C$1,SMALL(Dong,ROWS($1:33)),))</f>
        <v/>
      </c>
      <c r="B46" s="764" t="str">
        <f ca="1">IF(ROWS($1:33)&gt;COUNT(Dong),"",OFFSET(TH!D$1,SMALL(Dong,ROWS($1:33)),))</f>
        <v/>
      </c>
      <c r="C46" s="764" t="str">
        <f ca="1">IF(ROWS($1:33)&gt;COUNT(Dong),"",OFFSET(TH!E$1,SMALL(Dong,ROWS($1:33)),))</f>
        <v/>
      </c>
      <c r="D46" s="765" t="str">
        <f ca="1">IF(ROWS($1:33)&gt;COUNT(Dong),"",OFFSET(TH!F$1,SMALL(Dong,ROWS($1:33)),))</f>
        <v/>
      </c>
      <c r="E46" s="766" t="str">
        <f ca="1">IF(ROWS($1:33)&gt;COUNT(Dong),"",IF(OFFSET(TH!L$1,SMALL(Dong,ROWS($1:33)),)="331",OFFSET(TH!M$1,SMALL(Dong,ROWS($1:33)),),OFFSET(TH!L$1,SMALL(Dong,ROWS($1:33)),)))</f>
        <v/>
      </c>
      <c r="F46" s="767" t="str">
        <f ca="1">IF(ROWS($1:33)&gt;COUNT(Dong),"",IF(OFFSET(TH!L$1,SMALL(Dong,ROWS($1:33)),)="331",OFFSET(TH!K$1,SMALL(Dong,ROWS($1:33)),),0))</f>
        <v/>
      </c>
      <c r="G46" s="767" t="str">
        <f ca="1">IF(ROWS($1:33)&gt;COUNT(Dong),"",IF(OFFSET(TH!M$1,SMALL(Dong,ROWS($1:33)),)="331",OFFSET(TH!K$1,SMALL(Dong,ROWS($1:33)),),0))</f>
        <v/>
      </c>
      <c r="H46" s="768">
        <f t="shared" ca="1" si="0"/>
        <v>0</v>
      </c>
      <c r="I46" s="768">
        <f t="shared" ca="1" si="1"/>
        <v>0</v>
      </c>
    </row>
    <row r="47" spans="1:9" s="3" customFormat="1" ht="18" customHeight="1">
      <c r="A47" s="764" t="str">
        <f ca="1">IF(ROWS($1:34)&gt;COUNT(Dong),"",OFFSET(TH!C$1,SMALL(Dong,ROWS($1:34)),))</f>
        <v/>
      </c>
      <c r="B47" s="764" t="str">
        <f ca="1">IF(ROWS($1:34)&gt;COUNT(Dong),"",OFFSET(TH!D$1,SMALL(Dong,ROWS($1:34)),))</f>
        <v/>
      </c>
      <c r="C47" s="764" t="str">
        <f ca="1">IF(ROWS($1:34)&gt;COUNT(Dong),"",OFFSET(TH!E$1,SMALL(Dong,ROWS($1:34)),))</f>
        <v/>
      </c>
      <c r="D47" s="765" t="str">
        <f ca="1">IF(ROWS($1:34)&gt;COUNT(Dong),"",OFFSET(TH!F$1,SMALL(Dong,ROWS($1:34)),))</f>
        <v/>
      </c>
      <c r="E47" s="766" t="str">
        <f ca="1">IF(ROWS($1:34)&gt;COUNT(Dong),"",IF(OFFSET(TH!L$1,SMALL(Dong,ROWS($1:34)),)="331",OFFSET(TH!M$1,SMALL(Dong,ROWS($1:34)),),OFFSET(TH!L$1,SMALL(Dong,ROWS($1:34)),)))</f>
        <v/>
      </c>
      <c r="F47" s="767" t="str">
        <f ca="1">IF(ROWS($1:34)&gt;COUNT(Dong),"",IF(OFFSET(TH!L$1,SMALL(Dong,ROWS($1:34)),)="331",OFFSET(TH!K$1,SMALL(Dong,ROWS($1:34)),),0))</f>
        <v/>
      </c>
      <c r="G47" s="767" t="str">
        <f ca="1">IF(ROWS($1:34)&gt;COUNT(Dong),"",IF(OFFSET(TH!M$1,SMALL(Dong,ROWS($1:34)),)="331",OFFSET(TH!K$1,SMALL(Dong,ROWS($1:34)),),0))</f>
        <v/>
      </c>
      <c r="H47" s="768">
        <f t="shared" ca="1" si="0"/>
        <v>0</v>
      </c>
      <c r="I47" s="768">
        <f t="shared" ca="1" si="1"/>
        <v>0</v>
      </c>
    </row>
    <row r="48" spans="1:9" s="3" customFormat="1" ht="18" customHeight="1">
      <c r="A48" s="764" t="str">
        <f ca="1">IF(ROWS($1:35)&gt;COUNT(Dong),"",OFFSET(TH!C$1,SMALL(Dong,ROWS($1:35)),))</f>
        <v/>
      </c>
      <c r="B48" s="764" t="str">
        <f ca="1">IF(ROWS($1:35)&gt;COUNT(Dong),"",OFFSET(TH!D$1,SMALL(Dong,ROWS($1:35)),))</f>
        <v/>
      </c>
      <c r="C48" s="764" t="str">
        <f ca="1">IF(ROWS($1:35)&gt;COUNT(Dong),"",OFFSET(TH!E$1,SMALL(Dong,ROWS($1:35)),))</f>
        <v/>
      </c>
      <c r="D48" s="765" t="str">
        <f ca="1">IF(ROWS($1:35)&gt;COUNT(Dong),"",OFFSET(TH!F$1,SMALL(Dong,ROWS($1:35)),))</f>
        <v/>
      </c>
      <c r="E48" s="766" t="str">
        <f ca="1">IF(ROWS($1:35)&gt;COUNT(Dong),"",IF(OFFSET(TH!L$1,SMALL(Dong,ROWS($1:35)),)="331",OFFSET(TH!M$1,SMALL(Dong,ROWS($1:35)),),OFFSET(TH!L$1,SMALL(Dong,ROWS($1:35)),)))</f>
        <v/>
      </c>
      <c r="F48" s="767" t="str">
        <f ca="1">IF(ROWS($1:35)&gt;COUNT(Dong),"",IF(OFFSET(TH!L$1,SMALL(Dong,ROWS($1:35)),)="331",OFFSET(TH!K$1,SMALL(Dong,ROWS($1:35)),),0))</f>
        <v/>
      </c>
      <c r="G48" s="767" t="str">
        <f ca="1">IF(ROWS($1:35)&gt;COUNT(Dong),"",IF(OFFSET(TH!M$1,SMALL(Dong,ROWS($1:35)),)="331",OFFSET(TH!K$1,SMALL(Dong,ROWS($1:35)),),0))</f>
        <v/>
      </c>
      <c r="H48" s="768">
        <f t="shared" ca="1" si="0"/>
        <v>0</v>
      </c>
      <c r="I48" s="768">
        <f t="shared" ca="1" si="1"/>
        <v>0</v>
      </c>
    </row>
    <row r="49" spans="1:10" s="3" customFormat="1" ht="18" customHeight="1">
      <c r="A49" s="764" t="str">
        <f ca="1">IF(ROWS($1:36)&gt;COUNT(Dong),"",OFFSET(TH!C$1,SMALL(Dong,ROWS($1:36)),))</f>
        <v/>
      </c>
      <c r="B49" s="764" t="str">
        <f ca="1">IF(ROWS($1:36)&gt;COUNT(Dong),"",OFFSET(TH!D$1,SMALL(Dong,ROWS($1:36)),))</f>
        <v/>
      </c>
      <c r="C49" s="764" t="str">
        <f ca="1">IF(ROWS($1:36)&gt;COUNT(Dong),"",OFFSET(TH!E$1,SMALL(Dong,ROWS($1:36)),))</f>
        <v/>
      </c>
      <c r="D49" s="765" t="str">
        <f ca="1">IF(ROWS($1:36)&gt;COUNT(Dong),"",OFFSET(TH!F$1,SMALL(Dong,ROWS($1:36)),))</f>
        <v/>
      </c>
      <c r="E49" s="766" t="str">
        <f ca="1">IF(ROWS($1:36)&gt;COUNT(Dong),"",IF(OFFSET(TH!L$1,SMALL(Dong,ROWS($1:36)),)="331",OFFSET(TH!M$1,SMALL(Dong,ROWS($1:36)),),OFFSET(TH!L$1,SMALL(Dong,ROWS($1:36)),)))</f>
        <v/>
      </c>
      <c r="F49" s="767" t="str">
        <f ca="1">IF(ROWS($1:36)&gt;COUNT(Dong),"",IF(OFFSET(TH!L$1,SMALL(Dong,ROWS($1:36)),)="331",OFFSET(TH!K$1,SMALL(Dong,ROWS($1:36)),),0))</f>
        <v/>
      </c>
      <c r="G49" s="767" t="str">
        <f ca="1">IF(ROWS($1:36)&gt;COUNT(Dong),"",IF(OFFSET(TH!M$1,SMALL(Dong,ROWS($1:36)),)="331",OFFSET(TH!K$1,SMALL(Dong,ROWS($1:36)),),0))</f>
        <v/>
      </c>
      <c r="H49" s="768">
        <f t="shared" ca="1" si="0"/>
        <v>0</v>
      </c>
      <c r="I49" s="768">
        <f t="shared" ca="1" si="1"/>
        <v>0</v>
      </c>
    </row>
    <row r="50" spans="1:10" s="3" customFormat="1" ht="18" customHeight="1">
      <c r="A50" s="764"/>
      <c r="B50" s="764"/>
      <c r="C50" s="764"/>
      <c r="D50" s="765"/>
      <c r="E50" s="766"/>
      <c r="F50" s="767"/>
      <c r="G50" s="767"/>
      <c r="H50" s="768"/>
      <c r="I50" s="768"/>
    </row>
    <row r="51" spans="1:10" s="3" customFormat="1" ht="18" customHeight="1">
      <c r="A51" s="763"/>
      <c r="B51" s="681"/>
      <c r="C51" s="769"/>
      <c r="D51" s="762" t="s">
        <v>32</v>
      </c>
      <c r="E51" s="681" t="s">
        <v>19</v>
      </c>
      <c r="F51" s="770">
        <f ca="1">SUM(F14:F50)</f>
        <v>103992460</v>
      </c>
      <c r="G51" s="770">
        <f ca="1">SUM(G14:G50)</f>
        <v>103992460</v>
      </c>
      <c r="H51" s="770" t="s">
        <v>19</v>
      </c>
      <c r="I51" s="770" t="s">
        <v>19</v>
      </c>
    </row>
    <row r="52" spans="1:10" s="3" customFormat="1" ht="18" customHeight="1">
      <c r="A52" s="763"/>
      <c r="B52" s="681"/>
      <c r="C52" s="681"/>
      <c r="D52" s="762" t="s">
        <v>10</v>
      </c>
      <c r="E52" s="681" t="s">
        <v>19</v>
      </c>
      <c r="F52" s="770" t="s">
        <v>19</v>
      </c>
      <c r="G52" s="770" t="s">
        <v>19</v>
      </c>
      <c r="H52" s="770">
        <f ca="1">MAX(H13+F51-G51-I13,0)</f>
        <v>0</v>
      </c>
      <c r="I52" s="770">
        <f ca="1">MAX(I13+G51-F51-H13,0)</f>
        <v>0</v>
      </c>
    </row>
    <row r="53" spans="1:10" s="3" customFormat="1" ht="6" customHeight="1">
      <c r="B53" s="664"/>
      <c r="C53" s="664"/>
      <c r="E53" s="664"/>
    </row>
    <row r="54" spans="1:10" s="3" customFormat="1" ht="14.25" customHeight="1">
      <c r="A54" s="771" t="s">
        <v>147</v>
      </c>
      <c r="B54" s="664"/>
      <c r="C54" s="664"/>
      <c r="E54" s="664"/>
      <c r="J54" s="771" t="s">
        <v>147</v>
      </c>
    </row>
    <row r="55" spans="1:10" s="3" customFormat="1" ht="14.25" customHeight="1">
      <c r="A55" s="771" t="str">
        <f ca="1">"- Ngày mở sổ: "&amp;DAY($A$14)&amp;"/"&amp;MONTH($A$14)&amp;"/ " &amp;YEAR($A$14)</f>
        <v>- Ngày mở sổ: 13/8/ 2016</v>
      </c>
      <c r="B55" s="664"/>
      <c r="C55" s="664"/>
      <c r="E55" s="664"/>
      <c r="J55" s="771" t="s">
        <v>33</v>
      </c>
    </row>
    <row r="56" spans="1:10" s="3" customFormat="1" ht="14.25" customHeight="1">
      <c r="B56" s="664"/>
      <c r="C56" s="664"/>
      <c r="E56" s="863" t="str">
        <f ca="1">"Ngày 31 tháng  12  năm  "&amp;YEAR($A$14)</f>
        <v>Ngày 31 tháng  12  năm  2016</v>
      </c>
      <c r="F56" s="863"/>
      <c r="G56" s="863"/>
      <c r="H56" s="863"/>
      <c r="I56" s="863"/>
    </row>
    <row r="57" spans="1:10" s="3" customFormat="1" ht="14.25" customHeight="1">
      <c r="C57" s="664" t="s">
        <v>11</v>
      </c>
      <c r="E57" s="863" t="s">
        <v>12</v>
      </c>
      <c r="F57" s="863"/>
      <c r="G57" s="863"/>
      <c r="H57" s="863"/>
      <c r="I57" s="863"/>
    </row>
    <row r="58" spans="1:10" s="3" customFormat="1" ht="14.25" customHeight="1">
      <c r="C58" s="664" t="s">
        <v>13</v>
      </c>
      <c r="E58" s="863" t="s">
        <v>13</v>
      </c>
      <c r="F58" s="863"/>
      <c r="G58" s="863"/>
      <c r="H58" s="863"/>
      <c r="I58" s="863"/>
    </row>
  </sheetData>
  <autoFilter ref="A12:I21"/>
  <mergeCells count="14">
    <mergeCell ref="E57:I57"/>
    <mergeCell ref="E58:I58"/>
    <mergeCell ref="A10:A11"/>
    <mergeCell ref="G1:I1"/>
    <mergeCell ref="G2:I3"/>
    <mergeCell ref="E56:I56"/>
    <mergeCell ref="C9:I9"/>
    <mergeCell ref="B10:C10"/>
    <mergeCell ref="D10:D11"/>
    <mergeCell ref="E10:E11"/>
    <mergeCell ref="F10:G10"/>
    <mergeCell ref="H10:I10"/>
    <mergeCell ref="A4:I4"/>
    <mergeCell ref="E7:H7"/>
  </mergeCells>
  <dataValidations count="1">
    <dataValidation type="list" allowBlank="1" showInputMessage="1" showErrorMessage="1" sqref="E7">
      <formula1>DSKH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zoomScale="90" workbookViewId="0">
      <selection activeCell="D14" sqref="D14"/>
    </sheetView>
  </sheetViews>
  <sheetFormatPr defaultRowHeight="15"/>
  <cols>
    <col min="1" max="1" width="9.7109375" style="146" customWidth="1"/>
    <col min="2" max="2" width="7" style="146" customWidth="1"/>
    <col min="3" max="3" width="9.140625" style="146"/>
    <col min="4" max="4" width="40.140625" style="146" customWidth="1"/>
    <col min="5" max="5" width="6.5703125" style="146" customWidth="1"/>
    <col min="6" max="8" width="10" style="146" customWidth="1"/>
    <col min="9" max="9" width="13.7109375" style="146" customWidth="1"/>
    <col min="10" max="10" width="10" style="146" customWidth="1"/>
    <col min="11" max="11" width="8.7109375" style="146" customWidth="1"/>
    <col min="12" max="12" width="15" style="146" customWidth="1"/>
    <col min="13" max="13" width="10" style="146" customWidth="1"/>
    <col min="14" max="14" width="9.42578125" style="146" customWidth="1"/>
    <col min="15" max="16384" width="9.140625" style="146"/>
  </cols>
  <sheetData>
    <row r="2" spans="1:14">
      <c r="A2" s="387" t="str">
        <f>TH!$A$1</f>
        <v>Đơn vị: CÔNG TY TNHH BAO BÌ GIẤY KIM DUNG PHÁT</v>
      </c>
      <c r="C2" s="147"/>
      <c r="F2" s="666"/>
      <c r="G2" s="666"/>
      <c r="H2" s="666"/>
      <c r="I2" s="666"/>
      <c r="J2" s="904" t="s">
        <v>173</v>
      </c>
      <c r="K2" s="904"/>
      <c r="L2" s="904"/>
      <c r="M2" s="904"/>
      <c r="N2" s="666"/>
    </row>
    <row r="3" spans="1:14">
      <c r="A3" s="416" t="str">
        <f>TH!$A$2</f>
        <v>Địa chỉ: Ấp Rừng Sến, xã Mỹ Hạnh Bắc, Huyện Đức Hòa, Tỉnh Long An, Việt Nam</v>
      </c>
      <c r="C3" s="147"/>
      <c r="F3" s="665"/>
      <c r="G3" s="665"/>
      <c r="H3" s="665"/>
      <c r="I3" s="665"/>
      <c r="J3" s="912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912"/>
      <c r="L3" s="912"/>
      <c r="M3" s="912"/>
      <c r="N3" s="665"/>
    </row>
    <row r="4" spans="1:14">
      <c r="F4" s="665"/>
      <c r="G4" s="665"/>
      <c r="H4" s="665"/>
      <c r="I4" s="665"/>
      <c r="J4" s="912"/>
      <c r="K4" s="912"/>
      <c r="L4" s="912"/>
      <c r="M4" s="912"/>
      <c r="N4" s="665"/>
    </row>
    <row r="5" spans="1:14" ht="23.25" customHeight="1">
      <c r="A5" s="903" t="s">
        <v>174</v>
      </c>
      <c r="B5" s="903"/>
      <c r="C5" s="903"/>
      <c r="D5" s="903"/>
      <c r="E5" s="903"/>
      <c r="F5" s="903"/>
      <c r="G5" s="903"/>
      <c r="H5" s="903"/>
      <c r="I5" s="903"/>
      <c r="J5" s="903"/>
      <c r="K5" s="903"/>
      <c r="L5" s="903"/>
      <c r="M5" s="903"/>
      <c r="N5" s="903"/>
    </row>
    <row r="6" spans="1:14">
      <c r="A6" s="904" t="s">
        <v>206</v>
      </c>
      <c r="B6" s="904" t="s">
        <v>175</v>
      </c>
      <c r="C6" s="904"/>
      <c r="D6" s="904"/>
      <c r="E6" s="904"/>
      <c r="F6" s="904"/>
      <c r="G6" s="904"/>
      <c r="H6" s="904"/>
      <c r="I6" s="904"/>
      <c r="J6" s="904"/>
      <c r="K6" s="904"/>
      <c r="L6" s="904"/>
      <c r="M6" s="904"/>
      <c r="N6" s="904"/>
    </row>
    <row r="7" spans="1:14">
      <c r="C7" s="905"/>
      <c r="D7" s="905"/>
      <c r="E7" s="905"/>
      <c r="F7" s="905"/>
      <c r="G7" s="905"/>
      <c r="H7" s="905"/>
      <c r="I7" s="905"/>
      <c r="J7" s="905"/>
      <c r="K7" s="905"/>
      <c r="L7" s="905"/>
      <c r="M7" s="905"/>
      <c r="N7" s="905"/>
    </row>
    <row r="8" spans="1:14" ht="15.75" customHeight="1">
      <c r="A8" s="906" t="s">
        <v>20</v>
      </c>
      <c r="B8" s="907" t="s">
        <v>1</v>
      </c>
      <c r="C8" s="908"/>
      <c r="D8" s="906" t="s">
        <v>0</v>
      </c>
      <c r="E8" s="906" t="s">
        <v>14</v>
      </c>
      <c r="F8" s="911" t="s">
        <v>21</v>
      </c>
      <c r="G8" s="911"/>
      <c r="H8" s="911"/>
      <c r="I8" s="911"/>
      <c r="J8" s="911"/>
      <c r="K8" s="911"/>
      <c r="L8" s="911" t="s">
        <v>30</v>
      </c>
      <c r="M8" s="911"/>
      <c r="N8" s="911"/>
    </row>
    <row r="9" spans="1:14" ht="15.75" customHeight="1">
      <c r="A9" s="906"/>
      <c r="B9" s="909"/>
      <c r="C9" s="910"/>
      <c r="D9" s="906"/>
      <c r="E9" s="906"/>
      <c r="F9" s="911" t="s">
        <v>176</v>
      </c>
      <c r="G9" s="911"/>
      <c r="H9" s="911"/>
      <c r="I9" s="911" t="s">
        <v>177</v>
      </c>
      <c r="J9" s="911"/>
      <c r="K9" s="911"/>
      <c r="L9" s="906" t="s">
        <v>178</v>
      </c>
      <c r="M9" s="906" t="s">
        <v>179</v>
      </c>
      <c r="N9" s="906" t="s">
        <v>180</v>
      </c>
    </row>
    <row r="10" spans="1:14" ht="15.75" customHeight="1">
      <c r="A10" s="906"/>
      <c r="B10" s="914" t="s">
        <v>15</v>
      </c>
      <c r="C10" s="914" t="s">
        <v>31</v>
      </c>
      <c r="D10" s="906"/>
      <c r="E10" s="906"/>
      <c r="F10" s="916" t="s">
        <v>178</v>
      </c>
      <c r="G10" s="916" t="s">
        <v>179</v>
      </c>
      <c r="H10" s="916" t="s">
        <v>180</v>
      </c>
      <c r="I10" s="916" t="s">
        <v>178</v>
      </c>
      <c r="J10" s="916" t="s">
        <v>179</v>
      </c>
      <c r="K10" s="916" t="s">
        <v>180</v>
      </c>
      <c r="L10" s="913"/>
      <c r="M10" s="913"/>
      <c r="N10" s="913"/>
    </row>
    <row r="11" spans="1:14">
      <c r="A11" s="906"/>
      <c r="B11" s="915"/>
      <c r="C11" s="915"/>
      <c r="D11" s="906"/>
      <c r="E11" s="906"/>
      <c r="F11" s="917"/>
      <c r="G11" s="917"/>
      <c r="H11" s="917"/>
      <c r="I11" s="917"/>
      <c r="J11" s="917"/>
      <c r="K11" s="917"/>
      <c r="L11" s="913"/>
      <c r="M11" s="913"/>
      <c r="N11" s="913"/>
    </row>
    <row r="12" spans="1:14" s="665" customFormat="1">
      <c r="A12" s="148" t="s">
        <v>2</v>
      </c>
      <c r="B12" s="149" t="s">
        <v>3</v>
      </c>
      <c r="C12" s="148" t="s">
        <v>4</v>
      </c>
      <c r="D12" s="148" t="s">
        <v>5</v>
      </c>
      <c r="E12" s="148" t="s">
        <v>6</v>
      </c>
      <c r="F12" s="148">
        <v>1</v>
      </c>
      <c r="G12" s="148"/>
      <c r="H12" s="148"/>
      <c r="I12" s="148"/>
      <c r="J12" s="148"/>
      <c r="K12" s="148"/>
      <c r="L12" s="148"/>
      <c r="M12" s="148"/>
      <c r="N12" s="148"/>
    </row>
    <row r="13" spans="1:14">
      <c r="A13" s="150"/>
      <c r="B13" s="150"/>
      <c r="C13" s="536"/>
      <c r="D13" s="151" t="s">
        <v>7</v>
      </c>
      <c r="E13" s="150"/>
      <c r="F13" s="150"/>
      <c r="G13" s="150"/>
      <c r="H13" s="150"/>
      <c r="I13" s="150"/>
      <c r="J13" s="150"/>
      <c r="K13" s="150"/>
      <c r="L13" s="152">
        <f>CDPS!$D$40</f>
        <v>0</v>
      </c>
      <c r="M13" s="150"/>
      <c r="N13" s="150"/>
    </row>
    <row r="14" spans="1:14">
      <c r="A14" s="535">
        <f>C14</f>
        <v>42516</v>
      </c>
      <c r="B14" s="458" t="s">
        <v>344</v>
      </c>
      <c r="C14" s="535">
        <v>42516</v>
      </c>
      <c r="D14" s="153" t="s">
        <v>359</v>
      </c>
      <c r="E14" s="458" t="s">
        <v>46</v>
      </c>
      <c r="F14" s="153"/>
      <c r="G14" s="153"/>
      <c r="H14" s="153"/>
      <c r="I14" s="201">
        <v>1800000000</v>
      </c>
      <c r="J14" s="153"/>
      <c r="K14" s="153"/>
      <c r="L14" s="460">
        <f>L13+I14-G14</f>
        <v>1800000000</v>
      </c>
      <c r="M14" s="153"/>
      <c r="N14" s="153"/>
    </row>
    <row r="15" spans="1:14">
      <c r="A15" s="458"/>
      <c r="B15" s="153"/>
      <c r="C15" s="458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4"/>
    </row>
    <row r="16" spans="1:14">
      <c r="A16" s="458"/>
      <c r="B16" s="153"/>
      <c r="C16" s="458"/>
      <c r="D16" s="155" t="s">
        <v>129</v>
      </c>
      <c r="E16" s="311" t="s">
        <v>19</v>
      </c>
      <c r="F16" s="156"/>
      <c r="G16" s="156"/>
      <c r="H16" s="156"/>
      <c r="I16" s="459">
        <f>SUM(I13:I15)</f>
        <v>1800000000</v>
      </c>
      <c r="J16" s="156"/>
      <c r="K16" s="156"/>
      <c r="L16" s="461">
        <f>L13+I16-F16</f>
        <v>1800000000</v>
      </c>
      <c r="M16" s="156"/>
      <c r="N16" s="156"/>
    </row>
    <row r="17" spans="1:14">
      <c r="A17" s="157"/>
      <c r="B17" s="157"/>
      <c r="C17" s="157"/>
      <c r="D17" s="158" t="s">
        <v>10</v>
      </c>
      <c r="E17" s="312" t="s">
        <v>19</v>
      </c>
      <c r="F17" s="157"/>
      <c r="G17" s="157"/>
      <c r="H17" s="157"/>
      <c r="I17" s="157"/>
      <c r="J17" s="157"/>
      <c r="K17" s="157"/>
      <c r="L17" s="159">
        <f>L13+L16</f>
        <v>1800000000</v>
      </c>
      <c r="M17" s="157"/>
      <c r="N17" s="157"/>
    </row>
    <row r="19" spans="1:14">
      <c r="C19" s="160" t="s">
        <v>181</v>
      </c>
    </row>
    <row r="20" spans="1:14">
      <c r="C20" s="699" t="str">
        <f>"- Ngày mở sổ: "&amp;DAY(C14)&amp;"/"&amp;MONTH(C14)&amp;"/ " &amp;YEAR(C14)</f>
        <v>- Ngày mở sổ: 26/5/ 2016</v>
      </c>
    </row>
    <row r="21" spans="1:14">
      <c r="B21" s="161"/>
      <c r="C21" s="161"/>
      <c r="D21" s="161"/>
      <c r="E21" s="902" t="str">
        <f>"Ngày 31 tháng  12  năm  "&amp;YEAR($A$14)</f>
        <v>Ngày 31 tháng  12  năm  2016</v>
      </c>
      <c r="F21" s="902"/>
      <c r="G21" s="902"/>
      <c r="H21" s="902"/>
      <c r="I21" s="902"/>
      <c r="J21" s="902"/>
      <c r="K21" s="902"/>
      <c r="L21" s="902"/>
      <c r="M21" s="902"/>
      <c r="N21" s="902"/>
    </row>
    <row r="22" spans="1:14">
      <c r="A22" s="902" t="s">
        <v>11</v>
      </c>
      <c r="B22" s="902"/>
      <c r="C22" s="902"/>
      <c r="D22" s="902"/>
      <c r="E22" s="902" t="s">
        <v>12</v>
      </c>
      <c r="F22" s="902"/>
      <c r="G22" s="902"/>
      <c r="H22" s="902"/>
      <c r="I22" s="902"/>
      <c r="J22" s="902"/>
      <c r="K22" s="902"/>
      <c r="L22" s="902"/>
      <c r="M22" s="902"/>
      <c r="N22" s="902"/>
    </row>
    <row r="23" spans="1:14">
      <c r="A23" s="902" t="s">
        <v>13</v>
      </c>
      <c r="B23" s="902"/>
      <c r="C23" s="902"/>
      <c r="D23" s="902"/>
      <c r="E23" s="902" t="s">
        <v>13</v>
      </c>
      <c r="F23" s="902"/>
      <c r="G23" s="902"/>
      <c r="H23" s="902"/>
      <c r="I23" s="902"/>
      <c r="J23" s="902"/>
      <c r="K23" s="902"/>
      <c r="L23" s="902"/>
      <c r="M23" s="902"/>
      <c r="N23" s="902"/>
    </row>
  </sheetData>
  <mergeCells count="29"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L214"/>
  <sheetViews>
    <sheetView topLeftCell="B6" zoomScale="90" zoomScaleNormal="90" workbookViewId="0">
      <pane ySplit="3" topLeftCell="A115" activePane="bottomLeft" state="frozen"/>
      <selection activeCell="B6" sqref="B6"/>
      <selection pane="bottomLeft" activeCell="B9" sqref="A9:XFD9"/>
    </sheetView>
  </sheetViews>
  <sheetFormatPr defaultRowHeight="15"/>
  <cols>
    <col min="1" max="1" width="3.7109375" style="775" hidden="1" customWidth="1"/>
    <col min="2" max="2" width="4.42578125" style="775" customWidth="1"/>
    <col min="3" max="3" width="27.140625" style="775" customWidth="1"/>
    <col min="4" max="4" width="7.7109375" style="778" customWidth="1"/>
    <col min="5" max="5" width="6.7109375" style="799" customWidth="1"/>
    <col min="6" max="6" width="7.5703125" style="799" customWidth="1"/>
    <col min="7" max="7" width="9.140625" style="462" customWidth="1"/>
    <col min="8" max="8" width="14" style="462" customWidth="1"/>
    <col min="9" max="9" width="8.85546875" style="462" customWidth="1"/>
    <col min="10" max="10" width="14" style="462" customWidth="1"/>
    <col min="11" max="11" width="8.5703125" style="462" customWidth="1"/>
    <col min="12" max="12" width="13.140625" style="462" customWidth="1"/>
    <col min="13" max="16384" width="9.140625" style="775"/>
  </cols>
  <sheetData>
    <row r="1" spans="1:12" s="300" customFormat="1" ht="14.25" customHeight="1">
      <c r="B1" s="387" t="str">
        <f>TH!$A$1</f>
        <v>Đơn vị: CÔNG TY TNHH BAO BÌ GIẤY KIM DUNG PHÁT</v>
      </c>
      <c r="C1" s="162"/>
      <c r="D1" s="162"/>
      <c r="E1" s="162"/>
      <c r="F1" s="163"/>
      <c r="G1" s="163"/>
      <c r="H1" s="859" t="s">
        <v>182</v>
      </c>
      <c r="I1" s="859"/>
      <c r="J1" s="859"/>
      <c r="K1" s="859"/>
      <c r="L1" s="859"/>
    </row>
    <row r="2" spans="1:12" s="300" customFormat="1" ht="14.25" customHeight="1">
      <c r="B2" s="924" t="str">
        <f>TH!$A$2</f>
        <v>Địa chỉ: Ấp Rừng Sến, xã Mỹ Hạnh Bắc, Huyện Đức Hòa, Tỉnh Long An, Việt Nam</v>
      </c>
      <c r="C2" s="924"/>
      <c r="D2" s="924"/>
      <c r="E2" s="924"/>
      <c r="F2" s="924"/>
      <c r="G2" s="924"/>
      <c r="H2" s="860" t="str">
        <f>IF(YEAR(TH!$C$12)&gt;=2015,"(Ban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860"/>
      <c r="J2" s="860"/>
      <c r="K2" s="860"/>
      <c r="L2" s="860"/>
    </row>
    <row r="3" spans="1:12" s="300" customFormat="1" ht="14.25" customHeight="1">
      <c r="B3" s="924"/>
      <c r="C3" s="924"/>
      <c r="D3" s="924"/>
      <c r="E3" s="924"/>
      <c r="F3" s="924"/>
      <c r="G3" s="924"/>
      <c r="H3" s="860"/>
      <c r="I3" s="860"/>
      <c r="J3" s="860"/>
      <c r="K3" s="860"/>
      <c r="L3" s="860"/>
    </row>
    <row r="4" spans="1:12" s="164" customFormat="1" ht="49.5" customHeight="1">
      <c r="B4" s="922" t="s">
        <v>183</v>
      </c>
      <c r="C4" s="922"/>
      <c r="D4" s="922"/>
      <c r="E4" s="922"/>
      <c r="F4" s="922"/>
      <c r="G4" s="922"/>
      <c r="H4" s="922"/>
      <c r="I4" s="922"/>
      <c r="J4" s="922"/>
      <c r="K4" s="922"/>
      <c r="L4" s="922"/>
    </row>
    <row r="5" spans="1:12" s="164" customFormat="1" ht="15" customHeight="1">
      <c r="B5" s="923" t="s">
        <v>184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</row>
    <row r="6" spans="1:12" ht="20.25" customHeight="1">
      <c r="B6" s="918" t="s">
        <v>34</v>
      </c>
      <c r="C6" s="919" t="s">
        <v>185</v>
      </c>
      <c r="D6" s="919" t="s">
        <v>186</v>
      </c>
      <c r="E6" s="920" t="s">
        <v>187</v>
      </c>
      <c r="F6" s="920"/>
      <c r="G6" s="921" t="s">
        <v>188</v>
      </c>
      <c r="H6" s="921"/>
      <c r="I6" s="921" t="s">
        <v>189</v>
      </c>
      <c r="J6" s="921"/>
      <c r="K6" s="921" t="s">
        <v>190</v>
      </c>
      <c r="L6" s="921"/>
    </row>
    <row r="7" spans="1:12" ht="20.25" customHeight="1">
      <c r="B7" s="918"/>
      <c r="C7" s="919"/>
      <c r="D7" s="919"/>
      <c r="E7" s="777" t="s">
        <v>191</v>
      </c>
      <c r="F7" s="777" t="s">
        <v>192</v>
      </c>
      <c r="G7" s="777" t="s">
        <v>191</v>
      </c>
      <c r="H7" s="777" t="s">
        <v>192</v>
      </c>
      <c r="I7" s="777" t="s">
        <v>191</v>
      </c>
      <c r="J7" s="777" t="s">
        <v>192</v>
      </c>
      <c r="K7" s="777" t="s">
        <v>191</v>
      </c>
      <c r="L7" s="777" t="s">
        <v>192</v>
      </c>
    </row>
    <row r="8" spans="1:12" s="778" customFormat="1">
      <c r="B8" s="779" t="s">
        <v>2</v>
      </c>
      <c r="C8" s="776" t="s">
        <v>3</v>
      </c>
      <c r="D8" s="776"/>
      <c r="E8" s="777">
        <v>1</v>
      </c>
      <c r="F8" s="777">
        <v>1</v>
      </c>
      <c r="G8" s="777">
        <v>2</v>
      </c>
      <c r="H8" s="777">
        <v>2</v>
      </c>
      <c r="I8" s="777">
        <v>3</v>
      </c>
      <c r="J8" s="777">
        <v>3</v>
      </c>
      <c r="K8" s="777">
        <v>4</v>
      </c>
      <c r="L8" s="777">
        <v>4</v>
      </c>
    </row>
    <row r="9" spans="1:12" ht="18" customHeight="1">
      <c r="A9" s="462" t="str">
        <f>IF(B9&lt;&gt;"","VL","")</f>
        <v>VL</v>
      </c>
      <c r="B9" s="780">
        <f>IF(C9&lt;&gt;"",ROW()-8,"")</f>
        <v>1</v>
      </c>
      <c r="C9" s="781" t="s">
        <v>444</v>
      </c>
      <c r="D9" s="782" t="s">
        <v>326</v>
      </c>
      <c r="E9" s="768"/>
      <c r="F9" s="768"/>
      <c r="G9" s="768">
        <f t="array" ref="G9">SUM(IF("1522"&amp;C9=KHN&amp;MH,SL))</f>
        <v>119810</v>
      </c>
      <c r="H9" s="768">
        <f t="array" ref="H9">SUM(IF("1522"&amp;C9=KHN&amp;MH,TH))</f>
        <v>94538600</v>
      </c>
      <c r="I9" s="768">
        <f t="array" ref="I9">SUM(IF("1522"&amp;C9=KHC&amp;MH,SL))</f>
        <v>92240</v>
      </c>
      <c r="J9" s="768">
        <f t="array" ref="J9">SUM(IF("1522"&amp;C9=KHC&amp;MH,TH))</f>
        <v>72482600</v>
      </c>
      <c r="K9" s="768">
        <f t="shared" ref="K9:L11" si="0">E9+G9-I9</f>
        <v>27570</v>
      </c>
      <c r="L9" s="768">
        <f t="shared" si="0"/>
        <v>22056000</v>
      </c>
    </row>
    <row r="10" spans="1:12" ht="18" customHeight="1">
      <c r="A10" s="462" t="str">
        <f>IF(B10&lt;&gt;"","VL","")</f>
        <v>VL</v>
      </c>
      <c r="B10" s="780">
        <f t="shared" ref="B10:B12" si="1">IF(C10&lt;&gt;"",ROW()-8,"")</f>
        <v>2</v>
      </c>
      <c r="C10" s="781" t="s">
        <v>777</v>
      </c>
      <c r="D10" s="782" t="s">
        <v>326</v>
      </c>
      <c r="E10" s="749"/>
      <c r="F10" s="749"/>
      <c r="G10" s="768">
        <f t="array" ref="G10">SUM(IF("1522"&amp;C10=KHN&amp;MH,SL))</f>
        <v>121270</v>
      </c>
      <c r="H10" s="768">
        <f t="array" ref="H10">SUM(IF("1522"&amp;C10=KHN&amp;MH,TH))</f>
        <v>94166500</v>
      </c>
      <c r="I10" s="768">
        <f t="array" ref="I10">SUM(IF("1522"&amp;C10=KHC&amp;MH,SL))</f>
        <v>121270</v>
      </c>
      <c r="J10" s="768">
        <f t="array" ref="J10">SUM(IF("1522"&amp;C10=KHC&amp;MH,TH))</f>
        <v>94166500</v>
      </c>
      <c r="K10" s="749">
        <f t="shared" si="0"/>
        <v>0</v>
      </c>
      <c r="L10" s="749">
        <f t="shared" si="0"/>
        <v>0</v>
      </c>
    </row>
    <row r="11" spans="1:12" ht="18" customHeight="1">
      <c r="A11" s="462" t="str">
        <f>IF(B11&lt;&gt;"","VL","")</f>
        <v>VL</v>
      </c>
      <c r="B11" s="780">
        <f t="shared" si="1"/>
        <v>3</v>
      </c>
      <c r="C11" s="781" t="s">
        <v>862</v>
      </c>
      <c r="D11" s="782" t="s">
        <v>326</v>
      </c>
      <c r="E11" s="749"/>
      <c r="F11" s="749"/>
      <c r="G11" s="768">
        <f t="array" ref="G11">SUM(IF("1522"&amp;C11=KHN&amp;MH,SL))</f>
        <v>830</v>
      </c>
      <c r="H11" s="768">
        <f t="array" ref="H11">SUM(IF("1522"&amp;C11=KHN&amp;MH,TH))</f>
        <v>19505000</v>
      </c>
      <c r="I11" s="768">
        <f t="array" ref="I11">SUM(IF("1522"&amp;C11=KHC&amp;MH,SL))</f>
        <v>830</v>
      </c>
      <c r="J11" s="768">
        <f t="array" ref="J11">SUM(IF("1522"&amp;C11=KHC&amp;MH,TH))</f>
        <v>19505000</v>
      </c>
      <c r="K11" s="749">
        <f t="shared" si="0"/>
        <v>0</v>
      </c>
      <c r="L11" s="749">
        <f t="shared" si="0"/>
        <v>0</v>
      </c>
    </row>
    <row r="12" spans="1:12" ht="18" customHeight="1">
      <c r="A12" s="462" t="str">
        <f t="shared" ref="A12" si="2">IF(B12&lt;&gt;"","VL","")</f>
        <v>VL</v>
      </c>
      <c r="B12" s="780">
        <f t="shared" si="1"/>
        <v>4</v>
      </c>
      <c r="C12" s="781" t="s">
        <v>864</v>
      </c>
      <c r="D12" s="782" t="s">
        <v>326</v>
      </c>
      <c r="E12" s="749"/>
      <c r="F12" s="749"/>
      <c r="G12" s="768">
        <f t="array" ref="G12">SUM(IF("1522"&amp;C12=KHN&amp;MH,SL))</f>
        <v>4250</v>
      </c>
      <c r="H12" s="768">
        <f t="array" ref="H12">SUM(IF("1522"&amp;C12=KHN&amp;MH,TH))</f>
        <v>38250000</v>
      </c>
      <c r="I12" s="768">
        <f t="array" ref="I12">SUM(IF("1522"&amp;C12=KHC&amp;MH,SL))</f>
        <v>2250</v>
      </c>
      <c r="J12" s="768">
        <f t="array" ref="J12">SUM(IF("1522"&amp;C12=KHC&amp;MH,TH))</f>
        <v>20250000</v>
      </c>
      <c r="K12" s="749">
        <f t="shared" ref="K12" si="3">E12+G12-I12</f>
        <v>2000</v>
      </c>
      <c r="L12" s="749">
        <f t="shared" ref="L12" si="4">F12+H12-J12</f>
        <v>18000000</v>
      </c>
    </row>
    <row r="13" spans="1:12" ht="18.75" customHeight="1">
      <c r="A13" s="462" t="str">
        <f>IF(B13&lt;&gt;"","VL","")</f>
        <v/>
      </c>
      <c r="B13" s="780" t="str">
        <f>IF(C13&lt;&gt;"",ROW()-11,"")</f>
        <v/>
      </c>
      <c r="C13" s="783"/>
      <c r="D13" s="784"/>
      <c r="E13" s="785"/>
      <c r="F13" s="785"/>
      <c r="G13" s="768"/>
      <c r="H13" s="785"/>
      <c r="I13" s="785"/>
      <c r="J13" s="785"/>
      <c r="K13" s="785"/>
      <c r="L13" s="785"/>
    </row>
    <row r="14" spans="1:12" ht="18.75" customHeight="1">
      <c r="A14" s="462" t="str">
        <f>IF(B14&lt;&gt;"","VL","")</f>
        <v/>
      </c>
      <c r="B14" s="779"/>
      <c r="C14" s="786" t="s">
        <v>325</v>
      </c>
      <c r="D14" s="757"/>
      <c r="E14" s="757">
        <f t="shared" ref="E14:L14" si="5">SUM(E9:E13)</f>
        <v>0</v>
      </c>
      <c r="F14" s="757">
        <f t="shared" si="5"/>
        <v>0</v>
      </c>
      <c r="G14" s="757">
        <f t="shared" si="5"/>
        <v>246160</v>
      </c>
      <c r="H14" s="757">
        <f t="shared" si="5"/>
        <v>246460100</v>
      </c>
      <c r="I14" s="757">
        <f t="shared" si="5"/>
        <v>216590</v>
      </c>
      <c r="J14" s="757">
        <f t="shared" si="5"/>
        <v>206404100</v>
      </c>
      <c r="K14" s="757">
        <f t="shared" si="5"/>
        <v>29570</v>
      </c>
      <c r="L14" s="757">
        <f t="shared" si="5"/>
        <v>40056000</v>
      </c>
    </row>
    <row r="15" spans="1:12" ht="18.75" hidden="1" customHeight="1">
      <c r="A15" s="462"/>
      <c r="B15" s="787"/>
      <c r="C15" s="788"/>
      <c r="D15" s="789"/>
      <c r="E15" s="789"/>
      <c r="F15" s="789">
        <f>F14-CDPS!C20</f>
        <v>0</v>
      </c>
      <c r="G15" s="789"/>
      <c r="H15" s="789">
        <f>H14-CDPS!E20</f>
        <v>0</v>
      </c>
      <c r="I15" s="789"/>
      <c r="J15" s="789">
        <f>J14-CDPS!F20</f>
        <v>0</v>
      </c>
      <c r="K15" s="789"/>
      <c r="L15" s="789">
        <f>L14-CDPS!G20</f>
        <v>0</v>
      </c>
    </row>
    <row r="16" spans="1:12" ht="18.75" customHeight="1">
      <c r="A16" s="462" t="str">
        <f t="shared" ref="A16:A21" si="6">IF(B16&lt;&gt;"","NL","")</f>
        <v>NL</v>
      </c>
      <c r="B16" s="790">
        <f>IF(C16&lt;&gt;"",B15+1,"")</f>
        <v>1</v>
      </c>
      <c r="C16" s="781" t="s">
        <v>405</v>
      </c>
      <c r="D16" s="782" t="s">
        <v>326</v>
      </c>
      <c r="E16" s="768"/>
      <c r="F16" s="768"/>
      <c r="G16" s="768">
        <f t="array" ref="G16">SUM(IF("1521"&amp;C16=KHN&amp;MH,SL))</f>
        <v>39900</v>
      </c>
      <c r="H16" s="768">
        <f t="array" ref="H16">SUM(IF("1521"&amp;C16=KHN&amp;MH,TH))</f>
        <v>302211200</v>
      </c>
      <c r="I16" s="768">
        <f t="array" ref="I16">SUM(IF("1521"&amp;C16=KHC&amp;MH,SL))</f>
        <v>39900</v>
      </c>
      <c r="J16" s="768">
        <f t="array" ref="J16">SUM(IF("1521"&amp;C16=KHC&amp;MH,TH))</f>
        <v>302211200</v>
      </c>
      <c r="K16" s="768">
        <f t="shared" ref="K16:K21" si="7">E16+G16-I16</f>
        <v>0</v>
      </c>
      <c r="L16" s="768">
        <f t="shared" ref="L16:L21" si="8">F16+H16-J16</f>
        <v>0</v>
      </c>
    </row>
    <row r="17" spans="1:12" ht="18.75" customHeight="1">
      <c r="A17" s="462" t="str">
        <f t="shared" si="6"/>
        <v>NL</v>
      </c>
      <c r="B17" s="790">
        <f t="shared" ref="B17:B21" si="9">IF(C17&lt;&gt;"",B16+1,"")</f>
        <v>2</v>
      </c>
      <c r="C17" s="781" t="s">
        <v>449</v>
      </c>
      <c r="D17" s="782" t="s">
        <v>326</v>
      </c>
      <c r="E17" s="749"/>
      <c r="F17" s="749"/>
      <c r="G17" s="768">
        <f t="array" ref="G17">SUM(IF("1521"&amp;C17=KHN&amp;MH,SL))</f>
        <v>10202</v>
      </c>
      <c r="H17" s="768">
        <f t="array" ref="H17">SUM(IF("1521"&amp;C17=KHN&amp;MH,TH))</f>
        <v>90797800</v>
      </c>
      <c r="I17" s="768">
        <f t="array" ref="I17">SUM(IF("1521"&amp;C17=KHC&amp;MH,SL))</f>
        <v>10202</v>
      </c>
      <c r="J17" s="768">
        <f t="array" ref="J17">SUM(IF("1521"&amp;C17=KHC&amp;MH,TH))</f>
        <v>90797800</v>
      </c>
      <c r="K17" s="749">
        <f t="shared" si="7"/>
        <v>0</v>
      </c>
      <c r="L17" s="749">
        <f t="shared" si="8"/>
        <v>0</v>
      </c>
    </row>
    <row r="18" spans="1:12" ht="18.75" customHeight="1">
      <c r="A18" s="462" t="str">
        <f t="shared" si="6"/>
        <v>NL</v>
      </c>
      <c r="B18" s="790">
        <f t="shared" si="9"/>
        <v>3</v>
      </c>
      <c r="C18" s="781" t="s">
        <v>450</v>
      </c>
      <c r="D18" s="782" t="s">
        <v>326</v>
      </c>
      <c r="E18" s="749"/>
      <c r="F18" s="749"/>
      <c r="G18" s="768">
        <f t="array" ref="G18">SUM(IF("1521"&amp;C18=KHN&amp;MH,SL))</f>
        <v>21716</v>
      </c>
      <c r="H18" s="768">
        <f t="array" ref="H18">SUM(IF("1521"&amp;C18=KHN&amp;MH,TH))</f>
        <v>184586000</v>
      </c>
      <c r="I18" s="768">
        <f t="array" ref="I18">SUM(IF("1521"&amp;C18=KHC&amp;MH,SL))</f>
        <v>21716</v>
      </c>
      <c r="J18" s="768">
        <f t="array" ref="J18">SUM(IF("1521"&amp;C18=KHC&amp;MH,TH))</f>
        <v>184586000</v>
      </c>
      <c r="K18" s="749">
        <f t="shared" si="7"/>
        <v>0</v>
      </c>
      <c r="L18" s="749">
        <f t="shared" si="8"/>
        <v>0</v>
      </c>
    </row>
    <row r="19" spans="1:12" ht="18.75" customHeight="1">
      <c r="A19" s="462" t="str">
        <f t="shared" si="6"/>
        <v>NL</v>
      </c>
      <c r="B19" s="790">
        <f t="shared" si="9"/>
        <v>4</v>
      </c>
      <c r="C19" s="781" t="s">
        <v>407</v>
      </c>
      <c r="D19" s="782" t="s">
        <v>326</v>
      </c>
      <c r="E19" s="749"/>
      <c r="F19" s="749"/>
      <c r="G19" s="768">
        <f t="array" ref="G19">SUM(IF("1521"&amp;C19=KHN&amp;MH,SL))</f>
        <v>13252</v>
      </c>
      <c r="H19" s="768">
        <f t="array" ref="H19">SUM(IF("1521"&amp;C19=KHN&amp;MH,TH))</f>
        <v>112642000</v>
      </c>
      <c r="I19" s="768">
        <f t="array" ref="I19">SUM(IF("1521"&amp;C19=KHC&amp;MH,SL))</f>
        <v>13252</v>
      </c>
      <c r="J19" s="768">
        <f t="array" ref="J19">SUM(IF("1521"&amp;C19=KHC&amp;MH,TH))</f>
        <v>112642000</v>
      </c>
      <c r="K19" s="749">
        <f t="shared" si="7"/>
        <v>0</v>
      </c>
      <c r="L19" s="749">
        <f t="shared" si="8"/>
        <v>0</v>
      </c>
    </row>
    <row r="20" spans="1:12" ht="18" customHeight="1">
      <c r="A20" s="462" t="str">
        <f t="shared" si="6"/>
        <v>NL</v>
      </c>
      <c r="B20" s="790">
        <f t="shared" si="9"/>
        <v>5</v>
      </c>
      <c r="C20" s="781" t="s">
        <v>783</v>
      </c>
      <c r="D20" s="782" t="s">
        <v>326</v>
      </c>
      <c r="E20" s="749"/>
      <c r="F20" s="749"/>
      <c r="G20" s="768">
        <f t="array" ref="G20">SUM(IF("1521"&amp;C20=KHN&amp;MH,SL))</f>
        <v>49543</v>
      </c>
      <c r="H20" s="768">
        <f t="array" ref="H20">SUM(IF("1521"&amp;C20=KHN&amp;MH,TH))</f>
        <v>392931800</v>
      </c>
      <c r="I20" s="768">
        <f t="array" ref="I20">SUM(IF("1521"&amp;C20=KHC&amp;MH,SL))</f>
        <v>24273</v>
      </c>
      <c r="J20" s="768">
        <f t="array" ref="J20">SUM(IF("1521"&amp;C20=KHC&amp;MH,TH))</f>
        <v>195825800</v>
      </c>
      <c r="K20" s="749">
        <f t="shared" si="7"/>
        <v>25270</v>
      </c>
      <c r="L20" s="749">
        <f t="shared" si="8"/>
        <v>197106000</v>
      </c>
    </row>
    <row r="21" spans="1:12" ht="18" customHeight="1">
      <c r="A21" s="462" t="str">
        <f t="shared" si="6"/>
        <v>NL</v>
      </c>
      <c r="B21" s="790">
        <f t="shared" si="9"/>
        <v>6</v>
      </c>
      <c r="C21" s="781" t="s">
        <v>879</v>
      </c>
      <c r="D21" s="782" t="s">
        <v>326</v>
      </c>
      <c r="E21" s="749"/>
      <c r="F21" s="749"/>
      <c r="G21" s="768">
        <f t="array" ref="G21">SUM(IF("1521"&amp;C21=KHN&amp;MH,SL))</f>
        <v>55700</v>
      </c>
      <c r="H21" s="768">
        <f t="array" ref="H21">SUM(IF("1521"&amp;C21=KHN&amp;MH,TH))</f>
        <v>467880000</v>
      </c>
      <c r="I21" s="768">
        <f t="array" ref="I21">SUM(IF("1521"&amp;C21=KHC&amp;MH,SL))</f>
        <v>28000</v>
      </c>
      <c r="J21" s="768">
        <f t="array" ref="J21">SUM(IF("1521"&amp;C21=KHC&amp;MH,TH))</f>
        <v>235200000</v>
      </c>
      <c r="K21" s="749">
        <f t="shared" si="7"/>
        <v>27700</v>
      </c>
      <c r="L21" s="749">
        <f t="shared" si="8"/>
        <v>232680000</v>
      </c>
    </row>
    <row r="22" spans="1:12" ht="19.5" customHeight="1">
      <c r="A22" s="462" t="str">
        <f t="shared" ref="A22:A23" si="10">IF(B22&lt;&gt;"","NL","")</f>
        <v/>
      </c>
      <c r="B22" s="780" t="str">
        <f>IF(C22&lt;&gt;"",#REF!+1,"")</f>
        <v/>
      </c>
      <c r="C22" s="791"/>
      <c r="D22" s="792"/>
      <c r="E22" s="793"/>
      <c r="F22" s="793"/>
      <c r="G22" s="793"/>
      <c r="H22" s="793"/>
      <c r="I22" s="793"/>
      <c r="J22" s="793"/>
      <c r="K22" s="749"/>
      <c r="L22" s="749"/>
    </row>
    <row r="23" spans="1:12" ht="19.5" customHeight="1">
      <c r="A23" s="462" t="str">
        <f t="shared" si="10"/>
        <v/>
      </c>
      <c r="B23" s="779"/>
      <c r="C23" s="786" t="s">
        <v>329</v>
      </c>
      <c r="D23" s="779"/>
      <c r="E23" s="757">
        <f t="shared" ref="E23:L23" si="11">SUM(E16:E22)</f>
        <v>0</v>
      </c>
      <c r="F23" s="757">
        <f t="shared" si="11"/>
        <v>0</v>
      </c>
      <c r="G23" s="757">
        <f t="shared" si="11"/>
        <v>190313</v>
      </c>
      <c r="H23" s="757">
        <f t="shared" si="11"/>
        <v>1551048800</v>
      </c>
      <c r="I23" s="757">
        <f t="shared" si="11"/>
        <v>137343</v>
      </c>
      <c r="J23" s="757">
        <f t="shared" si="11"/>
        <v>1121262800</v>
      </c>
      <c r="K23" s="757">
        <f t="shared" si="11"/>
        <v>52970</v>
      </c>
      <c r="L23" s="757">
        <f t="shared" si="11"/>
        <v>429786000</v>
      </c>
    </row>
    <row r="24" spans="1:12" ht="19.5" hidden="1" customHeight="1">
      <c r="A24" s="462"/>
      <c r="B24" s="787"/>
      <c r="C24" s="788"/>
      <c r="D24" s="787"/>
      <c r="E24" s="789"/>
      <c r="F24" s="789">
        <f>F23-CDPS!C19</f>
        <v>0</v>
      </c>
      <c r="G24" s="789"/>
      <c r="H24" s="789">
        <f>H23-CDPS!E19</f>
        <v>0</v>
      </c>
      <c r="I24" s="789"/>
      <c r="J24" s="789">
        <f>J23-CDPS!F19</f>
        <v>0</v>
      </c>
      <c r="K24" s="789"/>
      <c r="L24" s="789">
        <f>L23-CDPS!G19</f>
        <v>0</v>
      </c>
    </row>
    <row r="25" spans="1:12" ht="19.5" customHeight="1">
      <c r="A25" s="462" t="str">
        <f>IF(B25&lt;&gt;"","TP","")</f>
        <v>TP</v>
      </c>
      <c r="B25" s="794">
        <f>IF(C25&lt;&gt;"",B24+1,"")</f>
        <v>1</v>
      </c>
      <c r="C25" s="795" t="s">
        <v>667</v>
      </c>
      <c r="D25" s="796" t="s">
        <v>971</v>
      </c>
      <c r="E25" s="768"/>
      <c r="F25" s="768"/>
      <c r="G25" s="768">
        <f t="array" ref="G25">SUM(IF("155"&amp;C25=KHN&amp;MH,SL))</f>
        <v>520</v>
      </c>
      <c r="H25" s="768">
        <f t="array" ref="H25">SUM(IF("155"&amp;C25=KHN&amp;MH,TH))</f>
        <v>3046505</v>
      </c>
      <c r="I25" s="768">
        <f t="array" ref="I25">SUM(IF("155"&amp;C25=KHC&amp;MH,SL))</f>
        <v>520</v>
      </c>
      <c r="J25" s="768">
        <f t="array" ref="J25">SUM(IF("155"&amp;C25=KHC&amp;MH,TH))</f>
        <v>3046505</v>
      </c>
      <c r="K25" s="768">
        <f t="shared" ref="K25:K56" si="12">E25+G25-I25</f>
        <v>0</v>
      </c>
      <c r="L25" s="768">
        <f t="shared" ref="L25:L56" si="13">F25+H25-J25</f>
        <v>0</v>
      </c>
    </row>
    <row r="26" spans="1:12" ht="18.75" customHeight="1">
      <c r="A26" s="462" t="str">
        <f>IF(B26&lt;&gt;"","TP","")</f>
        <v>TP</v>
      </c>
      <c r="B26" s="794">
        <f>IF(C26&lt;&gt;"",B25+1,"")</f>
        <v>2</v>
      </c>
      <c r="C26" s="797" t="s">
        <v>370</v>
      </c>
      <c r="D26" s="796" t="s">
        <v>971</v>
      </c>
      <c r="E26" s="749"/>
      <c r="F26" s="749"/>
      <c r="G26" s="768">
        <f t="array" ref="G26">SUM(IF("155"&amp;C26=KHN&amp;MH,SL))</f>
        <v>500</v>
      </c>
      <c r="H26" s="768">
        <f t="array" ref="H26">SUM(IF("155"&amp;C26=KHN&amp;MH,TH))</f>
        <v>9521181</v>
      </c>
      <c r="I26" s="768">
        <f t="array" ref="I26">SUM(IF("155"&amp;C26=KHC&amp;MH,SL))</f>
        <v>500</v>
      </c>
      <c r="J26" s="768">
        <f t="array" ref="J26">SUM(IF("155"&amp;C26=KHC&amp;MH,TH))</f>
        <v>9521181</v>
      </c>
      <c r="K26" s="749">
        <f t="shared" si="12"/>
        <v>0</v>
      </c>
      <c r="L26" s="749">
        <f t="shared" si="13"/>
        <v>0</v>
      </c>
    </row>
    <row r="27" spans="1:12" ht="18.75" customHeight="1">
      <c r="A27" s="462" t="str">
        <f t="shared" ref="A27:A90" si="14">IF(B27&lt;&gt;"","TP","")</f>
        <v>TP</v>
      </c>
      <c r="B27" s="794">
        <f t="shared" ref="B27:B90" si="15">IF(C27&lt;&gt;"",B26+1,"")</f>
        <v>3</v>
      </c>
      <c r="C27" s="781" t="s">
        <v>493</v>
      </c>
      <c r="D27" s="796" t="s">
        <v>972</v>
      </c>
      <c r="E27" s="749"/>
      <c r="F27" s="749"/>
      <c r="G27" s="768">
        <f t="array" ref="G27">SUM(IF("155"&amp;C27=KHN&amp;MH,SL))</f>
        <v>73</v>
      </c>
      <c r="H27" s="768">
        <f t="array" ref="H27">SUM(IF("155"&amp;C27=KHN&amp;MH,TH))</f>
        <v>3141248</v>
      </c>
      <c r="I27" s="768">
        <f t="array" ref="I27">SUM(IF("155"&amp;C27=KHC&amp;MH,SL))</f>
        <v>73</v>
      </c>
      <c r="J27" s="768">
        <f t="array" ref="J27">SUM(IF("155"&amp;C27=KHC&amp;MH,TH))</f>
        <v>3141248</v>
      </c>
      <c r="K27" s="749">
        <f t="shared" si="12"/>
        <v>0</v>
      </c>
      <c r="L27" s="749">
        <f t="shared" si="13"/>
        <v>0</v>
      </c>
    </row>
    <row r="28" spans="1:12" ht="18.75" customHeight="1">
      <c r="A28" s="462" t="str">
        <f t="shared" si="14"/>
        <v>TP</v>
      </c>
      <c r="B28" s="794">
        <f t="shared" si="15"/>
        <v>4</v>
      </c>
      <c r="C28" s="795" t="s">
        <v>937</v>
      </c>
      <c r="D28" s="796" t="s">
        <v>972</v>
      </c>
      <c r="E28" s="749"/>
      <c r="F28" s="749"/>
      <c r="G28" s="768">
        <f t="array" ref="G28">SUM(IF("155"&amp;C28=KHN&amp;MH,SL))</f>
        <v>650</v>
      </c>
      <c r="H28" s="768">
        <f t="array" ref="H28">SUM(IF("155"&amp;C28=KHN&amp;MH,TH))</f>
        <v>544019</v>
      </c>
      <c r="I28" s="768">
        <f t="array" ref="I28">SUM(IF("155"&amp;C28=KHC&amp;MH,SL))</f>
        <v>650</v>
      </c>
      <c r="J28" s="768">
        <f t="array" ref="J28">SUM(IF("155"&amp;C28=KHC&amp;MH,TH))</f>
        <v>544019</v>
      </c>
      <c r="K28" s="749">
        <f t="shared" si="12"/>
        <v>0</v>
      </c>
      <c r="L28" s="749">
        <f t="shared" si="13"/>
        <v>0</v>
      </c>
    </row>
    <row r="29" spans="1:12" ht="18.75" customHeight="1">
      <c r="A29" s="462" t="str">
        <f t="shared" si="14"/>
        <v>TP</v>
      </c>
      <c r="B29" s="794">
        <f t="shared" si="15"/>
        <v>5</v>
      </c>
      <c r="C29" s="795" t="s">
        <v>681</v>
      </c>
      <c r="D29" s="796" t="s">
        <v>971</v>
      </c>
      <c r="E29" s="749"/>
      <c r="F29" s="749"/>
      <c r="G29" s="768">
        <f t="array" ref="G29">SUM(IF("155"&amp;C29=KHN&amp;MH,SL))</f>
        <v>4600</v>
      </c>
      <c r="H29" s="768">
        <f t="array" ref="H29">SUM(IF("155"&amp;C29=KHN&amp;MH,TH))</f>
        <v>3149982</v>
      </c>
      <c r="I29" s="768">
        <f t="array" ref="I29">SUM(IF("155"&amp;C29=KHC&amp;MH,SL))</f>
        <v>4600</v>
      </c>
      <c r="J29" s="768">
        <f t="array" ref="J29">SUM(IF("155"&amp;C29=KHC&amp;MH,TH))</f>
        <v>3149982</v>
      </c>
      <c r="K29" s="749">
        <f t="shared" si="12"/>
        <v>0</v>
      </c>
      <c r="L29" s="749">
        <f t="shared" si="13"/>
        <v>0</v>
      </c>
    </row>
    <row r="30" spans="1:12" ht="18.75" customHeight="1">
      <c r="A30" s="462" t="str">
        <f t="shared" si="14"/>
        <v>TP</v>
      </c>
      <c r="B30" s="794">
        <f t="shared" si="15"/>
        <v>6</v>
      </c>
      <c r="C30" s="795" t="s">
        <v>897</v>
      </c>
      <c r="D30" s="796" t="s">
        <v>971</v>
      </c>
      <c r="E30" s="749"/>
      <c r="F30" s="749"/>
      <c r="G30" s="768">
        <f t="array" ref="G30">SUM(IF("155"&amp;C30=KHN&amp;MH,SL))</f>
        <v>126</v>
      </c>
      <c r="H30" s="768">
        <f t="array" ref="H30">SUM(IF("155"&amp;C30=KHN&amp;MH,TH))</f>
        <v>86282</v>
      </c>
      <c r="I30" s="768">
        <f t="array" ref="I30">SUM(IF("155"&amp;C30=KHC&amp;MH,SL))</f>
        <v>126</v>
      </c>
      <c r="J30" s="768">
        <f t="array" ref="J30">SUM(IF("155"&amp;C30=KHC&amp;MH,TH))</f>
        <v>86282</v>
      </c>
      <c r="K30" s="749">
        <f t="shared" si="12"/>
        <v>0</v>
      </c>
      <c r="L30" s="749">
        <f t="shared" si="13"/>
        <v>0</v>
      </c>
    </row>
    <row r="31" spans="1:12" ht="18.75" customHeight="1">
      <c r="A31" s="462" t="str">
        <f t="shared" si="14"/>
        <v>TP</v>
      </c>
      <c r="B31" s="794">
        <f t="shared" si="15"/>
        <v>7</v>
      </c>
      <c r="C31" s="781" t="s">
        <v>859</v>
      </c>
      <c r="D31" s="796" t="s">
        <v>971</v>
      </c>
      <c r="E31" s="749"/>
      <c r="F31" s="749"/>
      <c r="G31" s="768">
        <f t="array" ref="G31">SUM(IF("155"&amp;C31=KHN&amp;MH,SL))</f>
        <v>100</v>
      </c>
      <c r="H31" s="768">
        <f t="array" ref="H31">SUM(IF("155"&amp;C31=KHN&amp;MH,TH))</f>
        <v>45652</v>
      </c>
      <c r="I31" s="768">
        <f t="array" ref="I31">SUM(IF("155"&amp;C31=KHC&amp;MH,SL))</f>
        <v>100</v>
      </c>
      <c r="J31" s="768">
        <f t="array" ref="J31">SUM(IF("155"&amp;C31=KHC&amp;MH,TH))</f>
        <v>45652</v>
      </c>
      <c r="K31" s="749">
        <f t="shared" si="12"/>
        <v>0</v>
      </c>
      <c r="L31" s="749">
        <f t="shared" si="13"/>
        <v>0</v>
      </c>
    </row>
    <row r="32" spans="1:12" ht="18.75" customHeight="1">
      <c r="A32" s="462" t="str">
        <f t="shared" si="14"/>
        <v>TP</v>
      </c>
      <c r="B32" s="794">
        <f t="shared" si="15"/>
        <v>8</v>
      </c>
      <c r="C32" s="795" t="s">
        <v>858</v>
      </c>
      <c r="D32" s="796" t="s">
        <v>971</v>
      </c>
      <c r="E32" s="749"/>
      <c r="F32" s="749"/>
      <c r="G32" s="768">
        <f t="array" ref="G32">SUM(IF("155"&amp;C32=KHN&amp;MH,SL))</f>
        <v>360</v>
      </c>
      <c r="H32" s="768">
        <f t="array" ref="H32">SUM(IF("155"&amp;C32=KHN&amp;MH,TH))</f>
        <v>219129</v>
      </c>
      <c r="I32" s="768">
        <f t="array" ref="I32">SUM(IF("155"&amp;C32=KHC&amp;MH,SL))</f>
        <v>360</v>
      </c>
      <c r="J32" s="768">
        <f t="array" ref="J32">SUM(IF("155"&amp;C32=KHC&amp;MH,TH))</f>
        <v>219129</v>
      </c>
      <c r="K32" s="749">
        <f t="shared" si="12"/>
        <v>0</v>
      </c>
      <c r="L32" s="749">
        <f t="shared" si="13"/>
        <v>0</v>
      </c>
    </row>
    <row r="33" spans="1:12" ht="18.75" customHeight="1">
      <c r="A33" s="462" t="str">
        <f t="shared" si="14"/>
        <v>TP</v>
      </c>
      <c r="B33" s="794">
        <f t="shared" si="15"/>
        <v>9</v>
      </c>
      <c r="C33" s="795" t="s">
        <v>857</v>
      </c>
      <c r="D33" s="796" t="s">
        <v>971</v>
      </c>
      <c r="E33" s="749"/>
      <c r="F33" s="749"/>
      <c r="G33" s="768">
        <f t="array" ref="G33">SUM(IF("155"&amp;C33=KHN&amp;MH,SL))</f>
        <v>584</v>
      </c>
      <c r="H33" s="768">
        <f t="array" ref="H33">SUM(IF("155"&amp;C33=KHN&amp;MH,TH))</f>
        <v>399911</v>
      </c>
      <c r="I33" s="768">
        <f t="array" ref="I33">SUM(IF("155"&amp;C33=KHC&amp;MH,SL))</f>
        <v>584</v>
      </c>
      <c r="J33" s="768">
        <f t="array" ref="J33">SUM(IF("155"&amp;C33=KHC&amp;MH,TH))</f>
        <v>399911</v>
      </c>
      <c r="K33" s="749">
        <f t="shared" si="12"/>
        <v>0</v>
      </c>
      <c r="L33" s="749">
        <f t="shared" si="13"/>
        <v>0</v>
      </c>
    </row>
    <row r="34" spans="1:12" ht="18.75" customHeight="1">
      <c r="A34" s="462" t="str">
        <f t="shared" si="14"/>
        <v>TP</v>
      </c>
      <c r="B34" s="794">
        <f t="shared" si="15"/>
        <v>10</v>
      </c>
      <c r="C34" s="795" t="s">
        <v>860</v>
      </c>
      <c r="D34" s="796" t="s">
        <v>971</v>
      </c>
      <c r="E34" s="749"/>
      <c r="F34" s="749"/>
      <c r="G34" s="768">
        <f t="array" ref="G34">SUM(IF("155"&amp;C34=KHN&amp;MH,SL))</f>
        <v>1108</v>
      </c>
      <c r="H34" s="768">
        <f t="array" ref="H34">SUM(IF("155"&amp;C34=KHN&amp;MH,TH))</f>
        <v>1095950</v>
      </c>
      <c r="I34" s="768">
        <f t="array" ref="I34">SUM(IF("155"&amp;C34=KHC&amp;MH,SL))</f>
        <v>1108</v>
      </c>
      <c r="J34" s="768">
        <f t="array" ref="J34">SUM(IF("155"&amp;C34=KHC&amp;MH,TH))</f>
        <v>1095950</v>
      </c>
      <c r="K34" s="749">
        <f t="shared" si="12"/>
        <v>0</v>
      </c>
      <c r="L34" s="749">
        <f t="shared" si="13"/>
        <v>0</v>
      </c>
    </row>
    <row r="35" spans="1:12" ht="18.75" customHeight="1">
      <c r="A35" s="462" t="str">
        <f t="shared" si="14"/>
        <v>TP</v>
      </c>
      <c r="B35" s="794">
        <f t="shared" si="15"/>
        <v>11</v>
      </c>
      <c r="C35" s="795" t="s">
        <v>377</v>
      </c>
      <c r="D35" s="796" t="s">
        <v>971</v>
      </c>
      <c r="E35" s="749"/>
      <c r="F35" s="749"/>
      <c r="G35" s="768">
        <f t="array" ref="G35">SUM(IF("155"&amp;C35=KHN&amp;MH,SL))</f>
        <v>9016</v>
      </c>
      <c r="H35" s="768">
        <f t="array" ref="H35">SUM(IF("155"&amp;C35=KHN&amp;MH,TH))</f>
        <v>6482475</v>
      </c>
      <c r="I35" s="768">
        <f t="array" ref="I35">SUM(IF("155"&amp;C35=KHC&amp;MH,SL))</f>
        <v>9016</v>
      </c>
      <c r="J35" s="768">
        <f t="array" ref="J35">SUM(IF("155"&amp;C35=KHC&amp;MH,TH))</f>
        <v>6482475</v>
      </c>
      <c r="K35" s="749">
        <f t="shared" si="12"/>
        <v>0</v>
      </c>
      <c r="L35" s="749">
        <f t="shared" si="13"/>
        <v>0</v>
      </c>
    </row>
    <row r="36" spans="1:12" ht="18.75" customHeight="1">
      <c r="A36" s="462" t="str">
        <f t="shared" si="14"/>
        <v>TP</v>
      </c>
      <c r="B36" s="794">
        <f t="shared" si="15"/>
        <v>12</v>
      </c>
      <c r="C36" s="797" t="s">
        <v>908</v>
      </c>
      <c r="D36" s="796" t="s">
        <v>971</v>
      </c>
      <c r="E36" s="749"/>
      <c r="F36" s="749"/>
      <c r="G36" s="768">
        <f t="array" ref="G36">SUM(IF("155"&amp;C36=KHN&amp;MH,SL))</f>
        <v>132</v>
      </c>
      <c r="H36" s="768">
        <f t="array" ref="H36">SUM(IF("155"&amp;C36=KHN&amp;MH,TH))</f>
        <v>180782</v>
      </c>
      <c r="I36" s="768">
        <f t="array" ref="I36">SUM(IF("155"&amp;C36=KHC&amp;MH,SL))</f>
        <v>132</v>
      </c>
      <c r="J36" s="768">
        <f t="array" ref="J36">SUM(IF("155"&amp;C36=KHC&amp;MH,TH))</f>
        <v>180782</v>
      </c>
      <c r="K36" s="749">
        <f t="shared" si="12"/>
        <v>0</v>
      </c>
      <c r="L36" s="749">
        <f t="shared" si="13"/>
        <v>0</v>
      </c>
    </row>
    <row r="37" spans="1:12" ht="18.75" customHeight="1">
      <c r="A37" s="462" t="str">
        <f t="shared" si="14"/>
        <v>TP</v>
      </c>
      <c r="B37" s="794">
        <f t="shared" si="15"/>
        <v>13</v>
      </c>
      <c r="C37" s="797" t="s">
        <v>535</v>
      </c>
      <c r="D37" s="796" t="s">
        <v>971</v>
      </c>
      <c r="E37" s="749"/>
      <c r="F37" s="749"/>
      <c r="G37" s="768">
        <f t="array" ref="G37">SUM(IF("155"&amp;C37=KHN&amp;MH,SL))</f>
        <v>240</v>
      </c>
      <c r="H37" s="768">
        <f t="array" ref="H37">SUM(IF("155"&amp;C37=KHN&amp;MH,TH))</f>
        <v>375901</v>
      </c>
      <c r="I37" s="768">
        <f t="array" ref="I37">SUM(IF("155"&amp;C37=KHC&amp;MH,SL))</f>
        <v>240</v>
      </c>
      <c r="J37" s="768">
        <f t="array" ref="J37">SUM(IF("155"&amp;C37=KHC&amp;MH,TH))</f>
        <v>375901</v>
      </c>
      <c r="K37" s="749">
        <f t="shared" si="12"/>
        <v>0</v>
      </c>
      <c r="L37" s="749">
        <f t="shared" si="13"/>
        <v>0</v>
      </c>
    </row>
    <row r="38" spans="1:12" ht="18.75" customHeight="1">
      <c r="A38" s="462" t="str">
        <f t="shared" si="14"/>
        <v>TP</v>
      </c>
      <c r="B38" s="794">
        <f t="shared" si="15"/>
        <v>14</v>
      </c>
      <c r="C38" s="797" t="s">
        <v>509</v>
      </c>
      <c r="D38" s="796" t="s">
        <v>971</v>
      </c>
      <c r="E38" s="749"/>
      <c r="F38" s="749"/>
      <c r="G38" s="768">
        <f t="array" ref="G38">SUM(IF("155"&amp;C38=KHN&amp;MH,SL))</f>
        <v>850</v>
      </c>
      <c r="H38" s="768">
        <f t="array" ref="H38">SUM(IF("155"&amp;C38=KHN&amp;MH,TH))</f>
        <v>1331559</v>
      </c>
      <c r="I38" s="768">
        <f t="array" ref="I38">SUM(IF("155"&amp;C38=KHC&amp;MH,SL))</f>
        <v>850</v>
      </c>
      <c r="J38" s="768">
        <f t="array" ref="J38">SUM(IF("155"&amp;C38=KHC&amp;MH,TH))</f>
        <v>1331559</v>
      </c>
      <c r="K38" s="749">
        <f t="shared" si="12"/>
        <v>0</v>
      </c>
      <c r="L38" s="749">
        <f t="shared" si="13"/>
        <v>0</v>
      </c>
    </row>
    <row r="39" spans="1:12" ht="18.75" customHeight="1">
      <c r="A39" s="462" t="str">
        <f t="shared" si="14"/>
        <v>TP</v>
      </c>
      <c r="B39" s="794">
        <f t="shared" si="15"/>
        <v>15</v>
      </c>
      <c r="C39" s="797" t="s">
        <v>508</v>
      </c>
      <c r="D39" s="796" t="s">
        <v>971</v>
      </c>
      <c r="E39" s="749"/>
      <c r="F39" s="749"/>
      <c r="G39" s="768">
        <f t="array" ref="G39">SUM(IF("155"&amp;C39=KHN&amp;MH,SL))</f>
        <v>500</v>
      </c>
      <c r="H39" s="768">
        <f t="array" ref="H39">SUM(IF("155"&amp;C39=KHN&amp;MH,TH))</f>
        <v>1318951</v>
      </c>
      <c r="I39" s="768">
        <f t="array" ref="I39">SUM(IF("155"&amp;C39=KHC&amp;MH,SL))</f>
        <v>500</v>
      </c>
      <c r="J39" s="768">
        <f t="array" ref="J39">SUM(IF("155"&amp;C39=KHC&amp;MH,TH))</f>
        <v>1318951</v>
      </c>
      <c r="K39" s="749">
        <f t="shared" si="12"/>
        <v>0</v>
      </c>
      <c r="L39" s="749">
        <f t="shared" si="13"/>
        <v>0</v>
      </c>
    </row>
    <row r="40" spans="1:12" ht="18.75" customHeight="1">
      <c r="A40" s="462" t="str">
        <f t="shared" si="14"/>
        <v>TP</v>
      </c>
      <c r="B40" s="794">
        <f t="shared" si="15"/>
        <v>16</v>
      </c>
      <c r="C40" s="797" t="s">
        <v>660</v>
      </c>
      <c r="D40" s="796" t="s">
        <v>972</v>
      </c>
      <c r="E40" s="749"/>
      <c r="F40" s="749"/>
      <c r="G40" s="768">
        <f t="array" ref="G40">SUM(IF("155"&amp;C40=KHN&amp;MH,SL))</f>
        <v>650</v>
      </c>
      <c r="H40" s="768">
        <f t="array" ref="H40">SUM(IF("155"&amp;C40=KHN&amp;MH,TH))</f>
        <v>4447340</v>
      </c>
      <c r="I40" s="768">
        <f t="array" ref="I40">SUM(IF("155"&amp;C40=KHC&amp;MH,SL))</f>
        <v>650</v>
      </c>
      <c r="J40" s="768">
        <f t="array" ref="J40">SUM(IF("155"&amp;C40=KHC&amp;MH,TH))</f>
        <v>4447340</v>
      </c>
      <c r="K40" s="749">
        <f t="shared" si="12"/>
        <v>0</v>
      </c>
      <c r="L40" s="749">
        <f t="shared" si="13"/>
        <v>0</v>
      </c>
    </row>
    <row r="41" spans="1:12" ht="18.75" customHeight="1">
      <c r="A41" s="462" t="str">
        <f t="shared" si="14"/>
        <v>TP</v>
      </c>
      <c r="B41" s="794">
        <f t="shared" si="15"/>
        <v>17</v>
      </c>
      <c r="C41" s="795" t="s">
        <v>662</v>
      </c>
      <c r="D41" s="796" t="s">
        <v>972</v>
      </c>
      <c r="E41" s="749"/>
      <c r="F41" s="749"/>
      <c r="G41" s="768">
        <f t="array" ref="G41">SUM(IF("155"&amp;C41=KHN&amp;MH,SL))</f>
        <v>352</v>
      </c>
      <c r="H41" s="768">
        <f t="array" ref="H41">SUM(IF("155"&amp;C41=KHN&amp;MH,TH))</f>
        <v>3307930</v>
      </c>
      <c r="I41" s="768">
        <f t="array" ref="I41">SUM(IF("155"&amp;C41=KHC&amp;MH,SL))</f>
        <v>352</v>
      </c>
      <c r="J41" s="768">
        <f t="array" ref="J41">SUM(IF("155"&amp;C41=KHC&amp;MH,TH))</f>
        <v>3307930</v>
      </c>
      <c r="K41" s="749">
        <f t="shared" si="12"/>
        <v>0</v>
      </c>
      <c r="L41" s="749">
        <f t="shared" si="13"/>
        <v>0</v>
      </c>
    </row>
    <row r="42" spans="1:12" ht="18.75" customHeight="1">
      <c r="A42" s="462" t="str">
        <f t="shared" si="14"/>
        <v>TP</v>
      </c>
      <c r="B42" s="794">
        <f t="shared" si="15"/>
        <v>18</v>
      </c>
      <c r="C42" s="795" t="s">
        <v>658</v>
      </c>
      <c r="D42" s="796" t="s">
        <v>972</v>
      </c>
      <c r="E42" s="749"/>
      <c r="F42" s="749"/>
      <c r="G42" s="768">
        <f t="array" ref="G42">SUM(IF("155"&amp;C42=KHN&amp;MH,SL))</f>
        <v>35</v>
      </c>
      <c r="H42" s="768">
        <f t="array" ref="H42">SUM(IF("155"&amp;C42=KHN&amp;MH,TH))</f>
        <v>372192</v>
      </c>
      <c r="I42" s="768">
        <f t="array" ref="I42">SUM(IF("155"&amp;C42=KHC&amp;MH,SL))</f>
        <v>35</v>
      </c>
      <c r="J42" s="768">
        <f t="array" ref="J42">SUM(IF("155"&amp;C42=KHC&amp;MH,TH))</f>
        <v>372192</v>
      </c>
      <c r="K42" s="749">
        <f t="shared" si="12"/>
        <v>0</v>
      </c>
      <c r="L42" s="749">
        <f t="shared" si="13"/>
        <v>0</v>
      </c>
    </row>
    <row r="43" spans="1:12" ht="18.75" customHeight="1">
      <c r="A43" s="462" t="str">
        <f t="shared" si="14"/>
        <v>TP</v>
      </c>
      <c r="B43" s="794">
        <f t="shared" si="15"/>
        <v>19</v>
      </c>
      <c r="C43" s="795" t="s">
        <v>659</v>
      </c>
      <c r="D43" s="796" t="s">
        <v>972</v>
      </c>
      <c r="E43" s="749"/>
      <c r="F43" s="749"/>
      <c r="G43" s="768">
        <f t="array" ref="G43">SUM(IF("155"&amp;C43=KHN&amp;MH,SL))</f>
        <v>90</v>
      </c>
      <c r="H43" s="768">
        <f t="array" ref="H43">SUM(IF("155"&amp;C43=KHN&amp;MH,TH))</f>
        <v>786425</v>
      </c>
      <c r="I43" s="768">
        <f t="array" ref="I43">SUM(IF("155"&amp;C43=KHC&amp;MH,SL))</f>
        <v>90</v>
      </c>
      <c r="J43" s="768">
        <f t="array" ref="J43">SUM(IF("155"&amp;C43=KHC&amp;MH,TH))</f>
        <v>786425</v>
      </c>
      <c r="K43" s="749">
        <f t="shared" si="12"/>
        <v>0</v>
      </c>
      <c r="L43" s="749">
        <f t="shared" si="13"/>
        <v>0</v>
      </c>
    </row>
    <row r="44" spans="1:12" ht="18.75" customHeight="1">
      <c r="A44" s="462" t="str">
        <f t="shared" si="14"/>
        <v>TP</v>
      </c>
      <c r="B44" s="794">
        <f t="shared" si="15"/>
        <v>20</v>
      </c>
      <c r="C44" s="797" t="s">
        <v>657</v>
      </c>
      <c r="D44" s="796" t="s">
        <v>972</v>
      </c>
      <c r="E44" s="749"/>
      <c r="F44" s="749"/>
      <c r="G44" s="768">
        <f t="array" ref="G44">SUM(IF("155"&amp;C44=KHN&amp;MH,SL))</f>
        <v>1410</v>
      </c>
      <c r="H44" s="768">
        <f t="array" ref="H44">SUM(IF("155"&amp;C44=KHN&amp;MH,TH))</f>
        <v>14761540</v>
      </c>
      <c r="I44" s="768">
        <f t="array" ref="I44">SUM(IF("155"&amp;C44=KHC&amp;MH,SL))</f>
        <v>1410</v>
      </c>
      <c r="J44" s="768">
        <f t="array" ref="J44">SUM(IF("155"&amp;C44=KHC&amp;MH,TH))</f>
        <v>14761540</v>
      </c>
      <c r="K44" s="749">
        <f t="shared" si="12"/>
        <v>0</v>
      </c>
      <c r="L44" s="749">
        <f t="shared" si="13"/>
        <v>0</v>
      </c>
    </row>
    <row r="45" spans="1:12" ht="18.75" customHeight="1">
      <c r="A45" s="462" t="str">
        <f t="shared" si="14"/>
        <v>TP</v>
      </c>
      <c r="B45" s="794">
        <f t="shared" si="15"/>
        <v>21</v>
      </c>
      <c r="C45" s="795" t="s">
        <v>661</v>
      </c>
      <c r="D45" s="796" t="s">
        <v>972</v>
      </c>
      <c r="E45" s="749"/>
      <c r="F45" s="749"/>
      <c r="G45" s="768">
        <f t="array" ref="G45">SUM(IF("155"&amp;C45=KHN&amp;MH,SL))</f>
        <v>210</v>
      </c>
      <c r="H45" s="768">
        <f t="array" ref="H45">SUM(IF("155"&amp;C45=KHN&amp;MH,TH))</f>
        <v>2285083</v>
      </c>
      <c r="I45" s="768">
        <f t="array" ref="I45">SUM(IF("155"&amp;C45=KHC&amp;MH,SL))</f>
        <v>210</v>
      </c>
      <c r="J45" s="768">
        <f t="array" ref="J45">SUM(IF("155"&amp;C45=KHC&amp;MH,TH))</f>
        <v>2285083</v>
      </c>
      <c r="K45" s="749">
        <f t="shared" si="12"/>
        <v>0</v>
      </c>
      <c r="L45" s="749">
        <f t="shared" si="13"/>
        <v>0</v>
      </c>
    </row>
    <row r="46" spans="1:12" ht="18.75" customHeight="1">
      <c r="A46" s="462" t="str">
        <f t="shared" si="14"/>
        <v>TP</v>
      </c>
      <c r="B46" s="794">
        <f t="shared" si="15"/>
        <v>22</v>
      </c>
      <c r="C46" s="795" t="s">
        <v>656</v>
      </c>
      <c r="D46" s="796" t="s">
        <v>972</v>
      </c>
      <c r="E46" s="749"/>
      <c r="F46" s="749"/>
      <c r="G46" s="768">
        <f t="array" ref="G46">SUM(IF("155"&amp;C46=KHN&amp;MH,SL))</f>
        <v>630</v>
      </c>
      <c r="H46" s="768">
        <f t="array" ref="H46">SUM(IF("155"&amp;C46=KHN&amp;MH,TH))</f>
        <v>7011051</v>
      </c>
      <c r="I46" s="768">
        <f t="array" ref="I46">SUM(IF("155"&amp;C46=KHC&amp;MH,SL))</f>
        <v>630</v>
      </c>
      <c r="J46" s="768">
        <f t="array" ref="J46">SUM(IF("155"&amp;C46=KHC&amp;MH,TH))</f>
        <v>7011051</v>
      </c>
      <c r="K46" s="749">
        <f t="shared" si="12"/>
        <v>0</v>
      </c>
      <c r="L46" s="749">
        <f t="shared" si="13"/>
        <v>0</v>
      </c>
    </row>
    <row r="47" spans="1:12" ht="18.75" customHeight="1">
      <c r="A47" s="462" t="str">
        <f t="shared" si="14"/>
        <v>TP</v>
      </c>
      <c r="B47" s="794">
        <f t="shared" si="15"/>
        <v>23</v>
      </c>
      <c r="C47" s="795" t="s">
        <v>529</v>
      </c>
      <c r="D47" s="796" t="s">
        <v>972</v>
      </c>
      <c r="E47" s="749"/>
      <c r="F47" s="749"/>
      <c r="G47" s="768">
        <f t="array" ref="G47">SUM(IF("155"&amp;C47=KHN&amp;MH,SL))</f>
        <v>698</v>
      </c>
      <c r="H47" s="768">
        <f t="array" ref="H47">SUM(IF("155"&amp;C47=KHN&amp;MH,TH))</f>
        <v>40114378</v>
      </c>
      <c r="I47" s="768">
        <f t="array" ref="I47">SUM(IF("155"&amp;C47=KHC&amp;MH,SL))</f>
        <v>698</v>
      </c>
      <c r="J47" s="768">
        <f t="array" ref="J47">SUM(IF("155"&amp;C47=KHC&amp;MH,TH))</f>
        <v>40114378</v>
      </c>
      <c r="K47" s="749">
        <f t="shared" si="12"/>
        <v>0</v>
      </c>
      <c r="L47" s="749">
        <f t="shared" si="13"/>
        <v>0</v>
      </c>
    </row>
    <row r="48" spans="1:12" ht="18.75" customHeight="1">
      <c r="A48" s="462" t="str">
        <f t="shared" si="14"/>
        <v>TP</v>
      </c>
      <c r="B48" s="794">
        <f t="shared" si="15"/>
        <v>24</v>
      </c>
      <c r="C48" s="795" t="s">
        <v>498</v>
      </c>
      <c r="D48" s="796" t="s">
        <v>972</v>
      </c>
      <c r="E48" s="749"/>
      <c r="F48" s="749"/>
      <c r="G48" s="768">
        <f t="array" ref="G48">SUM(IF("155"&amp;C48=KHN&amp;MH,SL))</f>
        <v>235</v>
      </c>
      <c r="H48" s="768">
        <f t="array" ref="H48">SUM(IF("155"&amp;C48=KHN&amp;MH,TH))</f>
        <v>10899185</v>
      </c>
      <c r="I48" s="768">
        <f t="array" ref="I48">SUM(IF("155"&amp;C48=KHC&amp;MH,SL))</f>
        <v>235</v>
      </c>
      <c r="J48" s="768">
        <f t="array" ref="J48">SUM(IF("155"&amp;C48=KHC&amp;MH,TH))</f>
        <v>10899185</v>
      </c>
      <c r="K48" s="749">
        <f t="shared" si="12"/>
        <v>0</v>
      </c>
      <c r="L48" s="749">
        <f t="shared" si="13"/>
        <v>0</v>
      </c>
    </row>
    <row r="49" spans="1:12" ht="18.75" customHeight="1">
      <c r="A49" s="462" t="str">
        <f t="shared" si="14"/>
        <v>TP</v>
      </c>
      <c r="B49" s="794">
        <f t="shared" si="15"/>
        <v>25</v>
      </c>
      <c r="C49" s="795" t="s">
        <v>497</v>
      </c>
      <c r="D49" s="796" t="s">
        <v>972</v>
      </c>
      <c r="E49" s="749"/>
      <c r="F49" s="749"/>
      <c r="G49" s="768">
        <f t="array" ref="G49">SUM(IF("155"&amp;C49=KHN&amp;MH,SL))</f>
        <v>100</v>
      </c>
      <c r="H49" s="768">
        <f t="array" ref="H49">SUM(IF("155"&amp;C49=KHN&amp;MH,TH))</f>
        <v>3231431</v>
      </c>
      <c r="I49" s="768">
        <f t="array" ref="I49">SUM(IF("155"&amp;C49=KHC&amp;MH,SL))</f>
        <v>100</v>
      </c>
      <c r="J49" s="768">
        <f t="array" ref="J49">SUM(IF("155"&amp;C49=KHC&amp;MH,TH))</f>
        <v>3231431</v>
      </c>
      <c r="K49" s="749">
        <f t="shared" si="12"/>
        <v>0</v>
      </c>
      <c r="L49" s="749">
        <f t="shared" si="13"/>
        <v>0</v>
      </c>
    </row>
    <row r="50" spans="1:12" ht="18.75" customHeight="1">
      <c r="A50" s="462" t="str">
        <f t="shared" si="14"/>
        <v>TP</v>
      </c>
      <c r="B50" s="794">
        <f t="shared" si="15"/>
        <v>26</v>
      </c>
      <c r="C50" s="795" t="s">
        <v>666</v>
      </c>
      <c r="D50" s="796" t="s">
        <v>972</v>
      </c>
      <c r="E50" s="749"/>
      <c r="F50" s="749"/>
      <c r="G50" s="768">
        <f t="array" ref="G50">SUM(IF("155"&amp;C50=KHN&amp;MH,SL))</f>
        <v>42</v>
      </c>
      <c r="H50" s="768">
        <f t="array" ref="H50">SUM(IF("155"&amp;C50=KHN&amp;MH,TH))</f>
        <v>2810914</v>
      </c>
      <c r="I50" s="768">
        <f t="array" ref="I50">SUM(IF("155"&amp;C50=KHC&amp;MH,SL))</f>
        <v>42</v>
      </c>
      <c r="J50" s="768">
        <f t="array" ref="J50">SUM(IF("155"&amp;C50=KHC&amp;MH,TH))</f>
        <v>2810914</v>
      </c>
      <c r="K50" s="749">
        <f t="shared" si="12"/>
        <v>0</v>
      </c>
      <c r="L50" s="749">
        <f t="shared" si="13"/>
        <v>0</v>
      </c>
    </row>
    <row r="51" spans="1:12" ht="18.75" customHeight="1">
      <c r="A51" s="462" t="str">
        <f t="shared" si="14"/>
        <v>TP</v>
      </c>
      <c r="B51" s="794">
        <f t="shared" si="15"/>
        <v>27</v>
      </c>
      <c r="C51" s="795" t="s">
        <v>694</v>
      </c>
      <c r="D51" s="796" t="s">
        <v>972</v>
      </c>
      <c r="E51" s="749"/>
      <c r="F51" s="749"/>
      <c r="G51" s="768">
        <f t="array" ref="G51">SUM(IF("155"&amp;C51=KHN&amp;MH,SL))</f>
        <v>5</v>
      </c>
      <c r="H51" s="768">
        <f t="array" ref="H51">SUM(IF("155"&amp;C51=KHN&amp;MH,TH))</f>
        <v>292553</v>
      </c>
      <c r="I51" s="768">
        <f t="array" ref="I51">SUM(IF("155"&amp;C51=KHC&amp;MH,SL))</f>
        <v>5</v>
      </c>
      <c r="J51" s="768">
        <f t="array" ref="J51">SUM(IF("155"&amp;C51=KHC&amp;MH,TH))</f>
        <v>292553</v>
      </c>
      <c r="K51" s="749">
        <f t="shared" si="12"/>
        <v>0</v>
      </c>
      <c r="L51" s="749">
        <f t="shared" si="13"/>
        <v>0</v>
      </c>
    </row>
    <row r="52" spans="1:12" ht="18.75" customHeight="1">
      <c r="A52" s="462" t="str">
        <f t="shared" si="14"/>
        <v>TP</v>
      </c>
      <c r="B52" s="794">
        <f t="shared" si="15"/>
        <v>28</v>
      </c>
      <c r="C52" s="795" t="s">
        <v>693</v>
      </c>
      <c r="D52" s="796" t="s">
        <v>972</v>
      </c>
      <c r="E52" s="749"/>
      <c r="F52" s="749"/>
      <c r="G52" s="768">
        <f t="array" ref="G52">SUM(IF("155"&amp;C52=KHN&amp;MH,SL))</f>
        <v>25</v>
      </c>
      <c r="H52" s="768">
        <f t="array" ref="H52">SUM(IF("155"&amp;C52=KHN&amp;MH,TH))</f>
        <v>1807055</v>
      </c>
      <c r="I52" s="768">
        <f t="array" ref="I52">SUM(IF("155"&amp;C52=KHC&amp;MH,SL))</f>
        <v>25</v>
      </c>
      <c r="J52" s="768">
        <f t="array" ref="J52">SUM(IF("155"&amp;C52=KHC&amp;MH,TH))</f>
        <v>1807055</v>
      </c>
      <c r="K52" s="749">
        <f t="shared" si="12"/>
        <v>0</v>
      </c>
      <c r="L52" s="749">
        <f t="shared" si="13"/>
        <v>0</v>
      </c>
    </row>
    <row r="53" spans="1:12" ht="18.75" customHeight="1">
      <c r="A53" s="462" t="str">
        <f t="shared" si="14"/>
        <v>TP</v>
      </c>
      <c r="B53" s="794">
        <f t="shared" si="15"/>
        <v>29</v>
      </c>
      <c r="C53" s="795" t="s">
        <v>695</v>
      </c>
      <c r="D53" s="796" t="s">
        <v>972</v>
      </c>
      <c r="E53" s="749"/>
      <c r="F53" s="749"/>
      <c r="G53" s="768">
        <f t="array" ref="G53">SUM(IF("155"&amp;C53=KHN&amp;MH,SL))</f>
        <v>100</v>
      </c>
      <c r="H53" s="768">
        <f t="array" ref="H53">SUM(IF("155"&amp;C53=KHN&amp;MH,TH))</f>
        <v>4382584</v>
      </c>
      <c r="I53" s="768">
        <f t="array" ref="I53">SUM(IF("155"&amp;C53=KHC&amp;MH,SL))</f>
        <v>100</v>
      </c>
      <c r="J53" s="768">
        <f t="array" ref="J53">SUM(IF("155"&amp;C53=KHC&amp;MH,TH))</f>
        <v>4382584</v>
      </c>
      <c r="K53" s="749">
        <f t="shared" si="12"/>
        <v>0</v>
      </c>
      <c r="L53" s="749">
        <f t="shared" si="13"/>
        <v>0</v>
      </c>
    </row>
    <row r="54" spans="1:12" ht="18.75" customHeight="1">
      <c r="A54" s="462" t="str">
        <f t="shared" si="14"/>
        <v>TP</v>
      </c>
      <c r="B54" s="794">
        <f t="shared" si="15"/>
        <v>30</v>
      </c>
      <c r="C54" s="795" t="s">
        <v>696</v>
      </c>
      <c r="D54" s="796" t="s">
        <v>972</v>
      </c>
      <c r="E54" s="749"/>
      <c r="F54" s="749"/>
      <c r="G54" s="768">
        <f t="array" ref="G54">SUM(IF("155"&amp;C54=KHN&amp;MH,SL))</f>
        <v>12</v>
      </c>
      <c r="H54" s="768">
        <f t="array" ref="H54">SUM(IF("155"&amp;C54=KHN&amp;MH,TH))</f>
        <v>1022603</v>
      </c>
      <c r="I54" s="768">
        <f t="array" ref="I54">SUM(IF("155"&amp;C54=KHC&amp;MH,SL))</f>
        <v>12</v>
      </c>
      <c r="J54" s="768">
        <f t="array" ref="J54">SUM(IF("155"&amp;C54=KHC&amp;MH,TH))</f>
        <v>1022603</v>
      </c>
      <c r="K54" s="749">
        <f t="shared" si="12"/>
        <v>0</v>
      </c>
      <c r="L54" s="749">
        <f t="shared" si="13"/>
        <v>0</v>
      </c>
    </row>
    <row r="55" spans="1:12" ht="18.75" customHeight="1">
      <c r="A55" s="462" t="str">
        <f t="shared" si="14"/>
        <v>TP</v>
      </c>
      <c r="B55" s="794">
        <f t="shared" si="15"/>
        <v>31</v>
      </c>
      <c r="C55" s="795" t="s">
        <v>834</v>
      </c>
      <c r="D55" s="796" t="s">
        <v>972</v>
      </c>
      <c r="E55" s="749"/>
      <c r="F55" s="749"/>
      <c r="G55" s="768">
        <f t="array" ref="G55">SUM(IF("155"&amp;C55=KHN&amp;MH,SL))</f>
        <v>4000</v>
      </c>
      <c r="H55" s="768">
        <f t="array" ref="H55">SUM(IF("155"&amp;C55=KHN&amp;MH,TH))</f>
        <v>6999961</v>
      </c>
      <c r="I55" s="768">
        <f t="array" ref="I55">SUM(IF("155"&amp;C55=KHC&amp;MH,SL))</f>
        <v>4000</v>
      </c>
      <c r="J55" s="768">
        <f t="array" ref="J55">SUM(IF("155"&amp;C55=KHC&amp;MH,TH))</f>
        <v>6999961</v>
      </c>
      <c r="K55" s="749">
        <f t="shared" si="12"/>
        <v>0</v>
      </c>
      <c r="L55" s="749">
        <f t="shared" si="13"/>
        <v>0</v>
      </c>
    </row>
    <row r="56" spans="1:12" ht="18" customHeight="1">
      <c r="A56" s="462" t="str">
        <f t="shared" si="14"/>
        <v>TP</v>
      </c>
      <c r="B56" s="794">
        <f t="shared" si="15"/>
        <v>32</v>
      </c>
      <c r="C56" s="795" t="s">
        <v>521</v>
      </c>
      <c r="D56" s="796" t="s">
        <v>972</v>
      </c>
      <c r="E56" s="749"/>
      <c r="F56" s="749"/>
      <c r="G56" s="768">
        <f t="array" ref="G56">SUM(IF("155"&amp;C56=KHN&amp;MH,SL))</f>
        <v>302</v>
      </c>
      <c r="H56" s="768">
        <f t="array" ref="H56">SUM(IF("155"&amp;C56=KHN&amp;MH,TH))</f>
        <v>1842245</v>
      </c>
      <c r="I56" s="768">
        <f t="array" ref="I56">SUM(IF("155"&amp;C56=KHC&amp;MH,SL))</f>
        <v>302</v>
      </c>
      <c r="J56" s="768">
        <f t="array" ref="J56">SUM(IF("155"&amp;C56=KHC&amp;MH,TH))</f>
        <v>1842245</v>
      </c>
      <c r="K56" s="749">
        <f t="shared" si="12"/>
        <v>0</v>
      </c>
      <c r="L56" s="749">
        <f t="shared" si="13"/>
        <v>0</v>
      </c>
    </row>
    <row r="57" spans="1:12" ht="18" customHeight="1">
      <c r="A57" s="462" t="str">
        <f t="shared" si="14"/>
        <v>TP</v>
      </c>
      <c r="B57" s="794">
        <f t="shared" si="15"/>
        <v>33</v>
      </c>
      <c r="C57" s="781" t="s">
        <v>543</v>
      </c>
      <c r="D57" s="796" t="s">
        <v>972</v>
      </c>
      <c r="E57" s="749"/>
      <c r="F57" s="749"/>
      <c r="G57" s="768">
        <f t="array" ref="G57">SUM(IF("155"&amp;C57=KHN&amp;MH,SL))</f>
        <v>1027</v>
      </c>
      <c r="H57" s="768">
        <f t="array" ref="H57">SUM(IF("155"&amp;C57=KHN&amp;MH,TH))</f>
        <v>4740971</v>
      </c>
      <c r="I57" s="768">
        <f t="array" ref="I57">SUM(IF("155"&amp;C57=KHC&amp;MH,SL))</f>
        <v>1027</v>
      </c>
      <c r="J57" s="768">
        <f t="array" ref="J57">SUM(IF("155"&amp;C57=KHC&amp;MH,TH))</f>
        <v>4740971</v>
      </c>
      <c r="K57" s="749">
        <f t="shared" ref="K57:K88" si="16">E57+G57-I57</f>
        <v>0</v>
      </c>
      <c r="L57" s="749">
        <f t="shared" ref="L57:L88" si="17">F57+H57-J57</f>
        <v>0</v>
      </c>
    </row>
    <row r="58" spans="1:12" ht="18.75" customHeight="1">
      <c r="A58" s="462" t="str">
        <f t="shared" si="14"/>
        <v>TP</v>
      </c>
      <c r="B58" s="794">
        <f t="shared" si="15"/>
        <v>34</v>
      </c>
      <c r="C58" s="797" t="s">
        <v>652</v>
      </c>
      <c r="D58" s="796" t="s">
        <v>972</v>
      </c>
      <c r="E58" s="749"/>
      <c r="F58" s="749"/>
      <c r="G58" s="768">
        <f t="array" ref="G58">SUM(IF("155"&amp;C58=KHN&amp;MH,SL))</f>
        <v>110</v>
      </c>
      <c r="H58" s="768">
        <f t="array" ref="H58">SUM(IF("155"&amp;C58=KHN&amp;MH,TH))</f>
        <v>770762</v>
      </c>
      <c r="I58" s="768">
        <f t="array" ref="I58">SUM(IF("155"&amp;C58=KHC&amp;MH,SL))</f>
        <v>110</v>
      </c>
      <c r="J58" s="768">
        <f t="array" ref="J58">SUM(IF("155"&amp;C58=KHC&amp;MH,TH))</f>
        <v>770762</v>
      </c>
      <c r="K58" s="749">
        <f t="shared" si="16"/>
        <v>0</v>
      </c>
      <c r="L58" s="749">
        <f t="shared" si="17"/>
        <v>0</v>
      </c>
    </row>
    <row r="59" spans="1:12" ht="18.75" customHeight="1">
      <c r="A59" s="462" t="str">
        <f t="shared" si="14"/>
        <v>TP</v>
      </c>
      <c r="B59" s="794">
        <f t="shared" si="15"/>
        <v>35</v>
      </c>
      <c r="C59" s="797" t="s">
        <v>809</v>
      </c>
      <c r="D59" s="796" t="s">
        <v>972</v>
      </c>
      <c r="E59" s="749"/>
      <c r="F59" s="749"/>
      <c r="G59" s="768">
        <f t="array" ref="G59">SUM(IF("155"&amp;C59=KHN&amp;MH,SL))</f>
        <v>205</v>
      </c>
      <c r="H59" s="768">
        <f t="array" ref="H59">SUM(IF("155"&amp;C59=KHN&amp;MH,TH))</f>
        <v>483530</v>
      </c>
      <c r="I59" s="768">
        <f t="array" ref="I59">SUM(IF("155"&amp;C59=KHC&amp;MH,SL))</f>
        <v>205</v>
      </c>
      <c r="J59" s="768">
        <f t="array" ref="J59">SUM(IF("155"&amp;C59=KHC&amp;MH,TH))</f>
        <v>483530</v>
      </c>
      <c r="K59" s="749">
        <f t="shared" si="16"/>
        <v>0</v>
      </c>
      <c r="L59" s="749">
        <f t="shared" si="17"/>
        <v>0</v>
      </c>
    </row>
    <row r="60" spans="1:12" ht="18.75" customHeight="1">
      <c r="A60" s="462" t="str">
        <f t="shared" si="14"/>
        <v>TP</v>
      </c>
      <c r="B60" s="794">
        <f t="shared" si="15"/>
        <v>36</v>
      </c>
      <c r="C60" s="797" t="s">
        <v>541</v>
      </c>
      <c r="D60" s="796" t="s">
        <v>972</v>
      </c>
      <c r="E60" s="749"/>
      <c r="F60" s="749"/>
      <c r="G60" s="768">
        <f t="array" ref="G60">SUM(IF("155"&amp;C60=KHN&amp;MH,SL))</f>
        <v>2660</v>
      </c>
      <c r="H60" s="768">
        <f t="array" ref="H60">SUM(IF("155"&amp;C60=KHN&amp;MH,TH))</f>
        <v>14252919</v>
      </c>
      <c r="I60" s="768">
        <f t="array" ref="I60">SUM(IF("155"&amp;C60=KHC&amp;MH,SL))</f>
        <v>2660</v>
      </c>
      <c r="J60" s="768">
        <f t="array" ref="J60">SUM(IF("155"&amp;C60=KHC&amp;MH,TH))</f>
        <v>14252919</v>
      </c>
      <c r="K60" s="749">
        <f t="shared" si="16"/>
        <v>0</v>
      </c>
      <c r="L60" s="749">
        <f t="shared" si="17"/>
        <v>0</v>
      </c>
    </row>
    <row r="61" spans="1:12" ht="18.75" customHeight="1">
      <c r="A61" s="462" t="str">
        <f t="shared" si="14"/>
        <v>TP</v>
      </c>
      <c r="B61" s="794">
        <f t="shared" si="15"/>
        <v>37</v>
      </c>
      <c r="C61" s="795" t="s">
        <v>808</v>
      </c>
      <c r="D61" s="796" t="s">
        <v>972</v>
      </c>
      <c r="E61" s="749"/>
      <c r="F61" s="749"/>
      <c r="G61" s="768">
        <f t="array" ref="G61">SUM(IF("155"&amp;C61=KHN&amp;MH,SL))</f>
        <v>55</v>
      </c>
      <c r="H61" s="768">
        <f t="array" ref="H61">SUM(IF("155"&amp;C61=KHN&amp;MH,TH))</f>
        <v>376628</v>
      </c>
      <c r="I61" s="768">
        <f t="array" ref="I61">SUM(IF("155"&amp;C61=KHC&amp;MH,SL))</f>
        <v>55</v>
      </c>
      <c r="J61" s="768">
        <f t="array" ref="J61">SUM(IF("155"&amp;C61=KHC&amp;MH,TH))</f>
        <v>376628</v>
      </c>
      <c r="K61" s="749">
        <f t="shared" si="16"/>
        <v>0</v>
      </c>
      <c r="L61" s="749">
        <f t="shared" si="17"/>
        <v>0</v>
      </c>
    </row>
    <row r="62" spans="1:12" ht="18.75" customHeight="1">
      <c r="A62" s="462" t="str">
        <f t="shared" si="14"/>
        <v>TP</v>
      </c>
      <c r="B62" s="794">
        <f t="shared" si="15"/>
        <v>38</v>
      </c>
      <c r="C62" s="795" t="s">
        <v>665</v>
      </c>
      <c r="D62" s="796" t="s">
        <v>972</v>
      </c>
      <c r="E62" s="749"/>
      <c r="F62" s="749"/>
      <c r="G62" s="768">
        <f t="array" ref="G62">SUM(IF("155"&amp;C62=KHN&amp;MH,SL))</f>
        <v>200</v>
      </c>
      <c r="H62" s="768">
        <f t="array" ref="H62">SUM(IF("155"&amp;C62=KHN&amp;MH,TH))</f>
        <v>1417873</v>
      </c>
      <c r="I62" s="768">
        <f t="array" ref="I62">SUM(IF("155"&amp;C62=KHC&amp;MH,SL))</f>
        <v>200</v>
      </c>
      <c r="J62" s="768">
        <f t="array" ref="J62">SUM(IF("155"&amp;C62=KHC&amp;MH,TH))</f>
        <v>1417873</v>
      </c>
      <c r="K62" s="749">
        <f t="shared" si="16"/>
        <v>0</v>
      </c>
      <c r="L62" s="749">
        <f t="shared" si="17"/>
        <v>0</v>
      </c>
    </row>
    <row r="63" spans="1:12" ht="18.75" customHeight="1">
      <c r="A63" s="462" t="str">
        <f t="shared" si="14"/>
        <v>TP</v>
      </c>
      <c r="B63" s="794">
        <f t="shared" si="15"/>
        <v>39</v>
      </c>
      <c r="C63" s="781" t="s">
        <v>524</v>
      </c>
      <c r="D63" s="796" t="s">
        <v>972</v>
      </c>
      <c r="E63" s="749"/>
      <c r="F63" s="749"/>
      <c r="G63" s="768">
        <f t="array" ref="G63">SUM(IF("155"&amp;C63=KHN&amp;MH,SL))</f>
        <v>1015</v>
      </c>
      <c r="H63" s="768">
        <f t="array" ref="H63">SUM(IF("155"&amp;C63=KHN&amp;MH,TH))</f>
        <v>5864697</v>
      </c>
      <c r="I63" s="768">
        <f t="array" ref="I63">SUM(IF("155"&amp;C63=KHC&amp;MH,SL))</f>
        <v>1015</v>
      </c>
      <c r="J63" s="768">
        <f t="array" ref="J63">SUM(IF("155"&amp;C63=KHC&amp;MH,TH))</f>
        <v>5864697</v>
      </c>
      <c r="K63" s="749">
        <f t="shared" si="16"/>
        <v>0</v>
      </c>
      <c r="L63" s="749">
        <f t="shared" si="17"/>
        <v>0</v>
      </c>
    </row>
    <row r="64" spans="1:12" ht="18.75" customHeight="1">
      <c r="A64" s="462" t="str">
        <f t="shared" si="14"/>
        <v>TP</v>
      </c>
      <c r="B64" s="794">
        <f t="shared" si="15"/>
        <v>40</v>
      </c>
      <c r="C64" s="797" t="s">
        <v>848</v>
      </c>
      <c r="D64" s="796" t="s">
        <v>972</v>
      </c>
      <c r="E64" s="749"/>
      <c r="F64" s="749"/>
      <c r="G64" s="768">
        <f t="array" ref="G64">SUM(IF("155"&amp;C64=KHN&amp;MH,SL))</f>
        <v>205</v>
      </c>
      <c r="H64" s="768">
        <f t="array" ref="H64">SUM(IF("155"&amp;C64=KHN&amp;MH,TH))</f>
        <v>1060646</v>
      </c>
      <c r="I64" s="768">
        <f t="array" ref="I64">SUM(IF("155"&amp;C64=KHC&amp;MH,SL))</f>
        <v>205</v>
      </c>
      <c r="J64" s="768">
        <f t="array" ref="J64">SUM(IF("155"&amp;C64=KHC&amp;MH,TH))</f>
        <v>1060646</v>
      </c>
      <c r="K64" s="749">
        <f t="shared" si="16"/>
        <v>0</v>
      </c>
      <c r="L64" s="749">
        <f t="shared" si="17"/>
        <v>0</v>
      </c>
    </row>
    <row r="65" spans="1:12" ht="18.75" customHeight="1">
      <c r="A65" s="462" t="str">
        <f t="shared" si="14"/>
        <v>TP</v>
      </c>
      <c r="B65" s="794">
        <f t="shared" si="15"/>
        <v>41</v>
      </c>
      <c r="C65" s="795" t="s">
        <v>651</v>
      </c>
      <c r="D65" s="796" t="s">
        <v>972</v>
      </c>
      <c r="E65" s="749"/>
      <c r="F65" s="749"/>
      <c r="G65" s="768">
        <f t="array" ref="G65">SUM(IF("155"&amp;C65=KHN&amp;MH,SL))</f>
        <v>412</v>
      </c>
      <c r="H65" s="768">
        <f t="array" ref="H65">SUM(IF("155"&amp;C65=KHN&amp;MH,TH))</f>
        <v>3532152</v>
      </c>
      <c r="I65" s="768">
        <f t="array" ref="I65">SUM(IF("155"&amp;C65=KHC&amp;MH,SL))</f>
        <v>412</v>
      </c>
      <c r="J65" s="768">
        <f t="array" ref="J65">SUM(IF("155"&amp;C65=KHC&amp;MH,TH))</f>
        <v>3532152</v>
      </c>
      <c r="K65" s="749">
        <f t="shared" si="16"/>
        <v>0</v>
      </c>
      <c r="L65" s="749">
        <f t="shared" si="17"/>
        <v>0</v>
      </c>
    </row>
    <row r="66" spans="1:12" ht="18.75" customHeight="1">
      <c r="A66" s="462" t="str">
        <f t="shared" si="14"/>
        <v>TP</v>
      </c>
      <c r="B66" s="794">
        <f t="shared" si="15"/>
        <v>42</v>
      </c>
      <c r="C66" s="795" t="s">
        <v>504</v>
      </c>
      <c r="D66" s="796" t="s">
        <v>972</v>
      </c>
      <c r="E66" s="749"/>
      <c r="F66" s="749"/>
      <c r="G66" s="768">
        <f t="array" ref="G66">SUM(IF("155"&amp;C66=KHN&amp;MH,SL))</f>
        <v>254</v>
      </c>
      <c r="H66" s="768">
        <f t="array" ref="H66">SUM(IF("155"&amp;C66=KHN&amp;MH,TH))</f>
        <v>2554479</v>
      </c>
      <c r="I66" s="768">
        <f t="array" ref="I66">SUM(IF("155"&amp;C66=KHC&amp;MH,SL))</f>
        <v>254</v>
      </c>
      <c r="J66" s="768">
        <f t="array" ref="J66">SUM(IF("155"&amp;C66=KHC&amp;MH,TH))</f>
        <v>2554479</v>
      </c>
      <c r="K66" s="749">
        <f t="shared" si="16"/>
        <v>0</v>
      </c>
      <c r="L66" s="749">
        <f t="shared" si="17"/>
        <v>0</v>
      </c>
    </row>
    <row r="67" spans="1:12" ht="18.75" customHeight="1">
      <c r="A67" s="462" t="str">
        <f t="shared" si="14"/>
        <v>TP</v>
      </c>
      <c r="B67" s="794">
        <f t="shared" si="15"/>
        <v>43</v>
      </c>
      <c r="C67" s="795" t="s">
        <v>691</v>
      </c>
      <c r="D67" s="796" t="s">
        <v>972</v>
      </c>
      <c r="E67" s="749"/>
      <c r="F67" s="749"/>
      <c r="G67" s="768">
        <f t="array" ref="G67">SUM(IF("155"&amp;C67=KHN&amp;MH,SL))</f>
        <v>1892</v>
      </c>
      <c r="H67" s="768">
        <f t="array" ref="H67">SUM(IF("155"&amp;C67=KHN&amp;MH,TH))</f>
        <v>9788989</v>
      </c>
      <c r="I67" s="768">
        <f t="array" ref="I67">SUM(IF("155"&amp;C67=KHC&amp;MH,SL))</f>
        <v>1892</v>
      </c>
      <c r="J67" s="768">
        <f t="array" ref="J67">SUM(IF("155"&amp;C67=KHC&amp;MH,TH))</f>
        <v>9788989</v>
      </c>
      <c r="K67" s="749">
        <f t="shared" si="16"/>
        <v>0</v>
      </c>
      <c r="L67" s="749">
        <f t="shared" si="17"/>
        <v>0</v>
      </c>
    </row>
    <row r="68" spans="1:12" ht="18.75" customHeight="1">
      <c r="A68" s="462" t="str">
        <f t="shared" si="14"/>
        <v>TP</v>
      </c>
      <c r="B68" s="794">
        <f t="shared" si="15"/>
        <v>44</v>
      </c>
      <c r="C68" s="781" t="s">
        <v>510</v>
      </c>
      <c r="D68" s="796" t="s">
        <v>972</v>
      </c>
      <c r="E68" s="749"/>
      <c r="F68" s="749"/>
      <c r="G68" s="768">
        <f t="array" ref="G68">SUM(IF("155"&amp;C68=KHN&amp;MH,SL))</f>
        <v>4035</v>
      </c>
      <c r="H68" s="768">
        <f t="array" ref="H68">SUM(IF("155"&amp;C68=KHN&amp;MH,TH))</f>
        <v>22950992</v>
      </c>
      <c r="I68" s="768">
        <f t="array" ref="I68">SUM(IF("155"&amp;C68=KHC&amp;MH,SL))</f>
        <v>4035</v>
      </c>
      <c r="J68" s="768">
        <f t="array" ref="J68">SUM(IF("155"&amp;C68=KHC&amp;MH,TH))</f>
        <v>22950992</v>
      </c>
      <c r="K68" s="749">
        <f t="shared" si="16"/>
        <v>0</v>
      </c>
      <c r="L68" s="749">
        <f t="shared" si="17"/>
        <v>0</v>
      </c>
    </row>
    <row r="69" spans="1:12" ht="19.5" customHeight="1">
      <c r="A69" s="462" t="str">
        <f t="shared" si="14"/>
        <v>TP</v>
      </c>
      <c r="B69" s="794">
        <f t="shared" si="15"/>
        <v>45</v>
      </c>
      <c r="C69" s="795" t="s">
        <v>853</v>
      </c>
      <c r="D69" s="796" t="s">
        <v>972</v>
      </c>
      <c r="E69" s="749"/>
      <c r="F69" s="749"/>
      <c r="G69" s="768">
        <f t="array" ref="G69">SUM(IF("155"&amp;C69=KHN&amp;MH,SL))</f>
        <v>50</v>
      </c>
      <c r="H69" s="768">
        <f t="array" ref="H69">SUM(IF("155"&amp;C69=KHN&amp;MH,TH))</f>
        <v>228260</v>
      </c>
      <c r="I69" s="768">
        <f t="array" ref="I69">SUM(IF("155"&amp;C69=KHC&amp;MH,SL))</f>
        <v>50</v>
      </c>
      <c r="J69" s="768">
        <f t="array" ref="J69">SUM(IF("155"&amp;C69=KHC&amp;MH,TH))</f>
        <v>228260</v>
      </c>
      <c r="K69" s="749">
        <f t="shared" si="16"/>
        <v>0</v>
      </c>
      <c r="L69" s="749">
        <f t="shared" si="17"/>
        <v>0</v>
      </c>
    </row>
    <row r="70" spans="1:12" ht="19.5" customHeight="1">
      <c r="A70" s="462" t="str">
        <f t="shared" si="14"/>
        <v>TP</v>
      </c>
      <c r="B70" s="794">
        <f t="shared" si="15"/>
        <v>46</v>
      </c>
      <c r="C70" s="795" t="s">
        <v>852</v>
      </c>
      <c r="D70" s="796" t="s">
        <v>972</v>
      </c>
      <c r="E70" s="749"/>
      <c r="F70" s="749"/>
      <c r="G70" s="768">
        <f t="array" ref="G70">SUM(IF("155"&amp;C70=KHN&amp;MH,SL))</f>
        <v>180</v>
      </c>
      <c r="H70" s="768">
        <f t="array" ref="H70">SUM(IF("155"&amp;C70=KHN&amp;MH,TH))</f>
        <v>1013473</v>
      </c>
      <c r="I70" s="768">
        <f t="array" ref="I70">SUM(IF("155"&amp;C70=KHC&amp;MH,SL))</f>
        <v>180</v>
      </c>
      <c r="J70" s="768">
        <f t="array" ref="J70">SUM(IF("155"&amp;C70=KHC&amp;MH,TH))</f>
        <v>1013473</v>
      </c>
      <c r="K70" s="749">
        <f t="shared" si="16"/>
        <v>0</v>
      </c>
      <c r="L70" s="749">
        <f t="shared" si="17"/>
        <v>0</v>
      </c>
    </row>
    <row r="71" spans="1:12" ht="19.5" customHeight="1">
      <c r="A71" s="462" t="str">
        <f t="shared" si="14"/>
        <v>TP</v>
      </c>
      <c r="B71" s="794">
        <f t="shared" si="15"/>
        <v>47</v>
      </c>
      <c r="C71" s="795" t="s">
        <v>851</v>
      </c>
      <c r="D71" s="796" t="s">
        <v>972</v>
      </c>
      <c r="E71" s="749"/>
      <c r="F71" s="749"/>
      <c r="G71" s="768">
        <f t="array" ref="G71">SUM(IF("155"&amp;C71=KHN&amp;MH,SL))</f>
        <v>292</v>
      </c>
      <c r="H71" s="768">
        <f t="array" ref="H71">SUM(IF("155"&amp;C71=KHN&amp;MH,TH))</f>
        <v>1955119</v>
      </c>
      <c r="I71" s="768">
        <f t="array" ref="I71">SUM(IF("155"&amp;C71=KHC&amp;MH,SL))</f>
        <v>292</v>
      </c>
      <c r="J71" s="768">
        <f t="array" ref="J71">SUM(IF("155"&amp;C71=KHC&amp;MH,TH))</f>
        <v>1955119</v>
      </c>
      <c r="K71" s="749">
        <f t="shared" si="16"/>
        <v>0</v>
      </c>
      <c r="L71" s="749">
        <f t="shared" si="17"/>
        <v>0</v>
      </c>
    </row>
    <row r="72" spans="1:12" ht="19.5" customHeight="1">
      <c r="A72" s="462" t="str">
        <f t="shared" si="14"/>
        <v>TP</v>
      </c>
      <c r="B72" s="794">
        <f t="shared" si="15"/>
        <v>48</v>
      </c>
      <c r="C72" s="795" t="s">
        <v>679</v>
      </c>
      <c r="D72" s="796" t="s">
        <v>972</v>
      </c>
      <c r="E72" s="749"/>
      <c r="F72" s="749"/>
      <c r="G72" s="768">
        <f t="array" ref="G72">SUM(IF("155"&amp;C72=KHN&amp;MH,SL))</f>
        <v>105</v>
      </c>
      <c r="H72" s="768">
        <f t="array" ref="H72">SUM(IF("155"&amp;C72=KHN&amp;MH,TH))</f>
        <v>838854</v>
      </c>
      <c r="I72" s="768">
        <f t="array" ref="I72">SUM(IF("155"&amp;C72=KHC&amp;MH,SL))</f>
        <v>105</v>
      </c>
      <c r="J72" s="768">
        <f t="array" ref="J72">SUM(IF("155"&amp;C72=KHC&amp;MH,TH))</f>
        <v>838854</v>
      </c>
      <c r="K72" s="749">
        <f t="shared" si="16"/>
        <v>0</v>
      </c>
      <c r="L72" s="749">
        <f t="shared" si="17"/>
        <v>0</v>
      </c>
    </row>
    <row r="73" spans="1:12" ht="19.5" customHeight="1">
      <c r="A73" s="462" t="str">
        <f t="shared" si="14"/>
        <v>TP</v>
      </c>
      <c r="B73" s="794">
        <f t="shared" si="15"/>
        <v>49</v>
      </c>
      <c r="C73" s="795" t="s">
        <v>854</v>
      </c>
      <c r="D73" s="796" t="s">
        <v>972</v>
      </c>
      <c r="E73" s="749"/>
      <c r="F73" s="749"/>
      <c r="G73" s="768">
        <f t="array" ref="G73">SUM(IF("155"&amp;C73=KHN&amp;MH,SL))</f>
        <v>554</v>
      </c>
      <c r="H73" s="768">
        <f t="array" ref="H73">SUM(IF("155"&amp;C73=KHN&amp;MH,TH))</f>
        <v>4973929</v>
      </c>
      <c r="I73" s="768">
        <f t="array" ref="I73">SUM(IF("155"&amp;C73=KHC&amp;MH,SL))</f>
        <v>554</v>
      </c>
      <c r="J73" s="768">
        <f t="array" ref="J73">SUM(IF("155"&amp;C73=KHC&amp;MH,TH))</f>
        <v>4973929</v>
      </c>
      <c r="K73" s="749">
        <f t="shared" si="16"/>
        <v>0</v>
      </c>
      <c r="L73" s="749">
        <f t="shared" si="17"/>
        <v>0</v>
      </c>
    </row>
    <row r="74" spans="1:12" ht="19.5" customHeight="1">
      <c r="A74" s="462" t="str">
        <f t="shared" si="14"/>
        <v>TP</v>
      </c>
      <c r="B74" s="794">
        <f t="shared" si="15"/>
        <v>50</v>
      </c>
      <c r="C74" s="781" t="s">
        <v>514</v>
      </c>
      <c r="D74" s="796" t="s">
        <v>972</v>
      </c>
      <c r="E74" s="749"/>
      <c r="F74" s="749"/>
      <c r="G74" s="768">
        <f t="array" ref="G74">SUM(IF("155"&amp;C74=KHN&amp;MH,SL))</f>
        <v>473</v>
      </c>
      <c r="H74" s="768">
        <f t="array" ref="H74">SUM(IF("155"&amp;C74=KHN&amp;MH,TH))</f>
        <v>3158312</v>
      </c>
      <c r="I74" s="768">
        <f t="array" ref="I74">SUM(IF("155"&amp;C74=KHC&amp;MH,SL))</f>
        <v>473</v>
      </c>
      <c r="J74" s="768">
        <f t="array" ref="J74">SUM(IF("155"&amp;C74=KHC&amp;MH,TH))</f>
        <v>3158312</v>
      </c>
      <c r="K74" s="749">
        <f t="shared" si="16"/>
        <v>0</v>
      </c>
      <c r="L74" s="749">
        <f t="shared" si="17"/>
        <v>0</v>
      </c>
    </row>
    <row r="75" spans="1:12" ht="19.5" customHeight="1">
      <c r="A75" s="462" t="str">
        <f t="shared" si="14"/>
        <v>TP</v>
      </c>
      <c r="B75" s="794">
        <f t="shared" si="15"/>
        <v>51</v>
      </c>
      <c r="C75" s="797" t="s">
        <v>807</v>
      </c>
      <c r="D75" s="796" t="s">
        <v>972</v>
      </c>
      <c r="E75" s="749"/>
      <c r="F75" s="749"/>
      <c r="G75" s="768">
        <f t="array" ref="G75">SUM(IF("155"&amp;C75=KHN&amp;MH,SL))</f>
        <v>305</v>
      </c>
      <c r="H75" s="768">
        <f t="array" ref="H75">SUM(IF("155"&amp;C75=KHN&amp;MH,TH))</f>
        <v>2158194</v>
      </c>
      <c r="I75" s="768">
        <f t="array" ref="I75">SUM(IF("155"&amp;C75=KHC&amp;MH,SL))</f>
        <v>305</v>
      </c>
      <c r="J75" s="768">
        <f t="array" ref="J75">SUM(IF("155"&amp;C75=KHC&amp;MH,TH))</f>
        <v>2158194</v>
      </c>
      <c r="K75" s="749">
        <f t="shared" si="16"/>
        <v>0</v>
      </c>
      <c r="L75" s="749">
        <f t="shared" si="17"/>
        <v>0</v>
      </c>
    </row>
    <row r="76" spans="1:12" ht="19.5" customHeight="1">
      <c r="A76" s="462" t="str">
        <f t="shared" si="14"/>
        <v>TP</v>
      </c>
      <c r="B76" s="794">
        <f t="shared" si="15"/>
        <v>52</v>
      </c>
      <c r="C76" s="795" t="s">
        <v>664</v>
      </c>
      <c r="D76" s="796" t="s">
        <v>972</v>
      </c>
      <c r="E76" s="749"/>
      <c r="F76" s="749"/>
      <c r="G76" s="768">
        <f t="array" ref="G76">SUM(IF("155"&amp;C76=KHN&amp;MH,SL))</f>
        <v>857</v>
      </c>
      <c r="H76" s="768">
        <f t="array" ref="H76">SUM(IF("155"&amp;C76=KHN&amp;MH,TH))</f>
        <v>6442649</v>
      </c>
      <c r="I76" s="768">
        <f t="array" ref="I76">SUM(IF("155"&amp;C76=KHC&amp;MH,SL))</f>
        <v>857</v>
      </c>
      <c r="J76" s="768">
        <f t="array" ref="J76">SUM(IF("155"&amp;C76=KHC&amp;MH,TH))</f>
        <v>6442649</v>
      </c>
      <c r="K76" s="749">
        <f t="shared" si="16"/>
        <v>0</v>
      </c>
      <c r="L76" s="749">
        <f t="shared" si="17"/>
        <v>0</v>
      </c>
    </row>
    <row r="77" spans="1:12" ht="19.5" customHeight="1">
      <c r="A77" s="462" t="str">
        <f t="shared" si="14"/>
        <v>TP</v>
      </c>
      <c r="B77" s="794">
        <f t="shared" si="15"/>
        <v>53</v>
      </c>
      <c r="C77" s="781" t="s">
        <v>680</v>
      </c>
      <c r="D77" s="796" t="s">
        <v>972</v>
      </c>
      <c r="E77" s="749"/>
      <c r="F77" s="749"/>
      <c r="G77" s="768">
        <f t="array" ref="G77">SUM(IF("155"&amp;C77=KHN&amp;MH,SL))</f>
        <v>110</v>
      </c>
      <c r="H77" s="768">
        <f t="array" ref="H77">SUM(IF("155"&amp;C77=KHN&amp;MH,TH))</f>
        <v>945756</v>
      </c>
      <c r="I77" s="768">
        <f t="array" ref="I77">SUM(IF("155"&amp;C77=KHC&amp;MH,SL))</f>
        <v>110</v>
      </c>
      <c r="J77" s="768">
        <f t="array" ref="J77">SUM(IF("155"&amp;C77=KHC&amp;MH,TH))</f>
        <v>945756</v>
      </c>
      <c r="K77" s="749">
        <f t="shared" si="16"/>
        <v>0</v>
      </c>
      <c r="L77" s="749">
        <f t="shared" si="17"/>
        <v>0</v>
      </c>
    </row>
    <row r="78" spans="1:12" ht="19.5" customHeight="1">
      <c r="A78" s="462" t="str">
        <f t="shared" si="14"/>
        <v>TP</v>
      </c>
      <c r="B78" s="794">
        <f t="shared" si="15"/>
        <v>54</v>
      </c>
      <c r="C78" s="795" t="s">
        <v>531</v>
      </c>
      <c r="D78" s="796" t="s">
        <v>972</v>
      </c>
      <c r="E78" s="749"/>
      <c r="F78" s="749"/>
      <c r="G78" s="768">
        <f t="array" ref="G78">SUM(IF("155"&amp;C78=KHN&amp;MH,SL))</f>
        <v>19</v>
      </c>
      <c r="H78" s="768">
        <f t="array" ref="H78">SUM(IF("155"&amp;C78=KHN&amp;MH,TH))</f>
        <v>214577</v>
      </c>
      <c r="I78" s="768">
        <f t="array" ref="I78">SUM(IF("155"&amp;C78=KHC&amp;MH,SL))</f>
        <v>19</v>
      </c>
      <c r="J78" s="768">
        <f t="array" ref="J78">SUM(IF("155"&amp;C78=KHC&amp;MH,TH))</f>
        <v>214577</v>
      </c>
      <c r="K78" s="749">
        <f t="shared" si="16"/>
        <v>0</v>
      </c>
      <c r="L78" s="749">
        <f t="shared" si="17"/>
        <v>0</v>
      </c>
    </row>
    <row r="79" spans="1:12" ht="19.5" customHeight="1">
      <c r="A79" s="462" t="str">
        <f t="shared" si="14"/>
        <v>TP</v>
      </c>
      <c r="B79" s="794">
        <f t="shared" si="15"/>
        <v>55</v>
      </c>
      <c r="C79" s="781" t="s">
        <v>505</v>
      </c>
      <c r="D79" s="796" t="s">
        <v>972</v>
      </c>
      <c r="E79" s="749"/>
      <c r="F79" s="749"/>
      <c r="G79" s="768">
        <f t="array" ref="G79">SUM(IF("155"&amp;C79=KHN&amp;MH,SL))</f>
        <v>75</v>
      </c>
      <c r="H79" s="768">
        <f t="array" ref="H79">SUM(IF("155"&amp;C79=KHN&amp;MH,TH))</f>
        <v>834649</v>
      </c>
      <c r="I79" s="768">
        <f t="array" ref="I79">SUM(IF("155"&amp;C79=KHC&amp;MH,SL))</f>
        <v>75</v>
      </c>
      <c r="J79" s="768">
        <f t="array" ref="J79">SUM(IF("155"&amp;C79=KHC&amp;MH,TH))</f>
        <v>834649</v>
      </c>
      <c r="K79" s="749">
        <f t="shared" si="16"/>
        <v>0</v>
      </c>
      <c r="L79" s="749">
        <f t="shared" si="17"/>
        <v>0</v>
      </c>
    </row>
    <row r="80" spans="1:12" ht="19.5" customHeight="1">
      <c r="A80" s="462" t="str">
        <f t="shared" si="14"/>
        <v>TP</v>
      </c>
      <c r="B80" s="794">
        <f t="shared" si="15"/>
        <v>56</v>
      </c>
      <c r="C80" s="795" t="s">
        <v>530</v>
      </c>
      <c r="D80" s="796" t="s">
        <v>972</v>
      </c>
      <c r="E80" s="749"/>
      <c r="F80" s="749"/>
      <c r="G80" s="768">
        <f t="array" ref="G80">SUM(IF("155"&amp;C80=KHN&amp;MH,SL))</f>
        <v>309</v>
      </c>
      <c r="H80" s="768">
        <f t="array" ref="H80">SUM(IF("155"&amp;C80=KHN&amp;MH,TH))</f>
        <v>1884947</v>
      </c>
      <c r="I80" s="768">
        <f t="array" ref="I80">SUM(IF("155"&amp;C80=KHC&amp;MH,SL))</f>
        <v>309</v>
      </c>
      <c r="J80" s="768">
        <f t="array" ref="J80">SUM(IF("155"&amp;C80=KHC&amp;MH,TH))</f>
        <v>1884947</v>
      </c>
      <c r="K80" s="749">
        <f t="shared" si="16"/>
        <v>0</v>
      </c>
      <c r="L80" s="749">
        <f t="shared" si="17"/>
        <v>0</v>
      </c>
    </row>
    <row r="81" spans="1:12" ht="19.5" customHeight="1">
      <c r="A81" s="462" t="str">
        <f t="shared" si="14"/>
        <v>TP</v>
      </c>
      <c r="B81" s="794">
        <f t="shared" si="15"/>
        <v>57</v>
      </c>
      <c r="C81" s="795" t="s">
        <v>802</v>
      </c>
      <c r="D81" s="796" t="s">
        <v>972</v>
      </c>
      <c r="E81" s="749"/>
      <c r="F81" s="749"/>
      <c r="G81" s="768">
        <f t="array" ref="G81">SUM(IF("155"&amp;C81=KHN&amp;MH,SL))</f>
        <v>423</v>
      </c>
      <c r="H81" s="768">
        <f t="array" ref="H81">SUM(IF("155"&amp;C81=KHN&amp;MH,TH))</f>
        <v>2413845</v>
      </c>
      <c r="I81" s="768">
        <f t="array" ref="I81">SUM(IF("155"&amp;C81=KHC&amp;MH,SL))</f>
        <v>423</v>
      </c>
      <c r="J81" s="768">
        <f t="array" ref="J81">SUM(IF("155"&amp;C81=KHC&amp;MH,TH))</f>
        <v>2413845</v>
      </c>
      <c r="K81" s="749">
        <f t="shared" si="16"/>
        <v>0</v>
      </c>
      <c r="L81" s="749">
        <f t="shared" si="17"/>
        <v>0</v>
      </c>
    </row>
    <row r="82" spans="1:12" ht="19.5" customHeight="1">
      <c r="A82" s="462" t="str">
        <f t="shared" si="14"/>
        <v>TP</v>
      </c>
      <c r="B82" s="794">
        <f t="shared" si="15"/>
        <v>58</v>
      </c>
      <c r="C82" s="797" t="s">
        <v>671</v>
      </c>
      <c r="D82" s="796" t="s">
        <v>972</v>
      </c>
      <c r="E82" s="749"/>
      <c r="F82" s="749"/>
      <c r="G82" s="768">
        <f t="array" ref="G82">SUM(IF("155"&amp;C82=KHN&amp;MH,SL))</f>
        <v>330</v>
      </c>
      <c r="H82" s="768">
        <f t="array" ref="H82">SUM(IF("155"&amp;C82=KHN&amp;MH,TH))</f>
        <v>2284879</v>
      </c>
      <c r="I82" s="768">
        <f t="array" ref="I82">SUM(IF("155"&amp;C82=KHC&amp;MH,SL))</f>
        <v>330</v>
      </c>
      <c r="J82" s="768">
        <f t="array" ref="J82">SUM(IF("155"&amp;C82=KHC&amp;MH,TH))</f>
        <v>2284879</v>
      </c>
      <c r="K82" s="749">
        <f t="shared" si="16"/>
        <v>0</v>
      </c>
      <c r="L82" s="749">
        <f t="shared" si="17"/>
        <v>0</v>
      </c>
    </row>
    <row r="83" spans="1:12" ht="19.5" customHeight="1">
      <c r="A83" s="462" t="str">
        <f t="shared" si="14"/>
        <v>TP</v>
      </c>
      <c r="B83" s="794">
        <f t="shared" si="15"/>
        <v>59</v>
      </c>
      <c r="C83" s="795" t="s">
        <v>549</v>
      </c>
      <c r="D83" s="796" t="s">
        <v>972</v>
      </c>
      <c r="E83" s="749"/>
      <c r="F83" s="749"/>
      <c r="G83" s="768">
        <f t="array" ref="G83">SUM(IF("155"&amp;C83=KHN&amp;MH,SL))</f>
        <v>109</v>
      </c>
      <c r="H83" s="768">
        <f t="array" ref="H83">SUM(IF("155"&amp;C83=KHN&amp;MH,TH))</f>
        <v>485209</v>
      </c>
      <c r="I83" s="768">
        <f t="array" ref="I83">SUM(IF("155"&amp;C83=KHC&amp;MH,SL))</f>
        <v>109</v>
      </c>
      <c r="J83" s="768">
        <f t="array" ref="J83">SUM(IF("155"&amp;C83=KHC&amp;MH,TH))</f>
        <v>485209</v>
      </c>
      <c r="K83" s="749">
        <f t="shared" si="16"/>
        <v>0</v>
      </c>
      <c r="L83" s="749">
        <f t="shared" si="17"/>
        <v>0</v>
      </c>
    </row>
    <row r="84" spans="1:12" ht="19.5" customHeight="1">
      <c r="A84" s="462" t="str">
        <f t="shared" si="14"/>
        <v>TP</v>
      </c>
      <c r="B84" s="794">
        <f t="shared" si="15"/>
        <v>60</v>
      </c>
      <c r="C84" s="795" t="s">
        <v>517</v>
      </c>
      <c r="D84" s="796" t="s">
        <v>972</v>
      </c>
      <c r="E84" s="749"/>
      <c r="F84" s="749"/>
      <c r="G84" s="768">
        <f t="array" ref="G84">SUM(IF("155"&amp;C84=KHN&amp;MH,SL))</f>
        <v>606</v>
      </c>
      <c r="H84" s="768">
        <f t="array" ref="H84">SUM(IF("155"&amp;C84=KHN&amp;MH,TH))</f>
        <v>3546825</v>
      </c>
      <c r="I84" s="768">
        <f t="array" ref="I84">SUM(IF("155"&amp;C84=KHC&amp;MH,SL))</f>
        <v>606</v>
      </c>
      <c r="J84" s="768">
        <f t="array" ref="J84">SUM(IF("155"&amp;C84=KHC&amp;MH,TH))</f>
        <v>3546825</v>
      </c>
      <c r="K84" s="749">
        <f t="shared" si="16"/>
        <v>0</v>
      </c>
      <c r="L84" s="749">
        <f t="shared" si="17"/>
        <v>0</v>
      </c>
    </row>
    <row r="85" spans="1:12" ht="19.5" customHeight="1">
      <c r="A85" s="462" t="str">
        <f t="shared" si="14"/>
        <v>TP</v>
      </c>
      <c r="B85" s="794">
        <f t="shared" si="15"/>
        <v>61</v>
      </c>
      <c r="C85" s="795" t="s">
        <v>849</v>
      </c>
      <c r="D85" s="796" t="s">
        <v>972</v>
      </c>
      <c r="E85" s="749"/>
      <c r="F85" s="749"/>
      <c r="G85" s="768">
        <f t="array" ref="G85">SUM(IF("155"&amp;C85=KHN&amp;MH,SL))</f>
        <v>1160</v>
      </c>
      <c r="H85" s="768">
        <f t="array" ref="H85">SUM(IF("155"&amp;C85=KHN&amp;MH,TH))</f>
        <v>7766913</v>
      </c>
      <c r="I85" s="768">
        <f t="array" ref="I85">SUM(IF("155"&amp;C85=KHC&amp;MH,SL))</f>
        <v>1160</v>
      </c>
      <c r="J85" s="768">
        <f t="array" ref="J85">SUM(IF("155"&amp;C85=KHC&amp;MH,TH))</f>
        <v>7766913</v>
      </c>
      <c r="K85" s="749">
        <f t="shared" si="16"/>
        <v>0</v>
      </c>
      <c r="L85" s="749">
        <f t="shared" si="17"/>
        <v>0</v>
      </c>
    </row>
    <row r="86" spans="1:12" ht="19.5" customHeight="1">
      <c r="A86" s="462" t="str">
        <f t="shared" si="14"/>
        <v>TP</v>
      </c>
      <c r="B86" s="794">
        <f t="shared" si="15"/>
        <v>62</v>
      </c>
      <c r="C86" s="795" t="s">
        <v>904</v>
      </c>
      <c r="D86" s="796" t="s">
        <v>972</v>
      </c>
      <c r="E86" s="749"/>
      <c r="F86" s="749"/>
      <c r="G86" s="768">
        <f t="array" ref="G86">SUM(IF("155"&amp;C86=KHN&amp;MH,SL))</f>
        <v>160</v>
      </c>
      <c r="H86" s="768">
        <f t="array" ref="H86">SUM(IF("155"&amp;C86=KHN&amp;MH,TH))</f>
        <v>1558252</v>
      </c>
      <c r="I86" s="768">
        <f t="array" ref="I86">SUM(IF("155"&amp;C86=KHC&amp;MH,SL))</f>
        <v>160</v>
      </c>
      <c r="J86" s="768">
        <f t="array" ref="J86">SUM(IF("155"&amp;C86=KHC&amp;MH,TH))</f>
        <v>1558252</v>
      </c>
      <c r="K86" s="749">
        <f t="shared" si="16"/>
        <v>0</v>
      </c>
      <c r="L86" s="749">
        <f t="shared" si="17"/>
        <v>0</v>
      </c>
    </row>
    <row r="87" spans="1:12" ht="19.5" customHeight="1">
      <c r="A87" s="462" t="str">
        <f t="shared" si="14"/>
        <v>TP</v>
      </c>
      <c r="B87" s="794">
        <f t="shared" si="15"/>
        <v>63</v>
      </c>
      <c r="C87" s="795" t="s">
        <v>538</v>
      </c>
      <c r="D87" s="796" t="s">
        <v>972</v>
      </c>
      <c r="E87" s="749"/>
      <c r="F87" s="749"/>
      <c r="G87" s="768">
        <f t="array" ref="G87">SUM(IF("155"&amp;C87=KHN&amp;MH,SL))</f>
        <v>311</v>
      </c>
      <c r="H87" s="768">
        <f t="array" ref="H87">SUM(IF("155"&amp;C87=KHN&amp;MH,TH))</f>
        <v>1999695</v>
      </c>
      <c r="I87" s="768">
        <f t="array" ref="I87">SUM(IF("155"&amp;C87=KHC&amp;MH,SL))</f>
        <v>311</v>
      </c>
      <c r="J87" s="768">
        <f t="array" ref="J87">SUM(IF("155"&amp;C87=KHC&amp;MH,TH))</f>
        <v>1999695</v>
      </c>
      <c r="K87" s="749">
        <f t="shared" si="16"/>
        <v>0</v>
      </c>
      <c r="L87" s="749">
        <f t="shared" si="17"/>
        <v>0</v>
      </c>
    </row>
    <row r="88" spans="1:12" ht="19.5" customHeight="1">
      <c r="A88" s="462" t="str">
        <f t="shared" si="14"/>
        <v>TP</v>
      </c>
      <c r="B88" s="794">
        <f t="shared" si="15"/>
        <v>64</v>
      </c>
      <c r="C88" s="795" t="s">
        <v>669</v>
      </c>
      <c r="D88" s="796" t="s">
        <v>972</v>
      </c>
      <c r="E88" s="749"/>
      <c r="F88" s="749"/>
      <c r="G88" s="768">
        <f t="array" ref="G88">SUM(IF("155"&amp;C88=KHN&amp;MH,SL))</f>
        <v>111</v>
      </c>
      <c r="H88" s="768">
        <f t="array" ref="H88">SUM(IF("155"&amp;C88=KHN&amp;MH,TH))</f>
        <v>878343</v>
      </c>
      <c r="I88" s="768">
        <f t="array" ref="I88">SUM(IF("155"&amp;C88=KHC&amp;MH,SL))</f>
        <v>111</v>
      </c>
      <c r="J88" s="768">
        <f t="array" ref="J88">SUM(IF("155"&amp;C88=KHC&amp;MH,TH))</f>
        <v>878343</v>
      </c>
      <c r="K88" s="749">
        <f t="shared" si="16"/>
        <v>0</v>
      </c>
      <c r="L88" s="749">
        <f t="shared" si="17"/>
        <v>0</v>
      </c>
    </row>
    <row r="89" spans="1:12" ht="19.5" customHeight="1">
      <c r="A89" s="462" t="str">
        <f t="shared" si="14"/>
        <v>TP</v>
      </c>
      <c r="B89" s="794">
        <f t="shared" si="15"/>
        <v>65</v>
      </c>
      <c r="C89" s="795" t="s">
        <v>673</v>
      </c>
      <c r="D89" s="796" t="s">
        <v>972</v>
      </c>
      <c r="E89" s="749"/>
      <c r="F89" s="749"/>
      <c r="G89" s="768">
        <f t="array" ref="G89">SUM(IF("155"&amp;C89=KHN&amp;MH,SL))</f>
        <v>81</v>
      </c>
      <c r="H89" s="768">
        <f t="array" ref="H89">SUM(IF("155"&amp;C89=KHN&amp;MH,TH))</f>
        <v>665605</v>
      </c>
      <c r="I89" s="768">
        <f t="array" ref="I89">SUM(IF("155"&amp;C89=KHC&amp;MH,SL))</f>
        <v>81</v>
      </c>
      <c r="J89" s="768">
        <f t="array" ref="J89">SUM(IF("155"&amp;C89=KHC&amp;MH,TH))</f>
        <v>665605</v>
      </c>
      <c r="K89" s="749">
        <f t="shared" ref="K89:K120" si="18">E89+G89-I89</f>
        <v>0</v>
      </c>
      <c r="L89" s="749">
        <f t="shared" ref="L89:L120" si="19">F89+H89-J89</f>
        <v>0</v>
      </c>
    </row>
    <row r="90" spans="1:12" ht="19.5" customHeight="1">
      <c r="A90" s="462" t="str">
        <f t="shared" si="14"/>
        <v>TP</v>
      </c>
      <c r="B90" s="794">
        <f t="shared" si="15"/>
        <v>66</v>
      </c>
      <c r="C90" s="781" t="s">
        <v>672</v>
      </c>
      <c r="D90" s="796" t="s">
        <v>972</v>
      </c>
      <c r="E90" s="749"/>
      <c r="F90" s="749"/>
      <c r="G90" s="768">
        <f t="array" ref="G90">SUM(IF("155"&amp;C90=KHN&amp;MH,SL))</f>
        <v>23</v>
      </c>
      <c r="H90" s="768">
        <f t="array" ref="H90">SUM(IF("155"&amp;C90=KHN&amp;MH,TH))</f>
        <v>197749</v>
      </c>
      <c r="I90" s="768">
        <f t="array" ref="I90">SUM(IF("155"&amp;C90=KHC&amp;MH,SL))</f>
        <v>23</v>
      </c>
      <c r="J90" s="768">
        <f t="array" ref="J90">SUM(IF("155"&amp;C90=KHC&amp;MH,TH))</f>
        <v>197749</v>
      </c>
      <c r="K90" s="749">
        <f t="shared" si="18"/>
        <v>0</v>
      </c>
      <c r="L90" s="749">
        <f t="shared" si="19"/>
        <v>0</v>
      </c>
    </row>
    <row r="91" spans="1:12" ht="19.5" customHeight="1">
      <c r="A91" s="462" t="str">
        <f t="shared" ref="A91:A154" si="20">IF(B91&lt;&gt;"","TP","")</f>
        <v>TP</v>
      </c>
      <c r="B91" s="794">
        <f t="shared" ref="B91:B154" si="21">IF(C91&lt;&gt;"",B90+1,"")</f>
        <v>67</v>
      </c>
      <c r="C91" s="797" t="s">
        <v>545</v>
      </c>
      <c r="D91" s="796" t="s">
        <v>972</v>
      </c>
      <c r="E91" s="749"/>
      <c r="F91" s="749"/>
      <c r="G91" s="768">
        <f t="array" ref="G91">SUM(IF("155"&amp;C91=KHN&amp;MH,SL))</f>
        <v>10520</v>
      </c>
      <c r="H91" s="768">
        <f t="array" ref="H91">SUM(IF("155"&amp;C91=KHN&amp;MH,TH))</f>
        <v>71111269</v>
      </c>
      <c r="I91" s="768">
        <f t="array" ref="I91">SUM(IF("155"&amp;C91=KHC&amp;MH,SL))</f>
        <v>10520</v>
      </c>
      <c r="J91" s="768">
        <f t="array" ref="J91">SUM(IF("155"&amp;C91=KHC&amp;MH,TH))</f>
        <v>71111269</v>
      </c>
      <c r="K91" s="749">
        <f t="shared" si="18"/>
        <v>0</v>
      </c>
      <c r="L91" s="749">
        <f t="shared" si="19"/>
        <v>0</v>
      </c>
    </row>
    <row r="92" spans="1:12" ht="19.5" customHeight="1">
      <c r="A92" s="462" t="str">
        <f t="shared" si="20"/>
        <v>TP</v>
      </c>
      <c r="B92" s="794">
        <f t="shared" si="21"/>
        <v>68</v>
      </c>
      <c r="C92" s="795" t="s">
        <v>519</v>
      </c>
      <c r="D92" s="796" t="s">
        <v>972</v>
      </c>
      <c r="E92" s="749"/>
      <c r="F92" s="749"/>
      <c r="G92" s="768">
        <f t="array" ref="G92">SUM(IF("155"&amp;C92=KHN&amp;MH,SL))</f>
        <v>304</v>
      </c>
      <c r="H92" s="768">
        <f t="array" ref="H92">SUM(IF("155"&amp;C92=KHN&amp;MH,TH))</f>
        <v>3307930</v>
      </c>
      <c r="I92" s="768">
        <f t="array" ref="I92">SUM(IF("155"&amp;C92=KHC&amp;MH,SL))</f>
        <v>304</v>
      </c>
      <c r="J92" s="768">
        <f t="array" ref="J92">SUM(IF("155"&amp;C92=KHC&amp;MH,TH))</f>
        <v>3307930</v>
      </c>
      <c r="K92" s="749">
        <f t="shared" si="18"/>
        <v>0</v>
      </c>
      <c r="L92" s="749">
        <f t="shared" si="19"/>
        <v>0</v>
      </c>
    </row>
    <row r="93" spans="1:12" ht="19.5" customHeight="1">
      <c r="A93" s="462" t="str">
        <f t="shared" si="20"/>
        <v>TP</v>
      </c>
      <c r="B93" s="794">
        <f t="shared" si="21"/>
        <v>69</v>
      </c>
      <c r="C93" s="795" t="s">
        <v>663</v>
      </c>
      <c r="D93" s="796" t="s">
        <v>972</v>
      </c>
      <c r="E93" s="749"/>
      <c r="F93" s="749"/>
      <c r="G93" s="768">
        <f t="array" ref="G93">SUM(IF("155"&amp;C93=KHN&amp;MH,SL))</f>
        <v>227</v>
      </c>
      <c r="H93" s="768">
        <f t="array" ref="H93">SUM(IF("155"&amp;C93=KHN&amp;MH,TH))</f>
        <v>2039676</v>
      </c>
      <c r="I93" s="768">
        <f t="array" ref="I93">SUM(IF("155"&amp;C93=KHC&amp;MH,SL))</f>
        <v>227</v>
      </c>
      <c r="J93" s="768">
        <f t="array" ref="J93">SUM(IF("155"&amp;C93=KHC&amp;MH,TH))</f>
        <v>2039676</v>
      </c>
      <c r="K93" s="749">
        <f t="shared" si="18"/>
        <v>0</v>
      </c>
      <c r="L93" s="749">
        <f t="shared" si="19"/>
        <v>0</v>
      </c>
    </row>
    <row r="94" spans="1:12" ht="19.5" customHeight="1">
      <c r="A94" s="462" t="str">
        <f t="shared" si="20"/>
        <v>TP</v>
      </c>
      <c r="B94" s="794">
        <f t="shared" si="21"/>
        <v>70</v>
      </c>
      <c r="C94" s="795" t="s">
        <v>502</v>
      </c>
      <c r="D94" s="796" t="s">
        <v>972</v>
      </c>
      <c r="E94" s="749"/>
      <c r="F94" s="749"/>
      <c r="G94" s="768">
        <f t="array" ref="G94">SUM(IF("155"&amp;C94=KHN&amp;MH,SL))</f>
        <v>6808</v>
      </c>
      <c r="H94" s="768">
        <f t="array" ref="H94">SUM(IF("155"&amp;C94=KHN&amp;MH,TH))</f>
        <v>61005565</v>
      </c>
      <c r="I94" s="768">
        <f t="array" ref="I94">SUM(IF("155"&amp;C94=KHC&amp;MH,SL))</f>
        <v>6808</v>
      </c>
      <c r="J94" s="768">
        <f t="array" ref="J94">SUM(IF("155"&amp;C94=KHC&amp;MH,TH))</f>
        <v>61005565</v>
      </c>
      <c r="K94" s="749">
        <f t="shared" si="18"/>
        <v>0</v>
      </c>
      <c r="L94" s="749">
        <f t="shared" si="19"/>
        <v>0</v>
      </c>
    </row>
    <row r="95" spans="1:12" ht="19.5" customHeight="1">
      <c r="A95" s="462" t="str">
        <f t="shared" si="20"/>
        <v>TP</v>
      </c>
      <c r="B95" s="794">
        <f t="shared" si="21"/>
        <v>71</v>
      </c>
      <c r="C95" s="781" t="s">
        <v>677</v>
      </c>
      <c r="D95" s="796" t="s">
        <v>972</v>
      </c>
      <c r="E95" s="749"/>
      <c r="F95" s="749"/>
      <c r="G95" s="768">
        <f t="array" ref="G95">SUM(IF("155"&amp;C95=KHN&amp;MH,SL))</f>
        <v>103</v>
      </c>
      <c r="H95" s="768">
        <f t="array" ref="H95">SUM(IF("155"&amp;C95=KHN&amp;MH,TH))</f>
        <v>979614</v>
      </c>
      <c r="I95" s="768">
        <f t="array" ref="I95">SUM(IF("155"&amp;C95=KHC&amp;MH,SL))</f>
        <v>103</v>
      </c>
      <c r="J95" s="768">
        <f t="array" ref="J95">SUM(IF("155"&amp;C95=KHC&amp;MH,TH))</f>
        <v>979614</v>
      </c>
      <c r="K95" s="749">
        <f t="shared" si="18"/>
        <v>0</v>
      </c>
      <c r="L95" s="749">
        <f t="shared" si="19"/>
        <v>0</v>
      </c>
    </row>
    <row r="96" spans="1:12" ht="19.5" customHeight="1">
      <c r="A96" s="462" t="str">
        <f t="shared" si="20"/>
        <v>TP</v>
      </c>
      <c r="B96" s="794">
        <f t="shared" si="21"/>
        <v>72</v>
      </c>
      <c r="C96" s="797" t="s">
        <v>550</v>
      </c>
      <c r="D96" s="796" t="s">
        <v>972</v>
      </c>
      <c r="E96" s="749"/>
      <c r="F96" s="749"/>
      <c r="G96" s="768">
        <f t="array" ref="G96">SUM(IF("155"&amp;C96=KHN&amp;MH,SL))</f>
        <v>102</v>
      </c>
      <c r="H96" s="768">
        <f t="array" ref="H96">SUM(IF("155"&amp;C96=KHN&amp;MH,TH))</f>
        <v>521316</v>
      </c>
      <c r="I96" s="768">
        <f t="array" ref="I96">SUM(IF("155"&amp;C96=KHC&amp;MH,SL))</f>
        <v>102</v>
      </c>
      <c r="J96" s="768">
        <f t="array" ref="J96">SUM(IF("155"&amp;C96=KHC&amp;MH,TH))</f>
        <v>521316</v>
      </c>
      <c r="K96" s="749">
        <f t="shared" si="18"/>
        <v>0</v>
      </c>
      <c r="L96" s="749">
        <f t="shared" si="19"/>
        <v>0</v>
      </c>
    </row>
    <row r="97" spans="1:12" ht="19.5" customHeight="1">
      <c r="A97" s="462" t="str">
        <f t="shared" si="20"/>
        <v>TP</v>
      </c>
      <c r="B97" s="794">
        <f t="shared" si="21"/>
        <v>73</v>
      </c>
      <c r="C97" s="795" t="s">
        <v>676</v>
      </c>
      <c r="D97" s="796" t="s">
        <v>972</v>
      </c>
      <c r="E97" s="749"/>
      <c r="F97" s="749"/>
      <c r="G97" s="768">
        <f t="array" ref="G97">SUM(IF("155"&amp;C97=KHN&amp;MH,SL))</f>
        <v>160</v>
      </c>
      <c r="H97" s="768">
        <f t="array" ref="H97">SUM(IF("155"&amp;C97=KHN&amp;MH,TH))</f>
        <v>1314775</v>
      </c>
      <c r="I97" s="768">
        <f t="array" ref="I97">SUM(IF("155"&amp;C97=KHC&amp;MH,SL))</f>
        <v>160</v>
      </c>
      <c r="J97" s="768">
        <f t="array" ref="J97">SUM(IF("155"&amp;C97=KHC&amp;MH,TH))</f>
        <v>1314775</v>
      </c>
      <c r="K97" s="749">
        <f t="shared" si="18"/>
        <v>0</v>
      </c>
      <c r="L97" s="749">
        <f t="shared" si="19"/>
        <v>0</v>
      </c>
    </row>
    <row r="98" spans="1:12" ht="19.5" customHeight="1">
      <c r="A98" s="462" t="str">
        <f t="shared" si="20"/>
        <v>TP</v>
      </c>
      <c r="B98" s="794">
        <f t="shared" si="21"/>
        <v>74</v>
      </c>
      <c r="C98" s="781" t="s">
        <v>654</v>
      </c>
      <c r="D98" s="796" t="s">
        <v>972</v>
      </c>
      <c r="E98" s="749"/>
      <c r="F98" s="749"/>
      <c r="G98" s="768">
        <f t="array" ref="G98">SUM(IF("155"&amp;C98=KHN&amp;MH,SL))</f>
        <v>3437</v>
      </c>
      <c r="H98" s="768">
        <f t="array" ref="H98">SUM(IF("155"&amp;C98=KHN&amp;MH,TH))</f>
        <v>30316018</v>
      </c>
      <c r="I98" s="768">
        <f t="array" ref="I98">SUM(IF("155"&amp;C98=KHC&amp;MH,SL))</f>
        <v>3437</v>
      </c>
      <c r="J98" s="768">
        <f t="array" ref="J98">SUM(IF("155"&amp;C98=KHC&amp;MH,TH))</f>
        <v>30316018</v>
      </c>
      <c r="K98" s="749">
        <f t="shared" si="18"/>
        <v>0</v>
      </c>
      <c r="L98" s="749">
        <f t="shared" si="19"/>
        <v>0</v>
      </c>
    </row>
    <row r="99" spans="1:12" ht="19.5" customHeight="1">
      <c r="A99" s="462" t="str">
        <f t="shared" si="20"/>
        <v>TP</v>
      </c>
      <c r="B99" s="794">
        <f t="shared" si="21"/>
        <v>75</v>
      </c>
      <c r="C99" s="795" t="s">
        <v>500</v>
      </c>
      <c r="D99" s="796" t="s">
        <v>972</v>
      </c>
      <c r="E99" s="749"/>
      <c r="F99" s="749"/>
      <c r="G99" s="768">
        <f t="array" ref="G99">SUM(IF("155"&amp;C99=KHN&amp;MH,SL))</f>
        <v>3265</v>
      </c>
      <c r="H99" s="768">
        <f t="array" ref="H99">SUM(IF("155"&amp;C99=KHN&amp;MH,TH))</f>
        <v>33133078</v>
      </c>
      <c r="I99" s="768">
        <f t="array" ref="I99">SUM(IF("155"&amp;C99=KHC&amp;MH,SL))</f>
        <v>3265</v>
      </c>
      <c r="J99" s="768">
        <f t="array" ref="J99">SUM(IF("155"&amp;C99=KHC&amp;MH,TH))</f>
        <v>33133078</v>
      </c>
      <c r="K99" s="749">
        <f t="shared" si="18"/>
        <v>0</v>
      </c>
      <c r="L99" s="749">
        <f t="shared" si="19"/>
        <v>0</v>
      </c>
    </row>
    <row r="100" spans="1:12" ht="19.5" customHeight="1">
      <c r="A100" s="462" t="str">
        <f t="shared" si="20"/>
        <v>TP</v>
      </c>
      <c r="B100" s="794">
        <f t="shared" si="21"/>
        <v>76</v>
      </c>
      <c r="C100" s="798" t="s">
        <v>685</v>
      </c>
      <c r="D100" s="796" t="s">
        <v>972</v>
      </c>
      <c r="E100" s="749"/>
      <c r="F100" s="749"/>
      <c r="G100" s="768">
        <f t="array" ref="G100">SUM(IF("155"&amp;C100=KHN&amp;MH,SL))</f>
        <v>81</v>
      </c>
      <c r="H100" s="768">
        <f t="array" ref="H100">SUM(IF("155"&amp;C100=KHN&amp;MH,TH))</f>
        <v>1286644</v>
      </c>
      <c r="I100" s="768">
        <f t="array" ref="I100">SUM(IF("155"&amp;C100=KHC&amp;MH,SL))</f>
        <v>81</v>
      </c>
      <c r="J100" s="768">
        <f t="array" ref="J100">SUM(IF("155"&amp;C100=KHC&amp;MH,TH))</f>
        <v>1286644</v>
      </c>
      <c r="K100" s="749">
        <f t="shared" si="18"/>
        <v>0</v>
      </c>
      <c r="L100" s="749">
        <f t="shared" si="19"/>
        <v>0</v>
      </c>
    </row>
    <row r="101" spans="1:12" ht="19.5" customHeight="1">
      <c r="A101" s="462" t="str">
        <f t="shared" si="20"/>
        <v>TP</v>
      </c>
      <c r="B101" s="794">
        <f t="shared" si="21"/>
        <v>77</v>
      </c>
      <c r="C101" s="795" t="s">
        <v>838</v>
      </c>
      <c r="D101" s="796" t="s">
        <v>972</v>
      </c>
      <c r="E101" s="749"/>
      <c r="F101" s="749"/>
      <c r="G101" s="768">
        <f t="array" ref="G101">SUM(IF("155"&amp;C101=KHN&amp;MH,SL))</f>
        <v>300</v>
      </c>
      <c r="H101" s="768">
        <f t="array" ref="H101">SUM(IF("155"&amp;C101=KHN&amp;MH,TH))</f>
        <v>1917381</v>
      </c>
      <c r="I101" s="768">
        <f t="array" ref="I101">SUM(IF("155"&amp;C101=KHC&amp;MH,SL))</f>
        <v>300</v>
      </c>
      <c r="J101" s="768">
        <f t="array" ref="J101">SUM(IF("155"&amp;C101=KHC&amp;MH,TH))</f>
        <v>1917381</v>
      </c>
      <c r="K101" s="749">
        <f t="shared" si="18"/>
        <v>0</v>
      </c>
      <c r="L101" s="749">
        <f t="shared" si="19"/>
        <v>0</v>
      </c>
    </row>
    <row r="102" spans="1:12" ht="19.5" customHeight="1">
      <c r="A102" s="462" t="str">
        <f t="shared" si="20"/>
        <v>TP</v>
      </c>
      <c r="B102" s="794">
        <f t="shared" si="21"/>
        <v>78</v>
      </c>
      <c r="C102" s="797" t="s">
        <v>804</v>
      </c>
      <c r="D102" s="796" t="s">
        <v>972</v>
      </c>
      <c r="E102" s="749"/>
      <c r="F102" s="749"/>
      <c r="G102" s="768">
        <f t="array" ref="G102">SUM(IF("155"&amp;C102=KHN&amp;MH,SL))</f>
        <v>943</v>
      </c>
      <c r="H102" s="768">
        <f t="array" ref="H102">SUM(IF("155"&amp;C102=KHN&amp;MH,TH))</f>
        <v>5094222</v>
      </c>
      <c r="I102" s="768">
        <f t="array" ref="I102">SUM(IF("155"&amp;C102=KHC&amp;MH,SL))</f>
        <v>943</v>
      </c>
      <c r="J102" s="768">
        <f t="array" ref="J102">SUM(IF("155"&amp;C102=KHC&amp;MH,TH))</f>
        <v>5094222</v>
      </c>
      <c r="K102" s="749">
        <f t="shared" si="18"/>
        <v>0</v>
      </c>
      <c r="L102" s="749">
        <f t="shared" si="19"/>
        <v>0</v>
      </c>
    </row>
    <row r="103" spans="1:12" ht="19.5" customHeight="1">
      <c r="A103" s="462" t="str">
        <f t="shared" si="20"/>
        <v>TP</v>
      </c>
      <c r="B103" s="794">
        <f t="shared" si="21"/>
        <v>79</v>
      </c>
      <c r="C103" s="781" t="s">
        <v>674</v>
      </c>
      <c r="D103" s="796" t="s">
        <v>972</v>
      </c>
      <c r="E103" s="749"/>
      <c r="F103" s="749"/>
      <c r="G103" s="768">
        <f t="array" ref="G103">SUM(IF("155"&amp;C103=KHN&amp;MH,SL))</f>
        <v>2010</v>
      </c>
      <c r="H103" s="768">
        <f t="array" ref="H103">SUM(IF("155"&amp;C103=KHN&amp;MH,TH))</f>
        <v>18505005</v>
      </c>
      <c r="I103" s="768">
        <f t="array" ref="I103">SUM(IF("155"&amp;C103=KHC&amp;MH,SL))</f>
        <v>2010</v>
      </c>
      <c r="J103" s="768">
        <f t="array" ref="J103">SUM(IF("155"&amp;C103=KHC&amp;MH,TH))</f>
        <v>18505005</v>
      </c>
      <c r="K103" s="749">
        <f t="shared" si="18"/>
        <v>0</v>
      </c>
      <c r="L103" s="749">
        <f t="shared" si="19"/>
        <v>0</v>
      </c>
    </row>
    <row r="104" spans="1:12" ht="19.5" customHeight="1">
      <c r="A104" s="462" t="str">
        <f t="shared" si="20"/>
        <v>TP</v>
      </c>
      <c r="B104" s="794">
        <f t="shared" si="21"/>
        <v>80</v>
      </c>
      <c r="C104" s="795" t="s">
        <v>903</v>
      </c>
      <c r="D104" s="796" t="s">
        <v>972</v>
      </c>
      <c r="E104" s="749"/>
      <c r="F104" s="749"/>
      <c r="G104" s="768">
        <f t="array" ref="G104">SUM(IF("155"&amp;C104=KHN&amp;MH,SL))</f>
        <v>110</v>
      </c>
      <c r="H104" s="768">
        <f t="array" ref="H104">SUM(IF("155"&amp;C104=KHN&amp;MH,TH))</f>
        <v>1037820</v>
      </c>
      <c r="I104" s="768">
        <f t="array" ref="I104">SUM(IF("155"&amp;C104=KHC&amp;MH,SL))</f>
        <v>110</v>
      </c>
      <c r="J104" s="768">
        <f t="array" ref="J104">SUM(IF("155"&amp;C104=KHC&amp;MH,TH))</f>
        <v>1037820</v>
      </c>
      <c r="K104" s="749">
        <f t="shared" si="18"/>
        <v>0</v>
      </c>
      <c r="L104" s="749">
        <f t="shared" si="19"/>
        <v>0</v>
      </c>
    </row>
    <row r="105" spans="1:12" ht="19.5" customHeight="1">
      <c r="A105" s="462" t="str">
        <f t="shared" si="20"/>
        <v>TP</v>
      </c>
      <c r="B105" s="794">
        <f t="shared" si="21"/>
        <v>81</v>
      </c>
      <c r="C105" s="781" t="s">
        <v>513</v>
      </c>
      <c r="D105" s="796" t="s">
        <v>972</v>
      </c>
      <c r="E105" s="749"/>
      <c r="F105" s="749"/>
      <c r="G105" s="768">
        <f t="array" ref="G105">SUM(IF("155"&amp;C105=KHN&amp;MH,SL))</f>
        <v>350</v>
      </c>
      <c r="H105" s="768">
        <f t="array" ref="H105">SUM(IF("155"&amp;C105=KHN&amp;MH,TH))</f>
        <v>3173727</v>
      </c>
      <c r="I105" s="768">
        <f t="array" ref="I105">SUM(IF("155"&amp;C105=KHC&amp;MH,SL))</f>
        <v>350</v>
      </c>
      <c r="J105" s="768">
        <f t="array" ref="J105">SUM(IF("155"&amp;C105=KHC&amp;MH,TH))</f>
        <v>3173727</v>
      </c>
      <c r="K105" s="749">
        <f t="shared" si="18"/>
        <v>0</v>
      </c>
      <c r="L105" s="749">
        <f t="shared" si="19"/>
        <v>0</v>
      </c>
    </row>
    <row r="106" spans="1:12" ht="19.5" customHeight="1">
      <c r="A106" s="462" t="str">
        <f t="shared" si="20"/>
        <v>TP</v>
      </c>
      <c r="B106" s="794">
        <f t="shared" si="21"/>
        <v>82</v>
      </c>
      <c r="C106" s="795" t="s">
        <v>501</v>
      </c>
      <c r="D106" s="796" t="s">
        <v>972</v>
      </c>
      <c r="E106" s="749"/>
      <c r="F106" s="749"/>
      <c r="G106" s="768">
        <f t="array" ref="G106">SUM(IF("155"&amp;C106=KHN&amp;MH,SL))</f>
        <v>785</v>
      </c>
      <c r="H106" s="768">
        <f t="array" ref="H106">SUM(IF("155"&amp;C106=KHN&amp;MH,TH))</f>
        <v>8063085</v>
      </c>
      <c r="I106" s="768">
        <f t="array" ref="I106">SUM(IF("155"&amp;C106=KHC&amp;MH,SL))</f>
        <v>785</v>
      </c>
      <c r="J106" s="768">
        <f t="array" ref="J106">SUM(IF("155"&amp;C106=KHC&amp;MH,TH))</f>
        <v>8063085</v>
      </c>
      <c r="K106" s="749">
        <f t="shared" si="18"/>
        <v>0</v>
      </c>
      <c r="L106" s="749">
        <f t="shared" si="19"/>
        <v>0</v>
      </c>
    </row>
    <row r="107" spans="1:12" ht="19.5" customHeight="1">
      <c r="A107" s="462" t="str">
        <f t="shared" si="20"/>
        <v>TP</v>
      </c>
      <c r="B107" s="794">
        <f t="shared" si="21"/>
        <v>83</v>
      </c>
      <c r="C107" s="795" t="s">
        <v>907</v>
      </c>
      <c r="D107" s="796" t="s">
        <v>972</v>
      </c>
      <c r="E107" s="749"/>
      <c r="F107" s="749"/>
      <c r="G107" s="768">
        <f t="array" ref="G107">SUM(IF("155"&amp;C107=KHN&amp;MH,SL))</f>
        <v>66</v>
      </c>
      <c r="H107" s="768">
        <f t="array" ref="H107">SUM(IF("155"&amp;C107=KHN&amp;MH,TH))</f>
        <v>708061</v>
      </c>
      <c r="I107" s="768">
        <f t="array" ref="I107">SUM(IF("155"&amp;C107=KHC&amp;MH,SL))</f>
        <v>66</v>
      </c>
      <c r="J107" s="768">
        <f t="array" ref="J107">SUM(IF("155"&amp;C107=KHC&amp;MH,TH))</f>
        <v>708061</v>
      </c>
      <c r="K107" s="749">
        <f t="shared" si="18"/>
        <v>0</v>
      </c>
      <c r="L107" s="749">
        <f t="shared" si="19"/>
        <v>0</v>
      </c>
    </row>
    <row r="108" spans="1:12" ht="19.5" customHeight="1">
      <c r="A108" s="462" t="str">
        <f t="shared" si="20"/>
        <v>TP</v>
      </c>
      <c r="B108" s="794">
        <f t="shared" si="21"/>
        <v>84</v>
      </c>
      <c r="C108" s="797" t="s">
        <v>902</v>
      </c>
      <c r="D108" s="796" t="s">
        <v>972</v>
      </c>
      <c r="E108" s="749"/>
      <c r="F108" s="749"/>
      <c r="G108" s="768">
        <f t="array" ref="G108">SUM(IF("155"&amp;C108=KHN&amp;MH,SL))</f>
        <v>285</v>
      </c>
      <c r="H108" s="768">
        <f t="array" ref="H108">SUM(IF("155"&amp;C108=KHN&amp;MH,TH))</f>
        <v>2819006</v>
      </c>
      <c r="I108" s="768">
        <f t="array" ref="I108">SUM(IF("155"&amp;C108=KHC&amp;MH,SL))</f>
        <v>285</v>
      </c>
      <c r="J108" s="768">
        <f t="array" ref="J108">SUM(IF("155"&amp;C108=KHC&amp;MH,TH))</f>
        <v>2819006</v>
      </c>
      <c r="K108" s="749">
        <f t="shared" si="18"/>
        <v>0</v>
      </c>
      <c r="L108" s="749">
        <f t="shared" si="19"/>
        <v>0</v>
      </c>
    </row>
    <row r="109" spans="1:12" ht="19.5" customHeight="1">
      <c r="A109" s="462" t="str">
        <f t="shared" si="20"/>
        <v>TP</v>
      </c>
      <c r="B109" s="794">
        <f t="shared" si="21"/>
        <v>85</v>
      </c>
      <c r="C109" s="795" t="s">
        <v>678</v>
      </c>
      <c r="D109" s="796" t="s">
        <v>972</v>
      </c>
      <c r="E109" s="749"/>
      <c r="F109" s="749"/>
      <c r="G109" s="768">
        <f t="array" ref="G109">SUM(IF("155"&amp;C109=KHN&amp;MH,SL))</f>
        <v>7</v>
      </c>
      <c r="H109" s="768">
        <f t="array" ref="H109">SUM(IF("155"&amp;C109=KHN&amp;MH,TH))</f>
        <v>72967</v>
      </c>
      <c r="I109" s="768">
        <f t="array" ref="I109">SUM(IF("155"&amp;C109=KHC&amp;MH,SL))</f>
        <v>7</v>
      </c>
      <c r="J109" s="768">
        <f t="array" ref="J109">SUM(IF("155"&amp;C109=KHC&amp;MH,TH))</f>
        <v>72967</v>
      </c>
      <c r="K109" s="749">
        <f t="shared" si="18"/>
        <v>0</v>
      </c>
      <c r="L109" s="749">
        <f t="shared" si="19"/>
        <v>0</v>
      </c>
    </row>
    <row r="110" spans="1:12" ht="19.5" customHeight="1">
      <c r="A110" s="462" t="str">
        <f t="shared" si="20"/>
        <v>TP</v>
      </c>
      <c r="B110" s="794">
        <f t="shared" si="21"/>
        <v>86</v>
      </c>
      <c r="C110" s="795" t="s">
        <v>511</v>
      </c>
      <c r="D110" s="796" t="s">
        <v>972</v>
      </c>
      <c r="E110" s="749"/>
      <c r="F110" s="749"/>
      <c r="G110" s="768">
        <f t="array" ref="G110">SUM(IF("155"&amp;C110=KHN&amp;MH,SL))</f>
        <v>627</v>
      </c>
      <c r="H110" s="768">
        <f t="array" ref="H110">SUM(IF("155"&amp;C110=KHN&amp;MH,TH))</f>
        <v>6659734</v>
      </c>
      <c r="I110" s="768">
        <f t="array" ref="I110">SUM(IF("155"&amp;C110=KHC&amp;MH,SL))</f>
        <v>627</v>
      </c>
      <c r="J110" s="768">
        <f t="array" ref="J110">SUM(IF("155"&amp;C110=KHC&amp;MH,TH))</f>
        <v>6659734</v>
      </c>
      <c r="K110" s="749">
        <f t="shared" si="18"/>
        <v>0</v>
      </c>
      <c r="L110" s="749">
        <f t="shared" si="19"/>
        <v>0</v>
      </c>
    </row>
    <row r="111" spans="1:12" ht="19.5" customHeight="1">
      <c r="A111" s="462" t="str">
        <f t="shared" si="20"/>
        <v>TP</v>
      </c>
      <c r="B111" s="794">
        <f t="shared" si="21"/>
        <v>87</v>
      </c>
      <c r="C111" s="797" t="s">
        <v>805</v>
      </c>
      <c r="D111" s="796" t="s">
        <v>972</v>
      </c>
      <c r="E111" s="749"/>
      <c r="F111" s="749"/>
      <c r="G111" s="768">
        <f t="array" ref="G111">SUM(IF("155"&amp;C111=KHN&amp;MH,SL))</f>
        <v>270</v>
      </c>
      <c r="H111" s="768">
        <f t="array" ref="H111">SUM(IF("155"&amp;C111=KHN&amp;MH,TH))</f>
        <v>1766729</v>
      </c>
      <c r="I111" s="768">
        <f t="array" ref="I111">SUM(IF("155"&amp;C111=KHC&amp;MH,SL))</f>
        <v>270</v>
      </c>
      <c r="J111" s="768">
        <f t="array" ref="J111">SUM(IF("155"&amp;C111=KHC&amp;MH,TH))</f>
        <v>1766729</v>
      </c>
      <c r="K111" s="749">
        <f t="shared" si="18"/>
        <v>0</v>
      </c>
      <c r="L111" s="749">
        <f t="shared" si="19"/>
        <v>0</v>
      </c>
    </row>
    <row r="112" spans="1:12" ht="19.5" customHeight="1">
      <c r="A112" s="462" t="str">
        <f t="shared" si="20"/>
        <v>TP</v>
      </c>
      <c r="B112" s="794">
        <f t="shared" si="21"/>
        <v>88</v>
      </c>
      <c r="C112" s="795" t="s">
        <v>515</v>
      </c>
      <c r="D112" s="796" t="s">
        <v>972</v>
      </c>
      <c r="E112" s="749"/>
      <c r="F112" s="749"/>
      <c r="G112" s="768">
        <f t="array" ref="G112">SUM(IF("155"&amp;C112=KHN&amp;MH,SL))</f>
        <v>1115</v>
      </c>
      <c r="H112" s="768">
        <f t="array" ref="H112">SUM(IF("155"&amp;C112=KHN&amp;MH,TH))</f>
        <v>8731871</v>
      </c>
      <c r="I112" s="768">
        <f t="array" ref="I112">SUM(IF("155"&amp;C112=KHC&amp;MH,SL))</f>
        <v>1115</v>
      </c>
      <c r="J112" s="768">
        <f t="array" ref="J112">SUM(IF("155"&amp;C112=KHC&amp;MH,TH))</f>
        <v>8731871</v>
      </c>
      <c r="K112" s="749">
        <f t="shared" si="18"/>
        <v>0</v>
      </c>
      <c r="L112" s="749">
        <f t="shared" si="19"/>
        <v>0</v>
      </c>
    </row>
    <row r="113" spans="1:12" ht="19.5" customHeight="1">
      <c r="A113" s="462" t="str">
        <f t="shared" si="20"/>
        <v>TP</v>
      </c>
      <c r="B113" s="794">
        <f t="shared" si="21"/>
        <v>89</v>
      </c>
      <c r="C113" s="795" t="s">
        <v>523</v>
      </c>
      <c r="D113" s="796" t="s">
        <v>972</v>
      </c>
      <c r="E113" s="749"/>
      <c r="F113" s="749"/>
      <c r="G113" s="768">
        <f t="array" ref="G113">SUM(IF("155"&amp;C113=KHN&amp;MH,SL))</f>
        <v>427</v>
      </c>
      <c r="H113" s="768">
        <f t="array" ref="H113">SUM(IF("155"&amp;C113=KHN&amp;MH,TH))</f>
        <v>3379154</v>
      </c>
      <c r="I113" s="768">
        <f t="array" ref="I113">SUM(IF("155"&amp;C113=KHC&amp;MH,SL))</f>
        <v>427</v>
      </c>
      <c r="J113" s="768">
        <f t="array" ref="J113">SUM(IF("155"&amp;C113=KHC&amp;MH,TH))</f>
        <v>3379154</v>
      </c>
      <c r="K113" s="749">
        <f t="shared" si="18"/>
        <v>0</v>
      </c>
      <c r="L113" s="749">
        <f t="shared" si="19"/>
        <v>0</v>
      </c>
    </row>
    <row r="114" spans="1:12" ht="19.5" customHeight="1">
      <c r="A114" s="462" t="str">
        <f t="shared" si="20"/>
        <v>TP</v>
      </c>
      <c r="B114" s="794">
        <f t="shared" si="21"/>
        <v>90</v>
      </c>
      <c r="C114" s="795" t="s">
        <v>516</v>
      </c>
      <c r="D114" s="796" t="s">
        <v>972</v>
      </c>
      <c r="E114" s="749"/>
      <c r="F114" s="749"/>
      <c r="G114" s="768">
        <f t="array" ref="G114">SUM(IF("155"&amp;C114=KHN&amp;MH,SL))</f>
        <v>527</v>
      </c>
      <c r="H114" s="768">
        <f t="array" ref="H114">SUM(IF("155"&amp;C114=KHN&amp;MH,TH))</f>
        <v>4213968</v>
      </c>
      <c r="I114" s="768">
        <f t="array" ref="I114">SUM(IF("155"&amp;C114=KHC&amp;MH,SL))</f>
        <v>527</v>
      </c>
      <c r="J114" s="768">
        <f t="array" ref="J114">SUM(IF("155"&amp;C114=KHC&amp;MH,TH))</f>
        <v>4213968</v>
      </c>
      <c r="K114" s="749">
        <f t="shared" si="18"/>
        <v>0</v>
      </c>
      <c r="L114" s="749">
        <f t="shared" si="19"/>
        <v>0</v>
      </c>
    </row>
    <row r="115" spans="1:12" ht="19.5" customHeight="1">
      <c r="A115" s="462" t="str">
        <f t="shared" si="20"/>
        <v>TP</v>
      </c>
      <c r="B115" s="794">
        <f t="shared" si="21"/>
        <v>91</v>
      </c>
      <c r="C115" s="795" t="s">
        <v>548</v>
      </c>
      <c r="D115" s="796" t="s">
        <v>972</v>
      </c>
      <c r="E115" s="749"/>
      <c r="F115" s="749"/>
      <c r="G115" s="768">
        <f t="array" ref="G115">SUM(IF("155"&amp;C115=KHN&amp;MH,SL))</f>
        <v>316</v>
      </c>
      <c r="H115" s="768">
        <f t="array" ref="H115">SUM(IF("155"&amp;C115=KHN&amp;MH,TH))</f>
        <v>2344436</v>
      </c>
      <c r="I115" s="768">
        <f t="array" ref="I115">SUM(IF("155"&amp;C115=KHC&amp;MH,SL))</f>
        <v>316</v>
      </c>
      <c r="J115" s="768">
        <f t="array" ref="J115">SUM(IF("155"&amp;C115=KHC&amp;MH,TH))</f>
        <v>2344436</v>
      </c>
      <c r="K115" s="749">
        <f t="shared" si="18"/>
        <v>0</v>
      </c>
      <c r="L115" s="749">
        <f t="shared" si="19"/>
        <v>0</v>
      </c>
    </row>
    <row r="116" spans="1:12" ht="19.5" customHeight="1">
      <c r="A116" s="462" t="str">
        <f t="shared" si="20"/>
        <v>TP</v>
      </c>
      <c r="B116" s="794">
        <f t="shared" si="21"/>
        <v>92</v>
      </c>
      <c r="C116" s="795" t="s">
        <v>813</v>
      </c>
      <c r="D116" s="796" t="s">
        <v>972</v>
      </c>
      <c r="E116" s="749"/>
      <c r="F116" s="749"/>
      <c r="G116" s="768">
        <f t="array" ref="G116">SUM(IF("155"&amp;C116=KHN&amp;MH,SL))</f>
        <v>66913</v>
      </c>
      <c r="H116" s="768">
        <f t="array" ref="H116">SUM(IF("155"&amp;C116=KHN&amp;MH,TH))</f>
        <v>427658961</v>
      </c>
      <c r="I116" s="768">
        <f t="array" ref="I116">SUM(IF("155"&amp;C116=KHC&amp;MH,SL))</f>
        <v>66913</v>
      </c>
      <c r="J116" s="768">
        <f t="array" ref="J116">SUM(IF("155"&amp;C116=KHC&amp;MH,TH))</f>
        <v>427658961</v>
      </c>
      <c r="K116" s="749">
        <f t="shared" si="18"/>
        <v>0</v>
      </c>
      <c r="L116" s="749">
        <f t="shared" si="19"/>
        <v>0</v>
      </c>
    </row>
    <row r="117" spans="1:12" ht="18.75" customHeight="1">
      <c r="A117" s="462" t="str">
        <f t="shared" si="20"/>
        <v>TP</v>
      </c>
      <c r="B117" s="794">
        <f t="shared" si="21"/>
        <v>93</v>
      </c>
      <c r="C117" s="797" t="s">
        <v>518</v>
      </c>
      <c r="D117" s="796" t="s">
        <v>972</v>
      </c>
      <c r="E117" s="749"/>
      <c r="F117" s="749"/>
      <c r="G117" s="768">
        <f t="array" ref="G117">SUM(IF("155"&amp;C117=KHN&amp;MH,SL))</f>
        <v>404</v>
      </c>
      <c r="H117" s="768">
        <f t="array" ref="H117">SUM(IF("155"&amp;C117=KHN&amp;MH,TH))</f>
        <v>3630084</v>
      </c>
      <c r="I117" s="768">
        <f t="array" ref="I117">SUM(IF("155"&amp;C117=KHC&amp;MH,SL))</f>
        <v>404</v>
      </c>
      <c r="J117" s="768">
        <f t="array" ref="J117">SUM(IF("155"&amp;C117=KHC&amp;MH,TH))</f>
        <v>3630084</v>
      </c>
      <c r="K117" s="749">
        <f t="shared" si="18"/>
        <v>0</v>
      </c>
      <c r="L117" s="749">
        <f t="shared" si="19"/>
        <v>0</v>
      </c>
    </row>
    <row r="118" spans="1:12" ht="18.75" customHeight="1">
      <c r="A118" s="462" t="str">
        <f t="shared" si="20"/>
        <v>TP</v>
      </c>
      <c r="B118" s="794">
        <f t="shared" si="21"/>
        <v>94</v>
      </c>
      <c r="C118" s="797" t="s">
        <v>833</v>
      </c>
      <c r="D118" s="796" t="s">
        <v>972</v>
      </c>
      <c r="E118" s="749"/>
      <c r="F118" s="749"/>
      <c r="G118" s="768">
        <f t="array" ref="G118">SUM(IF("155"&amp;C118=KHN&amp;MH,SL))</f>
        <v>400</v>
      </c>
      <c r="H118" s="768">
        <f t="array" ref="H118">SUM(IF("155"&amp;C118=KHN&amp;MH,TH))</f>
        <v>3713023</v>
      </c>
      <c r="I118" s="768">
        <f t="array" ref="I118">SUM(IF("155"&amp;C118=KHC&amp;MH,SL))</f>
        <v>400</v>
      </c>
      <c r="J118" s="768">
        <f t="array" ref="J118">SUM(IF("155"&amp;C118=KHC&amp;MH,TH))</f>
        <v>3713023</v>
      </c>
      <c r="K118" s="749">
        <f t="shared" si="18"/>
        <v>0</v>
      </c>
      <c r="L118" s="749">
        <f t="shared" si="19"/>
        <v>0</v>
      </c>
    </row>
    <row r="119" spans="1:12" ht="18.75" customHeight="1">
      <c r="A119" s="462" t="str">
        <f t="shared" si="20"/>
        <v>TP</v>
      </c>
      <c r="B119" s="794">
        <f t="shared" si="21"/>
        <v>95</v>
      </c>
      <c r="C119" s="795" t="s">
        <v>684</v>
      </c>
      <c r="D119" s="796" t="s">
        <v>972</v>
      </c>
      <c r="E119" s="749"/>
      <c r="F119" s="749"/>
      <c r="G119" s="768">
        <f t="array" ref="G119">SUM(IF("155"&amp;C119=KHN&amp;MH,SL))</f>
        <v>608</v>
      </c>
      <c r="H119" s="768">
        <f t="array" ref="H119">SUM(IF("155"&amp;C119=KHN&amp;MH,TH))</f>
        <v>6985352</v>
      </c>
      <c r="I119" s="768">
        <f t="array" ref="I119">SUM(IF("155"&amp;C119=KHC&amp;MH,SL))</f>
        <v>608</v>
      </c>
      <c r="J119" s="768">
        <f t="array" ref="J119">SUM(IF("155"&amp;C119=KHC&amp;MH,TH))</f>
        <v>6985352</v>
      </c>
      <c r="K119" s="749">
        <f t="shared" si="18"/>
        <v>0</v>
      </c>
      <c r="L119" s="749">
        <f t="shared" si="19"/>
        <v>0</v>
      </c>
    </row>
    <row r="120" spans="1:12" ht="18.75" customHeight="1">
      <c r="A120" s="462" t="str">
        <f t="shared" si="20"/>
        <v>TP</v>
      </c>
      <c r="B120" s="794">
        <f t="shared" si="21"/>
        <v>96</v>
      </c>
      <c r="C120" s="795" t="s">
        <v>534</v>
      </c>
      <c r="D120" s="796" t="s">
        <v>972</v>
      </c>
      <c r="E120" s="749"/>
      <c r="F120" s="749"/>
      <c r="G120" s="768">
        <f t="array" ref="G120">SUM(IF("155"&amp;C120=KHN&amp;MH,SL))</f>
        <v>120</v>
      </c>
      <c r="H120" s="768">
        <f t="array" ref="H120">SUM(IF("155"&amp;C120=KHN&amp;MH,TH))</f>
        <v>1513497</v>
      </c>
      <c r="I120" s="768">
        <f t="array" ref="I120">SUM(IF("155"&amp;C120=KHC&amp;MH,SL))</f>
        <v>120</v>
      </c>
      <c r="J120" s="768">
        <f t="array" ref="J120">SUM(IF("155"&amp;C120=KHC&amp;MH,TH))</f>
        <v>1513497</v>
      </c>
      <c r="K120" s="749">
        <f t="shared" si="18"/>
        <v>0</v>
      </c>
      <c r="L120" s="749">
        <f t="shared" si="19"/>
        <v>0</v>
      </c>
    </row>
    <row r="121" spans="1:12" ht="18.75" customHeight="1">
      <c r="A121" s="462" t="str">
        <f t="shared" si="20"/>
        <v>TP</v>
      </c>
      <c r="B121" s="794">
        <f t="shared" si="21"/>
        <v>97</v>
      </c>
      <c r="C121" s="781" t="s">
        <v>961</v>
      </c>
      <c r="D121" s="796" t="s">
        <v>972</v>
      </c>
      <c r="E121" s="749"/>
      <c r="F121" s="749"/>
      <c r="G121" s="768">
        <f t="array" ref="G121">SUM(IF("155"&amp;C121=KHN&amp;MH,SL))</f>
        <v>188</v>
      </c>
      <c r="H121" s="768">
        <f t="array" ref="H121">SUM(IF("155"&amp;C121=KHN&amp;MH,TH))</f>
        <v>1730816</v>
      </c>
      <c r="I121" s="768">
        <f t="array" ref="I121">SUM(IF("155"&amp;C121=KHC&amp;MH,SL))</f>
        <v>188</v>
      </c>
      <c r="J121" s="768">
        <f t="array" ref="J121">SUM(IF("155"&amp;C121=KHC&amp;MH,TH))</f>
        <v>1730816</v>
      </c>
      <c r="K121" s="749">
        <f t="shared" ref="K121:K152" si="22">E121+G121-I121</f>
        <v>0</v>
      </c>
      <c r="L121" s="749">
        <f t="shared" ref="L121:L152" si="23">F121+H121-J121</f>
        <v>0</v>
      </c>
    </row>
    <row r="122" spans="1:12" ht="18.75" customHeight="1">
      <c r="A122" s="462" t="str">
        <f t="shared" si="20"/>
        <v>TP</v>
      </c>
      <c r="B122" s="794">
        <f t="shared" si="21"/>
        <v>98</v>
      </c>
      <c r="C122" s="795" t="s">
        <v>536</v>
      </c>
      <c r="D122" s="796" t="s">
        <v>972</v>
      </c>
      <c r="E122" s="749"/>
      <c r="F122" s="749"/>
      <c r="G122" s="768">
        <f t="array" ref="G122">SUM(IF("155"&amp;C122=KHN&amp;MH,SL))</f>
        <v>1000</v>
      </c>
      <c r="H122" s="768">
        <f t="array" ref="H122">SUM(IF("155"&amp;C122=KHN&amp;MH,TH))</f>
        <v>5935282</v>
      </c>
      <c r="I122" s="768">
        <f t="array" ref="I122">SUM(IF("155"&amp;C122=KHC&amp;MH,SL))</f>
        <v>1000</v>
      </c>
      <c r="J122" s="768">
        <f t="array" ref="J122">SUM(IF("155"&amp;C122=KHC&amp;MH,TH))</f>
        <v>5935282</v>
      </c>
      <c r="K122" s="749">
        <f t="shared" si="22"/>
        <v>0</v>
      </c>
      <c r="L122" s="749">
        <f t="shared" si="23"/>
        <v>0</v>
      </c>
    </row>
    <row r="123" spans="1:12" ht="18.75" customHeight="1">
      <c r="A123" s="462" t="str">
        <f t="shared" si="20"/>
        <v>TP</v>
      </c>
      <c r="B123" s="794">
        <f t="shared" si="21"/>
        <v>99</v>
      </c>
      <c r="C123" s="781" t="s">
        <v>920</v>
      </c>
      <c r="D123" s="796" t="s">
        <v>972</v>
      </c>
      <c r="E123" s="749"/>
      <c r="F123" s="749"/>
      <c r="G123" s="768">
        <f t="array" ref="G123">SUM(IF("155"&amp;C123=KHN&amp;MH,SL))</f>
        <v>1070</v>
      </c>
      <c r="H123" s="768">
        <f t="array" ref="H123">SUM(IF("155"&amp;C123=KHN&amp;MH,TH))</f>
        <v>7815608</v>
      </c>
      <c r="I123" s="768">
        <f t="array" ref="I123">SUM(IF("155"&amp;C123=KHC&amp;MH,SL))</f>
        <v>1070</v>
      </c>
      <c r="J123" s="768">
        <f t="array" ref="J123">SUM(IF("155"&amp;C123=KHC&amp;MH,TH))</f>
        <v>7815608</v>
      </c>
      <c r="K123" s="749">
        <f t="shared" si="22"/>
        <v>0</v>
      </c>
      <c r="L123" s="749">
        <f t="shared" si="23"/>
        <v>0</v>
      </c>
    </row>
    <row r="124" spans="1:12" ht="18.75" customHeight="1">
      <c r="A124" s="462" t="str">
        <f t="shared" si="20"/>
        <v>TP</v>
      </c>
      <c r="B124" s="794">
        <f t="shared" si="21"/>
        <v>100</v>
      </c>
      <c r="C124" s="795" t="s">
        <v>520</v>
      </c>
      <c r="D124" s="796" t="s">
        <v>972</v>
      </c>
      <c r="E124" s="749"/>
      <c r="F124" s="749"/>
      <c r="G124" s="768">
        <f t="array" ref="G124">SUM(IF("155"&amp;C124=KHN&amp;MH,SL))</f>
        <v>4294</v>
      </c>
      <c r="H124" s="768">
        <f t="array" ref="H124">SUM(IF("155"&amp;C124=KHN&amp;MH,TH))</f>
        <v>28859266</v>
      </c>
      <c r="I124" s="768">
        <f t="array" ref="I124">SUM(IF("155"&amp;C124=KHC&amp;MH,SL))</f>
        <v>4294</v>
      </c>
      <c r="J124" s="768">
        <f t="array" ref="J124">SUM(IF("155"&amp;C124=KHC&amp;MH,TH))</f>
        <v>28859266</v>
      </c>
      <c r="K124" s="749">
        <f t="shared" si="22"/>
        <v>0</v>
      </c>
      <c r="L124" s="749">
        <f t="shared" si="23"/>
        <v>0</v>
      </c>
    </row>
    <row r="125" spans="1:12" ht="18.75" customHeight="1">
      <c r="A125" s="462" t="str">
        <f t="shared" si="20"/>
        <v>TP</v>
      </c>
      <c r="B125" s="794">
        <f t="shared" si="21"/>
        <v>101</v>
      </c>
      <c r="C125" s="795" t="s">
        <v>527</v>
      </c>
      <c r="D125" s="796" t="s">
        <v>972</v>
      </c>
      <c r="E125" s="749"/>
      <c r="F125" s="749"/>
      <c r="G125" s="768">
        <f t="array" ref="G125">SUM(IF("155"&amp;C125=KHN&amp;MH,SL))</f>
        <v>429</v>
      </c>
      <c r="H125" s="768">
        <f t="array" ref="H125">SUM(IF("155"&amp;C125=KHN&amp;MH,TH))</f>
        <v>2829151</v>
      </c>
      <c r="I125" s="768">
        <f t="array" ref="I125">SUM(IF("155"&amp;C125=KHC&amp;MH,SL))</f>
        <v>429</v>
      </c>
      <c r="J125" s="768">
        <f t="array" ref="J125">SUM(IF("155"&amp;C125=KHC&amp;MH,TH))</f>
        <v>2829151</v>
      </c>
      <c r="K125" s="749">
        <f t="shared" si="22"/>
        <v>0</v>
      </c>
      <c r="L125" s="749">
        <f t="shared" si="23"/>
        <v>0</v>
      </c>
    </row>
    <row r="126" spans="1:12" ht="18.75" customHeight="1">
      <c r="A126" s="462" t="str">
        <f t="shared" si="20"/>
        <v>TP</v>
      </c>
      <c r="B126" s="794">
        <f t="shared" si="21"/>
        <v>102</v>
      </c>
      <c r="C126" s="781" t="s">
        <v>692</v>
      </c>
      <c r="D126" s="796" t="s">
        <v>972</v>
      </c>
      <c r="E126" s="749"/>
      <c r="F126" s="749"/>
      <c r="G126" s="768">
        <f t="array" ref="G126">SUM(IF("155"&amp;C126=KHN&amp;MH,SL))</f>
        <v>318</v>
      </c>
      <c r="H126" s="768">
        <f t="array" ref="H126">SUM(IF("155"&amp;C126=KHN&amp;MH,TH))</f>
        <v>2032423</v>
      </c>
      <c r="I126" s="768">
        <f t="array" ref="I126">SUM(IF("155"&amp;C126=KHC&amp;MH,SL))</f>
        <v>318</v>
      </c>
      <c r="J126" s="768">
        <f t="array" ref="J126">SUM(IF("155"&amp;C126=KHC&amp;MH,TH))</f>
        <v>2032423</v>
      </c>
      <c r="K126" s="749">
        <f t="shared" si="22"/>
        <v>0</v>
      </c>
      <c r="L126" s="749">
        <f t="shared" si="23"/>
        <v>0</v>
      </c>
    </row>
    <row r="127" spans="1:12" ht="18.75" customHeight="1">
      <c r="A127" s="462" t="str">
        <f t="shared" si="20"/>
        <v>TP</v>
      </c>
      <c r="B127" s="794">
        <f t="shared" si="21"/>
        <v>103</v>
      </c>
      <c r="C127" s="795" t="s">
        <v>546</v>
      </c>
      <c r="D127" s="796" t="s">
        <v>972</v>
      </c>
      <c r="E127" s="749"/>
      <c r="F127" s="749"/>
      <c r="G127" s="768">
        <f t="array" ref="G127">SUM(IF("155"&amp;C127=KHN&amp;MH,SL))</f>
        <v>1230</v>
      </c>
      <c r="H127" s="768">
        <f t="array" ref="H127">SUM(IF("155"&amp;C127=KHN&amp;MH,TH))</f>
        <v>9226890</v>
      </c>
      <c r="I127" s="768">
        <f t="array" ref="I127">SUM(IF("155"&amp;C127=KHC&amp;MH,SL))</f>
        <v>1230</v>
      </c>
      <c r="J127" s="768">
        <f t="array" ref="J127">SUM(IF("155"&amp;C127=KHC&amp;MH,TH))</f>
        <v>9226890</v>
      </c>
      <c r="K127" s="749">
        <f t="shared" si="22"/>
        <v>0</v>
      </c>
      <c r="L127" s="749">
        <f t="shared" si="23"/>
        <v>0</v>
      </c>
    </row>
    <row r="128" spans="1:12" ht="18.75" customHeight="1">
      <c r="A128" s="462" t="str">
        <f t="shared" si="20"/>
        <v>TP</v>
      </c>
      <c r="B128" s="794">
        <f t="shared" si="21"/>
        <v>104</v>
      </c>
      <c r="C128" s="795" t="s">
        <v>528</v>
      </c>
      <c r="D128" s="796" t="s">
        <v>972</v>
      </c>
      <c r="E128" s="749"/>
      <c r="F128" s="749"/>
      <c r="G128" s="768">
        <f t="array" ref="G128">SUM(IF("155"&amp;C128=KHN&amp;MH,SL))</f>
        <v>370</v>
      </c>
      <c r="H128" s="768">
        <f t="array" ref="H128">SUM(IF("155"&amp;C128=KHN&amp;MH,TH))</f>
        <v>2836570</v>
      </c>
      <c r="I128" s="768">
        <f t="array" ref="I128">SUM(IF("155"&amp;C128=KHC&amp;MH,SL))</f>
        <v>370</v>
      </c>
      <c r="J128" s="768">
        <f t="array" ref="J128">SUM(IF("155"&amp;C128=KHC&amp;MH,TH))</f>
        <v>2836570</v>
      </c>
      <c r="K128" s="749">
        <f t="shared" si="22"/>
        <v>0</v>
      </c>
      <c r="L128" s="749">
        <f t="shared" si="23"/>
        <v>0</v>
      </c>
    </row>
    <row r="129" spans="1:12" ht="18.75" customHeight="1">
      <c r="A129" s="462" t="str">
        <f t="shared" si="20"/>
        <v>TP</v>
      </c>
      <c r="B129" s="794">
        <f t="shared" si="21"/>
        <v>105</v>
      </c>
      <c r="C129" s="795" t="s">
        <v>540</v>
      </c>
      <c r="D129" s="796" t="s">
        <v>972</v>
      </c>
      <c r="E129" s="749"/>
      <c r="F129" s="749"/>
      <c r="G129" s="768">
        <f t="array" ref="G129">SUM(IF("155"&amp;C129=KHN&amp;MH,SL))</f>
        <v>1024</v>
      </c>
      <c r="H129" s="768">
        <f t="array" ref="H129">SUM(IF("155"&amp;C129=KHN&amp;MH,TH))</f>
        <v>7867861</v>
      </c>
      <c r="I129" s="768">
        <f t="array" ref="I129">SUM(IF("155"&amp;C129=KHC&amp;MH,SL))</f>
        <v>1024</v>
      </c>
      <c r="J129" s="768">
        <f t="array" ref="J129">SUM(IF("155"&amp;C129=KHC&amp;MH,TH))</f>
        <v>7867861</v>
      </c>
      <c r="K129" s="749">
        <f t="shared" si="22"/>
        <v>0</v>
      </c>
      <c r="L129" s="749">
        <f t="shared" si="23"/>
        <v>0</v>
      </c>
    </row>
    <row r="130" spans="1:12" ht="18.75" customHeight="1">
      <c r="A130" s="462" t="str">
        <f t="shared" si="20"/>
        <v>TP</v>
      </c>
      <c r="B130" s="794">
        <f t="shared" si="21"/>
        <v>106</v>
      </c>
      <c r="C130" s="795" t="s">
        <v>547</v>
      </c>
      <c r="D130" s="796" t="s">
        <v>972</v>
      </c>
      <c r="E130" s="749"/>
      <c r="F130" s="749"/>
      <c r="G130" s="768">
        <f t="array" ref="G130">SUM(IF("155"&amp;C130=KHN&amp;MH,SL))</f>
        <v>304</v>
      </c>
      <c r="H130" s="768">
        <f t="array" ref="H130">SUM(IF("155"&amp;C130=KHN&amp;MH,TH))</f>
        <v>2029866</v>
      </c>
      <c r="I130" s="768">
        <f t="array" ref="I130">SUM(IF("155"&amp;C130=KHC&amp;MH,SL))</f>
        <v>304</v>
      </c>
      <c r="J130" s="768">
        <f t="array" ref="J130">SUM(IF("155"&amp;C130=KHC&amp;MH,TH))</f>
        <v>2029866</v>
      </c>
      <c r="K130" s="749">
        <f t="shared" si="22"/>
        <v>0</v>
      </c>
      <c r="L130" s="749">
        <f t="shared" si="23"/>
        <v>0</v>
      </c>
    </row>
    <row r="131" spans="1:12" ht="18.75" customHeight="1">
      <c r="A131" s="462" t="str">
        <f t="shared" si="20"/>
        <v>TP</v>
      </c>
      <c r="B131" s="794">
        <f t="shared" si="21"/>
        <v>107</v>
      </c>
      <c r="C131" s="795" t="s">
        <v>668</v>
      </c>
      <c r="D131" s="796" t="s">
        <v>972</v>
      </c>
      <c r="E131" s="749"/>
      <c r="F131" s="749"/>
      <c r="G131" s="768">
        <f t="array" ref="G131">SUM(IF("155"&amp;C131=KHN&amp;MH,SL))</f>
        <v>36</v>
      </c>
      <c r="H131" s="768">
        <f t="array" ref="H131">SUM(IF("155"&amp;C131=KHN&amp;MH,TH))</f>
        <v>372520</v>
      </c>
      <c r="I131" s="768">
        <f t="array" ref="I131">SUM(IF("155"&amp;C131=KHC&amp;MH,SL))</f>
        <v>36</v>
      </c>
      <c r="J131" s="768">
        <f t="array" ref="J131">SUM(IF("155"&amp;C131=KHC&amp;MH,TH))</f>
        <v>372520</v>
      </c>
      <c r="K131" s="749">
        <f t="shared" si="22"/>
        <v>0</v>
      </c>
      <c r="L131" s="749">
        <f t="shared" si="23"/>
        <v>0</v>
      </c>
    </row>
    <row r="132" spans="1:12" ht="18.75" customHeight="1">
      <c r="A132" s="462" t="str">
        <f t="shared" si="20"/>
        <v>TP</v>
      </c>
      <c r="B132" s="794">
        <f t="shared" si="21"/>
        <v>108</v>
      </c>
      <c r="C132" s="795" t="s">
        <v>675</v>
      </c>
      <c r="D132" s="796" t="s">
        <v>972</v>
      </c>
      <c r="E132" s="749"/>
      <c r="F132" s="749"/>
      <c r="G132" s="768">
        <f t="array" ref="G132">SUM(IF("155"&amp;C132=KHN&amp;MH,SL))</f>
        <v>160</v>
      </c>
      <c r="H132" s="768">
        <f t="array" ref="H132">SUM(IF("155"&amp;C132=KHN&amp;MH,TH))</f>
        <v>2130423</v>
      </c>
      <c r="I132" s="768">
        <f t="array" ref="I132">SUM(IF("155"&amp;C132=KHC&amp;MH,SL))</f>
        <v>160</v>
      </c>
      <c r="J132" s="768">
        <f t="array" ref="J132">SUM(IF("155"&amp;C132=KHC&amp;MH,TH))</f>
        <v>2130423</v>
      </c>
      <c r="K132" s="749">
        <f t="shared" si="22"/>
        <v>0</v>
      </c>
      <c r="L132" s="749">
        <f t="shared" si="23"/>
        <v>0</v>
      </c>
    </row>
    <row r="133" spans="1:12" ht="18.75" customHeight="1">
      <c r="A133" s="462" t="str">
        <f t="shared" si="20"/>
        <v>TP</v>
      </c>
      <c r="B133" s="794">
        <f t="shared" si="21"/>
        <v>109</v>
      </c>
      <c r="C133" s="781" t="s">
        <v>537</v>
      </c>
      <c r="D133" s="796" t="s">
        <v>972</v>
      </c>
      <c r="E133" s="749"/>
      <c r="F133" s="749"/>
      <c r="G133" s="768">
        <f t="array" ref="G133">SUM(IF("155"&amp;C133=KHN&amp;MH,SL))</f>
        <v>970</v>
      </c>
      <c r="H133" s="768">
        <f t="array" ref="H133">SUM(IF("155"&amp;C133=KHN&amp;MH,TH))</f>
        <v>5997108</v>
      </c>
      <c r="I133" s="768">
        <f t="array" ref="I133">SUM(IF("155"&amp;C133=KHC&amp;MH,SL))</f>
        <v>970</v>
      </c>
      <c r="J133" s="768">
        <f t="array" ref="J133">SUM(IF("155"&amp;C133=KHC&amp;MH,TH))</f>
        <v>5997108</v>
      </c>
      <c r="K133" s="749">
        <f t="shared" si="22"/>
        <v>0</v>
      </c>
      <c r="L133" s="749">
        <f t="shared" si="23"/>
        <v>0</v>
      </c>
    </row>
    <row r="134" spans="1:12" ht="18.75" customHeight="1">
      <c r="A134" s="462" t="str">
        <f t="shared" si="20"/>
        <v>TP</v>
      </c>
      <c r="B134" s="794">
        <f t="shared" si="21"/>
        <v>110</v>
      </c>
      <c r="C134" s="797" t="s">
        <v>653</v>
      </c>
      <c r="D134" s="796" t="s">
        <v>972</v>
      </c>
      <c r="E134" s="749"/>
      <c r="F134" s="749"/>
      <c r="G134" s="768">
        <f t="array" ref="G134">SUM(IF("155"&amp;C134=KHN&amp;MH,SL))</f>
        <v>1215</v>
      </c>
      <c r="H134" s="768">
        <f t="array" ref="H134">SUM(IF("155"&amp;C134=KHN&amp;MH,TH))</f>
        <v>14422735</v>
      </c>
      <c r="I134" s="768">
        <f t="array" ref="I134">SUM(IF("155"&amp;C134=KHC&amp;MH,SL))</f>
        <v>1215</v>
      </c>
      <c r="J134" s="768">
        <f t="array" ref="J134">SUM(IF("155"&amp;C134=KHC&amp;MH,TH))</f>
        <v>14422735</v>
      </c>
      <c r="K134" s="749">
        <f t="shared" si="22"/>
        <v>0</v>
      </c>
      <c r="L134" s="749">
        <f t="shared" si="23"/>
        <v>0</v>
      </c>
    </row>
    <row r="135" spans="1:12" ht="18.75" customHeight="1">
      <c r="A135" s="462" t="str">
        <f t="shared" si="20"/>
        <v>TP</v>
      </c>
      <c r="B135" s="794">
        <f t="shared" si="21"/>
        <v>111</v>
      </c>
      <c r="C135" s="795" t="s">
        <v>906</v>
      </c>
      <c r="D135" s="796" t="s">
        <v>972</v>
      </c>
      <c r="E135" s="749"/>
      <c r="F135" s="749"/>
      <c r="G135" s="768">
        <f t="array" ref="G135">SUM(IF("155"&amp;C135=KHN&amp;MH,SL))</f>
        <v>275</v>
      </c>
      <c r="H135" s="768">
        <f t="array" ref="H135">SUM(IF("155"&amp;C135=KHN&amp;MH,TH))</f>
        <v>3473350</v>
      </c>
      <c r="I135" s="768">
        <f t="array" ref="I135">SUM(IF("155"&amp;C135=KHC&amp;MH,SL))</f>
        <v>275</v>
      </c>
      <c r="J135" s="768">
        <f t="array" ref="J135">SUM(IF("155"&amp;C135=KHC&amp;MH,TH))</f>
        <v>3473350</v>
      </c>
      <c r="K135" s="749">
        <f t="shared" si="22"/>
        <v>0</v>
      </c>
      <c r="L135" s="749">
        <f t="shared" si="23"/>
        <v>0</v>
      </c>
    </row>
    <row r="136" spans="1:12" ht="18.75" customHeight="1">
      <c r="A136" s="462" t="str">
        <f t="shared" si="20"/>
        <v>TP</v>
      </c>
      <c r="B136" s="794">
        <f t="shared" si="21"/>
        <v>112</v>
      </c>
      <c r="C136" s="797" t="s">
        <v>827</v>
      </c>
      <c r="D136" s="796" t="s">
        <v>972</v>
      </c>
      <c r="E136" s="749"/>
      <c r="F136" s="749"/>
      <c r="G136" s="768">
        <f t="array" ref="G136">SUM(IF("155"&amp;C136=KHN&amp;MH,SL))</f>
        <v>6154</v>
      </c>
      <c r="H136" s="768">
        <f t="array" ref="H136">SUM(IF("155"&amp;C136=KHN&amp;MH,TH))</f>
        <v>45887178</v>
      </c>
      <c r="I136" s="768">
        <f t="array" ref="I136">SUM(IF("155"&amp;C136=KHC&amp;MH,SL))</f>
        <v>6154</v>
      </c>
      <c r="J136" s="768">
        <f t="array" ref="J136">SUM(IF("155"&amp;C136=KHC&amp;MH,TH))</f>
        <v>45887178</v>
      </c>
      <c r="K136" s="749">
        <f t="shared" si="22"/>
        <v>0</v>
      </c>
      <c r="L136" s="749">
        <f t="shared" si="23"/>
        <v>0</v>
      </c>
    </row>
    <row r="137" spans="1:12" ht="18.75" customHeight="1">
      <c r="A137" s="462" t="str">
        <f t="shared" si="20"/>
        <v>TP</v>
      </c>
      <c r="B137" s="794">
        <f t="shared" si="21"/>
        <v>113</v>
      </c>
      <c r="C137" s="795" t="s">
        <v>917</v>
      </c>
      <c r="D137" s="796" t="s">
        <v>972</v>
      </c>
      <c r="E137" s="749"/>
      <c r="F137" s="749"/>
      <c r="G137" s="768">
        <f t="array" ref="G137">SUM(IF("155"&amp;C137=KHN&amp;MH,SL))</f>
        <v>1006</v>
      </c>
      <c r="H137" s="768">
        <f t="array" ref="H137">SUM(IF("155"&amp;C137=KHN&amp;MH,TH))</f>
        <v>7501219</v>
      </c>
      <c r="I137" s="768">
        <f t="array" ref="I137">SUM(IF("155"&amp;C137=KHC&amp;MH,SL))</f>
        <v>1006</v>
      </c>
      <c r="J137" s="768">
        <f t="array" ref="J137">SUM(IF("155"&amp;C137=KHC&amp;MH,TH))</f>
        <v>7501219</v>
      </c>
      <c r="K137" s="749">
        <f t="shared" si="22"/>
        <v>0</v>
      </c>
      <c r="L137" s="749">
        <f t="shared" si="23"/>
        <v>0</v>
      </c>
    </row>
    <row r="138" spans="1:12" ht="18.75" customHeight="1">
      <c r="A138" s="462" t="str">
        <f t="shared" si="20"/>
        <v>TP</v>
      </c>
      <c r="B138" s="794">
        <f t="shared" si="21"/>
        <v>114</v>
      </c>
      <c r="C138" s="795" t="s">
        <v>503</v>
      </c>
      <c r="D138" s="796" t="s">
        <v>972</v>
      </c>
      <c r="E138" s="749"/>
      <c r="F138" s="749"/>
      <c r="G138" s="768">
        <f t="array" ref="G138">SUM(IF("155"&amp;C138=KHN&amp;MH,SL))</f>
        <v>1005</v>
      </c>
      <c r="H138" s="768">
        <f t="array" ref="H138">SUM(IF("155"&amp;C138=KHN&amp;MH,TH))</f>
        <v>7704737</v>
      </c>
      <c r="I138" s="768">
        <f t="array" ref="I138">SUM(IF("155"&amp;C138=KHC&amp;MH,SL))</f>
        <v>1005</v>
      </c>
      <c r="J138" s="768">
        <f t="array" ref="J138">SUM(IF("155"&amp;C138=KHC&amp;MH,TH))</f>
        <v>7704737</v>
      </c>
      <c r="K138" s="749">
        <f t="shared" si="22"/>
        <v>0</v>
      </c>
      <c r="L138" s="749">
        <f t="shared" si="23"/>
        <v>0</v>
      </c>
    </row>
    <row r="139" spans="1:12" ht="18.75" customHeight="1">
      <c r="A139" s="462" t="str">
        <f t="shared" si="20"/>
        <v>TP</v>
      </c>
      <c r="B139" s="794">
        <f t="shared" si="21"/>
        <v>115</v>
      </c>
      <c r="C139" s="795" t="s">
        <v>522</v>
      </c>
      <c r="D139" s="796" t="s">
        <v>972</v>
      </c>
      <c r="E139" s="749"/>
      <c r="F139" s="749"/>
      <c r="G139" s="768">
        <f t="array" ref="G139">SUM(IF("155"&amp;C139=KHN&amp;MH,SL))</f>
        <v>1678</v>
      </c>
      <c r="H139" s="768">
        <f t="array" ref="H139">SUM(IF("155"&amp;C139=KHN&amp;MH,TH))</f>
        <v>21194396</v>
      </c>
      <c r="I139" s="768">
        <f t="array" ref="I139">SUM(IF("155"&amp;C139=KHC&amp;MH,SL))</f>
        <v>1678</v>
      </c>
      <c r="J139" s="768">
        <f t="array" ref="J139">SUM(IF("155"&amp;C139=KHC&amp;MH,TH))</f>
        <v>21194396</v>
      </c>
      <c r="K139" s="749">
        <f t="shared" si="22"/>
        <v>0</v>
      </c>
      <c r="L139" s="749">
        <f t="shared" si="23"/>
        <v>0</v>
      </c>
    </row>
    <row r="140" spans="1:12" ht="18.75" customHeight="1">
      <c r="A140" s="462" t="str">
        <f t="shared" si="20"/>
        <v>TP</v>
      </c>
      <c r="B140" s="794">
        <f t="shared" si="21"/>
        <v>116</v>
      </c>
      <c r="C140" s="795" t="s">
        <v>828</v>
      </c>
      <c r="D140" s="796" t="s">
        <v>972</v>
      </c>
      <c r="E140" s="749"/>
      <c r="F140" s="749"/>
      <c r="G140" s="768">
        <f t="array" ref="G140">SUM(IF("155"&amp;C140=KHN&amp;MH,SL))</f>
        <v>6118</v>
      </c>
      <c r="H140" s="768">
        <f t="array" ref="H140">SUM(IF("155"&amp;C140=KHN&amp;MH,TH))</f>
        <v>54928693</v>
      </c>
      <c r="I140" s="768">
        <f t="array" ref="I140">SUM(IF("155"&amp;C140=KHC&amp;MH,SL))</f>
        <v>6118</v>
      </c>
      <c r="J140" s="768">
        <f t="array" ref="J140">SUM(IF("155"&amp;C140=KHC&amp;MH,TH))</f>
        <v>54928693</v>
      </c>
      <c r="K140" s="749">
        <f t="shared" si="22"/>
        <v>0</v>
      </c>
      <c r="L140" s="749">
        <f t="shared" si="23"/>
        <v>0</v>
      </c>
    </row>
    <row r="141" spans="1:12" ht="18.75" customHeight="1">
      <c r="A141" s="462" t="str">
        <f t="shared" si="20"/>
        <v>TP</v>
      </c>
      <c r="B141" s="794">
        <f t="shared" si="21"/>
        <v>117</v>
      </c>
      <c r="C141" s="797" t="s">
        <v>916</v>
      </c>
      <c r="D141" s="796" t="s">
        <v>972</v>
      </c>
      <c r="E141" s="749"/>
      <c r="F141" s="749"/>
      <c r="G141" s="768">
        <f t="array" ref="G141">SUM(IF("155"&amp;C141=KHN&amp;MH,SL))</f>
        <v>1010</v>
      </c>
      <c r="H141" s="768">
        <f t="array" ref="H141">SUM(IF("155"&amp;C141=KHN&amp;MH,TH))</f>
        <v>8760603</v>
      </c>
      <c r="I141" s="768">
        <f t="array" ref="I141">SUM(IF("155"&amp;C141=KHC&amp;MH,SL))</f>
        <v>1010</v>
      </c>
      <c r="J141" s="768">
        <f t="array" ref="J141">SUM(IF("155"&amp;C141=KHC&amp;MH,TH))</f>
        <v>8760603</v>
      </c>
      <c r="K141" s="749">
        <f t="shared" si="22"/>
        <v>0</v>
      </c>
      <c r="L141" s="749">
        <f t="shared" si="23"/>
        <v>0</v>
      </c>
    </row>
    <row r="142" spans="1:12" ht="18.75" customHeight="1">
      <c r="A142" s="462" t="str">
        <f t="shared" si="20"/>
        <v>TP</v>
      </c>
      <c r="B142" s="794">
        <f t="shared" si="21"/>
        <v>118</v>
      </c>
      <c r="C142" s="797" t="s">
        <v>689</v>
      </c>
      <c r="D142" s="796" t="s">
        <v>972</v>
      </c>
      <c r="E142" s="749"/>
      <c r="F142" s="749"/>
      <c r="G142" s="768">
        <f t="array" ref="G142">SUM(IF("155"&amp;C142=KHN&amp;MH,SL))</f>
        <v>21</v>
      </c>
      <c r="H142" s="768">
        <f t="array" ref="H142">SUM(IF("155"&amp;C142=KHN&amp;MH,TH))</f>
        <v>458574</v>
      </c>
      <c r="I142" s="768">
        <f t="array" ref="I142">SUM(IF("155"&amp;C142=KHC&amp;MH,SL))</f>
        <v>21</v>
      </c>
      <c r="J142" s="768">
        <f t="array" ref="J142">SUM(IF("155"&amp;C142=KHC&amp;MH,TH))</f>
        <v>458574</v>
      </c>
      <c r="K142" s="749">
        <f t="shared" si="22"/>
        <v>0</v>
      </c>
      <c r="L142" s="749">
        <f t="shared" si="23"/>
        <v>0</v>
      </c>
    </row>
    <row r="143" spans="1:12" ht="18.75" customHeight="1">
      <c r="A143" s="462" t="str">
        <f t="shared" si="20"/>
        <v>TP</v>
      </c>
      <c r="B143" s="794">
        <f t="shared" si="21"/>
        <v>119</v>
      </c>
      <c r="C143" s="781" t="s">
        <v>687</v>
      </c>
      <c r="D143" s="796" t="s">
        <v>972</v>
      </c>
      <c r="E143" s="749"/>
      <c r="F143" s="749"/>
      <c r="G143" s="768">
        <f t="array" ref="G143">SUM(IF("155"&amp;C143=KHN&amp;MH,SL))</f>
        <v>27</v>
      </c>
      <c r="H143" s="768">
        <f t="array" ref="H143">SUM(IF("155"&amp;C143=KHN&amp;MH,TH))</f>
        <v>679985</v>
      </c>
      <c r="I143" s="768">
        <f t="array" ref="I143">SUM(IF("155"&amp;C143=KHC&amp;MH,SL))</f>
        <v>27</v>
      </c>
      <c r="J143" s="768">
        <f t="array" ref="J143">SUM(IF("155"&amp;C143=KHC&amp;MH,TH))</f>
        <v>679985</v>
      </c>
      <c r="K143" s="749">
        <f t="shared" si="22"/>
        <v>0</v>
      </c>
      <c r="L143" s="749">
        <f t="shared" si="23"/>
        <v>0</v>
      </c>
    </row>
    <row r="144" spans="1:12" ht="18.75" customHeight="1">
      <c r="A144" s="462" t="str">
        <f t="shared" si="20"/>
        <v>TP</v>
      </c>
      <c r="B144" s="794">
        <f t="shared" si="21"/>
        <v>120</v>
      </c>
      <c r="C144" s="781" t="s">
        <v>686</v>
      </c>
      <c r="D144" s="796" t="s">
        <v>972</v>
      </c>
      <c r="E144" s="749"/>
      <c r="F144" s="749"/>
      <c r="G144" s="768">
        <f t="array" ref="G144">SUM(IF("155"&amp;C144=KHN&amp;MH,SL))</f>
        <v>27</v>
      </c>
      <c r="H144" s="768">
        <f t="array" ref="H144">SUM(IF("155"&amp;C144=KHN&amp;MH,TH))</f>
        <v>747778</v>
      </c>
      <c r="I144" s="768">
        <f t="array" ref="I144">SUM(IF("155"&amp;C144=KHC&amp;MH,SL))</f>
        <v>27</v>
      </c>
      <c r="J144" s="768">
        <f t="array" ref="J144">SUM(IF("155"&amp;C144=KHC&amp;MH,TH))</f>
        <v>747778</v>
      </c>
      <c r="K144" s="749">
        <f t="shared" si="22"/>
        <v>0</v>
      </c>
      <c r="L144" s="749">
        <f t="shared" si="23"/>
        <v>0</v>
      </c>
    </row>
    <row r="145" spans="1:12" ht="18.75" customHeight="1">
      <c r="A145" s="462" t="str">
        <f t="shared" si="20"/>
        <v>TP</v>
      </c>
      <c r="B145" s="794">
        <f t="shared" si="21"/>
        <v>121</v>
      </c>
      <c r="C145" s="795" t="s">
        <v>682</v>
      </c>
      <c r="D145" s="796" t="s">
        <v>972</v>
      </c>
      <c r="E145" s="749"/>
      <c r="F145" s="749"/>
      <c r="G145" s="768">
        <f t="array" ref="G145">SUM(IF("155"&amp;C145=KHN&amp;MH,SL))</f>
        <v>6030</v>
      </c>
      <c r="H145" s="768">
        <f t="array" ref="H145">SUM(IF("155"&amp;C145=KHN&amp;MH,TH))</f>
        <v>61020637</v>
      </c>
      <c r="I145" s="768">
        <f t="array" ref="I145">SUM(IF("155"&amp;C145=KHC&amp;MH,SL))</f>
        <v>6030</v>
      </c>
      <c r="J145" s="768">
        <f t="array" ref="J145">SUM(IF("155"&amp;C145=KHC&amp;MH,TH))</f>
        <v>61020637</v>
      </c>
      <c r="K145" s="749">
        <f t="shared" si="22"/>
        <v>0</v>
      </c>
      <c r="L145" s="749">
        <f t="shared" si="23"/>
        <v>0</v>
      </c>
    </row>
    <row r="146" spans="1:12" ht="18.75" customHeight="1">
      <c r="A146" s="462" t="str">
        <f t="shared" si="20"/>
        <v>TP</v>
      </c>
      <c r="B146" s="794">
        <f t="shared" si="21"/>
        <v>122</v>
      </c>
      <c r="C146" s="797" t="s">
        <v>896</v>
      </c>
      <c r="D146" s="796" t="s">
        <v>972</v>
      </c>
      <c r="E146" s="749"/>
      <c r="F146" s="749"/>
      <c r="G146" s="768">
        <f t="array" ref="G146">SUM(IF("155"&amp;C146=KHN&amp;MH,SL))</f>
        <v>126</v>
      </c>
      <c r="H146" s="768">
        <f t="array" ref="H146">SUM(IF("155"&amp;C146=KHN&amp;MH,TH))</f>
        <v>1648947</v>
      </c>
      <c r="I146" s="768">
        <f t="array" ref="I146">SUM(IF("155"&amp;C146=KHC&amp;MH,SL))</f>
        <v>126</v>
      </c>
      <c r="J146" s="768">
        <f t="array" ref="J146">SUM(IF("155"&amp;C146=KHC&amp;MH,TH))</f>
        <v>1648947</v>
      </c>
      <c r="K146" s="749">
        <f t="shared" si="22"/>
        <v>0</v>
      </c>
      <c r="L146" s="749">
        <f t="shared" si="23"/>
        <v>0</v>
      </c>
    </row>
    <row r="147" spans="1:12" ht="18" customHeight="1">
      <c r="A147" s="462" t="str">
        <f t="shared" si="20"/>
        <v>TP</v>
      </c>
      <c r="B147" s="794">
        <f t="shared" si="21"/>
        <v>123</v>
      </c>
      <c r="C147" s="795" t="s">
        <v>929</v>
      </c>
      <c r="D147" s="796" t="s">
        <v>972</v>
      </c>
      <c r="E147" s="749"/>
      <c r="F147" s="749"/>
      <c r="G147" s="768">
        <f t="array" ref="G147">SUM(IF("155"&amp;C147=KHN&amp;MH,SL))</f>
        <v>244</v>
      </c>
      <c r="H147" s="768">
        <f t="array" ref="H147">SUM(IF("155"&amp;C147=KHN&amp;MH,TH))</f>
        <v>2543421</v>
      </c>
      <c r="I147" s="768">
        <f t="array" ref="I147">SUM(IF("155"&amp;C147=KHC&amp;MH,SL))</f>
        <v>244</v>
      </c>
      <c r="J147" s="768">
        <f t="array" ref="J147">SUM(IF("155"&amp;C147=KHC&amp;MH,TH))</f>
        <v>2543421</v>
      </c>
      <c r="K147" s="749">
        <f t="shared" si="22"/>
        <v>0</v>
      </c>
      <c r="L147" s="749">
        <f t="shared" si="23"/>
        <v>0</v>
      </c>
    </row>
    <row r="148" spans="1:12" ht="18" customHeight="1">
      <c r="A148" s="462" t="str">
        <f t="shared" si="20"/>
        <v>TP</v>
      </c>
      <c r="B148" s="794">
        <f t="shared" si="21"/>
        <v>124</v>
      </c>
      <c r="C148" s="795" t="s">
        <v>928</v>
      </c>
      <c r="D148" s="796" t="s">
        <v>972</v>
      </c>
      <c r="E148" s="749"/>
      <c r="F148" s="749"/>
      <c r="G148" s="768">
        <f t="array" ref="G148">SUM(IF("155"&amp;C148=KHN&amp;MH,SL))</f>
        <v>244</v>
      </c>
      <c r="H148" s="768">
        <f t="array" ref="H148">SUM(IF("155"&amp;C148=KHN&amp;MH,TH))</f>
        <v>2710507</v>
      </c>
      <c r="I148" s="768">
        <f t="array" ref="I148">SUM(IF("155"&amp;C148=KHC&amp;MH,SL))</f>
        <v>244</v>
      </c>
      <c r="J148" s="768">
        <f t="array" ref="J148">SUM(IF("155"&amp;C148=KHC&amp;MH,TH))</f>
        <v>2710507</v>
      </c>
      <c r="K148" s="749">
        <f t="shared" si="22"/>
        <v>0</v>
      </c>
      <c r="L148" s="749">
        <f t="shared" si="23"/>
        <v>0</v>
      </c>
    </row>
    <row r="149" spans="1:12" ht="18.75" customHeight="1">
      <c r="A149" s="462" t="str">
        <f t="shared" si="20"/>
        <v>TP</v>
      </c>
      <c r="B149" s="794">
        <f t="shared" si="21"/>
        <v>125</v>
      </c>
      <c r="C149" s="795" t="s">
        <v>625</v>
      </c>
      <c r="D149" s="796" t="s">
        <v>972</v>
      </c>
      <c r="E149" s="749"/>
      <c r="F149" s="749"/>
      <c r="G149" s="768">
        <f t="array" ref="G149">SUM(IF("155"&amp;C149=KHN&amp;MH,SL))</f>
        <v>305</v>
      </c>
      <c r="H149" s="768">
        <f t="array" ref="H149">SUM(IF("155"&amp;C149=KHN&amp;MH,TH))</f>
        <v>4827362</v>
      </c>
      <c r="I149" s="768">
        <f t="array" ref="I149">SUM(IF("155"&amp;C149=KHC&amp;MH,SL))</f>
        <v>305</v>
      </c>
      <c r="J149" s="768">
        <f t="array" ref="J149">SUM(IF("155"&amp;C149=KHC&amp;MH,TH))</f>
        <v>4827362</v>
      </c>
      <c r="K149" s="749">
        <f t="shared" si="22"/>
        <v>0</v>
      </c>
      <c r="L149" s="749">
        <f t="shared" si="23"/>
        <v>0</v>
      </c>
    </row>
    <row r="150" spans="1:12" ht="18.75" customHeight="1">
      <c r="A150" s="462" t="str">
        <f t="shared" si="20"/>
        <v>TP</v>
      </c>
      <c r="B150" s="794">
        <f t="shared" si="21"/>
        <v>126</v>
      </c>
      <c r="C150" s="795" t="s">
        <v>526</v>
      </c>
      <c r="D150" s="796" t="s">
        <v>972</v>
      </c>
      <c r="E150" s="749"/>
      <c r="F150" s="749"/>
      <c r="G150" s="768">
        <f t="array" ref="G150">SUM(IF("155"&amp;C150=KHN&amp;MH,SL))</f>
        <v>1306</v>
      </c>
      <c r="H150" s="768">
        <f t="array" ref="H150">SUM(IF("155"&amp;C150=KHN&amp;MH,TH))</f>
        <v>19643264</v>
      </c>
      <c r="I150" s="768">
        <f t="array" ref="I150">SUM(IF("155"&amp;C150=KHC&amp;MH,SL))</f>
        <v>1306</v>
      </c>
      <c r="J150" s="768">
        <f t="array" ref="J150">SUM(IF("155"&amp;C150=KHC&amp;MH,TH))</f>
        <v>19643264</v>
      </c>
      <c r="K150" s="749">
        <f t="shared" si="22"/>
        <v>0</v>
      </c>
      <c r="L150" s="749">
        <f t="shared" si="23"/>
        <v>0</v>
      </c>
    </row>
    <row r="151" spans="1:12" ht="18.75" customHeight="1">
      <c r="A151" s="462" t="str">
        <f t="shared" si="20"/>
        <v>TP</v>
      </c>
      <c r="B151" s="794">
        <f t="shared" si="21"/>
        <v>127</v>
      </c>
      <c r="C151" s="795" t="s">
        <v>655</v>
      </c>
      <c r="D151" s="796" t="s">
        <v>972</v>
      </c>
      <c r="E151" s="749"/>
      <c r="F151" s="749"/>
      <c r="G151" s="768">
        <f t="array" ref="G151">SUM(IF("155"&amp;C151=KHN&amp;MH,SL))</f>
        <v>684</v>
      </c>
      <c r="H151" s="768">
        <f t="array" ref="H151">SUM(IF("155"&amp;C151=KHN&amp;MH,TH))</f>
        <v>8631469</v>
      </c>
      <c r="I151" s="768">
        <f t="array" ref="I151">SUM(IF("155"&amp;C151=KHC&amp;MH,SL))</f>
        <v>684</v>
      </c>
      <c r="J151" s="768">
        <f t="array" ref="J151">SUM(IF("155"&amp;C151=KHC&amp;MH,TH))</f>
        <v>8631469</v>
      </c>
      <c r="K151" s="749">
        <f t="shared" si="22"/>
        <v>0</v>
      </c>
      <c r="L151" s="749">
        <f t="shared" si="23"/>
        <v>0</v>
      </c>
    </row>
    <row r="152" spans="1:12" ht="18.75" customHeight="1">
      <c r="A152" s="462" t="str">
        <f t="shared" si="20"/>
        <v>TP</v>
      </c>
      <c r="B152" s="794">
        <f t="shared" si="21"/>
        <v>128</v>
      </c>
      <c r="C152" s="781" t="s">
        <v>670</v>
      </c>
      <c r="D152" s="796" t="s">
        <v>972</v>
      </c>
      <c r="E152" s="749"/>
      <c r="F152" s="749"/>
      <c r="G152" s="768">
        <f t="array" ref="G152">SUM(IF("155"&amp;C152=KHN&amp;MH,SL))</f>
        <v>18</v>
      </c>
      <c r="H152" s="768">
        <f t="array" ref="H152">SUM(IF("155"&amp;C152=KHN&amp;MH,TH))</f>
        <v>217760</v>
      </c>
      <c r="I152" s="768">
        <f t="array" ref="I152">SUM(IF("155"&amp;C152=KHC&amp;MH,SL))</f>
        <v>18</v>
      </c>
      <c r="J152" s="768">
        <f t="array" ref="J152">SUM(IF("155"&amp;C152=KHC&amp;MH,TH))</f>
        <v>217760</v>
      </c>
      <c r="K152" s="749">
        <f t="shared" si="22"/>
        <v>0</v>
      </c>
      <c r="L152" s="749">
        <f t="shared" si="23"/>
        <v>0</v>
      </c>
    </row>
    <row r="153" spans="1:12" ht="18.75" customHeight="1">
      <c r="A153" s="462" t="str">
        <f t="shared" si="20"/>
        <v>TP</v>
      </c>
      <c r="B153" s="794">
        <f t="shared" si="21"/>
        <v>129</v>
      </c>
      <c r="C153" s="795" t="s">
        <v>837</v>
      </c>
      <c r="D153" s="796" t="s">
        <v>972</v>
      </c>
      <c r="E153" s="749"/>
      <c r="F153" s="749"/>
      <c r="G153" s="768">
        <f t="array" ref="G153">SUM(IF("155"&amp;C153=KHN&amp;MH,SL))</f>
        <v>91</v>
      </c>
      <c r="H153" s="768">
        <f t="array" ref="H153">SUM(IF("155"&amp;C153=KHN&amp;MH,TH))</f>
        <v>1557872</v>
      </c>
      <c r="I153" s="768">
        <f t="array" ref="I153">SUM(IF("155"&amp;C153=KHC&amp;MH,SL))</f>
        <v>91</v>
      </c>
      <c r="J153" s="768">
        <f t="array" ref="J153">SUM(IF("155"&amp;C153=KHC&amp;MH,TH))</f>
        <v>1557872</v>
      </c>
      <c r="K153" s="749">
        <f t="shared" ref="K153:K178" si="24">E153+G153-I153</f>
        <v>0</v>
      </c>
      <c r="L153" s="749">
        <f t="shared" ref="L153:L178" si="25">F153+H153-J153</f>
        <v>0</v>
      </c>
    </row>
    <row r="154" spans="1:12" ht="18.75" customHeight="1">
      <c r="A154" s="462" t="str">
        <f t="shared" si="20"/>
        <v>TP</v>
      </c>
      <c r="B154" s="794">
        <f t="shared" si="21"/>
        <v>130</v>
      </c>
      <c r="C154" s="781" t="s">
        <v>688</v>
      </c>
      <c r="D154" s="796" t="s">
        <v>972</v>
      </c>
      <c r="E154" s="749"/>
      <c r="F154" s="749"/>
      <c r="G154" s="768">
        <f t="array" ref="G154">SUM(IF("155"&amp;C154=KHN&amp;MH,SL))</f>
        <v>26</v>
      </c>
      <c r="H154" s="768">
        <f t="array" ref="H154">SUM(IF("155"&amp;C154=KHN&amp;MH,TH))</f>
        <v>931756</v>
      </c>
      <c r="I154" s="768">
        <f t="array" ref="I154">SUM(IF("155"&amp;C154=KHC&amp;MH,SL))</f>
        <v>26</v>
      </c>
      <c r="J154" s="768">
        <f t="array" ref="J154">SUM(IF("155"&amp;C154=KHC&amp;MH,TH))</f>
        <v>931756</v>
      </c>
      <c r="K154" s="749">
        <f t="shared" si="24"/>
        <v>0</v>
      </c>
      <c r="L154" s="749">
        <f t="shared" si="25"/>
        <v>0</v>
      </c>
    </row>
    <row r="155" spans="1:12" ht="18.75" customHeight="1">
      <c r="A155" s="462" t="str">
        <f t="shared" ref="A155:A172" si="26">IF(B155&lt;&gt;"","TP","")</f>
        <v>TP</v>
      </c>
      <c r="B155" s="794">
        <f t="shared" ref="B155:B172" si="27">IF(C155&lt;&gt;"",B154+1,"")</f>
        <v>131</v>
      </c>
      <c r="C155" s="781" t="s">
        <v>512</v>
      </c>
      <c r="D155" s="796" t="s">
        <v>972</v>
      </c>
      <c r="E155" s="749"/>
      <c r="F155" s="749"/>
      <c r="G155" s="768">
        <f t="array" ref="G155">SUM(IF("155"&amp;C155=KHN&amp;MH,SL))</f>
        <v>102</v>
      </c>
      <c r="H155" s="768">
        <f t="array" ref="H155">SUM(IF("155"&amp;C155=KHN&amp;MH,TH))</f>
        <v>2001179</v>
      </c>
      <c r="I155" s="768">
        <f t="array" ref="I155">SUM(IF("155"&amp;C155=KHC&amp;MH,SL))</f>
        <v>102</v>
      </c>
      <c r="J155" s="768">
        <f t="array" ref="J155">SUM(IF("155"&amp;C155=KHC&amp;MH,TH))</f>
        <v>2001179</v>
      </c>
      <c r="K155" s="749">
        <f t="shared" si="24"/>
        <v>0</v>
      </c>
      <c r="L155" s="749">
        <f t="shared" si="25"/>
        <v>0</v>
      </c>
    </row>
    <row r="156" spans="1:12" ht="18.75" customHeight="1">
      <c r="A156" s="462" t="str">
        <f t="shared" si="26"/>
        <v>TP</v>
      </c>
      <c r="B156" s="794">
        <f t="shared" si="27"/>
        <v>132</v>
      </c>
      <c r="C156" s="797" t="s">
        <v>912</v>
      </c>
      <c r="D156" s="796" t="s">
        <v>972</v>
      </c>
      <c r="E156" s="749"/>
      <c r="F156" s="749"/>
      <c r="G156" s="768">
        <f t="array" ref="G156">SUM(IF("155"&amp;C156=KHN&amp;MH,SL))</f>
        <v>24</v>
      </c>
      <c r="H156" s="768">
        <f t="array" ref="H156">SUM(IF("155"&amp;C156=KHN&amp;MH,TH))</f>
        <v>953212</v>
      </c>
      <c r="I156" s="768">
        <f t="array" ref="I156">SUM(IF("155"&amp;C156=KHC&amp;MH,SL))</f>
        <v>24</v>
      </c>
      <c r="J156" s="768">
        <f t="array" ref="J156">SUM(IF("155"&amp;C156=KHC&amp;MH,TH))</f>
        <v>953212</v>
      </c>
      <c r="K156" s="749">
        <f t="shared" si="24"/>
        <v>0</v>
      </c>
      <c r="L156" s="749">
        <f t="shared" si="25"/>
        <v>0</v>
      </c>
    </row>
    <row r="157" spans="1:12" ht="18.75" customHeight="1">
      <c r="A157" s="462" t="str">
        <f t="shared" si="26"/>
        <v>TP</v>
      </c>
      <c r="B157" s="794">
        <f t="shared" si="27"/>
        <v>133</v>
      </c>
      <c r="C157" s="795" t="s">
        <v>844</v>
      </c>
      <c r="D157" s="796" t="s">
        <v>972</v>
      </c>
      <c r="E157" s="749"/>
      <c r="F157" s="749"/>
      <c r="G157" s="768">
        <f t="array" ref="G157">SUM(IF("155"&amp;C157=KHN&amp;MH,SL))</f>
        <v>103</v>
      </c>
      <c r="H157" s="768">
        <f t="array" ref="H157">SUM(IF("155"&amp;C157=KHN&amp;MH,TH))</f>
        <v>1238232</v>
      </c>
      <c r="I157" s="768">
        <f t="array" ref="I157">SUM(IF("155"&amp;C157=KHC&amp;MH,SL))</f>
        <v>103</v>
      </c>
      <c r="J157" s="768">
        <f t="array" ref="J157">SUM(IF("155"&amp;C157=KHC&amp;MH,TH))</f>
        <v>1238232</v>
      </c>
      <c r="K157" s="749">
        <f t="shared" si="24"/>
        <v>0</v>
      </c>
      <c r="L157" s="749">
        <f t="shared" si="25"/>
        <v>0</v>
      </c>
    </row>
    <row r="158" spans="1:12" ht="18.75" customHeight="1">
      <c r="A158" s="462" t="str">
        <f t="shared" si="26"/>
        <v>TP</v>
      </c>
      <c r="B158" s="794">
        <f t="shared" si="27"/>
        <v>134</v>
      </c>
      <c r="C158" s="795" t="s">
        <v>959</v>
      </c>
      <c r="D158" s="796" t="s">
        <v>972</v>
      </c>
      <c r="E158" s="749"/>
      <c r="F158" s="749"/>
      <c r="G158" s="768">
        <f t="array" ref="G158">SUM(IF("155"&amp;C158=KHN&amp;MH,SL))</f>
        <v>1560</v>
      </c>
      <c r="H158" s="768">
        <f t="array" ref="H158">SUM(IF("155"&amp;C158=KHN&amp;MH,TH))</f>
        <v>14955569</v>
      </c>
      <c r="I158" s="768">
        <f t="array" ref="I158">SUM(IF("155"&amp;C158=KHC&amp;MH,SL))</f>
        <v>1560</v>
      </c>
      <c r="J158" s="768">
        <f t="array" ref="J158">SUM(IF("155"&amp;C158=KHC&amp;MH,TH))</f>
        <v>14955569</v>
      </c>
      <c r="K158" s="749">
        <f t="shared" si="24"/>
        <v>0</v>
      </c>
      <c r="L158" s="749">
        <f t="shared" si="25"/>
        <v>0</v>
      </c>
    </row>
    <row r="159" spans="1:12" ht="19.5" customHeight="1">
      <c r="A159" s="462" t="str">
        <f t="shared" si="26"/>
        <v>TP</v>
      </c>
      <c r="B159" s="794">
        <f t="shared" si="27"/>
        <v>135</v>
      </c>
      <c r="C159" s="797" t="s">
        <v>893</v>
      </c>
      <c r="D159" s="796" t="s">
        <v>972</v>
      </c>
      <c r="E159" s="749"/>
      <c r="F159" s="749"/>
      <c r="G159" s="768">
        <f t="array" ref="G159">SUM(IF("155"&amp;C159=KHN&amp;MH,SL))</f>
        <v>70</v>
      </c>
      <c r="H159" s="768">
        <f t="array" ref="H159">SUM(IF("155"&amp;C159=KHN&amp;MH,TH))</f>
        <v>1145102</v>
      </c>
      <c r="I159" s="768">
        <f t="array" ref="I159">SUM(IF("155"&amp;C159=KHC&amp;MH,SL))</f>
        <v>70</v>
      </c>
      <c r="J159" s="768">
        <f t="array" ref="J159">SUM(IF("155"&amp;C159=KHC&amp;MH,TH))</f>
        <v>1145102</v>
      </c>
      <c r="K159" s="749">
        <f t="shared" si="24"/>
        <v>0</v>
      </c>
      <c r="L159" s="749">
        <f t="shared" si="25"/>
        <v>0</v>
      </c>
    </row>
    <row r="160" spans="1:12" ht="19.5" customHeight="1">
      <c r="A160" s="462" t="str">
        <f t="shared" si="26"/>
        <v>TP</v>
      </c>
      <c r="B160" s="794">
        <f t="shared" si="27"/>
        <v>136</v>
      </c>
      <c r="C160" s="795" t="s">
        <v>499</v>
      </c>
      <c r="D160" s="796" t="s">
        <v>972</v>
      </c>
      <c r="E160" s="749"/>
      <c r="F160" s="749"/>
      <c r="G160" s="768">
        <f t="array" ref="G160">SUM(IF("155"&amp;C160=KHN&amp;MH,SL))</f>
        <v>220</v>
      </c>
      <c r="H160" s="768">
        <f t="array" ref="H160">SUM(IF("155"&amp;C160=KHN&amp;MH,TH))</f>
        <v>4951014</v>
      </c>
      <c r="I160" s="768">
        <f t="array" ref="I160">SUM(IF("155"&amp;C160=KHC&amp;MH,SL))</f>
        <v>220</v>
      </c>
      <c r="J160" s="768">
        <f t="array" ref="J160">SUM(IF("155"&amp;C160=KHC&amp;MH,TH))</f>
        <v>4951014</v>
      </c>
      <c r="K160" s="749">
        <f t="shared" si="24"/>
        <v>0</v>
      </c>
      <c r="L160" s="749">
        <f t="shared" si="25"/>
        <v>0</v>
      </c>
    </row>
    <row r="161" spans="1:12" ht="19.5" customHeight="1">
      <c r="A161" s="462" t="str">
        <f t="shared" si="26"/>
        <v>TP</v>
      </c>
      <c r="B161" s="794">
        <f t="shared" si="27"/>
        <v>137</v>
      </c>
      <c r="C161" s="781" t="s">
        <v>845</v>
      </c>
      <c r="D161" s="796" t="s">
        <v>972</v>
      </c>
      <c r="E161" s="749"/>
      <c r="F161" s="749"/>
      <c r="G161" s="768">
        <f t="array" ref="G161">SUM(IF("155"&amp;C161=KHN&amp;MH,SL))</f>
        <v>273</v>
      </c>
      <c r="H161" s="768">
        <f t="array" ref="H161">SUM(IF("155"&amp;C161=KHN&amp;MH,TH))</f>
        <v>4985190</v>
      </c>
      <c r="I161" s="768">
        <f t="array" ref="I161">SUM(IF("155"&amp;C161=KHC&amp;MH,SL))</f>
        <v>273</v>
      </c>
      <c r="J161" s="768">
        <f t="array" ref="J161">SUM(IF("155"&amp;C161=KHC&amp;MH,TH))</f>
        <v>4985190</v>
      </c>
      <c r="K161" s="749">
        <f t="shared" si="24"/>
        <v>0</v>
      </c>
      <c r="L161" s="749">
        <f t="shared" si="25"/>
        <v>0</v>
      </c>
    </row>
    <row r="162" spans="1:12" ht="19.5" customHeight="1">
      <c r="A162" s="462" t="str">
        <f t="shared" si="26"/>
        <v>TP</v>
      </c>
      <c r="B162" s="794">
        <f t="shared" si="27"/>
        <v>138</v>
      </c>
      <c r="C162" s="797" t="s">
        <v>646</v>
      </c>
      <c r="D162" s="796" t="s">
        <v>972</v>
      </c>
      <c r="E162" s="749"/>
      <c r="F162" s="749"/>
      <c r="G162" s="768">
        <f t="array" ref="G162">SUM(IF("155"&amp;C162=KHN&amp;MH,SL))</f>
        <v>550</v>
      </c>
      <c r="H162" s="768">
        <f t="array" ref="H162">SUM(IF("155"&amp;C162=KHN&amp;MH,TH))</f>
        <v>5622030</v>
      </c>
      <c r="I162" s="768">
        <f t="array" ref="I162">SUM(IF("155"&amp;C162=KHC&amp;MH,SL))</f>
        <v>550</v>
      </c>
      <c r="J162" s="768">
        <f t="array" ref="J162">SUM(IF("155"&amp;C162=KHC&amp;MH,TH))</f>
        <v>5622030</v>
      </c>
      <c r="K162" s="749">
        <f t="shared" si="24"/>
        <v>0</v>
      </c>
      <c r="L162" s="749">
        <f t="shared" si="25"/>
        <v>0</v>
      </c>
    </row>
    <row r="163" spans="1:12" ht="19.5" customHeight="1">
      <c r="A163" s="462" t="str">
        <f t="shared" si="26"/>
        <v>TP</v>
      </c>
      <c r="B163" s="794">
        <f t="shared" si="27"/>
        <v>139</v>
      </c>
      <c r="C163" s="795" t="s">
        <v>647</v>
      </c>
      <c r="D163" s="796" t="s">
        <v>972</v>
      </c>
      <c r="E163" s="749"/>
      <c r="F163" s="749"/>
      <c r="G163" s="768">
        <f t="array" ref="G163">SUM(IF("155"&amp;C163=KHN&amp;MH,SL))</f>
        <v>530</v>
      </c>
      <c r="H163" s="768">
        <f t="array" ref="H163">SUM(IF("155"&amp;C163=KHN&amp;MH,TH))</f>
        <v>6640921</v>
      </c>
      <c r="I163" s="768">
        <f t="array" ref="I163">SUM(IF("155"&amp;C163=KHC&amp;MH,SL))</f>
        <v>530</v>
      </c>
      <c r="J163" s="768">
        <f t="array" ref="J163">SUM(IF("155"&amp;C163=KHC&amp;MH,TH))</f>
        <v>6640921</v>
      </c>
      <c r="K163" s="749">
        <f t="shared" si="24"/>
        <v>0</v>
      </c>
      <c r="L163" s="749">
        <f t="shared" si="25"/>
        <v>0</v>
      </c>
    </row>
    <row r="164" spans="1:12" ht="19.5" customHeight="1">
      <c r="A164" s="462" t="str">
        <f t="shared" si="26"/>
        <v>TP</v>
      </c>
      <c r="B164" s="794">
        <f t="shared" si="27"/>
        <v>140</v>
      </c>
      <c r="C164" s="795" t="s">
        <v>650</v>
      </c>
      <c r="D164" s="796" t="s">
        <v>972</v>
      </c>
      <c r="E164" s="749"/>
      <c r="F164" s="749"/>
      <c r="G164" s="768">
        <f t="array" ref="G164">SUM(IF("155"&amp;C164=KHN&amp;MH,SL))</f>
        <v>330</v>
      </c>
      <c r="H164" s="768">
        <f t="array" ref="H164">SUM(IF("155"&amp;C164=KHN&amp;MH,TH))</f>
        <v>2965168</v>
      </c>
      <c r="I164" s="768">
        <f t="array" ref="I164">SUM(IF("155"&amp;C164=KHC&amp;MH,SL))</f>
        <v>330</v>
      </c>
      <c r="J164" s="768">
        <f t="array" ref="J164">SUM(IF("155"&amp;C164=KHC&amp;MH,TH))</f>
        <v>2965168</v>
      </c>
      <c r="K164" s="749">
        <f t="shared" si="24"/>
        <v>0</v>
      </c>
      <c r="L164" s="749">
        <f t="shared" si="25"/>
        <v>0</v>
      </c>
    </row>
    <row r="165" spans="1:12" ht="19.5" customHeight="1">
      <c r="A165" s="462" t="str">
        <f t="shared" si="26"/>
        <v>TP</v>
      </c>
      <c r="B165" s="794">
        <f t="shared" si="27"/>
        <v>141</v>
      </c>
      <c r="C165" s="795" t="s">
        <v>648</v>
      </c>
      <c r="D165" s="796" t="s">
        <v>972</v>
      </c>
      <c r="E165" s="749"/>
      <c r="F165" s="749"/>
      <c r="G165" s="768">
        <f t="array" ref="G165">SUM(IF("155"&amp;C165=KHN&amp;MH,SL))</f>
        <v>630</v>
      </c>
      <c r="H165" s="768">
        <f t="array" ref="H165">SUM(IF("155"&amp;C165=KHN&amp;MH,TH))</f>
        <v>6283979</v>
      </c>
      <c r="I165" s="768">
        <f t="array" ref="I165">SUM(IF("155"&amp;C165=KHC&amp;MH,SL))</f>
        <v>630</v>
      </c>
      <c r="J165" s="768">
        <f t="array" ref="J165">SUM(IF("155"&amp;C165=KHC&amp;MH,TH))</f>
        <v>6283979</v>
      </c>
      <c r="K165" s="749">
        <f t="shared" si="24"/>
        <v>0</v>
      </c>
      <c r="L165" s="749">
        <f t="shared" si="25"/>
        <v>0</v>
      </c>
    </row>
    <row r="166" spans="1:12" ht="19.5" customHeight="1">
      <c r="A166" s="462" t="str">
        <f t="shared" si="26"/>
        <v>TP</v>
      </c>
      <c r="B166" s="794">
        <f t="shared" si="27"/>
        <v>142</v>
      </c>
      <c r="C166" s="795" t="s">
        <v>649</v>
      </c>
      <c r="D166" s="796" t="s">
        <v>972</v>
      </c>
      <c r="E166" s="749"/>
      <c r="F166" s="749"/>
      <c r="G166" s="768">
        <f t="array" ref="G166">SUM(IF("155"&amp;C166=KHN&amp;MH,SL))</f>
        <v>800</v>
      </c>
      <c r="H166" s="768">
        <f t="array" ref="H166">SUM(IF("155"&amp;C166=KHN&amp;MH,TH))</f>
        <v>8771026</v>
      </c>
      <c r="I166" s="768">
        <f t="array" ref="I166">SUM(IF("155"&amp;C166=KHC&amp;MH,SL))</f>
        <v>800</v>
      </c>
      <c r="J166" s="768">
        <f t="array" ref="J166">SUM(IF("155"&amp;C166=KHC&amp;MH,TH))</f>
        <v>8771026</v>
      </c>
      <c r="K166" s="749">
        <f t="shared" si="24"/>
        <v>0</v>
      </c>
      <c r="L166" s="749">
        <f t="shared" si="25"/>
        <v>0</v>
      </c>
    </row>
    <row r="167" spans="1:12" ht="19.5" customHeight="1">
      <c r="A167" s="462" t="str">
        <f t="shared" si="26"/>
        <v>TP</v>
      </c>
      <c r="B167" s="794">
        <f t="shared" si="27"/>
        <v>143</v>
      </c>
      <c r="C167" s="795" t="s">
        <v>819</v>
      </c>
      <c r="D167" s="796" t="s">
        <v>972</v>
      </c>
      <c r="E167" s="749"/>
      <c r="F167" s="749"/>
      <c r="G167" s="768">
        <f t="array" ref="G167">SUM(IF("155"&amp;C167=KHN&amp;MH,SL))</f>
        <v>360</v>
      </c>
      <c r="H167" s="768">
        <f t="array" ref="H167">SUM(IF("155"&amp;C167=KHN&amp;MH,TH))</f>
        <v>6202369</v>
      </c>
      <c r="I167" s="768">
        <f t="array" ref="I167">SUM(IF("155"&amp;C167=KHC&amp;MH,SL))</f>
        <v>360</v>
      </c>
      <c r="J167" s="768">
        <f t="array" ref="J167">SUM(IF("155"&amp;C167=KHC&amp;MH,TH))</f>
        <v>6202369</v>
      </c>
      <c r="K167" s="749">
        <f t="shared" si="24"/>
        <v>0</v>
      </c>
      <c r="L167" s="749">
        <f t="shared" si="25"/>
        <v>0</v>
      </c>
    </row>
    <row r="168" spans="1:12" ht="19.5" customHeight="1">
      <c r="A168" s="462" t="str">
        <f t="shared" si="26"/>
        <v>TP</v>
      </c>
      <c r="B168" s="794">
        <f t="shared" si="27"/>
        <v>144</v>
      </c>
      <c r="C168" s="781" t="s">
        <v>818</v>
      </c>
      <c r="D168" s="796" t="s">
        <v>972</v>
      </c>
      <c r="E168" s="749"/>
      <c r="F168" s="749"/>
      <c r="G168" s="768">
        <f t="array" ref="G168">SUM(IF("155"&amp;C168=KHN&amp;MH,SL))</f>
        <v>500</v>
      </c>
      <c r="H168" s="768">
        <f t="array" ref="H168">SUM(IF("155"&amp;C168=KHN&amp;MH,TH))</f>
        <v>3297379</v>
      </c>
      <c r="I168" s="768">
        <f t="array" ref="I168">SUM(IF("155"&amp;C168=KHC&amp;MH,SL))</f>
        <v>500</v>
      </c>
      <c r="J168" s="768">
        <f t="array" ref="J168">SUM(IF("155"&amp;C168=KHC&amp;MH,TH))</f>
        <v>3297379</v>
      </c>
      <c r="K168" s="749">
        <f t="shared" si="24"/>
        <v>0</v>
      </c>
      <c r="L168" s="749">
        <f t="shared" si="25"/>
        <v>0</v>
      </c>
    </row>
    <row r="169" spans="1:12" ht="19.5" customHeight="1">
      <c r="A169" s="462" t="str">
        <f t="shared" si="26"/>
        <v>TP</v>
      </c>
      <c r="B169" s="794">
        <f t="shared" si="27"/>
        <v>145</v>
      </c>
      <c r="C169" s="781" t="s">
        <v>817</v>
      </c>
      <c r="D169" s="796" t="s">
        <v>972</v>
      </c>
      <c r="E169" s="749"/>
      <c r="F169" s="749"/>
      <c r="G169" s="768">
        <f t="array" ref="G169">SUM(IF("155"&amp;C169=KHN&amp;MH,SL))</f>
        <v>2400</v>
      </c>
      <c r="H169" s="768">
        <f t="array" ref="H169">SUM(IF("155"&amp;C169=KHN&amp;MH,TH))</f>
        <v>7715866</v>
      </c>
      <c r="I169" s="768">
        <f t="array" ref="I169">SUM(IF("155"&amp;C169=KHC&amp;MH,SL))</f>
        <v>2400</v>
      </c>
      <c r="J169" s="768">
        <f t="array" ref="J169">SUM(IF("155"&amp;C169=KHC&amp;MH,TH))</f>
        <v>7715866</v>
      </c>
      <c r="K169" s="749">
        <f t="shared" si="24"/>
        <v>0</v>
      </c>
      <c r="L169" s="749">
        <f t="shared" si="25"/>
        <v>0</v>
      </c>
    </row>
    <row r="170" spans="1:12" ht="19.5" customHeight="1">
      <c r="A170" s="462" t="str">
        <f t="shared" si="26"/>
        <v>TP</v>
      </c>
      <c r="B170" s="794">
        <f t="shared" si="27"/>
        <v>146</v>
      </c>
      <c r="C170" s="797" t="s">
        <v>933</v>
      </c>
      <c r="D170" s="796" t="s">
        <v>972</v>
      </c>
      <c r="E170" s="749"/>
      <c r="F170" s="749"/>
      <c r="G170" s="768">
        <f t="array" ref="G170">SUM(IF("155"&amp;C170=KHN&amp;MH,SL))</f>
        <v>244</v>
      </c>
      <c r="H170" s="768">
        <f t="array" ref="H170">SUM(IF("155"&amp;C170=KHN&amp;MH,TH))</f>
        <v>148521</v>
      </c>
      <c r="I170" s="768">
        <f t="array" ref="I170">SUM(IF("155"&amp;C170=KHC&amp;MH,SL))</f>
        <v>244</v>
      </c>
      <c r="J170" s="768">
        <f t="array" ref="J170">SUM(IF("155"&amp;C170=KHC&amp;MH,TH))</f>
        <v>148521</v>
      </c>
      <c r="K170" s="749">
        <f t="shared" si="24"/>
        <v>0</v>
      </c>
      <c r="L170" s="749">
        <f t="shared" si="25"/>
        <v>0</v>
      </c>
    </row>
    <row r="171" spans="1:12" ht="19.5" customHeight="1">
      <c r="A171" s="462" t="str">
        <f t="shared" si="26"/>
        <v>TP</v>
      </c>
      <c r="B171" s="794">
        <f t="shared" si="27"/>
        <v>147</v>
      </c>
      <c r="C171" s="795" t="s">
        <v>932</v>
      </c>
      <c r="D171" s="796" t="s">
        <v>972</v>
      </c>
      <c r="E171" s="749"/>
      <c r="F171" s="749"/>
      <c r="G171" s="768">
        <f t="array" ref="G171">SUM(IF("155"&amp;C171=KHN&amp;MH,SL))</f>
        <v>244</v>
      </c>
      <c r="H171" s="768">
        <f t="array" ref="H171">SUM(IF("155"&amp;C171=KHN&amp;MH,TH))</f>
        <v>185651</v>
      </c>
      <c r="I171" s="768">
        <f t="array" ref="I171">SUM(IF("155"&amp;C171=KHC&amp;MH,SL))</f>
        <v>244</v>
      </c>
      <c r="J171" s="768">
        <f t="array" ref="J171">SUM(IF("155"&amp;C171=KHC&amp;MH,TH))</f>
        <v>185651</v>
      </c>
      <c r="K171" s="749">
        <f t="shared" si="24"/>
        <v>0</v>
      </c>
      <c r="L171" s="749">
        <f t="shared" si="25"/>
        <v>0</v>
      </c>
    </row>
    <row r="172" spans="1:12" ht="19.5" customHeight="1">
      <c r="A172" s="462" t="str">
        <f t="shared" si="26"/>
        <v>TP</v>
      </c>
      <c r="B172" s="794">
        <f t="shared" si="27"/>
        <v>148</v>
      </c>
      <c r="C172" s="795" t="s">
        <v>931</v>
      </c>
      <c r="D172" s="796" t="s">
        <v>972</v>
      </c>
      <c r="E172" s="749"/>
      <c r="F172" s="749"/>
      <c r="G172" s="768">
        <f t="array" ref="G172">SUM(IF("155"&amp;C172=KHN&amp;MH,SL))</f>
        <v>244</v>
      </c>
      <c r="H172" s="768">
        <f t="array" ref="H172">SUM(IF("155"&amp;C172=KHN&amp;MH,TH))</f>
        <v>241346</v>
      </c>
      <c r="I172" s="768">
        <f t="array" ref="I172">SUM(IF("155"&amp;C172=KHC&amp;MH,SL))</f>
        <v>244</v>
      </c>
      <c r="J172" s="768">
        <f t="array" ref="J172">SUM(IF("155"&amp;C172=KHC&amp;MH,TH))</f>
        <v>241346</v>
      </c>
      <c r="K172" s="749">
        <f t="shared" si="24"/>
        <v>0</v>
      </c>
      <c r="L172" s="749">
        <f t="shared" si="25"/>
        <v>0</v>
      </c>
    </row>
    <row r="173" spans="1:12" ht="19.5" customHeight="1">
      <c r="A173" s="462" t="str">
        <f t="shared" ref="A173:A179" si="28">IF(B173&lt;&gt;"","TP","")</f>
        <v>TP</v>
      </c>
      <c r="B173" s="794">
        <f t="shared" ref="B173:B179" si="29">IF(C173&lt;&gt;"",B172+1,"")</f>
        <v>149</v>
      </c>
      <c r="C173" s="797" t="s">
        <v>930</v>
      </c>
      <c r="D173" s="796" t="s">
        <v>972</v>
      </c>
      <c r="E173" s="749"/>
      <c r="F173" s="749"/>
      <c r="G173" s="768">
        <f t="array" ref="G173">SUM(IF("155"&amp;C173=KHN&amp;MH,SL))</f>
        <v>244</v>
      </c>
      <c r="H173" s="768">
        <f t="array" ref="H173">SUM(IF("155"&amp;C173=KHN&amp;MH,TH))</f>
        <v>278477</v>
      </c>
      <c r="I173" s="768">
        <f t="array" ref="I173">SUM(IF("155"&amp;C173=KHC&amp;MH,SL))</f>
        <v>244</v>
      </c>
      <c r="J173" s="768">
        <f t="array" ref="J173">SUM(IF("155"&amp;C173=KHC&amp;MH,TH))</f>
        <v>278477</v>
      </c>
      <c r="K173" s="749">
        <f t="shared" si="24"/>
        <v>0</v>
      </c>
      <c r="L173" s="749">
        <f t="shared" si="25"/>
        <v>0</v>
      </c>
    </row>
    <row r="174" spans="1:12" ht="19.5" customHeight="1">
      <c r="A174" s="462" t="str">
        <f t="shared" si="28"/>
        <v>TP</v>
      </c>
      <c r="B174" s="794">
        <f t="shared" si="29"/>
        <v>150</v>
      </c>
      <c r="C174" s="798" t="s">
        <v>1085</v>
      </c>
      <c r="D174" s="796" t="s">
        <v>972</v>
      </c>
      <c r="E174" s="749"/>
      <c r="F174" s="749"/>
      <c r="G174" s="768">
        <f t="array" ref="G174">SUM(IF("155"&amp;C174=KHN&amp;MH,SL))</f>
        <v>7250</v>
      </c>
      <c r="H174" s="768">
        <f t="array" ref="H174">SUM(IF("155"&amp;C174=KHN&amp;MH,TH))</f>
        <v>15445566</v>
      </c>
      <c r="I174" s="768">
        <f t="array" ref="I174">SUM(IF("155"&amp;C174=KHC&amp;MH,SL))</f>
        <v>7250</v>
      </c>
      <c r="J174" s="768">
        <f t="array" ref="J174">SUM(IF("155"&amp;C174=KHC&amp;MH,TH))</f>
        <v>15445566</v>
      </c>
      <c r="K174" s="749">
        <f t="shared" si="24"/>
        <v>0</v>
      </c>
      <c r="L174" s="749">
        <f t="shared" si="25"/>
        <v>0</v>
      </c>
    </row>
    <row r="175" spans="1:12" ht="19.5" customHeight="1">
      <c r="A175" s="462" t="str">
        <f t="shared" si="28"/>
        <v>TP</v>
      </c>
      <c r="B175" s="794">
        <f t="shared" si="29"/>
        <v>151</v>
      </c>
      <c r="C175" s="798" t="s">
        <v>1086</v>
      </c>
      <c r="D175" s="796" t="s">
        <v>972</v>
      </c>
      <c r="E175" s="749"/>
      <c r="F175" s="749"/>
      <c r="G175" s="768">
        <f t="array" ref="G175">SUM(IF("155"&amp;C175=KHN&amp;MH,SL))</f>
        <v>9730</v>
      </c>
      <c r="H175" s="768">
        <f t="array" ref="H175">SUM(IF("155"&amp;C175=KHN&amp;MH,TH))</f>
        <v>16287083</v>
      </c>
      <c r="I175" s="768">
        <f t="array" ref="I175">SUM(IF("155"&amp;C175=KHC&amp;MH,SL))</f>
        <v>9730</v>
      </c>
      <c r="J175" s="768">
        <f t="array" ref="J175">SUM(IF("155"&amp;C175=KHC&amp;MH,TH))</f>
        <v>16287083</v>
      </c>
      <c r="K175" s="749">
        <f t="shared" si="24"/>
        <v>0</v>
      </c>
      <c r="L175" s="749">
        <f t="shared" si="25"/>
        <v>0</v>
      </c>
    </row>
    <row r="176" spans="1:12" ht="19.5" customHeight="1">
      <c r="A176" s="462" t="str">
        <f t="shared" si="28"/>
        <v>TP</v>
      </c>
      <c r="B176" s="794">
        <f t="shared" si="29"/>
        <v>152</v>
      </c>
      <c r="C176" s="798" t="s">
        <v>1087</v>
      </c>
      <c r="D176" s="796" t="s">
        <v>972</v>
      </c>
      <c r="E176" s="749"/>
      <c r="F176" s="749"/>
      <c r="G176" s="768">
        <f t="array" ref="G176">SUM(IF("155"&amp;C176=KHN&amp;MH,SL))</f>
        <v>375</v>
      </c>
      <c r="H176" s="768">
        <f t="array" ref="H176">SUM(IF("155"&amp;C176=KHN&amp;MH,TH))</f>
        <v>142662</v>
      </c>
      <c r="I176" s="768">
        <f t="array" ref="I176">SUM(IF("155"&amp;C176=KHC&amp;MH,SL))</f>
        <v>375</v>
      </c>
      <c r="J176" s="768">
        <f t="array" ref="J176">SUM(IF("155"&amp;C176=KHC&amp;MH,TH))</f>
        <v>142662</v>
      </c>
      <c r="K176" s="749">
        <f t="shared" si="24"/>
        <v>0</v>
      </c>
      <c r="L176" s="749">
        <f t="shared" si="25"/>
        <v>0</v>
      </c>
    </row>
    <row r="177" spans="1:12" ht="19.5" customHeight="1">
      <c r="A177" s="462" t="str">
        <f t="shared" si="28"/>
        <v>TP</v>
      </c>
      <c r="B177" s="794">
        <f t="shared" si="29"/>
        <v>153</v>
      </c>
      <c r="C177" s="798" t="s">
        <v>1088</v>
      </c>
      <c r="D177" s="796" t="s">
        <v>972</v>
      </c>
      <c r="E177" s="749"/>
      <c r="F177" s="749"/>
      <c r="G177" s="768">
        <f t="array" ref="G177">SUM(IF("155"&amp;C177=KHN&amp;MH,SL))</f>
        <v>500</v>
      </c>
      <c r="H177" s="768">
        <f t="array" ref="H177">SUM(IF("155"&amp;C177=KHN&amp;MH,TH))</f>
        <v>10956460</v>
      </c>
      <c r="I177" s="768">
        <f t="array" ref="I177">SUM(IF("155"&amp;C177=KHC&amp;MH,SL))</f>
        <v>500</v>
      </c>
      <c r="J177" s="768">
        <f t="array" ref="J177">SUM(IF("155"&amp;C177=KHC&amp;MH,TH))</f>
        <v>10956460</v>
      </c>
      <c r="K177" s="749">
        <f t="shared" si="24"/>
        <v>0</v>
      </c>
      <c r="L177" s="749">
        <f t="shared" si="25"/>
        <v>0</v>
      </c>
    </row>
    <row r="178" spans="1:12" ht="19.5" customHeight="1">
      <c r="A178" s="462" t="str">
        <f t="shared" si="28"/>
        <v>TP</v>
      </c>
      <c r="B178" s="794">
        <f t="shared" si="29"/>
        <v>154</v>
      </c>
      <c r="C178" s="798" t="s">
        <v>1089</v>
      </c>
      <c r="D178" s="796" t="s">
        <v>972</v>
      </c>
      <c r="E178" s="749"/>
      <c r="F178" s="749"/>
      <c r="G178" s="768">
        <f t="array" ref="G178">SUM(IF("155"&amp;C178=KHN&amp;MH,SL))</f>
        <v>2375</v>
      </c>
      <c r="H178" s="768">
        <f t="array" ref="H178">SUM(IF("155"&amp;C178=KHN&amp;MH,TH))</f>
        <v>2891288</v>
      </c>
      <c r="I178" s="768">
        <f t="array" ref="I178">SUM(IF("155"&amp;C178=KHC&amp;MH,SL))</f>
        <v>2375</v>
      </c>
      <c r="J178" s="768">
        <f t="array" ref="J178">SUM(IF("155"&amp;C178=KHC&amp;MH,TH))</f>
        <v>2891288</v>
      </c>
      <c r="K178" s="749">
        <f t="shared" si="24"/>
        <v>0</v>
      </c>
      <c r="L178" s="749">
        <f t="shared" si="25"/>
        <v>0</v>
      </c>
    </row>
    <row r="179" spans="1:12" ht="19.5" customHeight="1">
      <c r="A179" s="462" t="str">
        <f t="shared" si="28"/>
        <v>TP</v>
      </c>
      <c r="B179" s="794">
        <f t="shared" si="29"/>
        <v>155</v>
      </c>
      <c r="C179" s="798" t="s">
        <v>1090</v>
      </c>
      <c r="D179" s="796" t="s">
        <v>972</v>
      </c>
      <c r="E179" s="749"/>
      <c r="F179" s="749"/>
      <c r="G179" s="768">
        <f t="array" ref="G179">SUM(IF("155"&amp;C179=KHN&amp;MH,SL))</f>
        <v>200</v>
      </c>
      <c r="H179" s="768">
        <f t="array" ref="H179">SUM(IF("155"&amp;C179=KHN&amp;MH,TH))</f>
        <v>547823</v>
      </c>
      <c r="I179" s="768">
        <f t="array" ref="I179">SUM(IF("155"&amp;C179=KHC&amp;MH,SL))</f>
        <v>200</v>
      </c>
      <c r="J179" s="768">
        <f t="array" ref="J179">SUM(IF("155"&amp;C179=KHC&amp;MH,TH))</f>
        <v>547823</v>
      </c>
      <c r="K179" s="749">
        <f t="shared" ref="K179:K180" si="30">E179+G179-I179</f>
        <v>0</v>
      </c>
      <c r="L179" s="749">
        <f t="shared" ref="L179:L180" si="31">F179+H179-J179</f>
        <v>0</v>
      </c>
    </row>
    <row r="180" spans="1:12" ht="19.5" customHeight="1">
      <c r="A180" s="462" t="str">
        <f t="shared" ref="A180" si="32">IF(B180&lt;&gt;"","TP","")</f>
        <v>TP</v>
      </c>
      <c r="B180" s="794">
        <f t="shared" ref="B180" si="33">IF(C180&lt;&gt;"",B179+1,"")</f>
        <v>156</v>
      </c>
      <c r="C180" s="798" t="s">
        <v>1091</v>
      </c>
      <c r="D180" s="796" t="s">
        <v>972</v>
      </c>
      <c r="E180" s="749"/>
      <c r="F180" s="749"/>
      <c r="G180" s="768">
        <f t="array" ref="G180">SUM(IF("155"&amp;C180=KHN&amp;MH,SL))</f>
        <v>2000</v>
      </c>
      <c r="H180" s="768">
        <f t="array" ref="H180">SUM(IF("155"&amp;C180=KHN&amp;MH,TH))</f>
        <v>2130423</v>
      </c>
      <c r="I180" s="768">
        <f t="array" ref="I180">SUM(IF("155"&amp;C180=KHC&amp;MH,SL))</f>
        <v>2000</v>
      </c>
      <c r="J180" s="768">
        <f t="array" ref="J180">SUM(IF("155"&amp;C180=KHC&amp;MH,TH))</f>
        <v>2130423</v>
      </c>
      <c r="K180" s="749">
        <f t="shared" si="30"/>
        <v>0</v>
      </c>
      <c r="L180" s="749">
        <f t="shared" si="31"/>
        <v>0</v>
      </c>
    </row>
    <row r="181" spans="1:12" ht="18.75" customHeight="1">
      <c r="A181" s="462"/>
      <c r="B181" s="794"/>
      <c r="C181" s="797"/>
      <c r="D181" s="796"/>
      <c r="E181" s="749"/>
      <c r="F181" s="749"/>
      <c r="G181" s="768"/>
      <c r="H181" s="768"/>
      <c r="I181" s="768"/>
      <c r="J181" s="768"/>
      <c r="K181" s="749"/>
      <c r="L181" s="749"/>
    </row>
    <row r="182" spans="1:12" ht="19.5" customHeight="1">
      <c r="A182" s="462" t="str">
        <f t="shared" ref="A182" si="34">IF(B182&lt;&gt;"","TP","")</f>
        <v/>
      </c>
      <c r="B182" s="779"/>
      <c r="C182" s="786" t="s">
        <v>193</v>
      </c>
      <c r="D182" s="779"/>
      <c r="E182" s="757">
        <f t="shared" ref="E182:L182" si="35">SUM(E25:E181)</f>
        <v>0</v>
      </c>
      <c r="F182" s="757">
        <f t="shared" si="35"/>
        <v>0</v>
      </c>
      <c r="G182" s="757">
        <f t="shared" si="35"/>
        <v>219419</v>
      </c>
      <c r="H182" s="757">
        <f t="shared" si="35"/>
        <v>1444698200</v>
      </c>
      <c r="I182" s="757">
        <f t="shared" si="35"/>
        <v>219419</v>
      </c>
      <c r="J182" s="757">
        <f t="shared" si="35"/>
        <v>1444698200</v>
      </c>
      <c r="K182" s="757">
        <f t="shared" si="35"/>
        <v>0</v>
      </c>
      <c r="L182" s="757">
        <f t="shared" si="35"/>
        <v>0</v>
      </c>
    </row>
    <row r="183" spans="1:12" ht="18.75" customHeight="1">
      <c r="A183" s="462"/>
      <c r="B183" s="788"/>
      <c r="C183" s="788"/>
      <c r="D183" s="787"/>
      <c r="E183" s="789"/>
      <c r="F183" s="789">
        <f>F182-CDPS!C23</f>
        <v>0</v>
      </c>
      <c r="G183" s="789"/>
      <c r="H183" s="789">
        <f>H182-CDPS!E23</f>
        <v>0</v>
      </c>
      <c r="I183" s="789"/>
      <c r="J183" s="789">
        <f>J182-CDPS!F23</f>
        <v>0</v>
      </c>
      <c r="K183" s="789"/>
      <c r="L183" s="789">
        <f>L182-CDPS!H23</f>
        <v>0</v>
      </c>
    </row>
    <row r="184" spans="1:12" ht="18.75" customHeight="1"/>
    <row r="185" spans="1:12" ht="19.5" customHeight="1"/>
    <row r="186" spans="1:12" ht="19.5" customHeight="1">
      <c r="C186" s="890"/>
      <c r="D186" s="890"/>
      <c r="E186" s="890"/>
      <c r="F186" s="170"/>
      <c r="G186" s="170"/>
      <c r="H186" s="170"/>
      <c r="I186" s="170"/>
      <c r="J186" s="890" t="str">
        <f>"Ngày 31 tháng  12  năm  "&amp;YEAR(TH!$C$10)</f>
        <v>Ngày 31 tháng  12  năm  2016</v>
      </c>
      <c r="K186" s="890"/>
      <c r="L186" s="890"/>
    </row>
    <row r="187" spans="1:12" ht="19.5" customHeight="1">
      <c r="C187" s="375"/>
      <c r="D187" s="375"/>
      <c r="E187" s="375"/>
      <c r="F187" s="890"/>
      <c r="G187" s="890"/>
      <c r="H187" s="890"/>
      <c r="I187" s="170"/>
      <c r="J187" s="890" t="s">
        <v>105</v>
      </c>
      <c r="K187" s="890"/>
      <c r="L187" s="890"/>
    </row>
    <row r="188" spans="1:12" ht="19.5" customHeight="1">
      <c r="C188" s="375"/>
      <c r="D188" s="375"/>
      <c r="E188" s="375"/>
      <c r="F188" s="890"/>
      <c r="G188" s="890"/>
      <c r="H188" s="890"/>
      <c r="I188" s="775"/>
      <c r="J188" s="890" t="s">
        <v>132</v>
      </c>
      <c r="K188" s="890"/>
      <c r="L188" s="890"/>
    </row>
    <row r="189" spans="1:12" ht="20.25" customHeight="1"/>
    <row r="190" spans="1:12" ht="20.25" customHeight="1"/>
    <row r="191" spans="1:12" ht="20.25" customHeight="1"/>
    <row r="192" spans="1:12" ht="20.25" customHeight="1"/>
    <row r="193" ht="20.25" customHeight="1"/>
    <row r="194" ht="20.25" customHeight="1"/>
    <row r="195" ht="20.2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</sheetData>
  <autoFilter ref="A8:L183"/>
  <sortState ref="A28:N176">
    <sortCondition ref="C28:C176"/>
  </sortState>
  <mergeCells count="18">
    <mergeCell ref="H1:L1"/>
    <mergeCell ref="B4:L4"/>
    <mergeCell ref="B5:L5"/>
    <mergeCell ref="H2:L3"/>
    <mergeCell ref="B2:G3"/>
    <mergeCell ref="B6:B7"/>
    <mergeCell ref="C6:C7"/>
    <mergeCell ref="C186:E186"/>
    <mergeCell ref="J188:L188"/>
    <mergeCell ref="F188:H188"/>
    <mergeCell ref="J187:L187"/>
    <mergeCell ref="F187:H187"/>
    <mergeCell ref="J186:L186"/>
    <mergeCell ref="D6:D7"/>
    <mergeCell ref="E6:F6"/>
    <mergeCell ref="G6:H6"/>
    <mergeCell ref="I6:J6"/>
    <mergeCell ref="K6:L6"/>
  </mergeCells>
  <printOptions horizontalCentered="1"/>
  <pageMargins left="0.6" right="0.2" top="0.3" bottom="0.3" header="0" footer="0"/>
  <pageSetup paperSize="9" scale="80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171" customWidth="1"/>
    <col min="2" max="2" width="29.7109375" style="171" customWidth="1"/>
    <col min="3" max="3" width="5.7109375" style="171" customWidth="1"/>
    <col min="4" max="4" width="6.7109375" style="171" customWidth="1"/>
    <col min="5" max="5" width="12.7109375" style="171" customWidth="1"/>
    <col min="6" max="6" width="9.85546875" style="171" customWidth="1"/>
    <col min="7" max="7" width="11" style="171" customWidth="1"/>
    <col min="8" max="8" width="14" style="171" customWidth="1"/>
    <col min="9" max="9" width="4.28515625" style="171" customWidth="1"/>
    <col min="10" max="10" width="7.5703125" style="171" customWidth="1"/>
    <col min="11" max="11" width="3.140625" style="171" customWidth="1"/>
    <col min="12" max="12" width="5.7109375" style="171" customWidth="1"/>
    <col min="13" max="13" width="2.7109375" style="171" customWidth="1"/>
    <col min="14" max="14" width="4" style="171" customWidth="1"/>
    <col min="15" max="15" width="3.7109375" style="171" customWidth="1"/>
    <col min="16" max="16384" width="9.140625" style="171"/>
  </cols>
  <sheetData>
    <row r="1" spans="1:17" ht="5.25" hidden="1" customHeight="1"/>
    <row r="2" spans="1:17" s="428" customFormat="1" ht="12" customHeight="1">
      <c r="A2" s="427" t="str">
        <f>TH!A1</f>
        <v>Đơn vị: CÔNG TY TNHH BAO BÌ GIẤY KIM DUNG PHÁT</v>
      </c>
      <c r="G2" s="429" t="str">
        <f>+IF(LEFT($D$7,1)="N","Mẫu số 01 - VT","Mẫu số 02 - VT")</f>
        <v>Mẫu số 02 - VT</v>
      </c>
    </row>
    <row r="3" spans="1:17" s="428" customFormat="1" ht="12" customHeight="1">
      <c r="A3" s="430" t="str">
        <f>TH!A2</f>
        <v>Địa chỉ: Ấp Rừng Sến, xã Mỹ Hạnh Bắc, Huyện Đức Hòa, Tỉnh Long An, Việt Nam</v>
      </c>
      <c r="G3" s="38" t="str">
        <f ca="1">IF(INT(RIGHT($D$6,4))&gt;=2015,"(Ban hành theo Thông tư số 200/2014/TT-BTC ","(Ban hành kèm theo QĐ 48/2006/QĐ-BTC")</f>
        <v xml:space="preserve">(Ban hành theo Thông tư số 200/2014/TT-BTC </v>
      </c>
      <c r="N3" s="429" t="s">
        <v>100</v>
      </c>
      <c r="O3" s="431"/>
      <c r="P3" s="432">
        <f>IF(J5="Quý I",1,IF(J5="Quý II",4,IF(J5="Quý III",7,IF(J5="Quý IV",10,""))))</f>
        <v>10</v>
      </c>
      <c r="Q3" s="432">
        <f>IF(J5="Quý I",3,IF(J5="Quý II",6,IF(J5="Quý III",9,IF(J5="Quý IV",12,""))))</f>
        <v>12</v>
      </c>
    </row>
    <row r="4" spans="1:17" s="428" customFormat="1" ht="12" customHeight="1" thickBot="1">
      <c r="G4" s="38" t="str">
        <f ca="1">IF(INT(RIGHT($D$6,4))&gt;=2015,"Ngày 22/12/2014 của Bộ Tài chính)","ngày 24/09/2006 của Bộ trưởng BTC)")</f>
        <v>Ngày 22/12/2014 của Bộ Tài chính)</v>
      </c>
      <c r="J4" s="433"/>
      <c r="M4" s="434"/>
      <c r="N4" s="429" t="s">
        <v>101</v>
      </c>
      <c r="O4" s="431"/>
    </row>
    <row r="5" spans="1:17" ht="18" customHeight="1" thickBot="1">
      <c r="D5" s="175" t="str">
        <f>+IF(LEFT($L$5,1)="N","PHIẾU NHẬP KHO","PHIẾU XUẤT KHO")</f>
        <v>PHIẾU XUẤT KHO</v>
      </c>
      <c r="J5" s="424" t="s">
        <v>361</v>
      </c>
      <c r="K5" s="176"/>
      <c r="L5" s="425" t="s">
        <v>1092</v>
      </c>
      <c r="M5" s="177"/>
      <c r="N5" s="426">
        <v>73</v>
      </c>
      <c r="O5" s="172"/>
      <c r="P5" s="172"/>
    </row>
    <row r="6" spans="1:17" ht="10.5" customHeight="1">
      <c r="D6" s="436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31  tháng  12  năm  2016</v>
      </c>
      <c r="E6" s="437"/>
      <c r="M6" s="174"/>
      <c r="O6" s="172"/>
    </row>
    <row r="7" spans="1:17" ht="10.5" customHeight="1">
      <c r="C7" s="438" t="str">
        <f xml:space="preserve"> "Số:"</f>
        <v>Số:</v>
      </c>
      <c r="D7" s="439" t="str">
        <f xml:space="preserve"> RIGHT($L$5,2)&amp;"/"&amp;LEFT($L$5,1)&amp;IF($N$5&gt;=10,$N$5,"0"&amp;$N$5)</f>
        <v>TP/X73</v>
      </c>
      <c r="G7" s="171" t="str">
        <f ca="1">"Nợ:  "&amp;IF(ROWS($1:1)&gt;COUNT(Dong10),"",OFFSET(TH!L$1,SMALL(Dong10,ROWS($1:1)),))</f>
        <v>Nợ:  131</v>
      </c>
      <c r="M7" s="174"/>
      <c r="O7" s="172"/>
    </row>
    <row r="8" spans="1:17" ht="10.5" customHeight="1">
      <c r="D8" s="38"/>
      <c r="G8" s="171" t="str">
        <f ca="1">"Có:  "&amp;IF(ROWS($1:1)&gt;COUNT(Dong10),"",OFFSET(TH!M$1,SMALL(Dong10,ROWS($1:1)),))</f>
        <v>Có:  5112</v>
      </c>
      <c r="M8" s="174"/>
      <c r="O8" s="440"/>
    </row>
    <row r="9" spans="1:17" ht="11.25" customHeight="1">
      <c r="A9" s="171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thức ăn chăn nuôi Kyodo Sojitz                                         Địa chỉ (bộ phận) :     Sản Xuất </v>
      </c>
      <c r="M9" s="174"/>
    </row>
    <row r="10" spans="1:17" ht="11.25" customHeight="1">
      <c r="A10" s="171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171" t="str">
        <f>+IF(MID($D$7,4,1)="N","của………………………………………………………………………………………………………………………………....","Xuất tại kho (ngăn lô) :            Công ty TNHH Bao Bì Giấy Kim Dung Phát                      Địa điểm :  Đức Hòa, Long An.")</f>
        <v>Xuất tại kho (ngăn lô) :            Công ty TNHH Bao Bì Giấy Kim Dung Phát                      Địa điểm :  Đức Hòa, Long An.</v>
      </c>
    </row>
    <row r="12" spans="1:17" ht="11.25" customHeight="1">
      <c r="A12" s="171" t="str">
        <f>+IF(MID($D$7,4,1)="N","Nhập tại kho:       Công ty TNHH Bao Bì Giấy Kim Dung Phát                      Địa điểm :  Đức Hòa, Long An."," ")</f>
        <v xml:space="preserve"> </v>
      </c>
    </row>
    <row r="13" spans="1:17" ht="2.25" customHeight="1"/>
    <row r="14" spans="1:17" ht="11.25" customHeight="1">
      <c r="A14" s="925" t="s">
        <v>34</v>
      </c>
      <c r="B14" s="925" t="s">
        <v>194</v>
      </c>
      <c r="C14" s="925" t="s">
        <v>195</v>
      </c>
      <c r="D14" s="925" t="s">
        <v>186</v>
      </c>
      <c r="E14" s="927" t="s">
        <v>196</v>
      </c>
      <c r="F14" s="927"/>
      <c r="G14" s="925" t="s">
        <v>197</v>
      </c>
      <c r="H14" s="925" t="s">
        <v>198</v>
      </c>
    </row>
    <row r="15" spans="1:17" ht="12.75" customHeight="1">
      <c r="A15" s="926"/>
      <c r="B15" s="926"/>
      <c r="C15" s="926"/>
      <c r="D15" s="926"/>
      <c r="E15" s="441" t="s">
        <v>199</v>
      </c>
      <c r="F15" s="441" t="str">
        <f>IF(LEFT($D$7,1)="N","Thực nhập","Thực xuất")</f>
        <v>Thực xuất</v>
      </c>
      <c r="G15" s="926"/>
      <c r="H15" s="926"/>
    </row>
    <row r="16" spans="1:17" s="38" customFormat="1" ht="8.25" customHeight="1">
      <c r="A16" s="442" t="s">
        <v>2</v>
      </c>
      <c r="B16" s="442" t="s">
        <v>3</v>
      </c>
      <c r="C16" s="442" t="s">
        <v>4</v>
      </c>
      <c r="D16" s="442" t="s">
        <v>5</v>
      </c>
      <c r="E16" s="442">
        <v>1</v>
      </c>
      <c r="F16" s="442">
        <v>2</v>
      </c>
      <c r="G16" s="442">
        <v>3</v>
      </c>
      <c r="H16" s="442">
        <v>4</v>
      </c>
    </row>
    <row r="17" spans="1:8" ht="11.25" customHeight="1">
      <c r="A17" s="443">
        <f ca="1">IF(B17="","",ROW()-16)</f>
        <v>1</v>
      </c>
      <c r="B17" s="444" t="str">
        <f ca="1">IF(ROWS($1:1)&gt;COUNT(Dong10),"",OFFSET(TH!F$1,SMALL(Dong10,ROWS($1:1)),))</f>
        <v>Thùng carton (45x37x27.5)</v>
      </c>
      <c r="C17" s="445"/>
      <c r="D17" s="446" t="str">
        <f ca="1">IF(ISNA(VLOOKUP(B17,NXT!$C$9:$D$181,2,0)),"",VLOOKUP(B17,NXT!$C$9:$D$181,2,0))</f>
        <v>cái</v>
      </c>
      <c r="E17" s="447"/>
      <c r="F17" s="448">
        <f ca="1">IF(ROWS($1:1)&gt;COUNT(Dong10),"",OFFSET(TH!I$1,SMALL(Dong10,ROWS($1:1)),))</f>
        <v>1808</v>
      </c>
      <c r="G17" s="448">
        <f ca="1">IF(ROWS($1:1)&gt;COUNT(Dong10),"",OFFSET(TH!J$1,SMALL(Dong10,ROWS($1:1)),))</f>
        <v>13800</v>
      </c>
      <c r="H17" s="447">
        <f ca="1">IF(F17&lt;&gt;"",ROUND(F17*G17,0),0)</f>
        <v>24950400</v>
      </c>
    </row>
    <row r="18" spans="1:8" ht="11.25" customHeight="1">
      <c r="A18" s="443">
        <f t="shared" ref="A18:A20" ca="1" si="0">IF(B18="","",A17+1)</f>
        <v>2</v>
      </c>
      <c r="B18" s="444" t="str">
        <f ca="1">IF(ROWS($1:2)&gt;COUNT(Dong10),"",OFFSET(TH!F$1,SMALL(Dong10,ROWS($1:2)),))</f>
        <v>Tấm lót (44x20)</v>
      </c>
      <c r="C18" s="445"/>
      <c r="D18" s="446" t="str">
        <f ca="1">IF(ISNA(VLOOKUP(B18,NXT!$C$9:$D$181,2,0)),"",VLOOKUP(B18,NXT!$C$9:$D$181,2,0))</f>
        <v>tấm</v>
      </c>
      <c r="E18" s="447"/>
      <c r="F18" s="448">
        <f ca="1">IF(ROWS($1:2)&gt;COUNT(Dong10),"",OFFSET(TH!I$1,SMALL(Dong10,ROWS($1:2)),))</f>
        <v>3616</v>
      </c>
      <c r="G18" s="448">
        <f ca="1">IF(ROWS($1:2)&gt;COUNT(Dong10),"",OFFSET(TH!J$1,SMALL(Dong10,ROWS($1:2)),))</f>
        <v>1300</v>
      </c>
      <c r="H18" s="447">
        <f t="shared" ref="H18:H24" ca="1" si="1">IF(F18&lt;&gt;"",ROUND(F18*G18,0),0)</f>
        <v>4700800</v>
      </c>
    </row>
    <row r="19" spans="1:8" ht="11.25" customHeight="1">
      <c r="A19" s="443" t="str">
        <f t="shared" ca="1" si="0"/>
        <v/>
      </c>
      <c r="B19" s="444" t="str">
        <f ca="1">IF(ROWS($1:3)&gt;COUNT(Dong10),"",OFFSET(TH!F$1,SMALL(Dong10,ROWS($1:3)),))</f>
        <v/>
      </c>
      <c r="C19" s="445"/>
      <c r="D19" s="446" t="str">
        <f ca="1">IF(ISNA(VLOOKUP(B19,NXT!$C$9:$D$181,2,0)),"",VLOOKUP(B19,NXT!$C$9:$D$181,2,0))</f>
        <v/>
      </c>
      <c r="E19" s="447"/>
      <c r="F19" s="448" t="str">
        <f ca="1">IF(ROWS($1:3)&gt;COUNT(Dong10),"",OFFSET(TH!I$1,SMALL(Dong10,ROWS($1:3)),))</f>
        <v/>
      </c>
      <c r="G19" s="448" t="str">
        <f ca="1">IF(ROWS($1:3)&gt;COUNT(Dong10),"",OFFSET(TH!J$1,SMALL(Dong10,ROWS($1:3)),))</f>
        <v/>
      </c>
      <c r="H19" s="447">
        <f t="shared" ca="1" si="1"/>
        <v>0</v>
      </c>
    </row>
    <row r="20" spans="1:8" ht="11.25" customHeight="1">
      <c r="A20" s="443" t="str">
        <f t="shared" ca="1" si="0"/>
        <v/>
      </c>
      <c r="B20" s="444" t="str">
        <f ca="1">IF(ROWS($1:4)&gt;COUNT(Dong10),"",OFFSET(TH!F$1,SMALL(Dong10,ROWS($1:4)),))</f>
        <v/>
      </c>
      <c r="C20" s="445"/>
      <c r="D20" s="446" t="str">
        <f ca="1">IF(ISNA(VLOOKUP(B20,NXT!$C$9:$D$181,2,0)),"",VLOOKUP(B20,NXT!$C$9:$D$181,2,0))</f>
        <v/>
      </c>
      <c r="E20" s="447"/>
      <c r="F20" s="448" t="str">
        <f ca="1">IF(ROWS($1:4)&gt;COUNT(Dong10),"",OFFSET(TH!I$1,SMALL(Dong10,ROWS($1:4)),))</f>
        <v/>
      </c>
      <c r="G20" s="448" t="str">
        <f ca="1">IF(ROWS($1:4)&gt;COUNT(Dong10),"",OFFSET(TH!J$1,SMALL(Dong10,ROWS($1:4)),))</f>
        <v/>
      </c>
      <c r="H20" s="447">
        <f t="shared" ca="1" si="1"/>
        <v>0</v>
      </c>
    </row>
    <row r="21" spans="1:8" ht="11.25" customHeight="1">
      <c r="A21" s="443" t="str">
        <f t="shared" ref="A21:A23" ca="1" si="2">IF(B21="","",A20+1)</f>
        <v/>
      </c>
      <c r="B21" s="444" t="str">
        <f ca="1">IF(ROWS($1:5)&gt;COUNT(Dong10),"",OFFSET(TH!F$1,SMALL(Dong10,ROWS($1:5)),))</f>
        <v/>
      </c>
      <c r="C21" s="445"/>
      <c r="D21" s="446" t="str">
        <f ca="1">IF(ISNA(VLOOKUP(B21,NXT!$C$9:$D$181,2,0)),"",VLOOKUP(B21,NXT!$C$9:$D$181,2,0))</f>
        <v/>
      </c>
      <c r="E21" s="447"/>
      <c r="F21" s="448" t="str">
        <f ca="1">IF(ROWS($1:5)&gt;COUNT(Dong10),"",OFFSET(TH!I$1,SMALL(Dong10,ROWS($1:5)),))</f>
        <v/>
      </c>
      <c r="G21" s="448" t="str">
        <f ca="1">IF(ROWS($1:5)&gt;COUNT(Dong10),"",OFFSET(TH!J$1,SMALL(Dong10,ROWS($1:5)),))</f>
        <v/>
      </c>
      <c r="H21" s="447">
        <f t="shared" ca="1" si="1"/>
        <v>0</v>
      </c>
    </row>
    <row r="22" spans="1:8" ht="11.25" customHeight="1">
      <c r="A22" s="443" t="str">
        <f t="shared" ca="1" si="2"/>
        <v/>
      </c>
      <c r="B22" s="444" t="str">
        <f ca="1">IF(ROWS($1:6)&gt;COUNT(Dong10),"",OFFSET(TH!F$1,SMALL(Dong10,ROWS($1:6)),))</f>
        <v/>
      </c>
      <c r="C22" s="445"/>
      <c r="D22" s="446" t="str">
        <f ca="1">IF(ISNA(VLOOKUP(B22,NXT!$C$9:$D$181,2,0)),"",VLOOKUP(B22,NXT!$C$9:$D$181,2,0))</f>
        <v/>
      </c>
      <c r="E22" s="447"/>
      <c r="F22" s="448" t="str">
        <f ca="1">IF(ROWS($1:6)&gt;COUNT(Dong10),"",OFFSET(TH!I$1,SMALL(Dong10,ROWS($1:6)),))</f>
        <v/>
      </c>
      <c r="G22" s="448" t="str">
        <f ca="1">IF(ROWS($1:6)&gt;COUNT(Dong10),"",OFFSET(TH!J$1,SMALL(Dong10,ROWS($1:6)),))</f>
        <v/>
      </c>
      <c r="H22" s="447">
        <f t="shared" ca="1" si="1"/>
        <v>0</v>
      </c>
    </row>
    <row r="23" spans="1:8" ht="11.25" customHeight="1">
      <c r="A23" s="443" t="str">
        <f t="shared" ca="1" si="2"/>
        <v/>
      </c>
      <c r="B23" s="444" t="str">
        <f ca="1">IF(ROWS($1:7)&gt;COUNT(Dong10),"",OFFSET(TH!F$1,SMALL(Dong10,ROWS($1:7)),))</f>
        <v/>
      </c>
      <c r="C23" s="445"/>
      <c r="D23" s="446" t="str">
        <f ca="1">IF(ISNA(VLOOKUP(B23,NXT!$C$9:$D$181,2,0)),"",VLOOKUP(B23,NXT!$C$9:$D$181,2,0))</f>
        <v/>
      </c>
      <c r="E23" s="447"/>
      <c r="F23" s="448" t="str">
        <f ca="1">IF(ROWS($1:7)&gt;COUNT(Dong10),"",OFFSET(TH!I$1,SMALL(Dong10,ROWS($1:7)),))</f>
        <v/>
      </c>
      <c r="G23" s="448" t="str">
        <f ca="1">IF(ROWS($1:7)&gt;COUNT(Dong10),"",OFFSET(TH!J$1,SMALL(Dong10,ROWS($1:7)),))</f>
        <v/>
      </c>
      <c r="H23" s="447">
        <f t="shared" ca="1" si="1"/>
        <v>0</v>
      </c>
    </row>
    <row r="24" spans="1:8" ht="11.25" customHeight="1">
      <c r="A24" s="443" t="str">
        <f t="shared" ref="A24" ca="1" si="3">IF(B24="","",A23+1)</f>
        <v/>
      </c>
      <c r="B24" s="444" t="str">
        <f ca="1">IF(ROWS($1:8)&gt;COUNT(Dong10),"",OFFSET(TH!F$1,SMALL(Dong10,ROWS($1:8)),))</f>
        <v/>
      </c>
      <c r="C24" s="445"/>
      <c r="D24" s="446" t="str">
        <f ca="1">IF(ISNA(VLOOKUP(B24,NXT!$C$9:$D$181,2,0)),"",VLOOKUP(B24,NXT!$C$9:$D$181,2,0))</f>
        <v/>
      </c>
      <c r="E24" s="447"/>
      <c r="F24" s="448" t="str">
        <f ca="1">IF(ROWS($1:8)&gt;COUNT(Dong10),"",OFFSET(TH!I$1,SMALL(Dong10,ROWS($1:8)),))</f>
        <v/>
      </c>
      <c r="G24" s="448" t="str">
        <f ca="1">IF(ROWS($1:8)&gt;COUNT(Dong10),"",OFFSET(TH!J$1,SMALL(Dong10,ROWS($1:8)),))</f>
        <v/>
      </c>
      <c r="H24" s="447">
        <f t="shared" ca="1" si="1"/>
        <v>0</v>
      </c>
    </row>
    <row r="25" spans="1:8" ht="11.25" customHeight="1">
      <c r="A25" s="443" t="str">
        <f t="shared" ref="A25" ca="1" si="4">IF(B25="","",A24+1)</f>
        <v/>
      </c>
      <c r="B25" s="444" t="str">
        <f ca="1">IF(ROWS($1:9)&gt;COUNT(Dong10),"",OFFSET(TH!F$1,SMALL(Dong10,ROWS($1:9)),))</f>
        <v/>
      </c>
      <c r="C25" s="445"/>
      <c r="D25" s="446" t="str">
        <f ca="1">IF(ISNA(VLOOKUP(B25,NXT!$C$9:$D$181,2,0)),"",VLOOKUP(B25,NXT!$C$9:$D$181,2,0))</f>
        <v/>
      </c>
      <c r="E25" s="447"/>
      <c r="F25" s="448" t="str">
        <f ca="1">IF(ROWS($1:9)&gt;COUNT(Dong10),"",OFFSET(TH!I$1,SMALL(Dong10,ROWS($1:9)),))</f>
        <v/>
      </c>
      <c r="G25" s="448" t="str">
        <f ca="1">IF(ROWS($1:9)&gt;COUNT(Dong10),"",OFFSET(TH!J$1,SMALL(Dong10,ROWS($1:9)),))</f>
        <v/>
      </c>
      <c r="H25" s="447">
        <f t="shared" ref="H25" ca="1" si="5">IF(F25&lt;&gt;"",ROUND(F25*G25,0),0)</f>
        <v>0</v>
      </c>
    </row>
    <row r="26" spans="1:8" ht="11.25" customHeight="1">
      <c r="A26" s="443"/>
      <c r="B26" s="444"/>
      <c r="C26" s="445"/>
      <c r="D26" s="446"/>
      <c r="E26" s="447"/>
      <c r="F26" s="448"/>
      <c r="G26" s="449"/>
      <c r="H26" s="447"/>
    </row>
    <row r="27" spans="1:8" ht="11.25" customHeight="1">
      <c r="A27" s="927" t="s">
        <v>200</v>
      </c>
      <c r="B27" s="927"/>
      <c r="C27" s="450"/>
      <c r="D27" s="450"/>
      <c r="E27" s="451"/>
      <c r="F27" s="451"/>
      <c r="G27" s="451"/>
      <c r="H27" s="451">
        <f ca="1">SUM(H17:H26)</f>
        <v>29651200</v>
      </c>
    </row>
    <row r="28" spans="1:8" ht="3" customHeight="1">
      <c r="A28" s="452"/>
      <c r="B28" s="452"/>
      <c r="C28" s="174"/>
      <c r="D28" s="174"/>
      <c r="E28" s="453"/>
      <c r="F28" s="453"/>
      <c r="G28" s="453"/>
      <c r="H28" s="453"/>
    </row>
    <row r="29" spans="1:8" ht="11.25" customHeight="1">
      <c r="A29" s="171" t="str">
        <f ca="1">"Tổng số tiền (viết bằng chữ):  "&amp;[1]!VND(H27, TRUE)</f>
        <v>Tổng số tiền (viết bằng chữ):  Hai mươi chín triệu, sáu trăm năm mươi mốt ngàn, hai trăm đồng</v>
      </c>
    </row>
    <row r="30" spans="1:8" ht="11.25" customHeight="1">
      <c r="A30" s="171" t="str">
        <f ca="1">"Số chứng từ gốc kèm theo :  "&amp;IF(ROWS($1:1)&gt;COUNT(Dong10),"",IF(OFFSET(TH!G$1,SMALL(Dong10,ROWS($1:1)),)="","","HĐ "&amp;OFFSET(TH!G$1,SMALL(Dong10,ROWS($1:1)),)))</f>
        <v>Số chứng từ gốc kèm theo :  HĐ 0000169</v>
      </c>
    </row>
    <row r="31" spans="1:8" ht="11.25" customHeight="1">
      <c r="F31" s="38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31  tháng  12  năm  2016</v>
      </c>
    </row>
    <row r="32" spans="1:8" s="173" customFormat="1" ht="11.25" customHeight="1">
      <c r="A32" s="454" t="s">
        <v>201</v>
      </c>
      <c r="C32" s="41"/>
      <c r="E32" s="41"/>
      <c r="F32" s="41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439" t="s">
        <v>202</v>
      </c>
      <c r="C33" s="38"/>
      <c r="E33" s="38"/>
      <c r="F33" s="38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439" t="str">
        <f>+IF(MID($D$7,4,1)="N","","  (Ký, họ tên)")</f>
        <v xml:space="preserve">  (Ký, họ tên)</v>
      </c>
    </row>
    <row r="34" spans="1:8" ht="12.75" customHeight="1">
      <c r="G34" s="38"/>
    </row>
    <row r="35" spans="1:8" ht="11.25" customHeight="1"/>
    <row r="36" spans="1:8" ht="11.25" customHeight="1"/>
    <row r="37" spans="1:8" ht="11.25" customHeight="1"/>
    <row r="38" spans="1:8" s="435" customFormat="1" ht="11.25" customHeight="1"/>
    <row r="39" spans="1:8" ht="11.25" customHeight="1">
      <c r="A39" s="178"/>
      <c r="F39" s="179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67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6"/>
  <sheetViews>
    <sheetView topLeftCell="A7" zoomScale="90" workbookViewId="0">
      <pane ySplit="7" topLeftCell="A14" activePane="bottomLeft" state="frozen"/>
      <selection activeCell="A7" sqref="A7"/>
      <selection pane="bottomLeft" activeCell="J36" sqref="J36:M36"/>
    </sheetView>
  </sheetViews>
  <sheetFormatPr defaultColWidth="23.85546875" defaultRowHeight="15"/>
  <cols>
    <col min="1" max="1" width="4.28515625" style="181" customWidth="1"/>
    <col min="2" max="2" width="8.5703125" style="181" customWidth="1"/>
    <col min="3" max="3" width="9.28515625" style="181" customWidth="1"/>
    <col min="4" max="4" width="32.5703125" style="181" customWidth="1"/>
    <col min="5" max="5" width="6" style="671" customWidth="1"/>
    <col min="6" max="6" width="7" style="181" customWidth="1"/>
    <col min="7" max="7" width="7.7109375" style="181" customWidth="1"/>
    <col min="8" max="8" width="12.140625" style="181" customWidth="1"/>
    <col min="9" max="9" width="7.7109375" style="181" customWidth="1"/>
    <col min="10" max="10" width="12.140625" style="181" customWidth="1"/>
    <col min="11" max="11" width="7.85546875" style="181" customWidth="1"/>
    <col min="12" max="12" width="12.42578125" style="181" customWidth="1"/>
    <col min="13" max="13" width="5" style="181" customWidth="1"/>
    <col min="14" max="14" width="2" style="181" customWidth="1"/>
    <col min="15" max="15" width="5.5703125" style="181" customWidth="1"/>
    <col min="16" max="16" width="4.42578125" style="181" customWidth="1"/>
    <col min="17" max="16384" width="23.85546875" style="181"/>
  </cols>
  <sheetData>
    <row r="1" spans="1:17">
      <c r="A1" s="180" t="s">
        <v>203</v>
      </c>
      <c r="E1" s="181"/>
      <c r="O1" s="182"/>
    </row>
    <row r="2" spans="1:17" s="300" customFormat="1" ht="16.5" customHeight="1">
      <c r="B2" s="183" t="str">
        <f>TH!A1</f>
        <v>Đơn vị: CÔNG TY TNHH BAO BÌ GIẤY KIM DUNG PHÁT</v>
      </c>
      <c r="C2" s="184"/>
      <c r="D2" s="185"/>
      <c r="E2" s="186"/>
      <c r="F2" s="2"/>
      <c r="J2" s="928" t="s">
        <v>204</v>
      </c>
      <c r="K2" s="928"/>
      <c r="L2" s="928"/>
      <c r="M2" s="928"/>
      <c r="N2" s="667"/>
    </row>
    <row r="3" spans="1:17" s="300" customFormat="1" ht="16.5" customHeight="1">
      <c r="B3" s="414" t="str">
        <f>TH!A2</f>
        <v>Địa chỉ: Ấp Rừng Sến, xã Mỹ Hạnh Bắc, Huyện Đức Hòa, Tỉnh Long An, Việt Nam</v>
      </c>
      <c r="C3" s="183"/>
      <c r="D3" s="183"/>
      <c r="E3" s="187"/>
      <c r="F3" s="183"/>
      <c r="J3" s="929" t="str">
        <f ca="1"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929"/>
      <c r="L3" s="929"/>
      <c r="M3" s="929"/>
      <c r="N3" s="668"/>
    </row>
    <row r="4" spans="1:17" s="300" customFormat="1" ht="16.5" customHeight="1">
      <c r="B4" s="183"/>
      <c r="C4" s="183"/>
      <c r="D4" s="183"/>
      <c r="E4" s="187"/>
      <c r="F4" s="183"/>
      <c r="J4" s="929"/>
      <c r="K4" s="929"/>
      <c r="L4" s="929"/>
      <c r="M4" s="929"/>
      <c r="N4" s="668"/>
    </row>
    <row r="5" spans="1:17" ht="36.75" customHeight="1">
      <c r="B5" s="930" t="s">
        <v>205</v>
      </c>
      <c r="C5" s="930"/>
      <c r="D5" s="930"/>
      <c r="E5" s="930"/>
      <c r="F5" s="930"/>
      <c r="G5" s="930"/>
      <c r="H5" s="930"/>
      <c r="I5" s="930"/>
      <c r="J5" s="930"/>
      <c r="K5" s="930"/>
      <c r="L5" s="930"/>
      <c r="M5" s="930"/>
      <c r="N5" s="188"/>
    </row>
    <row r="6" spans="1:17">
      <c r="B6" s="931" t="str">
        <f>"Năm: "&amp; YEAR(TH!$C$12)</f>
        <v>Năm: 2016</v>
      </c>
      <c r="C6" s="931"/>
      <c r="D6" s="931"/>
      <c r="E6" s="931"/>
      <c r="F6" s="931"/>
      <c r="G6" s="931"/>
      <c r="H6" s="931"/>
      <c r="I6" s="931"/>
      <c r="J6" s="931"/>
      <c r="K6" s="931"/>
      <c r="L6" s="931"/>
      <c r="M6" s="931"/>
      <c r="N6" s="671"/>
    </row>
    <row r="7" spans="1:17">
      <c r="C7" s="189"/>
      <c r="D7" s="189"/>
      <c r="F7" s="190" t="s">
        <v>267</v>
      </c>
      <c r="G7" s="671" t="str">
        <f>IF($O$10="VL","1522",IF($O$10="NL","1521",IF($O$10="TP","155","")))</f>
        <v>1521</v>
      </c>
      <c r="H7" s="190" t="s">
        <v>207</v>
      </c>
      <c r="I7" s="189" t="str">
        <f>IF($O$10="NL","Nguyên Liệu",IF($O$10="TP","Thành Phẩm",IF($O$10="VL","Vật Liệu","")))</f>
        <v>Nguyên Liệu</v>
      </c>
      <c r="J7" s="189"/>
      <c r="K7" s="189"/>
      <c r="L7" s="189"/>
      <c r="M7" s="189"/>
      <c r="N7" s="671"/>
    </row>
    <row r="8" spans="1:17">
      <c r="B8" s="671"/>
      <c r="C8" s="189"/>
      <c r="D8" s="189"/>
      <c r="F8" s="671" t="s">
        <v>208</v>
      </c>
      <c r="H8" s="189"/>
      <c r="I8" s="189"/>
      <c r="J8" s="932" t="s">
        <v>783</v>
      </c>
      <c r="K8" s="932"/>
      <c r="L8" s="932"/>
      <c r="M8" s="189"/>
      <c r="N8" s="189"/>
    </row>
    <row r="9" spans="1:17">
      <c r="D9" s="191"/>
      <c r="E9" s="192"/>
      <c r="F9" s="191"/>
      <c r="G9" s="191"/>
      <c r="H9" s="191"/>
      <c r="I9" s="191"/>
      <c r="J9" s="191"/>
      <c r="K9" s="191" t="s">
        <v>119</v>
      </c>
      <c r="M9" s="193"/>
      <c r="N9" s="194"/>
    </row>
    <row r="10" spans="1:17" ht="15.75" customHeight="1">
      <c r="A10" s="934" t="s">
        <v>34</v>
      </c>
      <c r="B10" s="935" t="s">
        <v>1</v>
      </c>
      <c r="C10" s="935"/>
      <c r="D10" s="936" t="s">
        <v>0</v>
      </c>
      <c r="E10" s="936" t="s">
        <v>209</v>
      </c>
      <c r="F10" s="936" t="s">
        <v>197</v>
      </c>
      <c r="G10" s="937" t="s">
        <v>210</v>
      </c>
      <c r="H10" s="938"/>
      <c r="I10" s="937" t="s">
        <v>211</v>
      </c>
      <c r="J10" s="938"/>
      <c r="K10" s="937" t="s">
        <v>212</v>
      </c>
      <c r="L10" s="938"/>
      <c r="M10" s="936" t="s">
        <v>123</v>
      </c>
      <c r="N10" s="195"/>
      <c r="O10" s="196" t="s">
        <v>203</v>
      </c>
    </row>
    <row r="11" spans="1:17" ht="47.25" customHeight="1">
      <c r="A11" s="934"/>
      <c r="B11" s="197" t="s">
        <v>15</v>
      </c>
      <c r="C11" s="197" t="s">
        <v>31</v>
      </c>
      <c r="D11" s="936"/>
      <c r="E11" s="936"/>
      <c r="F11" s="936"/>
      <c r="G11" s="197" t="s">
        <v>196</v>
      </c>
      <c r="H11" s="197" t="s">
        <v>198</v>
      </c>
      <c r="I11" s="197" t="s">
        <v>196</v>
      </c>
      <c r="J11" s="197" t="s">
        <v>198</v>
      </c>
      <c r="K11" s="197" t="s">
        <v>196</v>
      </c>
      <c r="L11" s="197" t="s">
        <v>198</v>
      </c>
      <c r="M11" s="936"/>
      <c r="N11" s="195"/>
    </row>
    <row r="12" spans="1:17" s="671" customFormat="1">
      <c r="A12" s="198"/>
      <c r="B12" s="670" t="s">
        <v>2</v>
      </c>
      <c r="C12" s="672" t="s">
        <v>3</v>
      </c>
      <c r="D12" s="672" t="s">
        <v>4</v>
      </c>
      <c r="E12" s="670" t="s">
        <v>5</v>
      </c>
      <c r="F12" s="670">
        <v>1</v>
      </c>
      <c r="G12" s="670">
        <v>2</v>
      </c>
      <c r="H12" s="670" t="s">
        <v>214</v>
      </c>
      <c r="I12" s="670">
        <v>4</v>
      </c>
      <c r="J12" s="670" t="s">
        <v>215</v>
      </c>
      <c r="K12" s="670">
        <v>6</v>
      </c>
      <c r="L12" s="670" t="s">
        <v>216</v>
      </c>
      <c r="M12" s="670"/>
      <c r="N12" s="199"/>
    </row>
    <row r="13" spans="1:17">
      <c r="A13" s="200"/>
      <c r="B13" s="200"/>
      <c r="C13" s="200"/>
      <c r="D13" s="201" t="s">
        <v>140</v>
      </c>
      <c r="E13" s="202"/>
      <c r="F13" s="203"/>
      <c r="G13" s="203"/>
      <c r="H13" s="203"/>
      <c r="I13" s="203"/>
      <c r="J13" s="203"/>
      <c r="K13" s="204">
        <f>VLOOKUP($J$8,NXT!$C$9:$L$181,3,0)</f>
        <v>0</v>
      </c>
      <c r="L13" s="204">
        <f>VLOOKUP($J$8,NXT!$C$9:$L$181,4,0)</f>
        <v>0</v>
      </c>
      <c r="M13" s="203"/>
      <c r="N13" s="199"/>
    </row>
    <row r="14" spans="1:17">
      <c r="A14" s="800">
        <f ca="1">IF(B14="","",ROW()-13)</f>
        <v>1</v>
      </c>
      <c r="B14" s="205" t="str">
        <f ca="1">IF(ROWS($1:1)&gt;COUNT(Dong11),"",OFFSET(TH!D$1,SMALL(Dong11,ROWS($1:1)),))</f>
        <v>NL/N01</v>
      </c>
      <c r="C14" s="206">
        <f ca="1">IF(ROWS($1:1)&gt;COUNT(Dong11),"",OFFSET(TH!E$1,SMALL(Dong11,ROWS($1:1)),))</f>
        <v>42660</v>
      </c>
      <c r="D14" s="207" t="str">
        <f ca="1">IF(ROWS($1:1)&gt;COUNT(Dong11),"",OFFSET(TH!H$1,SMALL(Dong11,ROWS($1:1)),))</f>
        <v>Cty TNHH TM DV Toàn Thắng Ô Tô</v>
      </c>
      <c r="E14" s="205" t="str">
        <f ca="1">IF(ROWS($1:1)&gt;COUNT(Dong11),"",IF(OFFSET(TH!L$1,SMALL(Dong11,ROWS($1:1)),)=$G$7,OFFSET(TH!M$1,SMALL(Dong11,ROWS($1:1)),),OFFSET(TH!L$1,SMALL(Dong11,ROWS($1:1)),)))</f>
        <v>331</v>
      </c>
      <c r="F14" s="208">
        <f ca="1">IF(ROWS($1:1)&gt;COUNT(Dong11),0,OFFSET(TH!J$1,SMALL(Dong11,ROWS($1:1)),))</f>
        <v>7800</v>
      </c>
      <c r="G14" s="208">
        <f ca="1">IF(ROWS($1:1)&gt;COUNT(Dong11),0,IF(MID(OFFSET(TH!D$1,SMALL(Dong11,ROWS($1:1)),),4,1)="N",OFFSET(TH!I$1,SMALL(Dong11,ROWS($1:1)),),0))</f>
        <v>8032</v>
      </c>
      <c r="H14" s="209">
        <f ca="1">ROUND(F14*G14,0)</f>
        <v>62649600</v>
      </c>
      <c r="I14" s="208">
        <f ca="1">IF(ROWS($1:1)&gt;COUNT(Dong11),0,IF(MID(OFFSET(TH!D$1,SMALL(Dong11,ROWS($1:1)),),4,1)="X",OFFSET(TH!I$1,SMALL(Dong11,ROWS($1:1)),),0))</f>
        <v>0</v>
      </c>
      <c r="J14" s="209">
        <f ca="1">ROUND(F14*I14,0)</f>
        <v>0</v>
      </c>
      <c r="K14" s="209">
        <f ca="1">IF(D14&lt;&gt;"",K13+G14-I14,0)</f>
        <v>8032</v>
      </c>
      <c r="L14" s="209">
        <f ca="1">IF(D14&lt;&gt;"",L13+H14-J14,0)</f>
        <v>62649600</v>
      </c>
      <c r="M14" s="209"/>
      <c r="N14" s="199"/>
    </row>
    <row r="15" spans="1:17">
      <c r="A15" s="800">
        <f t="shared" ref="A15:A24" ca="1" si="0">IF(B15="","",A14+1)</f>
        <v>2</v>
      </c>
      <c r="B15" s="205" t="str">
        <f ca="1">IF(ROWS($1:2)&gt;COUNT(Dong11),"",OFFSET(TH!D$1,SMALL(Dong11,ROWS($1:2)),))</f>
        <v>NL/N02</v>
      </c>
      <c r="C15" s="206">
        <f ca="1">IF(ROWS($1:2)&gt;COUNT(Dong11),"",OFFSET(TH!E$1,SMALL(Dong11,ROWS($1:2)),))</f>
        <v>42660</v>
      </c>
      <c r="D15" s="207" t="str">
        <f ca="1">IF(ROWS($1:2)&gt;COUNT(Dong11),"",OFFSET(TH!H$1,SMALL(Dong11,ROWS($1:2)),))</f>
        <v>Cty TNHH TM DV Toàn Thắng Ô Tô</v>
      </c>
      <c r="E15" s="205" t="str">
        <f ca="1">IF(ROWS($1:2)&gt;COUNT(Dong11),"",IF(OFFSET(TH!L$1,SMALL(Dong11,ROWS($1:2)),)=$G$7,OFFSET(TH!M$1,SMALL(Dong11,ROWS($1:2)),),OFFSET(TH!L$1,SMALL(Dong11,ROWS($1:2)),)))</f>
        <v>331</v>
      </c>
      <c r="F15" s="208">
        <f ca="1">IF(ROWS($1:2)&gt;COUNT(Dong11),0,OFFSET(TH!J$1,SMALL(Dong11,ROWS($1:2)),))</f>
        <v>8200</v>
      </c>
      <c r="G15" s="208">
        <f ca="1">IF(ROWS($1:2)&gt;COUNT(Dong11),0,IF(MID(OFFSET(TH!D$1,SMALL(Dong11,ROWS($1:2)),),4,1)="N",OFFSET(TH!I$1,SMALL(Dong11,ROWS($1:2)),),0))</f>
        <v>7448</v>
      </c>
      <c r="H15" s="209">
        <f t="shared" ref="H15:H24" ca="1" si="1">ROUND(F15*G15,0)</f>
        <v>61073600</v>
      </c>
      <c r="I15" s="208">
        <f ca="1">IF(ROWS($1:2)&gt;COUNT(Dong11),0,IF(MID(OFFSET(TH!D$1,SMALL(Dong11,ROWS($1:2)),),4,1)="X",OFFSET(TH!I$1,SMALL(Dong11,ROWS($1:2)),),0))</f>
        <v>0</v>
      </c>
      <c r="J15" s="209">
        <f t="shared" ref="J15:J24" ca="1" si="2">ROUND(F15*I15,0)</f>
        <v>0</v>
      </c>
      <c r="K15" s="209">
        <f t="shared" ref="K15:K24" ca="1" si="3">IF(D15&lt;&gt;"",K14+G15-I15,0)</f>
        <v>15480</v>
      </c>
      <c r="L15" s="209">
        <f t="shared" ref="L15:L24" ca="1" si="4">IF(D15&lt;&gt;"",L14+H15-J15,0)</f>
        <v>123723200</v>
      </c>
      <c r="M15" s="209"/>
      <c r="N15" s="199"/>
      <c r="Q15" s="210"/>
    </row>
    <row r="16" spans="1:17">
      <c r="A16" s="800">
        <f t="shared" ca="1" si="0"/>
        <v>3</v>
      </c>
      <c r="B16" s="205" t="str">
        <f ca="1">IF(ROWS($1:3)&gt;COUNT(Dong11),"",OFFSET(TH!D$1,SMALL(Dong11,ROWS($1:3)),))</f>
        <v>NL/N03</v>
      </c>
      <c r="C16" s="206">
        <f ca="1">IF(ROWS($1:3)&gt;COUNT(Dong11),"",OFFSET(TH!E$1,SMALL(Dong11,ROWS($1:3)),))</f>
        <v>42660</v>
      </c>
      <c r="D16" s="207" t="str">
        <f ca="1">IF(ROWS($1:3)&gt;COUNT(Dong11),"",OFFSET(TH!H$1,SMALL(Dong11,ROWS($1:3)),))</f>
        <v>Cty TNHH TM DV Toàn Thắng Ô Tô</v>
      </c>
      <c r="E16" s="205" t="str">
        <f ca="1">IF(ROWS($1:3)&gt;COUNT(Dong11),"",IF(OFFSET(TH!L$1,SMALL(Dong11,ROWS($1:3)),)=$G$7,OFFSET(TH!M$1,SMALL(Dong11,ROWS($1:3)),),OFFSET(TH!L$1,SMALL(Dong11,ROWS($1:3)),)))</f>
        <v>331</v>
      </c>
      <c r="F16" s="208">
        <f ca="1">IF(ROWS($1:3)&gt;COUNT(Dong11),0,OFFSET(TH!J$1,SMALL(Dong11,ROWS($1:3)),))</f>
        <v>8200</v>
      </c>
      <c r="G16" s="208">
        <f ca="1">IF(ROWS($1:3)&gt;COUNT(Dong11),0,IF(MID(OFFSET(TH!D$1,SMALL(Dong11,ROWS($1:3)),),4,1)="N",OFFSET(TH!I$1,SMALL(Dong11,ROWS($1:3)),),0))</f>
        <v>2161</v>
      </c>
      <c r="H16" s="209">
        <f t="shared" ca="1" si="1"/>
        <v>17720200</v>
      </c>
      <c r="I16" s="208">
        <f ca="1">IF(ROWS($1:3)&gt;COUNT(Dong11),0,IF(MID(OFFSET(TH!D$1,SMALL(Dong11,ROWS($1:3)),),4,1)="X",OFFSET(TH!I$1,SMALL(Dong11,ROWS($1:3)),),0))</f>
        <v>0</v>
      </c>
      <c r="J16" s="209">
        <f t="shared" ca="1" si="2"/>
        <v>0</v>
      </c>
      <c r="K16" s="209">
        <f t="shared" ca="1" si="3"/>
        <v>17641</v>
      </c>
      <c r="L16" s="209">
        <f t="shared" ca="1" si="4"/>
        <v>141443400</v>
      </c>
      <c r="M16" s="209"/>
      <c r="N16" s="199"/>
    </row>
    <row r="17" spans="1:16">
      <c r="A17" s="800">
        <f t="shared" ca="1" si="0"/>
        <v>4</v>
      </c>
      <c r="B17" s="205" t="str">
        <f ca="1">IF(ROWS($1:4)&gt;COUNT(Dong11),"",OFFSET(TH!D$1,SMALL(Dong11,ROWS($1:4)),))</f>
        <v>NL/N04</v>
      </c>
      <c r="C17" s="206">
        <f ca="1">IF(ROWS($1:4)&gt;COUNT(Dong11),"",OFFSET(TH!E$1,SMALL(Dong11,ROWS($1:4)),))</f>
        <v>42660</v>
      </c>
      <c r="D17" s="207" t="str">
        <f ca="1">IF(ROWS($1:4)&gt;COUNT(Dong11),"",OFFSET(TH!H$1,SMALL(Dong11,ROWS($1:4)),))</f>
        <v>Cty TNHH TM DV Toàn Thắng Ô Tô</v>
      </c>
      <c r="E17" s="205" t="str">
        <f ca="1">IF(ROWS($1:4)&gt;COUNT(Dong11),"",IF(OFFSET(TH!L$1,SMALL(Dong11,ROWS($1:4)),)=$G$7,OFFSET(TH!M$1,SMALL(Dong11,ROWS($1:4)),),OFFSET(TH!L$1,SMALL(Dong11,ROWS($1:4)),)))</f>
        <v>331</v>
      </c>
      <c r="F17" s="208">
        <f ca="1">IF(ROWS($1:4)&gt;COUNT(Dong11),0,OFFSET(TH!J$1,SMALL(Dong11,ROWS($1:4)),))</f>
        <v>7800</v>
      </c>
      <c r="G17" s="208">
        <f ca="1">IF(ROWS($1:4)&gt;COUNT(Dong11),0,IF(MID(OFFSET(TH!D$1,SMALL(Dong11,ROWS($1:4)),),4,1)="N",OFFSET(TH!I$1,SMALL(Dong11,ROWS($1:4)),),0))</f>
        <v>9042</v>
      </c>
      <c r="H17" s="209">
        <f t="shared" ca="1" si="1"/>
        <v>70527600</v>
      </c>
      <c r="I17" s="208">
        <f ca="1">IF(ROWS($1:4)&gt;COUNT(Dong11),0,IF(MID(OFFSET(TH!D$1,SMALL(Dong11,ROWS($1:4)),),4,1)="X",OFFSET(TH!I$1,SMALL(Dong11,ROWS($1:4)),),0))</f>
        <v>0</v>
      </c>
      <c r="J17" s="209">
        <f t="shared" ca="1" si="2"/>
        <v>0</v>
      </c>
      <c r="K17" s="209">
        <f t="shared" ca="1" si="3"/>
        <v>26683</v>
      </c>
      <c r="L17" s="209">
        <f t="shared" ca="1" si="4"/>
        <v>211971000</v>
      </c>
      <c r="M17" s="209"/>
      <c r="N17" s="199"/>
      <c r="P17" s="211"/>
    </row>
    <row r="18" spans="1:16">
      <c r="A18" s="800">
        <f t="shared" ca="1" si="0"/>
        <v>5</v>
      </c>
      <c r="B18" s="205" t="str">
        <f ca="1">IF(ROWS($1:5)&gt;COUNT(Dong11),"",OFFSET(TH!D$1,SMALL(Dong11,ROWS($1:5)),))</f>
        <v>NL/N05</v>
      </c>
      <c r="C18" s="206">
        <f ca="1">IF(ROWS($1:5)&gt;COUNT(Dong11),"",OFFSET(TH!E$1,SMALL(Dong11,ROWS($1:5)),))</f>
        <v>42662</v>
      </c>
      <c r="D18" s="207" t="str">
        <f ca="1">IF(ROWS($1:5)&gt;COUNT(Dong11),"",OFFSET(TH!H$1,SMALL(Dong11,ROWS($1:5)),))</f>
        <v>Cty TNHH TM DV Toàn Thắng Ô Tô</v>
      </c>
      <c r="E18" s="205" t="str">
        <f ca="1">IF(ROWS($1:5)&gt;COUNT(Dong11),"",IF(OFFSET(TH!L$1,SMALL(Dong11,ROWS($1:5)),)=$G$7,OFFSET(TH!M$1,SMALL(Dong11,ROWS($1:5)),),OFFSET(TH!L$1,SMALL(Dong11,ROWS($1:5)),)))</f>
        <v>331</v>
      </c>
      <c r="F18" s="208">
        <f ca="1">IF(ROWS($1:5)&gt;COUNT(Dong11),0,OFFSET(TH!J$1,SMALL(Dong11,ROWS($1:5)),))</f>
        <v>8200</v>
      </c>
      <c r="G18" s="208">
        <f ca="1">IF(ROWS($1:5)&gt;COUNT(Dong11),0,IF(MID(OFFSET(TH!D$1,SMALL(Dong11,ROWS($1:5)),),4,1)="N",OFFSET(TH!I$1,SMALL(Dong11,ROWS($1:5)),),0))</f>
        <v>6632</v>
      </c>
      <c r="H18" s="209">
        <f t="shared" ca="1" si="1"/>
        <v>54382400</v>
      </c>
      <c r="I18" s="208">
        <f ca="1">IF(ROWS($1:5)&gt;COUNT(Dong11),0,IF(MID(OFFSET(TH!D$1,SMALL(Dong11,ROWS($1:5)),),4,1)="X",OFFSET(TH!I$1,SMALL(Dong11,ROWS($1:5)),),0))</f>
        <v>0</v>
      </c>
      <c r="J18" s="209">
        <f t="shared" ca="1" si="2"/>
        <v>0</v>
      </c>
      <c r="K18" s="209">
        <f t="shared" ca="1" si="3"/>
        <v>33315</v>
      </c>
      <c r="L18" s="209">
        <f t="shared" ca="1" si="4"/>
        <v>266353400</v>
      </c>
      <c r="M18" s="209"/>
      <c r="N18" s="199"/>
    </row>
    <row r="19" spans="1:16">
      <c r="A19" s="800">
        <f t="shared" ca="1" si="0"/>
        <v>6</v>
      </c>
      <c r="B19" s="205" t="str">
        <f ca="1">IF(ROWS($1:6)&gt;COUNT(Dong11),"",OFFSET(TH!D$1,SMALL(Dong11,ROWS($1:6)),))</f>
        <v>NL/N07</v>
      </c>
      <c r="C19" s="206">
        <f ca="1">IF(ROWS($1:6)&gt;COUNT(Dong11),"",OFFSET(TH!E$1,SMALL(Dong11,ROWS($1:6)),))</f>
        <v>42683</v>
      </c>
      <c r="D19" s="207" t="str">
        <f ca="1">IF(ROWS($1:6)&gt;COUNT(Dong11),"",OFFSET(TH!H$1,SMALL(Dong11,ROWS($1:6)),))</f>
        <v>Cty TNHH TM DV Top Marketing</v>
      </c>
      <c r="E19" s="205" t="str">
        <f ca="1">IF(ROWS($1:6)&gt;COUNT(Dong11),"",IF(OFFSET(TH!L$1,SMALL(Dong11,ROWS($1:6)),)=$G$7,OFFSET(TH!M$1,SMALL(Dong11,ROWS($1:6)),),OFFSET(TH!L$1,SMALL(Dong11,ROWS($1:6)),)))</f>
        <v>331</v>
      </c>
      <c r="F19" s="208">
        <f ca="1">IF(ROWS($1:6)&gt;COUNT(Dong11),0,OFFSET(TH!J$1,SMALL(Dong11,ROWS($1:6)),))</f>
        <v>7800</v>
      </c>
      <c r="G19" s="208">
        <f ca="1">IF(ROWS($1:6)&gt;COUNT(Dong11),0,IF(MID(OFFSET(TH!D$1,SMALL(Dong11,ROWS($1:6)),),4,1)="N",OFFSET(TH!I$1,SMALL(Dong11,ROWS($1:6)),),0))</f>
        <v>10552</v>
      </c>
      <c r="H19" s="209">
        <f t="shared" ca="1" si="1"/>
        <v>82305600</v>
      </c>
      <c r="I19" s="208">
        <f ca="1">IF(ROWS($1:6)&gt;COUNT(Dong11),0,IF(MID(OFFSET(TH!D$1,SMALL(Dong11,ROWS($1:6)),),4,1)="X",OFFSET(TH!I$1,SMALL(Dong11,ROWS($1:6)),),0))</f>
        <v>0</v>
      </c>
      <c r="J19" s="209">
        <f t="shared" ca="1" si="2"/>
        <v>0</v>
      </c>
      <c r="K19" s="209">
        <f t="shared" ca="1" si="3"/>
        <v>43867</v>
      </c>
      <c r="L19" s="209">
        <f t="shared" ca="1" si="4"/>
        <v>348659000</v>
      </c>
      <c r="M19" s="209"/>
      <c r="N19" s="199"/>
    </row>
    <row r="20" spans="1:16">
      <c r="A20" s="800">
        <f t="shared" ca="1" si="0"/>
        <v>7</v>
      </c>
      <c r="B20" s="205" t="str">
        <f ca="1">IF(ROWS($1:7)&gt;COUNT(Dong11),"",OFFSET(TH!D$1,SMALL(Dong11,ROWS($1:7)),))</f>
        <v>NL/N08</v>
      </c>
      <c r="C20" s="206">
        <f ca="1">IF(ROWS($1:7)&gt;COUNT(Dong11),"",OFFSET(TH!E$1,SMALL(Dong11,ROWS($1:7)),))</f>
        <v>42683</v>
      </c>
      <c r="D20" s="207" t="str">
        <f ca="1">IF(ROWS($1:7)&gt;COUNT(Dong11),"",OFFSET(TH!H$1,SMALL(Dong11,ROWS($1:7)),))</f>
        <v>Cty TNHH TM DV Top Marketing</v>
      </c>
      <c r="E20" s="205" t="str">
        <f ca="1">IF(ROWS($1:7)&gt;COUNT(Dong11),"",IF(OFFSET(TH!L$1,SMALL(Dong11,ROWS($1:7)),)=$G$7,OFFSET(TH!M$1,SMALL(Dong11,ROWS($1:7)),),OFFSET(TH!L$1,SMALL(Dong11,ROWS($1:7)),)))</f>
        <v>331</v>
      </c>
      <c r="F20" s="208">
        <f ca="1">IF(ROWS($1:7)&gt;COUNT(Dong11),0,OFFSET(TH!J$1,SMALL(Dong11,ROWS($1:7)),))</f>
        <v>7800</v>
      </c>
      <c r="G20" s="208">
        <f ca="1">IF(ROWS($1:7)&gt;COUNT(Dong11),0,IF(MID(OFFSET(TH!D$1,SMALL(Dong11,ROWS($1:7)),),4,1)="N",OFFSET(TH!I$1,SMALL(Dong11,ROWS($1:7)),),0))</f>
        <v>5676</v>
      </c>
      <c r="H20" s="209">
        <f t="shared" ca="1" si="1"/>
        <v>44272800</v>
      </c>
      <c r="I20" s="208">
        <f ca="1">IF(ROWS($1:7)&gt;COUNT(Dong11),0,IF(MID(OFFSET(TH!D$1,SMALL(Dong11,ROWS($1:7)),),4,1)="X",OFFSET(TH!I$1,SMALL(Dong11,ROWS($1:7)),),0))</f>
        <v>0</v>
      </c>
      <c r="J20" s="209">
        <f t="shared" ca="1" si="2"/>
        <v>0</v>
      </c>
      <c r="K20" s="209">
        <f t="shared" ca="1" si="3"/>
        <v>49543</v>
      </c>
      <c r="L20" s="209">
        <f t="shared" ca="1" si="4"/>
        <v>392931800</v>
      </c>
      <c r="M20" s="209"/>
      <c r="N20" s="199"/>
    </row>
    <row r="21" spans="1:16">
      <c r="A21" s="800">
        <f t="shared" ca="1" si="0"/>
        <v>8</v>
      </c>
      <c r="B21" s="205" t="str">
        <f ca="1">IF(ROWS($1:8)&gt;COUNT(Dong11),"",OFFSET(TH!D$1,SMALL(Dong11,ROWS($1:8)),))</f>
        <v>NL/X</v>
      </c>
      <c r="C21" s="206">
        <f ca="1">IF(ROWS($1:8)&gt;COUNT(Dong11),"",OFFSET(TH!E$1,SMALL(Dong11,ROWS($1:8)),))</f>
        <v>42660</v>
      </c>
      <c r="D21" s="207" t="str">
        <f ca="1">IF(ROWS($1:8)&gt;COUNT(Dong11),"",OFFSET(TH!H$1,SMALL(Dong11,ROWS($1:8)),))</f>
        <v>Xuất sản xuất</v>
      </c>
      <c r="E21" s="205" t="str">
        <f ca="1">IF(ROWS($1:8)&gt;COUNT(Dong11),"",IF(OFFSET(TH!L$1,SMALL(Dong11,ROWS($1:8)),)=$G$7,OFFSET(TH!M$1,SMALL(Dong11,ROWS($1:8)),),OFFSET(TH!L$1,SMALL(Dong11,ROWS($1:8)),)))</f>
        <v>154</v>
      </c>
      <c r="F21" s="208">
        <f ca="1">IF(ROWS($1:8)&gt;COUNT(Dong11),0,OFFSET(TH!J$1,SMALL(Dong11,ROWS($1:8)),))</f>
        <v>7800</v>
      </c>
      <c r="G21" s="208">
        <f ca="1">IF(ROWS($1:8)&gt;COUNT(Dong11),0,IF(MID(OFFSET(TH!D$1,SMALL(Dong11,ROWS($1:8)),),4,1)="N",OFFSET(TH!I$1,SMALL(Dong11,ROWS($1:8)),),0))</f>
        <v>0</v>
      </c>
      <c r="H21" s="209">
        <f t="shared" ca="1" si="1"/>
        <v>0</v>
      </c>
      <c r="I21" s="208">
        <f ca="1">IF(ROWS($1:8)&gt;COUNT(Dong11),0,IF(MID(OFFSET(TH!D$1,SMALL(Dong11,ROWS($1:8)),),4,1)="X",OFFSET(TH!I$1,SMALL(Dong11,ROWS($1:8)),),0))</f>
        <v>8032</v>
      </c>
      <c r="J21" s="209">
        <f t="shared" ca="1" si="2"/>
        <v>62649600</v>
      </c>
      <c r="K21" s="209">
        <f t="shared" ca="1" si="3"/>
        <v>41511</v>
      </c>
      <c r="L21" s="209">
        <f t="shared" ca="1" si="4"/>
        <v>330282200</v>
      </c>
      <c r="M21" s="209"/>
      <c r="N21" s="199"/>
    </row>
    <row r="22" spans="1:16">
      <c r="A22" s="800">
        <f t="shared" ca="1" si="0"/>
        <v>9</v>
      </c>
      <c r="B22" s="205" t="str">
        <f ca="1">IF(ROWS($1:9)&gt;COUNT(Dong11),"",OFFSET(TH!D$1,SMALL(Dong11,ROWS($1:9)),))</f>
        <v>NL/X</v>
      </c>
      <c r="C22" s="206">
        <f ca="1">IF(ROWS($1:9)&gt;COUNT(Dong11),"",OFFSET(TH!E$1,SMALL(Dong11,ROWS($1:9)),))</f>
        <v>42660</v>
      </c>
      <c r="D22" s="207" t="str">
        <f ca="1">IF(ROWS($1:9)&gt;COUNT(Dong11),"",OFFSET(TH!H$1,SMALL(Dong11,ROWS($1:9)),))</f>
        <v>Xuất sản xuất</v>
      </c>
      <c r="E22" s="205" t="str">
        <f ca="1">IF(ROWS($1:9)&gt;COUNT(Dong11),"",IF(OFFSET(TH!L$1,SMALL(Dong11,ROWS($1:9)),)=$G$7,OFFSET(TH!M$1,SMALL(Dong11,ROWS($1:9)),),OFFSET(TH!L$1,SMALL(Dong11,ROWS($1:9)),)))</f>
        <v>154</v>
      </c>
      <c r="F22" s="208">
        <f ca="1">IF(ROWS($1:9)&gt;COUNT(Dong11),0,OFFSET(TH!J$1,SMALL(Dong11,ROWS($1:9)),))</f>
        <v>8200</v>
      </c>
      <c r="G22" s="208">
        <f ca="1">IF(ROWS($1:9)&gt;COUNT(Dong11),0,IF(MID(OFFSET(TH!D$1,SMALL(Dong11,ROWS($1:9)),),4,1)="N",OFFSET(TH!I$1,SMALL(Dong11,ROWS($1:9)),),0))</f>
        <v>0</v>
      </c>
      <c r="H22" s="209">
        <f t="shared" ca="1" si="1"/>
        <v>0</v>
      </c>
      <c r="I22" s="208">
        <f ca="1">IF(ROWS($1:9)&gt;COUNT(Dong11),0,IF(MID(OFFSET(TH!D$1,SMALL(Dong11,ROWS($1:9)),),4,1)="X",OFFSET(TH!I$1,SMALL(Dong11,ROWS($1:9)),),0))</f>
        <v>7448</v>
      </c>
      <c r="J22" s="209">
        <f t="shared" ca="1" si="2"/>
        <v>61073600</v>
      </c>
      <c r="K22" s="209">
        <f t="shared" ca="1" si="3"/>
        <v>34063</v>
      </c>
      <c r="L22" s="209">
        <f t="shared" ca="1" si="4"/>
        <v>269208600</v>
      </c>
      <c r="M22" s="209"/>
      <c r="N22" s="199"/>
    </row>
    <row r="23" spans="1:16">
      <c r="A23" s="800">
        <f t="shared" ca="1" si="0"/>
        <v>10</v>
      </c>
      <c r="B23" s="205" t="str">
        <f ca="1">IF(ROWS($1:10)&gt;COUNT(Dong11),"",OFFSET(TH!D$1,SMALL(Dong11,ROWS($1:10)),))</f>
        <v>NL/X</v>
      </c>
      <c r="C23" s="206">
        <f ca="1">IF(ROWS($1:10)&gt;COUNT(Dong11),"",OFFSET(TH!E$1,SMALL(Dong11,ROWS($1:10)),))</f>
        <v>42660</v>
      </c>
      <c r="D23" s="207" t="str">
        <f ca="1">IF(ROWS($1:10)&gt;COUNT(Dong11),"",OFFSET(TH!H$1,SMALL(Dong11,ROWS($1:10)),))</f>
        <v>Xuất sản xuất</v>
      </c>
      <c r="E23" s="205" t="str">
        <f ca="1">IF(ROWS($1:10)&gt;COUNT(Dong11),"",IF(OFFSET(TH!L$1,SMALL(Dong11,ROWS($1:10)),)=$G$7,OFFSET(TH!M$1,SMALL(Dong11,ROWS($1:10)),),OFFSET(TH!L$1,SMALL(Dong11,ROWS($1:10)),)))</f>
        <v>154</v>
      </c>
      <c r="F23" s="208">
        <f ca="1">IF(ROWS($1:10)&gt;COUNT(Dong11),0,OFFSET(TH!J$1,SMALL(Dong11,ROWS($1:10)),))</f>
        <v>8200</v>
      </c>
      <c r="G23" s="208">
        <f ca="1">IF(ROWS($1:10)&gt;COUNT(Dong11),0,IF(MID(OFFSET(TH!D$1,SMALL(Dong11,ROWS($1:10)),),4,1)="N",OFFSET(TH!I$1,SMALL(Dong11,ROWS($1:10)),),0))</f>
        <v>0</v>
      </c>
      <c r="H23" s="209">
        <f t="shared" ca="1" si="1"/>
        <v>0</v>
      </c>
      <c r="I23" s="208">
        <f ca="1">IF(ROWS($1:10)&gt;COUNT(Dong11),0,IF(MID(OFFSET(TH!D$1,SMALL(Dong11,ROWS($1:10)),),4,1)="X",OFFSET(TH!I$1,SMALL(Dong11,ROWS($1:10)),),0))</f>
        <v>2161</v>
      </c>
      <c r="J23" s="209">
        <f t="shared" ca="1" si="2"/>
        <v>17720200</v>
      </c>
      <c r="K23" s="209">
        <f t="shared" ca="1" si="3"/>
        <v>31902</v>
      </c>
      <c r="L23" s="209">
        <f t="shared" ca="1" si="4"/>
        <v>251488400</v>
      </c>
      <c r="M23" s="209"/>
      <c r="N23" s="199"/>
    </row>
    <row r="24" spans="1:16">
      <c r="A24" s="800">
        <f t="shared" ca="1" si="0"/>
        <v>11</v>
      </c>
      <c r="B24" s="205" t="str">
        <f ca="1">IF(ROWS($1:11)&gt;COUNT(Dong11),"",OFFSET(TH!D$1,SMALL(Dong11,ROWS($1:11)),))</f>
        <v>NL/X</v>
      </c>
      <c r="C24" s="206">
        <f ca="1">IF(ROWS($1:11)&gt;COUNT(Dong11),"",OFFSET(TH!E$1,SMALL(Dong11,ROWS($1:11)),))</f>
        <v>42662</v>
      </c>
      <c r="D24" s="207" t="str">
        <f ca="1">IF(ROWS($1:11)&gt;COUNT(Dong11),"",OFFSET(TH!H$1,SMALL(Dong11,ROWS($1:11)),))</f>
        <v>Xuất sản xuất</v>
      </c>
      <c r="E24" s="205" t="str">
        <f ca="1">IF(ROWS($1:11)&gt;COUNT(Dong11),"",IF(OFFSET(TH!L$1,SMALL(Dong11,ROWS($1:11)),)=$G$7,OFFSET(TH!M$1,SMALL(Dong11,ROWS($1:11)),),OFFSET(TH!L$1,SMALL(Dong11,ROWS($1:11)),)))</f>
        <v>154</v>
      </c>
      <c r="F24" s="208">
        <f ca="1">IF(ROWS($1:11)&gt;COUNT(Dong11),0,OFFSET(TH!J$1,SMALL(Dong11,ROWS($1:11)),))</f>
        <v>8200</v>
      </c>
      <c r="G24" s="208">
        <f ca="1">IF(ROWS($1:11)&gt;COUNT(Dong11),0,IF(MID(OFFSET(TH!D$1,SMALL(Dong11,ROWS($1:11)),),4,1)="N",OFFSET(TH!I$1,SMALL(Dong11,ROWS($1:11)),),0))</f>
        <v>0</v>
      </c>
      <c r="H24" s="209">
        <f t="shared" ca="1" si="1"/>
        <v>0</v>
      </c>
      <c r="I24" s="208">
        <f ca="1">IF(ROWS($1:11)&gt;COUNT(Dong11),0,IF(MID(OFFSET(TH!D$1,SMALL(Dong11,ROWS($1:11)),),4,1)="X",OFFSET(TH!I$1,SMALL(Dong11,ROWS($1:11)),),0))</f>
        <v>6632</v>
      </c>
      <c r="J24" s="209">
        <f t="shared" ca="1" si="2"/>
        <v>54382400</v>
      </c>
      <c r="K24" s="209">
        <f t="shared" ca="1" si="3"/>
        <v>25270</v>
      </c>
      <c r="L24" s="209">
        <f t="shared" ca="1" si="4"/>
        <v>197106000</v>
      </c>
      <c r="M24" s="209"/>
      <c r="N24" s="199"/>
    </row>
    <row r="25" spans="1:16">
      <c r="A25" s="800" t="str">
        <f t="shared" ref="A25:A30" ca="1" si="5">IF(B25="","",A24+1)</f>
        <v/>
      </c>
      <c r="B25" s="205" t="str">
        <f ca="1">IF(ROWS($1:12)&gt;COUNT(Dong11),"",OFFSET(TH!D$1,SMALL(Dong11,ROWS($1:12)),))</f>
        <v/>
      </c>
      <c r="C25" s="206" t="str">
        <f ca="1">IF(ROWS($1:12)&gt;COUNT(Dong11),"",OFFSET(TH!E$1,SMALL(Dong11,ROWS($1:12)),))</f>
        <v/>
      </c>
      <c r="D25" s="207" t="str">
        <f ca="1">IF(ROWS($1:12)&gt;COUNT(Dong11),"",OFFSET(TH!H$1,SMALL(Dong11,ROWS($1:12)),))</f>
        <v/>
      </c>
      <c r="E25" s="205" t="str">
        <f ca="1">IF(ROWS($1:12)&gt;COUNT(Dong11),"",IF(OFFSET(TH!L$1,SMALL(Dong11,ROWS($1:12)),)=$G$7,OFFSET(TH!M$1,SMALL(Dong11,ROWS($1:12)),),OFFSET(TH!L$1,SMALL(Dong11,ROWS($1:12)),)))</f>
        <v/>
      </c>
      <c r="F25" s="208">
        <f ca="1">IF(ROWS($1:12)&gt;COUNT(Dong11),0,OFFSET(TH!J$1,SMALL(Dong11,ROWS($1:12)),))</f>
        <v>0</v>
      </c>
      <c r="G25" s="208">
        <f ca="1">IF(ROWS($1:12)&gt;COUNT(Dong11),0,IF(MID(OFFSET(TH!D$1,SMALL(Dong11,ROWS($1:12)),),4,1)="N",OFFSET(TH!I$1,SMALL(Dong11,ROWS($1:12)),),0))</f>
        <v>0</v>
      </c>
      <c r="H25" s="209">
        <f t="shared" ref="H25:H30" ca="1" si="6">ROUND(F25*G25,0)</f>
        <v>0</v>
      </c>
      <c r="I25" s="208">
        <f ca="1">IF(ROWS($1:12)&gt;COUNT(Dong11),0,IF(MID(OFFSET(TH!D$1,SMALL(Dong11,ROWS($1:12)),),4,1)="X",OFFSET(TH!I$1,SMALL(Dong11,ROWS($1:12)),),0))</f>
        <v>0</v>
      </c>
      <c r="J25" s="209">
        <f t="shared" ref="J25:J30" ca="1" si="7">ROUND(F25*I25,0)</f>
        <v>0</v>
      </c>
      <c r="K25" s="209">
        <f t="shared" ref="K25:K30" ca="1" si="8">IF(D25&lt;&gt;"",K24+G25-I25,0)</f>
        <v>0</v>
      </c>
      <c r="L25" s="209">
        <f t="shared" ref="L25:L30" ca="1" si="9">IF(D25&lt;&gt;"",L24+H25-J25,0)</f>
        <v>0</v>
      </c>
      <c r="M25" s="209"/>
      <c r="N25" s="199"/>
    </row>
    <row r="26" spans="1:16">
      <c r="A26" s="800" t="str">
        <f t="shared" ca="1" si="5"/>
        <v/>
      </c>
      <c r="B26" s="205" t="str">
        <f ca="1">IF(ROWS($1:13)&gt;COUNT(Dong11),"",OFFSET(TH!D$1,SMALL(Dong11,ROWS($1:13)),))</f>
        <v/>
      </c>
      <c r="C26" s="206" t="str">
        <f ca="1">IF(ROWS($1:13)&gt;COUNT(Dong11),"",OFFSET(TH!E$1,SMALL(Dong11,ROWS($1:13)),))</f>
        <v/>
      </c>
      <c r="D26" s="207" t="str">
        <f ca="1">IF(ROWS($1:13)&gt;COUNT(Dong11),"",OFFSET(TH!H$1,SMALL(Dong11,ROWS($1:13)),))</f>
        <v/>
      </c>
      <c r="E26" s="205" t="str">
        <f ca="1">IF(ROWS($1:13)&gt;COUNT(Dong11),"",IF(OFFSET(TH!L$1,SMALL(Dong11,ROWS($1:13)),)=$G$7,OFFSET(TH!M$1,SMALL(Dong11,ROWS($1:13)),),OFFSET(TH!L$1,SMALL(Dong11,ROWS($1:13)),)))</f>
        <v/>
      </c>
      <c r="F26" s="208">
        <f ca="1">IF(ROWS($1:13)&gt;COUNT(Dong11),0,OFFSET(TH!J$1,SMALL(Dong11,ROWS($1:13)),))</f>
        <v>0</v>
      </c>
      <c r="G26" s="208">
        <f ca="1">IF(ROWS($1:13)&gt;COUNT(Dong11),0,IF(MID(OFFSET(TH!D$1,SMALL(Dong11,ROWS($1:13)),),4,1)="N",OFFSET(TH!I$1,SMALL(Dong11,ROWS($1:13)),),0))</f>
        <v>0</v>
      </c>
      <c r="H26" s="209">
        <f t="shared" ca="1" si="6"/>
        <v>0</v>
      </c>
      <c r="I26" s="208">
        <f ca="1">IF(ROWS($1:13)&gt;COUNT(Dong11),0,IF(MID(OFFSET(TH!D$1,SMALL(Dong11,ROWS($1:13)),),4,1)="X",OFFSET(TH!I$1,SMALL(Dong11,ROWS($1:13)),),0))</f>
        <v>0</v>
      </c>
      <c r="J26" s="209">
        <f t="shared" ca="1" si="7"/>
        <v>0</v>
      </c>
      <c r="K26" s="209">
        <f t="shared" ca="1" si="8"/>
        <v>0</v>
      </c>
      <c r="L26" s="209">
        <f t="shared" ca="1" si="9"/>
        <v>0</v>
      </c>
      <c r="M26" s="209"/>
      <c r="N26" s="199"/>
    </row>
    <row r="27" spans="1:16">
      <c r="A27" s="800" t="str">
        <f t="shared" ca="1" si="5"/>
        <v/>
      </c>
      <c r="B27" s="205" t="str">
        <f ca="1">IF(ROWS($1:14)&gt;COUNT(Dong11),"",OFFSET(TH!D$1,SMALL(Dong11,ROWS($1:14)),))</f>
        <v/>
      </c>
      <c r="C27" s="206" t="str">
        <f ca="1">IF(ROWS($1:14)&gt;COUNT(Dong11),"",OFFSET(TH!E$1,SMALL(Dong11,ROWS($1:14)),))</f>
        <v/>
      </c>
      <c r="D27" s="207" t="str">
        <f ca="1">IF(ROWS($1:14)&gt;COUNT(Dong11),"",OFFSET(TH!H$1,SMALL(Dong11,ROWS($1:14)),))</f>
        <v/>
      </c>
      <c r="E27" s="205" t="str">
        <f ca="1">IF(ROWS($1:14)&gt;COUNT(Dong11),"",IF(OFFSET(TH!L$1,SMALL(Dong11,ROWS($1:14)),)=$G$7,OFFSET(TH!M$1,SMALL(Dong11,ROWS($1:14)),),OFFSET(TH!L$1,SMALL(Dong11,ROWS($1:14)),)))</f>
        <v/>
      </c>
      <c r="F27" s="208">
        <f ca="1">IF(ROWS($1:14)&gt;COUNT(Dong11),0,OFFSET(TH!J$1,SMALL(Dong11,ROWS($1:14)),))</f>
        <v>0</v>
      </c>
      <c r="G27" s="208">
        <f ca="1">IF(ROWS($1:14)&gt;COUNT(Dong11),0,IF(MID(OFFSET(TH!D$1,SMALL(Dong11,ROWS($1:14)),),4,1)="N",OFFSET(TH!I$1,SMALL(Dong11,ROWS($1:14)),),0))</f>
        <v>0</v>
      </c>
      <c r="H27" s="209">
        <f t="shared" ca="1" si="6"/>
        <v>0</v>
      </c>
      <c r="I27" s="208">
        <f ca="1">IF(ROWS($1:14)&gt;COUNT(Dong11),0,IF(MID(OFFSET(TH!D$1,SMALL(Dong11,ROWS($1:14)),),4,1)="X",OFFSET(TH!I$1,SMALL(Dong11,ROWS($1:14)),),0))</f>
        <v>0</v>
      </c>
      <c r="J27" s="209">
        <f t="shared" ca="1" si="7"/>
        <v>0</v>
      </c>
      <c r="K27" s="209">
        <f t="shared" ca="1" si="8"/>
        <v>0</v>
      </c>
      <c r="L27" s="209">
        <f t="shared" ca="1" si="9"/>
        <v>0</v>
      </c>
      <c r="M27" s="209"/>
      <c r="N27" s="199"/>
    </row>
    <row r="28" spans="1:16">
      <c r="A28" s="800" t="str">
        <f t="shared" ca="1" si="5"/>
        <v/>
      </c>
      <c r="B28" s="205" t="str">
        <f ca="1">IF(ROWS($1:15)&gt;COUNT(Dong11),"",OFFSET(TH!D$1,SMALL(Dong11,ROWS($1:15)),))</f>
        <v/>
      </c>
      <c r="C28" s="206" t="str">
        <f ca="1">IF(ROWS($1:15)&gt;COUNT(Dong11),"",OFFSET(TH!E$1,SMALL(Dong11,ROWS($1:15)),))</f>
        <v/>
      </c>
      <c r="D28" s="207" t="str">
        <f ca="1">IF(ROWS($1:15)&gt;COUNT(Dong11),"",OFFSET(TH!H$1,SMALL(Dong11,ROWS($1:15)),))</f>
        <v/>
      </c>
      <c r="E28" s="205" t="str">
        <f ca="1">IF(ROWS($1:15)&gt;COUNT(Dong11),"",IF(OFFSET(TH!L$1,SMALL(Dong11,ROWS($1:15)),)=$G$7,OFFSET(TH!M$1,SMALL(Dong11,ROWS($1:15)),),OFFSET(TH!L$1,SMALL(Dong11,ROWS($1:15)),)))</f>
        <v/>
      </c>
      <c r="F28" s="208">
        <f ca="1">IF(ROWS($1:15)&gt;COUNT(Dong11),0,OFFSET(TH!J$1,SMALL(Dong11,ROWS($1:15)),))</f>
        <v>0</v>
      </c>
      <c r="G28" s="208">
        <f ca="1">IF(ROWS($1:15)&gt;COUNT(Dong11),0,IF(MID(OFFSET(TH!D$1,SMALL(Dong11,ROWS($1:15)),),4,1)="N",OFFSET(TH!I$1,SMALL(Dong11,ROWS($1:15)),),0))</f>
        <v>0</v>
      </c>
      <c r="H28" s="209">
        <f t="shared" ca="1" si="6"/>
        <v>0</v>
      </c>
      <c r="I28" s="208">
        <f ca="1">IF(ROWS($1:15)&gt;COUNT(Dong11),0,IF(MID(OFFSET(TH!D$1,SMALL(Dong11,ROWS($1:15)),),4,1)="X",OFFSET(TH!I$1,SMALL(Dong11,ROWS($1:15)),),0))</f>
        <v>0</v>
      </c>
      <c r="J28" s="209">
        <f t="shared" ca="1" si="7"/>
        <v>0</v>
      </c>
      <c r="K28" s="209">
        <f t="shared" ca="1" si="8"/>
        <v>0</v>
      </c>
      <c r="L28" s="209">
        <f t="shared" ca="1" si="9"/>
        <v>0</v>
      </c>
      <c r="M28" s="209"/>
      <c r="N28" s="199"/>
    </row>
    <row r="29" spans="1:16">
      <c r="A29" s="800" t="str">
        <f t="shared" ca="1" si="5"/>
        <v/>
      </c>
      <c r="B29" s="205" t="str">
        <f ca="1">IF(ROWS($1:16)&gt;COUNT(Dong11),"",OFFSET(TH!D$1,SMALL(Dong11,ROWS($1:16)),))</f>
        <v/>
      </c>
      <c r="C29" s="206" t="str">
        <f ca="1">IF(ROWS($1:16)&gt;COUNT(Dong11),"",OFFSET(TH!E$1,SMALL(Dong11,ROWS($1:16)),))</f>
        <v/>
      </c>
      <c r="D29" s="207" t="str">
        <f ca="1">IF(ROWS($1:16)&gt;COUNT(Dong11),"",OFFSET(TH!H$1,SMALL(Dong11,ROWS($1:16)),))</f>
        <v/>
      </c>
      <c r="E29" s="205" t="str">
        <f ca="1">IF(ROWS($1:16)&gt;COUNT(Dong11),"",IF(OFFSET(TH!L$1,SMALL(Dong11,ROWS($1:16)),)=$G$7,OFFSET(TH!M$1,SMALL(Dong11,ROWS($1:16)),),OFFSET(TH!L$1,SMALL(Dong11,ROWS($1:16)),)))</f>
        <v/>
      </c>
      <c r="F29" s="208">
        <f ca="1">IF(ROWS($1:16)&gt;COUNT(Dong11),0,OFFSET(TH!J$1,SMALL(Dong11,ROWS($1:16)),))</f>
        <v>0</v>
      </c>
      <c r="G29" s="208">
        <f ca="1">IF(ROWS($1:16)&gt;COUNT(Dong11),0,IF(MID(OFFSET(TH!D$1,SMALL(Dong11,ROWS($1:16)),),4,1)="N",OFFSET(TH!I$1,SMALL(Dong11,ROWS($1:16)),),0))</f>
        <v>0</v>
      </c>
      <c r="H29" s="209">
        <f t="shared" ca="1" si="6"/>
        <v>0</v>
      </c>
      <c r="I29" s="208">
        <f ca="1">IF(ROWS($1:16)&gt;COUNT(Dong11),0,IF(MID(OFFSET(TH!D$1,SMALL(Dong11,ROWS($1:16)),),4,1)="X",OFFSET(TH!I$1,SMALL(Dong11,ROWS($1:16)),),0))</f>
        <v>0</v>
      </c>
      <c r="J29" s="209">
        <f t="shared" ca="1" si="7"/>
        <v>0</v>
      </c>
      <c r="K29" s="209">
        <f t="shared" ca="1" si="8"/>
        <v>0</v>
      </c>
      <c r="L29" s="209">
        <f t="shared" ca="1" si="9"/>
        <v>0</v>
      </c>
      <c r="M29" s="209"/>
      <c r="N29" s="199"/>
    </row>
    <row r="30" spans="1:16">
      <c r="A30" s="800" t="str">
        <f t="shared" ca="1" si="5"/>
        <v/>
      </c>
      <c r="B30" s="205" t="str">
        <f ca="1">IF(ROWS($1:17)&gt;COUNT(Dong11),"",OFFSET(TH!D$1,SMALL(Dong11,ROWS($1:17)),))</f>
        <v/>
      </c>
      <c r="C30" s="206" t="str">
        <f ca="1">IF(ROWS($1:17)&gt;COUNT(Dong11),"",OFFSET(TH!E$1,SMALL(Dong11,ROWS($1:17)),))</f>
        <v/>
      </c>
      <c r="D30" s="207" t="str">
        <f ca="1">IF(ROWS($1:17)&gt;COUNT(Dong11),"",OFFSET(TH!H$1,SMALL(Dong11,ROWS($1:17)),))</f>
        <v/>
      </c>
      <c r="E30" s="205" t="str">
        <f ca="1">IF(ROWS($1:17)&gt;COUNT(Dong11),"",IF(OFFSET(TH!L$1,SMALL(Dong11,ROWS($1:17)),)=$G$7,OFFSET(TH!M$1,SMALL(Dong11,ROWS($1:17)),),OFFSET(TH!L$1,SMALL(Dong11,ROWS($1:17)),)))</f>
        <v/>
      </c>
      <c r="F30" s="208">
        <f ca="1">IF(ROWS($1:17)&gt;COUNT(Dong11),0,OFFSET(TH!J$1,SMALL(Dong11,ROWS($1:17)),))</f>
        <v>0</v>
      </c>
      <c r="G30" s="208">
        <f ca="1">IF(ROWS($1:17)&gt;COUNT(Dong11),0,IF(MID(OFFSET(TH!D$1,SMALL(Dong11,ROWS($1:17)),),4,1)="N",OFFSET(TH!I$1,SMALL(Dong11,ROWS($1:17)),),0))</f>
        <v>0</v>
      </c>
      <c r="H30" s="209">
        <f t="shared" ca="1" si="6"/>
        <v>0</v>
      </c>
      <c r="I30" s="208">
        <f ca="1">IF(ROWS($1:17)&gt;COUNT(Dong11),0,IF(MID(OFFSET(TH!D$1,SMALL(Dong11,ROWS($1:17)),),4,1)="X",OFFSET(TH!I$1,SMALL(Dong11,ROWS($1:17)),),0))</f>
        <v>0</v>
      </c>
      <c r="J30" s="209">
        <f t="shared" ca="1" si="7"/>
        <v>0</v>
      </c>
      <c r="K30" s="209">
        <f t="shared" ca="1" si="8"/>
        <v>0</v>
      </c>
      <c r="L30" s="209">
        <f t="shared" ca="1" si="9"/>
        <v>0</v>
      </c>
      <c r="M30" s="209"/>
      <c r="N30" s="199"/>
    </row>
    <row r="31" spans="1:16">
      <c r="A31" s="800" t="str">
        <f>IF(B31="","",#REF!+1)</f>
        <v/>
      </c>
      <c r="B31" s="212"/>
      <c r="C31" s="213"/>
      <c r="D31" s="207"/>
      <c r="E31" s="214"/>
      <c r="F31" s="801"/>
      <c r="G31" s="201"/>
      <c r="H31" s="201"/>
      <c r="I31" s="201"/>
      <c r="J31" s="201"/>
      <c r="K31" s="201"/>
      <c r="L31" s="201"/>
      <c r="M31" s="215"/>
      <c r="N31" s="199"/>
    </row>
    <row r="32" spans="1:16">
      <c r="A32" s="216"/>
      <c r="B32" s="216"/>
      <c r="C32" s="216"/>
      <c r="D32" s="216" t="s">
        <v>217</v>
      </c>
      <c r="E32" s="670" t="s">
        <v>19</v>
      </c>
      <c r="F32" s="670" t="s">
        <v>19</v>
      </c>
      <c r="G32" s="217">
        <f ca="1">SUM(G14:G31)</f>
        <v>49543</v>
      </c>
      <c r="H32" s="217">
        <f ca="1">SUM(H14:H31)</f>
        <v>392931800</v>
      </c>
      <c r="I32" s="217">
        <f ca="1">SUM(I14:I31)</f>
        <v>24273</v>
      </c>
      <c r="J32" s="217">
        <f ca="1">SUM(J14:J31)</f>
        <v>195825800</v>
      </c>
      <c r="K32" s="217">
        <f ca="1">K13+G32-I32</f>
        <v>25270</v>
      </c>
      <c r="L32" s="217">
        <f ca="1">L13+H32-J32</f>
        <v>197106000</v>
      </c>
      <c r="M32" s="216"/>
      <c r="N32" s="199"/>
    </row>
    <row r="33" spans="2:14">
      <c r="B33" s="218" t="s">
        <v>218</v>
      </c>
      <c r="G33" s="211"/>
      <c r="N33" s="199"/>
    </row>
    <row r="34" spans="2:14">
      <c r="B34" s="673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17 tháng 10 năm 2016</v>
      </c>
      <c r="G34" s="211"/>
      <c r="I34" s="211"/>
      <c r="N34" s="199"/>
    </row>
    <row r="35" spans="2:14">
      <c r="B35" s="189"/>
      <c r="C35" s="189"/>
      <c r="D35" s="189"/>
      <c r="F35" s="189"/>
      <c r="G35" s="219"/>
      <c r="H35" s="671"/>
      <c r="I35" s="220"/>
      <c r="J35" s="931" t="str">
        <f ca="1">"Ngày 31 tháng  12  năm  "&amp;YEAR($C$14)</f>
        <v>Ngày 31 tháng  12  năm  2016</v>
      </c>
      <c r="K35" s="931"/>
      <c r="L35" s="931"/>
      <c r="M35" s="931"/>
      <c r="N35" s="199"/>
    </row>
    <row r="36" spans="2:14">
      <c r="C36" s="189"/>
      <c r="D36" s="671" t="s">
        <v>11</v>
      </c>
      <c r="E36" s="931" t="s">
        <v>12</v>
      </c>
      <c r="F36" s="931"/>
      <c r="G36" s="931"/>
      <c r="H36" s="931"/>
      <c r="I36" s="931"/>
      <c r="J36" s="931" t="s">
        <v>105</v>
      </c>
      <c r="K36" s="931"/>
      <c r="L36" s="931"/>
      <c r="M36" s="931"/>
      <c r="N36" s="199"/>
    </row>
    <row r="37" spans="2:14">
      <c r="C37" s="189"/>
      <c r="D37" s="671" t="s">
        <v>13</v>
      </c>
      <c r="E37" s="931" t="s">
        <v>13</v>
      </c>
      <c r="F37" s="931"/>
      <c r="G37" s="931"/>
      <c r="H37" s="931" t="s">
        <v>132</v>
      </c>
      <c r="I37" s="931"/>
      <c r="J37" s="931" t="s">
        <v>132</v>
      </c>
      <c r="K37" s="931"/>
      <c r="L37" s="931"/>
      <c r="M37" s="931"/>
      <c r="N37" s="199"/>
    </row>
    <row r="38" spans="2:14">
      <c r="N38" s="221"/>
    </row>
    <row r="39" spans="2:14">
      <c r="E39" s="181"/>
    </row>
    <row r="41" spans="2:14" s="772" customFormat="1" ht="14.25">
      <c r="E41" s="802"/>
    </row>
    <row r="46" spans="2:14">
      <c r="D46" s="402" t="s">
        <v>146</v>
      </c>
      <c r="E46" s="402"/>
      <c r="J46" s="933" t="s">
        <v>99</v>
      </c>
      <c r="K46" s="933"/>
      <c r="L46" s="933"/>
      <c r="M46" s="933"/>
      <c r="N46" s="669"/>
    </row>
  </sheetData>
  <mergeCells count="20">
    <mergeCell ref="J46:M46"/>
    <mergeCell ref="A10:A11"/>
    <mergeCell ref="B10:C10"/>
    <mergeCell ref="D10:D11"/>
    <mergeCell ref="E10:E11"/>
    <mergeCell ref="F10:F11"/>
    <mergeCell ref="E37:I37"/>
    <mergeCell ref="J37:M37"/>
    <mergeCell ref="G10:H10"/>
    <mergeCell ref="I10:J10"/>
    <mergeCell ref="K10:L10"/>
    <mergeCell ref="M10:M11"/>
    <mergeCell ref="J35:M35"/>
    <mergeCell ref="E36:I36"/>
    <mergeCell ref="J36:M36"/>
    <mergeCell ref="J2:M2"/>
    <mergeCell ref="J3:M4"/>
    <mergeCell ref="B5:M5"/>
    <mergeCell ref="B6:M6"/>
    <mergeCell ref="J8:L8"/>
  </mergeCells>
  <conditionalFormatting sqref="D31 I14:M30 B14:G30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rintOptions horizontalCentered="1"/>
  <pageMargins left="0.4" right="0.2" top="0.3" bottom="0.3" header="0" footer="0"/>
  <pageSetup scale="80" orientation="portrait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38"/>
  <sheetViews>
    <sheetView topLeftCell="A6" zoomScale="90" workbookViewId="0">
      <pane ySplit="8" topLeftCell="A14" activePane="bottomLeft" state="frozen"/>
      <selection activeCell="A6" sqref="A6"/>
      <selection pane="bottomLeft" activeCell="C6" sqref="C1:D1048576"/>
    </sheetView>
  </sheetViews>
  <sheetFormatPr defaultRowHeight="14.25"/>
  <cols>
    <col min="1" max="1" width="4.85546875" style="225" customWidth="1"/>
    <col min="2" max="2" width="10.42578125" style="225" customWidth="1"/>
    <col min="3" max="4" width="9.5703125" style="275" customWidth="1"/>
    <col min="5" max="5" width="39.42578125" style="276" customWidth="1"/>
    <col min="6" max="6" width="10.85546875" style="277" customWidth="1"/>
    <col min="7" max="9" width="10.28515625" style="278" customWidth="1"/>
    <col min="10" max="10" width="9.7109375" style="225" customWidth="1"/>
    <col min="11" max="11" width="2.42578125" style="225" customWidth="1"/>
    <col min="12" max="12" width="6.5703125" style="225" customWidth="1"/>
    <col min="13" max="16384" width="9.140625" style="225"/>
  </cols>
  <sheetData>
    <row r="1" spans="1:12" ht="15" customHeight="1">
      <c r="A1" s="222" t="str">
        <f>TH!A1</f>
        <v>Đơn vị: CÔNG TY TNHH BAO BÌ GIẤY KIM DUNG PHÁT</v>
      </c>
      <c r="B1" s="223"/>
      <c r="C1" s="223"/>
      <c r="D1" s="223"/>
      <c r="E1" s="224"/>
      <c r="F1" s="950" t="s">
        <v>219</v>
      </c>
      <c r="G1" s="950"/>
      <c r="H1" s="950"/>
      <c r="I1" s="950"/>
      <c r="J1" s="950"/>
      <c r="K1" s="226"/>
      <c r="L1" s="227"/>
    </row>
    <row r="2" spans="1:12" ht="15" customHeight="1">
      <c r="A2" s="415" t="str">
        <f>TH!A2</f>
        <v>Địa chỉ: Ấp Rừng Sến, xã Mỹ Hạnh Bắc, Huyện Đức Hòa, Tỉnh Long An, Việt Nam</v>
      </c>
      <c r="B2" s="228"/>
      <c r="C2" s="228"/>
      <c r="D2" s="228"/>
      <c r="E2" s="229"/>
      <c r="F2" s="949" t="str">
        <f ca="1">IF(YEAR($B$14)&gt;=2015,"(Ban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49"/>
      <c r="H2" s="949"/>
      <c r="I2" s="949"/>
      <c r="J2" s="949"/>
      <c r="K2" s="226"/>
    </row>
    <row r="3" spans="1:12" ht="15">
      <c r="A3" s="228"/>
      <c r="B3" s="228"/>
      <c r="C3" s="228"/>
      <c r="D3" s="228"/>
      <c r="E3" s="229"/>
      <c r="F3" s="949"/>
      <c r="G3" s="949"/>
      <c r="H3" s="949"/>
      <c r="I3" s="949"/>
      <c r="J3" s="949"/>
      <c r="K3" s="226"/>
    </row>
    <row r="4" spans="1:12" ht="33.75" customHeight="1">
      <c r="A4" s="803"/>
      <c r="B4" s="803"/>
      <c r="C4" s="803"/>
      <c r="D4" s="803"/>
      <c r="E4" s="804" t="s">
        <v>220</v>
      </c>
      <c r="F4" s="803"/>
      <c r="G4" s="803"/>
      <c r="H4" s="803"/>
      <c r="I4" s="803"/>
      <c r="J4" s="226"/>
      <c r="K4" s="226"/>
    </row>
    <row r="5" spans="1:12" ht="15">
      <c r="A5" s="674"/>
      <c r="B5" s="674"/>
      <c r="C5" s="674"/>
      <c r="D5" s="674"/>
      <c r="E5" s="231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13/8/2016</v>
      </c>
      <c r="F5" s="674"/>
      <c r="G5" s="674"/>
      <c r="H5" s="674"/>
      <c r="I5" s="674"/>
      <c r="J5" s="226"/>
      <c r="K5" s="226"/>
    </row>
    <row r="6" spans="1:12" ht="15">
      <c r="A6" s="674"/>
      <c r="B6" s="674"/>
      <c r="C6" s="674"/>
      <c r="D6" s="674"/>
      <c r="E6" s="231" t="s">
        <v>221</v>
      </c>
      <c r="F6" s="674"/>
      <c r="G6" s="674"/>
      <c r="H6" s="674"/>
      <c r="I6" s="674"/>
      <c r="J6" s="226"/>
      <c r="K6" s="226"/>
    </row>
    <row r="7" spans="1:12" ht="15">
      <c r="A7" s="673" t="s">
        <v>222</v>
      </c>
      <c r="B7" s="673"/>
      <c r="C7" s="232"/>
      <c r="D7" s="232"/>
      <c r="E7" s="233" t="s">
        <v>444</v>
      </c>
      <c r="F7" s="230"/>
      <c r="G7" s="234"/>
      <c r="H7" s="234"/>
      <c r="I7" s="234"/>
      <c r="J7" s="226"/>
      <c r="K7" s="226"/>
    </row>
    <row r="8" spans="1:12" ht="15">
      <c r="A8" s="673" t="s">
        <v>223</v>
      </c>
      <c r="B8" s="673"/>
      <c r="C8" s="226" t="str">
        <f>VLOOKUP($E$7,NXT!$C$9:$L$182,2,0)</f>
        <v>kg</v>
      </c>
      <c r="D8" s="673"/>
      <c r="E8" s="233"/>
      <c r="F8" s="230"/>
      <c r="G8" s="234"/>
      <c r="H8" s="234"/>
      <c r="I8" s="234"/>
      <c r="J8" s="226"/>
      <c r="K8" s="226"/>
    </row>
    <row r="9" spans="1:12" ht="15">
      <c r="A9" s="951" t="s">
        <v>224</v>
      </c>
      <c r="B9" s="952"/>
      <c r="C9" s="952"/>
      <c r="D9" s="952"/>
      <c r="E9" s="233"/>
      <c r="F9" s="230"/>
      <c r="G9" s="234"/>
      <c r="H9" s="234"/>
      <c r="I9" s="234"/>
      <c r="J9" s="235"/>
      <c r="K9" s="235"/>
    </row>
    <row r="10" spans="1:12" ht="19.5" customHeight="1">
      <c r="A10" s="953" t="s">
        <v>225</v>
      </c>
      <c r="B10" s="954" t="s">
        <v>226</v>
      </c>
      <c r="C10" s="956" t="s">
        <v>15</v>
      </c>
      <c r="D10" s="941"/>
      <c r="E10" s="957" t="s">
        <v>0</v>
      </c>
      <c r="F10" s="947" t="s">
        <v>227</v>
      </c>
      <c r="G10" s="940" t="s">
        <v>196</v>
      </c>
      <c r="H10" s="940"/>
      <c r="I10" s="941"/>
      <c r="J10" s="942" t="s">
        <v>228</v>
      </c>
      <c r="K10" s="236"/>
      <c r="L10" s="237" t="s">
        <v>213</v>
      </c>
    </row>
    <row r="11" spans="1:12" ht="19.5" customHeight="1">
      <c r="A11" s="953"/>
      <c r="B11" s="955"/>
      <c r="C11" s="238" t="s">
        <v>210</v>
      </c>
      <c r="D11" s="238" t="s">
        <v>211</v>
      </c>
      <c r="E11" s="958"/>
      <c r="F11" s="948"/>
      <c r="G11" s="239" t="s">
        <v>210</v>
      </c>
      <c r="H11" s="239" t="s">
        <v>211</v>
      </c>
      <c r="I11" s="239" t="s">
        <v>212</v>
      </c>
      <c r="J11" s="943"/>
      <c r="K11" s="236"/>
    </row>
    <row r="12" spans="1:12" ht="15">
      <c r="A12" s="240" t="s">
        <v>2</v>
      </c>
      <c r="B12" s="241" t="s">
        <v>3</v>
      </c>
      <c r="C12" s="242" t="s">
        <v>4</v>
      </c>
      <c r="D12" s="242" t="s">
        <v>5</v>
      </c>
      <c r="E12" s="243" t="s">
        <v>6</v>
      </c>
      <c r="F12" s="241" t="s">
        <v>126</v>
      </c>
      <c r="G12" s="244">
        <v>1</v>
      </c>
      <c r="H12" s="244">
        <v>2</v>
      </c>
      <c r="I12" s="244">
        <v>3</v>
      </c>
      <c r="J12" s="242" t="s">
        <v>127</v>
      </c>
      <c r="K12" s="245"/>
    </row>
    <row r="13" spans="1:12" ht="16.5" customHeight="1">
      <c r="A13" s="246"/>
      <c r="B13" s="247"/>
      <c r="C13" s="248"/>
      <c r="D13" s="248"/>
      <c r="E13" s="249" t="s">
        <v>187</v>
      </c>
      <c r="F13" s="247"/>
      <c r="G13" s="250"/>
      <c r="H13" s="250"/>
      <c r="I13" s="251">
        <f>VLOOKUP($E$7,NXT!$C$9:$L$182,3,0)</f>
        <v>0</v>
      </c>
      <c r="J13" s="246"/>
      <c r="K13" s="252"/>
    </row>
    <row r="14" spans="1:12" ht="16.5" customHeight="1">
      <c r="A14" s="805">
        <f ca="1">IF(B14&lt;&gt;"",ROW()-(ROW()-1),"")</f>
        <v>1</v>
      </c>
      <c r="B14" s="253">
        <f ca="1">IF(ROWS($1:1)&gt;COUNT(Dong12),"",OFFSET(TH!E$1,SMALL(Dong12,ROWS($1:1)),))</f>
        <v>42595</v>
      </c>
      <c r="C14" s="299" t="str">
        <f ca="1">IF(ROWS($1:1)&gt;COUNT(Dong12),"",IF(MID(OFFSET(TH!D$1,SMALL(Dong12,ROWS($1:1)),),4,1)="N",OFFSET(TH!D$1,SMALL(Dong12,ROWS($1:1)),),""))</f>
        <v>VL/N01</v>
      </c>
      <c r="D14" s="253" t="str">
        <f ca="1">IF(ROWS($1:1)&gt;COUNT(Dong12),"",IF(MID(OFFSET(TH!D$1,SMALL(Dong12,ROWS($1:1)),),4,1)="X",OFFSET(TH!D$1,SMALL(Dong12,ROWS($1:1)),),""))</f>
        <v/>
      </c>
      <c r="E14" s="422" t="str">
        <f ca="1">IF(ROWS($1:1)&gt;COUNT(Dong12),"",OFFSET(TH!H$1,SMALL(Dong12,ROWS($1:1)),))</f>
        <v>Cty TNHH SX TM DV Quang Mạnh</v>
      </c>
      <c r="F14" s="253">
        <f ca="1">B14</f>
        <v>42595</v>
      </c>
      <c r="G14" s="254">
        <f ca="1">IF(ROWS($1:1)&gt;COUNT(Dong12),0,IF(MID(OFFSET(TH!D$1,SMALL(Dong12,ROWS($1:1)),),4,1)="N",OFFSET(TH!I$1,SMALL(Dong12,ROWS($1:1)),),0))</f>
        <v>19810</v>
      </c>
      <c r="H14" s="254">
        <f ca="1">IF(ROWS($1:1)&gt;COUNT(Dong12),0,IF(MID(OFFSET(TH!D$1,SMALL(Dong12,ROWS($1:1)),),4,1)="X",OFFSET(TH!I$1,SMALL(Dong12,ROWS($1:1)),),0))</f>
        <v>0</v>
      </c>
      <c r="I14" s="255">
        <f ca="1">IF(E14&lt;&gt;"",I13+G14-H14,0)</f>
        <v>19810</v>
      </c>
      <c r="J14" s="256"/>
      <c r="K14" s="257"/>
    </row>
    <row r="15" spans="1:12" ht="16.5" customHeight="1">
      <c r="A15" s="806">
        <f ca="1">IF(B15&lt;&gt;"",A14+1,"")</f>
        <v>2</v>
      </c>
      <c r="B15" s="253">
        <f ca="1">IF(ROWS($1:2)&gt;COUNT(Dong12),"",OFFSET(TH!E$1,SMALL(Dong12,ROWS($1:2)),))</f>
        <v>42601</v>
      </c>
      <c r="C15" s="299" t="str">
        <f ca="1">IF(ROWS($1:2)&gt;COUNT(Dong12),"",IF(MID(OFFSET(TH!D$1,SMALL(Dong12,ROWS($1:2)),),4,1)="N",OFFSET(TH!D$1,SMALL(Dong12,ROWS($1:2)),),""))</f>
        <v>VL/N02</v>
      </c>
      <c r="D15" s="253" t="str">
        <f ca="1">IF(ROWS($1:2)&gt;COUNT(Dong12),"",IF(MID(OFFSET(TH!D$1,SMALL(Dong12,ROWS($1:2)),),4,1)="X",OFFSET(TH!D$1,SMALL(Dong12,ROWS($1:2)),),""))</f>
        <v/>
      </c>
      <c r="E15" s="422" t="str">
        <f ca="1">IF(ROWS($1:2)&gt;COUNT(Dong12),"",OFFSET(TH!H$1,SMALL(Dong12,ROWS($1:2)),))</f>
        <v>Cty TNHH SX TM DV Quang Mạnh</v>
      </c>
      <c r="F15" s="253">
        <f t="shared" ref="F15:F30" ca="1" si="0">B15</f>
        <v>42601</v>
      </c>
      <c r="G15" s="254">
        <f ca="1">IF(ROWS($1:2)&gt;COUNT(Dong12),0,IF(MID(OFFSET(TH!D$1,SMALL(Dong12,ROWS($1:2)),),4,1)="N",OFFSET(TH!I$1,SMALL(Dong12,ROWS($1:2)),),0))</f>
        <v>14330</v>
      </c>
      <c r="H15" s="254">
        <f ca="1">IF(ROWS($1:2)&gt;COUNT(Dong12),0,IF(MID(OFFSET(TH!D$1,SMALL(Dong12,ROWS($1:2)),),4,1)="X",OFFSET(TH!I$1,SMALL(Dong12,ROWS($1:2)),),0))</f>
        <v>0</v>
      </c>
      <c r="I15" s="255">
        <f t="shared" ref="I15:I30" ca="1" si="1">IF(E15&lt;&gt;"",I14+G15-H15,0)</f>
        <v>34140</v>
      </c>
      <c r="J15" s="256"/>
      <c r="K15" s="257"/>
    </row>
    <row r="16" spans="1:12" ht="16.5" customHeight="1">
      <c r="A16" s="806">
        <f t="shared" ref="A16:A30" ca="1" si="2">IF(B16&lt;&gt;"",A15+1,"")</f>
        <v>3</v>
      </c>
      <c r="B16" s="253">
        <f ca="1">IF(ROWS($1:3)&gt;COUNT(Dong12),"",OFFSET(TH!E$1,SMALL(Dong12,ROWS($1:3)),))</f>
        <v>42613</v>
      </c>
      <c r="C16" s="299" t="str">
        <f ca="1">IF(ROWS($1:3)&gt;COUNT(Dong12),"",IF(MID(OFFSET(TH!D$1,SMALL(Dong12,ROWS($1:3)),),4,1)="N",OFFSET(TH!D$1,SMALL(Dong12,ROWS($1:3)),),""))</f>
        <v>VL/N03</v>
      </c>
      <c r="D16" s="253" t="str">
        <f ca="1">IF(ROWS($1:3)&gt;COUNT(Dong12),"",IF(MID(OFFSET(TH!D$1,SMALL(Dong12,ROWS($1:3)),),4,1)="X",OFFSET(TH!D$1,SMALL(Dong12,ROWS($1:3)),),""))</f>
        <v/>
      </c>
      <c r="E16" s="422" t="str">
        <f ca="1">IF(ROWS($1:3)&gt;COUNT(Dong12),"",OFFSET(TH!H$1,SMALL(Dong12,ROWS($1:3)),))</f>
        <v>Cty TNHH SX TM DV Quang Mạnh</v>
      </c>
      <c r="F16" s="253">
        <f t="shared" ca="1" si="0"/>
        <v>42613</v>
      </c>
      <c r="G16" s="254">
        <f ca="1">IF(ROWS($1:3)&gt;COUNT(Dong12),0,IF(MID(OFFSET(TH!D$1,SMALL(Dong12,ROWS($1:3)),),4,1)="N",OFFSET(TH!I$1,SMALL(Dong12,ROWS($1:3)),),0))</f>
        <v>12830</v>
      </c>
      <c r="H16" s="254">
        <f ca="1">IF(ROWS($1:3)&gt;COUNT(Dong12),0,IF(MID(OFFSET(TH!D$1,SMALL(Dong12,ROWS($1:3)),),4,1)="X",OFFSET(TH!I$1,SMALL(Dong12,ROWS($1:3)),),0))</f>
        <v>0</v>
      </c>
      <c r="I16" s="255">
        <f t="shared" ca="1" si="1"/>
        <v>46970</v>
      </c>
      <c r="J16" s="256"/>
      <c r="K16" s="257"/>
    </row>
    <row r="17" spans="1:11" ht="16.5" customHeight="1">
      <c r="A17" s="806">
        <f t="shared" ca="1" si="2"/>
        <v>4</v>
      </c>
      <c r="B17" s="253">
        <f ca="1">IF(ROWS($1:4)&gt;COUNT(Dong12),"",OFFSET(TH!E$1,SMALL(Dong12,ROWS($1:4)),))</f>
        <v>42630</v>
      </c>
      <c r="C17" s="299" t="str">
        <f ca="1">IF(ROWS($1:4)&gt;COUNT(Dong12),"",IF(MID(OFFSET(TH!D$1,SMALL(Dong12,ROWS($1:4)),),4,1)="N",OFFSET(TH!D$1,SMALL(Dong12,ROWS($1:4)),),""))</f>
        <v>VL/N05</v>
      </c>
      <c r="D17" s="253" t="str">
        <f ca="1">IF(ROWS($1:4)&gt;COUNT(Dong12),"",IF(MID(OFFSET(TH!D$1,SMALL(Dong12,ROWS($1:4)),),4,1)="X",OFFSET(TH!D$1,SMALL(Dong12,ROWS($1:4)),),""))</f>
        <v/>
      </c>
      <c r="E17" s="422" t="str">
        <f ca="1">IF(ROWS($1:4)&gt;COUNT(Dong12),"",OFFSET(TH!H$1,SMALL(Dong12,ROWS($1:4)),))</f>
        <v>Cty TNHH SX TM DV Quang Mạnh</v>
      </c>
      <c r="F17" s="253">
        <f t="shared" ca="1" si="0"/>
        <v>42630</v>
      </c>
      <c r="G17" s="254">
        <f ca="1">IF(ROWS($1:4)&gt;COUNT(Dong12),0,IF(MID(OFFSET(TH!D$1,SMALL(Dong12,ROWS($1:4)),),4,1)="N",OFFSET(TH!I$1,SMALL(Dong12,ROWS($1:4)),),0))</f>
        <v>18500</v>
      </c>
      <c r="H17" s="254">
        <f ca="1">IF(ROWS($1:4)&gt;COUNT(Dong12),0,IF(MID(OFFSET(TH!D$1,SMALL(Dong12,ROWS($1:4)),),4,1)="X",OFFSET(TH!I$1,SMALL(Dong12,ROWS($1:4)),),0))</f>
        <v>0</v>
      </c>
      <c r="I17" s="255">
        <f t="shared" ca="1" si="1"/>
        <v>65470</v>
      </c>
      <c r="J17" s="256"/>
      <c r="K17" s="257"/>
    </row>
    <row r="18" spans="1:11" ht="16.5" customHeight="1">
      <c r="A18" s="806">
        <f t="shared" ca="1" si="2"/>
        <v>5</v>
      </c>
      <c r="B18" s="253">
        <f ca="1">IF(ROWS($1:5)&gt;COUNT(Dong12),"",OFFSET(TH!E$1,SMALL(Dong12,ROWS($1:5)),))</f>
        <v>42712</v>
      </c>
      <c r="C18" s="299" t="str">
        <f ca="1">IF(ROWS($1:5)&gt;COUNT(Dong12),"",IF(MID(OFFSET(TH!D$1,SMALL(Dong12,ROWS($1:5)),),4,1)="N",OFFSET(TH!D$1,SMALL(Dong12,ROWS($1:5)),),""))</f>
        <v>VL/N08</v>
      </c>
      <c r="D18" s="253" t="str">
        <f ca="1">IF(ROWS($1:5)&gt;COUNT(Dong12),"",IF(MID(OFFSET(TH!D$1,SMALL(Dong12,ROWS($1:5)),),4,1)="X",OFFSET(TH!D$1,SMALL(Dong12,ROWS($1:5)),),""))</f>
        <v/>
      </c>
      <c r="E18" s="422" t="str">
        <f ca="1">IF(ROWS($1:5)&gt;COUNT(Dong12),"",OFFSET(TH!H$1,SMALL(Dong12,ROWS($1:5)),))</f>
        <v>Cty TNHH SX TM DV Quang Mạnh</v>
      </c>
      <c r="F18" s="253">
        <f t="shared" ca="1" si="0"/>
        <v>42712</v>
      </c>
      <c r="G18" s="254">
        <f ca="1">IF(ROWS($1:5)&gt;COUNT(Dong12),0,IF(MID(OFFSET(TH!D$1,SMALL(Dong12,ROWS($1:5)),),4,1)="N",OFFSET(TH!I$1,SMALL(Dong12,ROWS($1:5)),),0))</f>
        <v>19820</v>
      </c>
      <c r="H18" s="254">
        <f ca="1">IF(ROWS($1:5)&gt;COUNT(Dong12),0,IF(MID(OFFSET(TH!D$1,SMALL(Dong12,ROWS($1:5)),),4,1)="X",OFFSET(TH!I$1,SMALL(Dong12,ROWS($1:5)),),0))</f>
        <v>0</v>
      </c>
      <c r="I18" s="255">
        <f t="shared" ca="1" si="1"/>
        <v>85290</v>
      </c>
      <c r="J18" s="256"/>
      <c r="K18" s="257"/>
    </row>
    <row r="19" spans="1:11" ht="16.5" customHeight="1">
      <c r="A19" s="806">
        <f t="shared" ca="1" si="2"/>
        <v>6</v>
      </c>
      <c r="B19" s="253">
        <f ca="1">IF(ROWS($1:6)&gt;COUNT(Dong12),"",OFFSET(TH!E$1,SMALL(Dong12,ROWS($1:6)),))</f>
        <v>42723</v>
      </c>
      <c r="C19" s="299" t="str">
        <f ca="1">IF(ROWS($1:6)&gt;COUNT(Dong12),"",IF(MID(OFFSET(TH!D$1,SMALL(Dong12,ROWS($1:6)),),4,1)="N",OFFSET(TH!D$1,SMALL(Dong12,ROWS($1:6)),),""))</f>
        <v>VL/N09</v>
      </c>
      <c r="D19" s="253" t="str">
        <f ca="1">IF(ROWS($1:6)&gt;COUNT(Dong12),"",IF(MID(OFFSET(TH!D$1,SMALL(Dong12,ROWS($1:6)),),4,1)="X",OFFSET(TH!D$1,SMALL(Dong12,ROWS($1:6)),),""))</f>
        <v/>
      </c>
      <c r="E19" s="422" t="str">
        <f ca="1">IF(ROWS($1:6)&gt;COUNT(Dong12),"",OFFSET(TH!H$1,SMALL(Dong12,ROWS($1:6)),))</f>
        <v>Cty TNHH SX TM DV Quang Mạnh</v>
      </c>
      <c r="F19" s="253">
        <f t="shared" ca="1" si="0"/>
        <v>42723</v>
      </c>
      <c r="G19" s="254">
        <f ca="1">IF(ROWS($1:6)&gt;COUNT(Dong12),0,IF(MID(OFFSET(TH!D$1,SMALL(Dong12,ROWS($1:6)),),4,1)="N",OFFSET(TH!I$1,SMALL(Dong12,ROWS($1:6)),),0))</f>
        <v>6950</v>
      </c>
      <c r="H19" s="254">
        <f ca="1">IF(ROWS($1:6)&gt;COUNT(Dong12),0,IF(MID(OFFSET(TH!D$1,SMALL(Dong12,ROWS($1:6)),),4,1)="X",OFFSET(TH!I$1,SMALL(Dong12,ROWS($1:6)),),0))</f>
        <v>0</v>
      </c>
      <c r="I19" s="255">
        <f t="shared" ca="1" si="1"/>
        <v>92240</v>
      </c>
      <c r="J19" s="256"/>
      <c r="K19" s="257"/>
    </row>
    <row r="20" spans="1:11" ht="16.5" customHeight="1">
      <c r="A20" s="806">
        <f t="shared" ca="1" si="2"/>
        <v>7</v>
      </c>
      <c r="B20" s="253">
        <f ca="1">IF(ROWS($1:7)&gt;COUNT(Dong12),"",OFFSET(TH!E$1,SMALL(Dong12,ROWS($1:7)),))</f>
        <v>42732</v>
      </c>
      <c r="C20" s="299" t="str">
        <f ca="1">IF(ROWS($1:7)&gt;COUNT(Dong12),"",IF(MID(OFFSET(TH!D$1,SMALL(Dong12,ROWS($1:7)),),4,1)="N",OFFSET(TH!D$1,SMALL(Dong12,ROWS($1:7)),),""))</f>
        <v>VL/N12</v>
      </c>
      <c r="D20" s="253" t="str">
        <f ca="1">IF(ROWS($1:7)&gt;COUNT(Dong12),"",IF(MID(OFFSET(TH!D$1,SMALL(Dong12,ROWS($1:7)),),4,1)="X",OFFSET(TH!D$1,SMALL(Dong12,ROWS($1:7)),),""))</f>
        <v/>
      </c>
      <c r="E20" s="422" t="str">
        <f ca="1">IF(ROWS($1:7)&gt;COUNT(Dong12),"",OFFSET(TH!H$1,SMALL(Dong12,ROWS($1:7)),))</f>
        <v>Cty TNHH SX TM DV Quang Mạnh</v>
      </c>
      <c r="F20" s="253">
        <f t="shared" ca="1" si="0"/>
        <v>42732</v>
      </c>
      <c r="G20" s="254">
        <f ca="1">IF(ROWS($1:7)&gt;COUNT(Dong12),0,IF(MID(OFFSET(TH!D$1,SMALL(Dong12,ROWS($1:7)),),4,1)="N",OFFSET(TH!I$1,SMALL(Dong12,ROWS($1:7)),),0))</f>
        <v>19710</v>
      </c>
      <c r="H20" s="254">
        <f ca="1">IF(ROWS($1:7)&gt;COUNT(Dong12),0,IF(MID(OFFSET(TH!D$1,SMALL(Dong12,ROWS($1:7)),),4,1)="X",OFFSET(TH!I$1,SMALL(Dong12,ROWS($1:7)),),0))</f>
        <v>0</v>
      </c>
      <c r="I20" s="255">
        <f t="shared" ca="1" si="1"/>
        <v>111950</v>
      </c>
      <c r="J20" s="256"/>
      <c r="K20" s="257"/>
    </row>
    <row r="21" spans="1:11" ht="16.5" customHeight="1">
      <c r="A21" s="806">
        <f t="shared" ca="1" si="2"/>
        <v>8</v>
      </c>
      <c r="B21" s="253">
        <f ca="1">IF(ROWS($1:8)&gt;COUNT(Dong12),"",OFFSET(TH!E$1,SMALL(Dong12,ROWS($1:8)),))</f>
        <v>42734</v>
      </c>
      <c r="C21" s="299" t="str">
        <f ca="1">IF(ROWS($1:8)&gt;COUNT(Dong12),"",IF(MID(OFFSET(TH!D$1,SMALL(Dong12,ROWS($1:8)),),4,1)="N",OFFSET(TH!D$1,SMALL(Dong12,ROWS($1:8)),),""))</f>
        <v>VL/N13</v>
      </c>
      <c r="D21" s="253" t="str">
        <f ca="1">IF(ROWS($1:8)&gt;COUNT(Dong12),"",IF(MID(OFFSET(TH!D$1,SMALL(Dong12,ROWS($1:8)),),4,1)="X",OFFSET(TH!D$1,SMALL(Dong12,ROWS($1:8)),),""))</f>
        <v/>
      </c>
      <c r="E21" s="422" t="str">
        <f ca="1">IF(ROWS($1:8)&gt;COUNT(Dong12),"",OFFSET(TH!H$1,SMALL(Dong12,ROWS($1:8)),))</f>
        <v>Cty TNHH SX TM DV Quang Mạnh</v>
      </c>
      <c r="F21" s="253">
        <f t="shared" ca="1" si="0"/>
        <v>42734</v>
      </c>
      <c r="G21" s="254">
        <f ca="1">IF(ROWS($1:8)&gt;COUNT(Dong12),0,IF(MID(OFFSET(TH!D$1,SMALL(Dong12,ROWS($1:8)),),4,1)="N",OFFSET(TH!I$1,SMALL(Dong12,ROWS($1:8)),),0))</f>
        <v>7860</v>
      </c>
      <c r="H21" s="254">
        <f ca="1">IF(ROWS($1:8)&gt;COUNT(Dong12),0,IF(MID(OFFSET(TH!D$1,SMALL(Dong12,ROWS($1:8)),),4,1)="X",OFFSET(TH!I$1,SMALL(Dong12,ROWS($1:8)),),0))</f>
        <v>0</v>
      </c>
      <c r="I21" s="255">
        <f t="shared" ca="1" si="1"/>
        <v>119810</v>
      </c>
      <c r="J21" s="256"/>
      <c r="K21" s="257"/>
    </row>
    <row r="22" spans="1:11" ht="16.5" customHeight="1">
      <c r="A22" s="806">
        <f t="shared" ca="1" si="2"/>
        <v>9</v>
      </c>
      <c r="B22" s="253">
        <f ca="1">IF(ROWS($1:9)&gt;COUNT(Dong12),"",OFFSET(TH!E$1,SMALL(Dong12,ROWS($1:9)),))</f>
        <v>42595</v>
      </c>
      <c r="C22" s="299" t="str">
        <f ca="1">IF(ROWS($1:9)&gt;COUNT(Dong12),"",IF(MID(OFFSET(TH!D$1,SMALL(Dong12,ROWS($1:9)),),4,1)="N",OFFSET(TH!D$1,SMALL(Dong12,ROWS($1:9)),),""))</f>
        <v/>
      </c>
      <c r="D22" s="253" t="str">
        <f ca="1">IF(ROWS($1:9)&gt;COUNT(Dong12),"",IF(MID(OFFSET(TH!D$1,SMALL(Dong12,ROWS($1:9)),),4,1)="X",OFFSET(TH!D$1,SMALL(Dong12,ROWS($1:9)),),""))</f>
        <v>VL/X</v>
      </c>
      <c r="E22" s="422" t="str">
        <f ca="1">IF(ROWS($1:9)&gt;COUNT(Dong12),"",OFFSET(TH!H$1,SMALL(Dong12,ROWS($1:9)),))</f>
        <v>Xuất sản xuất</v>
      </c>
      <c r="F22" s="253">
        <f t="shared" ca="1" si="0"/>
        <v>42595</v>
      </c>
      <c r="G22" s="254">
        <f ca="1">IF(ROWS($1:9)&gt;COUNT(Dong12),0,IF(MID(OFFSET(TH!D$1,SMALL(Dong12,ROWS($1:9)),),4,1)="N",OFFSET(TH!I$1,SMALL(Dong12,ROWS($1:9)),),0))</f>
        <v>0</v>
      </c>
      <c r="H22" s="254">
        <f ca="1">IF(ROWS($1:9)&gt;COUNT(Dong12),0,IF(MID(OFFSET(TH!D$1,SMALL(Dong12,ROWS($1:9)),),4,1)="X",OFFSET(TH!I$1,SMALL(Dong12,ROWS($1:9)),),0))</f>
        <v>19810</v>
      </c>
      <c r="I22" s="255">
        <f t="shared" ca="1" si="1"/>
        <v>100000</v>
      </c>
      <c r="J22" s="256"/>
      <c r="K22" s="257"/>
    </row>
    <row r="23" spans="1:11" ht="16.5" customHeight="1">
      <c r="A23" s="806">
        <f t="shared" ca="1" si="2"/>
        <v>10</v>
      </c>
      <c r="B23" s="253">
        <f ca="1">IF(ROWS($1:10)&gt;COUNT(Dong12),"",OFFSET(TH!E$1,SMALL(Dong12,ROWS($1:10)),))</f>
        <v>42601</v>
      </c>
      <c r="C23" s="299" t="str">
        <f ca="1">IF(ROWS($1:10)&gt;COUNT(Dong12),"",IF(MID(OFFSET(TH!D$1,SMALL(Dong12,ROWS($1:10)),),4,1)="N",OFFSET(TH!D$1,SMALL(Dong12,ROWS($1:10)),),""))</f>
        <v/>
      </c>
      <c r="D23" s="253" t="str">
        <f ca="1">IF(ROWS($1:10)&gt;COUNT(Dong12),"",IF(MID(OFFSET(TH!D$1,SMALL(Dong12,ROWS($1:10)),),4,1)="X",OFFSET(TH!D$1,SMALL(Dong12,ROWS($1:10)),),""))</f>
        <v>VL/X</v>
      </c>
      <c r="E23" s="422" t="str">
        <f ca="1">IF(ROWS($1:10)&gt;COUNT(Dong12),"",OFFSET(TH!H$1,SMALL(Dong12,ROWS($1:10)),))</f>
        <v>Xuất sản xuất</v>
      </c>
      <c r="F23" s="253">
        <f t="shared" ca="1" si="0"/>
        <v>42601</v>
      </c>
      <c r="G23" s="254">
        <f ca="1">IF(ROWS($1:10)&gt;COUNT(Dong12),0,IF(MID(OFFSET(TH!D$1,SMALL(Dong12,ROWS($1:10)),),4,1)="N",OFFSET(TH!I$1,SMALL(Dong12,ROWS($1:10)),),0))</f>
        <v>0</v>
      </c>
      <c r="H23" s="254">
        <f ca="1">IF(ROWS($1:10)&gt;COUNT(Dong12),0,IF(MID(OFFSET(TH!D$1,SMALL(Dong12,ROWS($1:10)),),4,1)="X",OFFSET(TH!I$1,SMALL(Dong12,ROWS($1:10)),),0))</f>
        <v>14330</v>
      </c>
      <c r="I23" s="255">
        <f t="shared" ca="1" si="1"/>
        <v>85670</v>
      </c>
      <c r="J23" s="256"/>
      <c r="K23" s="257"/>
    </row>
    <row r="24" spans="1:11" ht="16.5" customHeight="1">
      <c r="A24" s="806">
        <f t="shared" ca="1" si="2"/>
        <v>11</v>
      </c>
      <c r="B24" s="253">
        <f ca="1">IF(ROWS($1:11)&gt;COUNT(Dong12),"",OFFSET(TH!E$1,SMALL(Dong12,ROWS($1:11)),))</f>
        <v>42613</v>
      </c>
      <c r="C24" s="299" t="str">
        <f ca="1">IF(ROWS($1:11)&gt;COUNT(Dong12),"",IF(MID(OFFSET(TH!D$1,SMALL(Dong12,ROWS($1:11)),),4,1)="N",OFFSET(TH!D$1,SMALL(Dong12,ROWS($1:11)),),""))</f>
        <v/>
      </c>
      <c r="D24" s="253" t="str">
        <f ca="1">IF(ROWS($1:11)&gt;COUNT(Dong12),"",IF(MID(OFFSET(TH!D$1,SMALL(Dong12,ROWS($1:11)),),4,1)="X",OFFSET(TH!D$1,SMALL(Dong12,ROWS($1:11)),),""))</f>
        <v>VL/X</v>
      </c>
      <c r="E24" s="422" t="str">
        <f ca="1">IF(ROWS($1:11)&gt;COUNT(Dong12),"",OFFSET(TH!H$1,SMALL(Dong12,ROWS($1:11)),))</f>
        <v>Xuất sản xuất</v>
      </c>
      <c r="F24" s="253">
        <f t="shared" ca="1" si="0"/>
        <v>42613</v>
      </c>
      <c r="G24" s="254">
        <f ca="1">IF(ROWS($1:11)&gt;COUNT(Dong12),0,IF(MID(OFFSET(TH!D$1,SMALL(Dong12,ROWS($1:11)),),4,1)="N",OFFSET(TH!I$1,SMALL(Dong12,ROWS($1:11)),),0))</f>
        <v>0</v>
      </c>
      <c r="H24" s="254">
        <f ca="1">IF(ROWS($1:11)&gt;COUNT(Dong12),0,IF(MID(OFFSET(TH!D$1,SMALL(Dong12,ROWS($1:11)),),4,1)="X",OFFSET(TH!I$1,SMALL(Dong12,ROWS($1:11)),),0))</f>
        <v>12830</v>
      </c>
      <c r="I24" s="255">
        <f t="shared" ca="1" si="1"/>
        <v>72840</v>
      </c>
      <c r="J24" s="256"/>
      <c r="K24" s="257"/>
    </row>
    <row r="25" spans="1:11" ht="16.5" customHeight="1">
      <c r="A25" s="806">
        <f t="shared" ca="1" si="2"/>
        <v>12</v>
      </c>
      <c r="B25" s="253">
        <f ca="1">IF(ROWS($1:12)&gt;COUNT(Dong12),"",OFFSET(TH!E$1,SMALL(Dong12,ROWS($1:12)),))</f>
        <v>42630</v>
      </c>
      <c r="C25" s="299" t="str">
        <f ca="1">IF(ROWS($1:12)&gt;COUNT(Dong12),"",IF(MID(OFFSET(TH!D$1,SMALL(Dong12,ROWS($1:12)),),4,1)="N",OFFSET(TH!D$1,SMALL(Dong12,ROWS($1:12)),),""))</f>
        <v/>
      </c>
      <c r="D25" s="253" t="str">
        <f ca="1">IF(ROWS($1:12)&gt;COUNT(Dong12),"",IF(MID(OFFSET(TH!D$1,SMALL(Dong12,ROWS($1:12)),),4,1)="X",OFFSET(TH!D$1,SMALL(Dong12,ROWS($1:12)),),""))</f>
        <v>VL/X</v>
      </c>
      <c r="E25" s="422" t="str">
        <f ca="1">IF(ROWS($1:12)&gt;COUNT(Dong12),"",OFFSET(TH!H$1,SMALL(Dong12,ROWS($1:12)),))</f>
        <v>Xuất sản xuất</v>
      </c>
      <c r="F25" s="253">
        <f t="shared" ca="1" si="0"/>
        <v>42630</v>
      </c>
      <c r="G25" s="254">
        <f ca="1">IF(ROWS($1:12)&gt;COUNT(Dong12),0,IF(MID(OFFSET(TH!D$1,SMALL(Dong12,ROWS($1:12)),),4,1)="N",OFFSET(TH!I$1,SMALL(Dong12,ROWS($1:12)),),0))</f>
        <v>0</v>
      </c>
      <c r="H25" s="254">
        <f ca="1">IF(ROWS($1:12)&gt;COUNT(Dong12),0,IF(MID(OFFSET(TH!D$1,SMALL(Dong12,ROWS($1:12)),),4,1)="X",OFFSET(TH!I$1,SMALL(Dong12,ROWS($1:12)),),0))</f>
        <v>18500</v>
      </c>
      <c r="I25" s="255">
        <f t="shared" ca="1" si="1"/>
        <v>54340</v>
      </c>
      <c r="J25" s="256"/>
      <c r="K25" s="257"/>
    </row>
    <row r="26" spans="1:11" ht="16.5" customHeight="1">
      <c r="A26" s="806">
        <f t="shared" ca="1" si="2"/>
        <v>13</v>
      </c>
      <c r="B26" s="253">
        <f ca="1">IF(ROWS($1:13)&gt;COUNT(Dong12),"",OFFSET(TH!E$1,SMALL(Dong12,ROWS($1:13)),))</f>
        <v>42712</v>
      </c>
      <c r="C26" s="299" t="str">
        <f ca="1">IF(ROWS($1:13)&gt;COUNT(Dong12),"",IF(MID(OFFSET(TH!D$1,SMALL(Dong12,ROWS($1:13)),),4,1)="N",OFFSET(TH!D$1,SMALL(Dong12,ROWS($1:13)),),""))</f>
        <v/>
      </c>
      <c r="D26" s="253" t="str">
        <f ca="1">IF(ROWS($1:13)&gt;COUNT(Dong12),"",IF(MID(OFFSET(TH!D$1,SMALL(Dong12,ROWS($1:13)),),4,1)="X",OFFSET(TH!D$1,SMALL(Dong12,ROWS($1:13)),),""))</f>
        <v>VL/X</v>
      </c>
      <c r="E26" s="422" t="str">
        <f ca="1">IF(ROWS($1:13)&gt;COUNT(Dong12),"",OFFSET(TH!H$1,SMALL(Dong12,ROWS($1:13)),))</f>
        <v>Xuất sản xuất</v>
      </c>
      <c r="F26" s="253">
        <f t="shared" ca="1" si="0"/>
        <v>42712</v>
      </c>
      <c r="G26" s="254">
        <f ca="1">IF(ROWS($1:13)&gt;COUNT(Dong12),0,IF(MID(OFFSET(TH!D$1,SMALL(Dong12,ROWS($1:13)),),4,1)="N",OFFSET(TH!I$1,SMALL(Dong12,ROWS($1:13)),),0))</f>
        <v>0</v>
      </c>
      <c r="H26" s="254">
        <f ca="1">IF(ROWS($1:13)&gt;COUNT(Dong12),0,IF(MID(OFFSET(TH!D$1,SMALL(Dong12,ROWS($1:13)),),4,1)="X",OFFSET(TH!I$1,SMALL(Dong12,ROWS($1:13)),),0))</f>
        <v>19820</v>
      </c>
      <c r="I26" s="255">
        <f t="shared" ca="1" si="1"/>
        <v>34520</v>
      </c>
      <c r="J26" s="256"/>
      <c r="K26" s="257"/>
    </row>
    <row r="27" spans="1:11" ht="16.5" customHeight="1">
      <c r="A27" s="806">
        <f t="shared" ca="1" si="2"/>
        <v>14</v>
      </c>
      <c r="B27" s="253">
        <f ca="1">IF(ROWS($1:14)&gt;COUNT(Dong12),"",OFFSET(TH!E$1,SMALL(Dong12,ROWS($1:14)),))</f>
        <v>42723</v>
      </c>
      <c r="C27" s="299" t="str">
        <f ca="1">IF(ROWS($1:14)&gt;COUNT(Dong12),"",IF(MID(OFFSET(TH!D$1,SMALL(Dong12,ROWS($1:14)),),4,1)="N",OFFSET(TH!D$1,SMALL(Dong12,ROWS($1:14)),),""))</f>
        <v/>
      </c>
      <c r="D27" s="253" t="str">
        <f ca="1">IF(ROWS($1:14)&gt;COUNT(Dong12),"",IF(MID(OFFSET(TH!D$1,SMALL(Dong12,ROWS($1:14)),),4,1)="X",OFFSET(TH!D$1,SMALL(Dong12,ROWS($1:14)),),""))</f>
        <v>VL/X</v>
      </c>
      <c r="E27" s="422" t="str">
        <f ca="1">IF(ROWS($1:14)&gt;COUNT(Dong12),"",OFFSET(TH!H$1,SMALL(Dong12,ROWS($1:14)),))</f>
        <v>Xuất sản xuất</v>
      </c>
      <c r="F27" s="253">
        <f t="shared" ca="1" si="0"/>
        <v>42723</v>
      </c>
      <c r="G27" s="254">
        <f ca="1">IF(ROWS($1:14)&gt;COUNT(Dong12),0,IF(MID(OFFSET(TH!D$1,SMALL(Dong12,ROWS($1:14)),),4,1)="N",OFFSET(TH!I$1,SMALL(Dong12,ROWS($1:14)),),0))</f>
        <v>0</v>
      </c>
      <c r="H27" s="254">
        <f ca="1">IF(ROWS($1:14)&gt;COUNT(Dong12),0,IF(MID(OFFSET(TH!D$1,SMALL(Dong12,ROWS($1:14)),),4,1)="X",OFFSET(TH!I$1,SMALL(Dong12,ROWS($1:14)),),0))</f>
        <v>6950</v>
      </c>
      <c r="I27" s="255">
        <f t="shared" ca="1" si="1"/>
        <v>27570</v>
      </c>
      <c r="J27" s="256"/>
      <c r="K27" s="257"/>
    </row>
    <row r="28" spans="1:11" ht="16.5" customHeight="1">
      <c r="A28" s="806" t="str">
        <f t="shared" ca="1" si="2"/>
        <v/>
      </c>
      <c r="B28" s="253" t="str">
        <f ca="1">IF(ROWS($1:15)&gt;COUNT(Dong12),"",OFFSET(TH!E$1,SMALL(Dong12,ROWS($1:15)),))</f>
        <v/>
      </c>
      <c r="C28" s="299" t="str">
        <f ca="1">IF(ROWS($1:15)&gt;COUNT(Dong12),"",IF(MID(OFFSET(TH!D$1,SMALL(Dong12,ROWS($1:15)),),4,1)="N",OFFSET(TH!D$1,SMALL(Dong12,ROWS($1:15)),),""))</f>
        <v/>
      </c>
      <c r="D28" s="253" t="str">
        <f ca="1">IF(ROWS($1:15)&gt;COUNT(Dong12),"",IF(MID(OFFSET(TH!D$1,SMALL(Dong12,ROWS($1:15)),),4,1)="X",OFFSET(TH!D$1,SMALL(Dong12,ROWS($1:15)),),""))</f>
        <v/>
      </c>
      <c r="E28" s="422" t="str">
        <f ca="1">IF(ROWS($1:15)&gt;COUNT(Dong12),"",OFFSET(TH!H$1,SMALL(Dong12,ROWS($1:15)),))</f>
        <v/>
      </c>
      <c r="F28" s="253" t="str">
        <f t="shared" ca="1" si="0"/>
        <v/>
      </c>
      <c r="G28" s="254">
        <f ca="1">IF(ROWS($1:15)&gt;COUNT(Dong12),0,IF(MID(OFFSET(TH!D$1,SMALL(Dong12,ROWS($1:15)),),4,1)="N",OFFSET(TH!I$1,SMALL(Dong12,ROWS($1:15)),),0))</f>
        <v>0</v>
      </c>
      <c r="H28" s="254">
        <f ca="1">IF(ROWS($1:15)&gt;COUNT(Dong12),0,IF(MID(OFFSET(TH!D$1,SMALL(Dong12,ROWS($1:15)),),4,1)="X",OFFSET(TH!I$1,SMALL(Dong12,ROWS($1:15)),),0))</f>
        <v>0</v>
      </c>
      <c r="I28" s="255">
        <f t="shared" ca="1" si="1"/>
        <v>0</v>
      </c>
      <c r="J28" s="256"/>
      <c r="K28" s="257"/>
    </row>
    <row r="29" spans="1:11" ht="16.5" customHeight="1">
      <c r="A29" s="806" t="str">
        <f t="shared" ca="1" si="2"/>
        <v/>
      </c>
      <c r="B29" s="253" t="str">
        <f ca="1">IF(ROWS($1:16)&gt;COUNT(Dong12),"",OFFSET(TH!E$1,SMALL(Dong12,ROWS($1:16)),))</f>
        <v/>
      </c>
      <c r="C29" s="299" t="str">
        <f ca="1">IF(ROWS($1:16)&gt;COUNT(Dong12),"",IF(MID(OFFSET(TH!D$1,SMALL(Dong12,ROWS($1:16)),),4,1)="N",OFFSET(TH!D$1,SMALL(Dong12,ROWS($1:16)),),""))</f>
        <v/>
      </c>
      <c r="D29" s="253" t="str">
        <f ca="1">IF(ROWS($1:16)&gt;COUNT(Dong12),"",IF(MID(OFFSET(TH!D$1,SMALL(Dong12,ROWS($1:16)),),4,1)="X",OFFSET(TH!D$1,SMALL(Dong12,ROWS($1:16)),),""))</f>
        <v/>
      </c>
      <c r="E29" s="422" t="str">
        <f ca="1">IF(ROWS($1:16)&gt;COUNT(Dong12),"",OFFSET(TH!H$1,SMALL(Dong12,ROWS($1:16)),))</f>
        <v/>
      </c>
      <c r="F29" s="253" t="str">
        <f t="shared" ca="1" si="0"/>
        <v/>
      </c>
      <c r="G29" s="254">
        <f ca="1">IF(ROWS($1:16)&gt;COUNT(Dong12),0,IF(MID(OFFSET(TH!D$1,SMALL(Dong12,ROWS($1:16)),),4,1)="N",OFFSET(TH!I$1,SMALL(Dong12,ROWS($1:16)),),0))</f>
        <v>0</v>
      </c>
      <c r="H29" s="254">
        <f ca="1">IF(ROWS($1:16)&gt;COUNT(Dong12),0,IF(MID(OFFSET(TH!D$1,SMALL(Dong12,ROWS($1:16)),),4,1)="X",OFFSET(TH!I$1,SMALL(Dong12,ROWS($1:16)),),0))</f>
        <v>0</v>
      </c>
      <c r="I29" s="255">
        <f t="shared" ca="1" si="1"/>
        <v>0</v>
      </c>
      <c r="J29" s="256"/>
      <c r="K29" s="257"/>
    </row>
    <row r="30" spans="1:11" ht="16.5" customHeight="1">
      <c r="A30" s="806" t="str">
        <f t="shared" ca="1" si="2"/>
        <v/>
      </c>
      <c r="B30" s="253" t="str">
        <f ca="1">IF(ROWS($1:17)&gt;COUNT(Dong12),"",OFFSET(TH!E$1,SMALL(Dong12,ROWS($1:17)),))</f>
        <v/>
      </c>
      <c r="C30" s="299" t="str">
        <f ca="1">IF(ROWS($1:17)&gt;COUNT(Dong12),"",IF(MID(OFFSET(TH!D$1,SMALL(Dong12,ROWS($1:17)),),4,1)="N",OFFSET(TH!D$1,SMALL(Dong12,ROWS($1:17)),),""))</f>
        <v/>
      </c>
      <c r="D30" s="253" t="str">
        <f ca="1">IF(ROWS($1:17)&gt;COUNT(Dong12),"",IF(MID(OFFSET(TH!D$1,SMALL(Dong12,ROWS($1:17)),),4,1)="X",OFFSET(TH!D$1,SMALL(Dong12,ROWS($1:17)),),""))</f>
        <v/>
      </c>
      <c r="E30" s="422" t="str">
        <f ca="1">IF(ROWS($1:17)&gt;COUNT(Dong12),"",OFFSET(TH!H$1,SMALL(Dong12,ROWS($1:17)),))</f>
        <v/>
      </c>
      <c r="F30" s="253" t="str">
        <f t="shared" ca="1" si="0"/>
        <v/>
      </c>
      <c r="G30" s="254">
        <f ca="1">IF(ROWS($1:17)&gt;COUNT(Dong12),0,IF(MID(OFFSET(TH!D$1,SMALL(Dong12,ROWS($1:17)),),4,1)="N",OFFSET(TH!I$1,SMALL(Dong12,ROWS($1:17)),),0))</f>
        <v>0</v>
      </c>
      <c r="H30" s="254">
        <f ca="1">IF(ROWS($1:17)&gt;COUNT(Dong12),0,IF(MID(OFFSET(TH!D$1,SMALL(Dong12,ROWS($1:17)),),4,1)="X",OFFSET(TH!I$1,SMALL(Dong12,ROWS($1:17)),),0))</f>
        <v>0</v>
      </c>
      <c r="I30" s="255">
        <f t="shared" ca="1" si="1"/>
        <v>0</v>
      </c>
      <c r="J30" s="256"/>
      <c r="K30" s="257"/>
    </row>
    <row r="31" spans="1:11" ht="16.5" customHeight="1">
      <c r="A31" s="807" t="str">
        <f>IF(D31&lt;&gt;"",A21+1,"")</f>
        <v/>
      </c>
      <c r="B31" s="258"/>
      <c r="C31" s="259"/>
      <c r="D31" s="259"/>
      <c r="E31" s="423"/>
      <c r="F31" s="258"/>
      <c r="G31" s="260"/>
      <c r="H31" s="260"/>
      <c r="I31" s="260"/>
      <c r="J31" s="261"/>
      <c r="K31" s="257"/>
    </row>
    <row r="32" spans="1:11" ht="16.5" customHeight="1">
      <c r="A32" s="248"/>
      <c r="B32" s="262"/>
      <c r="C32" s="248"/>
      <c r="D32" s="248"/>
      <c r="E32" s="249" t="s">
        <v>229</v>
      </c>
      <c r="F32" s="263" t="s">
        <v>19</v>
      </c>
      <c r="G32" s="264">
        <f ca="1">SUM(G14:G31)</f>
        <v>119810</v>
      </c>
      <c r="H32" s="264">
        <f ca="1">SUM(H14:H31)</f>
        <v>92240</v>
      </c>
      <c r="I32" s="264">
        <f ca="1">I13+G32-H32</f>
        <v>27570</v>
      </c>
      <c r="J32" s="248" t="s">
        <v>19</v>
      </c>
      <c r="K32" s="265"/>
    </row>
    <row r="33" spans="1:11" ht="12.75" customHeight="1">
      <c r="A33" s="266"/>
      <c r="B33" s="230"/>
      <c r="C33" s="266"/>
      <c r="D33" s="266"/>
      <c r="E33" s="233"/>
      <c r="F33" s="230"/>
      <c r="G33" s="234"/>
      <c r="H33" s="234"/>
      <c r="I33" s="234"/>
      <c r="J33" s="226"/>
      <c r="K33" s="226"/>
    </row>
    <row r="34" spans="1:11" ht="15">
      <c r="A34" s="267" t="s">
        <v>230</v>
      </c>
      <c r="B34" s="267"/>
      <c r="C34" s="268"/>
      <c r="D34" s="268"/>
      <c r="E34" s="233"/>
      <c r="F34" s="230"/>
      <c r="G34" s="234"/>
      <c r="H34" s="234"/>
      <c r="I34" s="234"/>
      <c r="J34" s="226"/>
      <c r="K34" s="226"/>
    </row>
    <row r="35" spans="1:11" ht="15">
      <c r="A35" s="944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13 tháng 8 năm 2016</v>
      </c>
      <c r="B35" s="945"/>
      <c r="C35" s="945"/>
      <c r="D35" s="945"/>
      <c r="E35" s="945"/>
      <c r="F35" s="230"/>
      <c r="G35" s="234"/>
      <c r="H35" s="234"/>
      <c r="I35" s="234"/>
      <c r="J35" s="226"/>
      <c r="K35" s="226"/>
    </row>
    <row r="36" spans="1:11" ht="15">
      <c r="A36" s="269"/>
      <c r="B36" s="270"/>
      <c r="C36" s="271"/>
      <c r="D36" s="266"/>
      <c r="E36" s="233"/>
      <c r="F36" s="230"/>
      <c r="H36" s="170"/>
      <c r="I36" s="375" t="str">
        <f ca="1">"Ngày 31 tháng  12  năm  "&amp;YEAR($B$14)</f>
        <v>Ngày 31 tháng  12  năm  2016</v>
      </c>
      <c r="J36" s="170"/>
      <c r="K36" s="375"/>
    </row>
    <row r="37" spans="1:11" ht="15" customHeight="1">
      <c r="A37" s="269"/>
      <c r="C37" s="675" t="s">
        <v>231</v>
      </c>
      <c r="D37" s="266"/>
      <c r="E37" s="946" t="s">
        <v>12</v>
      </c>
      <c r="F37" s="946"/>
      <c r="G37" s="234"/>
      <c r="I37" s="404" t="s">
        <v>105</v>
      </c>
      <c r="J37" s="228"/>
      <c r="K37" s="269"/>
    </row>
    <row r="38" spans="1:11" ht="15" customHeight="1">
      <c r="A38" s="272"/>
      <c r="C38" s="273" t="s">
        <v>13</v>
      </c>
      <c r="D38" s="274"/>
      <c r="E38" s="939" t="s">
        <v>13</v>
      </c>
      <c r="F38" s="939"/>
      <c r="G38" s="234"/>
      <c r="I38" s="405" t="s">
        <v>132</v>
      </c>
      <c r="J38" s="403"/>
      <c r="K38" s="272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430"/>
  <sheetViews>
    <sheetView topLeftCell="A2" workbookViewId="0">
      <selection activeCell="K6" sqref="K6"/>
    </sheetView>
  </sheetViews>
  <sheetFormatPr defaultColWidth="10.28515625" defaultRowHeight="12.75"/>
  <cols>
    <col min="1" max="1" width="4.7109375" style="464" customWidth="1"/>
    <col min="2" max="2" width="27.140625" style="464" customWidth="1"/>
    <col min="3" max="3" width="10.140625" style="477" customWidth="1"/>
    <col min="4" max="4" width="9.5703125" style="478" customWidth="1"/>
    <col min="5" max="7" width="7.140625" style="505" customWidth="1"/>
    <col min="8" max="8" width="8.5703125" style="464" customWidth="1"/>
    <col min="9" max="10" width="8.42578125" style="464" customWidth="1"/>
    <col min="11" max="11" width="8" style="464" customWidth="1"/>
    <col min="12" max="12" width="7.140625" style="479" customWidth="1"/>
    <col min="13" max="13" width="2" style="476" customWidth="1"/>
    <col min="14" max="14" width="28.140625" style="464" customWidth="1"/>
    <col min="15" max="15" width="10.140625" style="477" customWidth="1"/>
    <col min="16" max="16" width="8.140625" style="505" customWidth="1"/>
    <col min="17" max="17" width="7.5703125" style="165" customWidth="1"/>
    <col min="18" max="18" width="12.42578125" style="464" customWidth="1"/>
    <col min="19" max="19" width="14.28515625" style="464" customWidth="1"/>
    <col min="20" max="20" width="13.42578125" style="464" customWidth="1"/>
    <col min="21" max="16384" width="10.28515625" style="464"/>
  </cols>
  <sheetData>
    <row r="1" spans="1:20" ht="18" hidden="1" customHeight="1">
      <c r="A1" s="387" t="str">
        <f>TH!$A$1</f>
        <v>Đơn vị: CÔNG TY TNHH BAO BÌ GIẤY KIM DUNG PHÁT</v>
      </c>
      <c r="B1" s="465"/>
      <c r="C1" s="463"/>
      <c r="H1" s="165"/>
      <c r="I1" s="409"/>
      <c r="J1" s="409"/>
      <c r="K1" s="165"/>
      <c r="M1" s="479"/>
      <c r="N1" s="165"/>
      <c r="O1" s="463"/>
    </row>
    <row r="2" spans="1:20" ht="18.75" customHeight="1">
      <c r="A2" s="466" t="s">
        <v>413</v>
      </c>
      <c r="B2" s="466"/>
      <c r="C2" s="463"/>
      <c r="E2" s="545"/>
      <c r="F2" s="545"/>
      <c r="G2" s="545"/>
      <c r="H2" s="466"/>
      <c r="I2" s="466"/>
      <c r="J2" s="466"/>
      <c r="K2" s="466"/>
      <c r="M2" s="479"/>
      <c r="N2" s="165"/>
      <c r="O2" s="463"/>
    </row>
    <row r="3" spans="1:20" ht="12.75" customHeight="1">
      <c r="A3" s="503"/>
      <c r="B3" s="500"/>
      <c r="C3" s="503"/>
      <c r="D3" s="503"/>
      <c r="E3" s="546"/>
      <c r="F3" s="546"/>
      <c r="G3" s="546"/>
      <c r="H3" s="500"/>
      <c r="I3" s="481"/>
      <c r="J3" s="481"/>
      <c r="K3" s="500"/>
      <c r="M3" s="479"/>
      <c r="N3" s="474"/>
      <c r="O3" s="503"/>
      <c r="P3" s="506"/>
      <c r="Q3" s="482"/>
      <c r="R3" s="503"/>
      <c r="S3" s="474"/>
    </row>
    <row r="4" spans="1:20" s="282" customFormat="1" ht="21" customHeight="1">
      <c r="A4" s="962" t="s">
        <v>34</v>
      </c>
      <c r="B4" s="962" t="s">
        <v>232</v>
      </c>
      <c r="C4" s="962" t="s">
        <v>385</v>
      </c>
      <c r="D4" s="962" t="s">
        <v>386</v>
      </c>
      <c r="E4" s="963" t="s">
        <v>387</v>
      </c>
      <c r="F4" s="963"/>
      <c r="G4" s="963"/>
      <c r="H4" s="963"/>
      <c r="I4" s="962" t="s">
        <v>397</v>
      </c>
      <c r="J4" s="962" t="s">
        <v>233</v>
      </c>
      <c r="K4" s="962" t="s">
        <v>391</v>
      </c>
      <c r="L4" s="281"/>
      <c r="M4" s="281"/>
      <c r="N4" s="962" t="s">
        <v>232</v>
      </c>
      <c r="O4" s="962" t="s">
        <v>392</v>
      </c>
      <c r="P4" s="962" t="s">
        <v>191</v>
      </c>
      <c r="Q4" s="962" t="s">
        <v>234</v>
      </c>
      <c r="R4" s="962" t="s">
        <v>235</v>
      </c>
    </row>
    <row r="5" spans="1:20" s="282" customFormat="1" ht="21" customHeight="1">
      <c r="A5" s="962"/>
      <c r="B5" s="962"/>
      <c r="C5" s="962"/>
      <c r="D5" s="962"/>
      <c r="E5" s="507" t="s">
        <v>388</v>
      </c>
      <c r="F5" s="507" t="s">
        <v>389</v>
      </c>
      <c r="G5" s="507" t="s">
        <v>390</v>
      </c>
      <c r="H5" s="280" t="s">
        <v>395</v>
      </c>
      <c r="I5" s="962"/>
      <c r="J5" s="962"/>
      <c r="K5" s="962"/>
      <c r="L5" s="281"/>
      <c r="M5" s="281"/>
      <c r="N5" s="962"/>
      <c r="O5" s="962"/>
      <c r="P5" s="962"/>
      <c r="Q5" s="962"/>
      <c r="R5" s="962"/>
    </row>
    <row r="6" spans="1:20" ht="16.5" customHeight="1">
      <c r="A6" s="468">
        <f>IF(B6&lt;&gt;"",ROW()-(ROW()-1),"")</f>
        <v>1</v>
      </c>
      <c r="B6" s="166" t="s">
        <v>493</v>
      </c>
      <c r="C6" s="484">
        <v>42566</v>
      </c>
      <c r="D6" s="485" t="s">
        <v>699</v>
      </c>
      <c r="E6" s="547">
        <v>85.5</v>
      </c>
      <c r="F6" s="547">
        <v>100.5</v>
      </c>
      <c r="G6" s="547">
        <v>35</v>
      </c>
      <c r="H6" s="543">
        <f>IF(G6&lt;&gt;"",ROUND(((E6+F6)*2+5)*(F6+G6+3)/10000,2),ROUND(E6*F6/10000,2))</f>
        <v>5.22</v>
      </c>
      <c r="I6" s="469">
        <f t="shared" ref="I6:I37" si="0">H6*J6</f>
        <v>381.06</v>
      </c>
      <c r="J6" s="594">
        <v>73</v>
      </c>
      <c r="K6" s="469">
        <f t="shared" ref="K6:K14" si="1">H6*$R$33</f>
        <v>43030.791972046798</v>
      </c>
      <c r="L6" s="421">
        <v>21849</v>
      </c>
      <c r="M6" s="483"/>
      <c r="N6" s="283" t="s">
        <v>405</v>
      </c>
      <c r="O6" s="484">
        <v>42529</v>
      </c>
      <c r="P6" s="169">
        <v>10288</v>
      </c>
      <c r="Q6" s="502">
        <v>7500</v>
      </c>
      <c r="R6" s="5">
        <f t="shared" ref="R6:R7" si="2">ROUND(P6*Q6,0)</f>
        <v>77160000</v>
      </c>
      <c r="S6" s="464">
        <f t="shared" ref="S6:S37" si="3">J6*L6</f>
        <v>1594977</v>
      </c>
      <c r="T6" s="464">
        <f t="shared" ref="T6:T37" si="4">J6*K6</f>
        <v>3141247.8139594165</v>
      </c>
    </row>
    <row r="7" spans="1:20" ht="16.5" customHeight="1">
      <c r="A7" s="468">
        <f>IF(B7&lt;&gt;"",A6+1,"")</f>
        <v>2</v>
      </c>
      <c r="B7" s="167" t="s">
        <v>497</v>
      </c>
      <c r="C7" s="486">
        <v>42566</v>
      </c>
      <c r="D7" s="487" t="s">
        <v>700</v>
      </c>
      <c r="E7" s="548">
        <v>117</v>
      </c>
      <c r="F7" s="547">
        <v>87</v>
      </c>
      <c r="G7" s="547">
        <v>5</v>
      </c>
      <c r="H7" s="593">
        <f t="shared" ref="H7:H70" si="5">IF(G7&lt;&gt;"",ROUND(((E7+F7)*2+5)*(F7+G7+3)/10000,2),ROUND(E7*F7/10000,2))</f>
        <v>3.92</v>
      </c>
      <c r="I7" s="140">
        <f t="shared" si="0"/>
        <v>392</v>
      </c>
      <c r="J7" s="566">
        <v>100</v>
      </c>
      <c r="K7" s="140">
        <f t="shared" si="1"/>
        <v>32314.311212724799</v>
      </c>
      <c r="L7" s="421">
        <v>10000</v>
      </c>
      <c r="M7" s="483"/>
      <c r="N7" s="284" t="s">
        <v>405</v>
      </c>
      <c r="O7" s="484">
        <v>42542</v>
      </c>
      <c r="P7" s="508">
        <v>4094</v>
      </c>
      <c r="Q7" s="501">
        <v>7600</v>
      </c>
      <c r="R7" s="5">
        <f t="shared" si="2"/>
        <v>31114400</v>
      </c>
      <c r="S7" s="464">
        <f t="shared" si="3"/>
        <v>1000000</v>
      </c>
      <c r="T7" s="464">
        <f t="shared" si="4"/>
        <v>3231431.1212724796</v>
      </c>
    </row>
    <row r="8" spans="1:20" ht="16.5" customHeight="1">
      <c r="A8" s="468">
        <f t="shared" ref="A8:A120" si="6">IF(B8&lt;&gt;"",A7+1,"")</f>
        <v>3</v>
      </c>
      <c r="B8" s="167" t="s">
        <v>498</v>
      </c>
      <c r="C8" s="486">
        <v>42566</v>
      </c>
      <c r="D8" s="487" t="s">
        <v>700</v>
      </c>
      <c r="E8" s="548">
        <v>103</v>
      </c>
      <c r="F8" s="547">
        <v>54</v>
      </c>
      <c r="G8" s="547">
        <v>180</v>
      </c>
      <c r="H8" s="593">
        <f t="shared" si="5"/>
        <v>7.56</v>
      </c>
      <c r="I8" s="140">
        <f t="shared" si="0"/>
        <v>876.95999999999992</v>
      </c>
      <c r="J8" s="566">
        <v>116</v>
      </c>
      <c r="K8" s="140">
        <f t="shared" si="1"/>
        <v>62320.457338826389</v>
      </c>
      <c r="L8" s="421">
        <v>73100</v>
      </c>
      <c r="M8" s="483"/>
      <c r="N8" s="284" t="s">
        <v>407</v>
      </c>
      <c r="O8" s="484">
        <v>42542</v>
      </c>
      <c r="P8" s="508">
        <v>4522</v>
      </c>
      <c r="Q8" s="501">
        <v>8500</v>
      </c>
      <c r="R8" s="5">
        <f t="shared" ref="R8:R12" si="7">ROUND(P8*Q8,0)</f>
        <v>38437000</v>
      </c>
      <c r="S8" s="464">
        <f t="shared" si="3"/>
        <v>8479600</v>
      </c>
      <c r="T8" s="464">
        <f t="shared" si="4"/>
        <v>7229173.0513038607</v>
      </c>
    </row>
    <row r="9" spans="1:20" ht="16.5" customHeight="1">
      <c r="A9" s="468">
        <f t="shared" si="6"/>
        <v>4</v>
      </c>
      <c r="B9" s="167" t="s">
        <v>499</v>
      </c>
      <c r="C9" s="486">
        <v>42566</v>
      </c>
      <c r="D9" s="487" t="s">
        <v>701</v>
      </c>
      <c r="E9" s="548">
        <v>88</v>
      </c>
      <c r="F9" s="547">
        <v>68</v>
      </c>
      <c r="G9" s="547">
        <v>15</v>
      </c>
      <c r="H9" s="593">
        <f t="shared" si="5"/>
        <v>2.73</v>
      </c>
      <c r="I9" s="140">
        <f t="shared" si="0"/>
        <v>600.6</v>
      </c>
      <c r="J9" s="566">
        <v>220</v>
      </c>
      <c r="K9" s="140">
        <f t="shared" si="1"/>
        <v>22504.609594576199</v>
      </c>
      <c r="L9" s="421">
        <v>28000</v>
      </c>
      <c r="M9" s="483"/>
      <c r="N9" s="284" t="s">
        <v>450</v>
      </c>
      <c r="O9" s="484">
        <v>42542</v>
      </c>
      <c r="P9" s="508">
        <v>2633</v>
      </c>
      <c r="Q9" s="501">
        <v>8500</v>
      </c>
      <c r="R9" s="5">
        <f t="shared" si="7"/>
        <v>22380500</v>
      </c>
      <c r="S9" s="464">
        <f t="shared" si="3"/>
        <v>6160000</v>
      </c>
      <c r="T9" s="464">
        <f t="shared" si="4"/>
        <v>4951014.1108067641</v>
      </c>
    </row>
    <row r="10" spans="1:20" ht="16.5" customHeight="1">
      <c r="A10" s="468">
        <f t="shared" si="6"/>
        <v>5</v>
      </c>
      <c r="B10" s="167" t="s">
        <v>500</v>
      </c>
      <c r="C10" s="486">
        <v>42566</v>
      </c>
      <c r="D10" s="487" t="s">
        <v>701</v>
      </c>
      <c r="E10" s="548">
        <v>47</v>
      </c>
      <c r="F10" s="547">
        <v>42</v>
      </c>
      <c r="G10" s="547">
        <v>25</v>
      </c>
      <c r="H10" s="593">
        <f t="shared" si="5"/>
        <v>1.28</v>
      </c>
      <c r="I10" s="140">
        <f t="shared" si="0"/>
        <v>456.96000000000004</v>
      </c>
      <c r="J10" s="566">
        <v>357</v>
      </c>
      <c r="K10" s="140">
        <f t="shared" si="1"/>
        <v>10551.611824563199</v>
      </c>
      <c r="L10" s="421">
        <v>9600</v>
      </c>
      <c r="M10" s="483"/>
      <c r="N10" s="284" t="s">
        <v>405</v>
      </c>
      <c r="O10" s="484">
        <v>42551</v>
      </c>
      <c r="P10" s="508">
        <v>6226</v>
      </c>
      <c r="Q10" s="501">
        <v>7600</v>
      </c>
      <c r="R10" s="5">
        <f t="shared" si="7"/>
        <v>47317600</v>
      </c>
      <c r="S10" s="464">
        <f t="shared" si="3"/>
        <v>3427200</v>
      </c>
      <c r="T10" s="464">
        <f t="shared" si="4"/>
        <v>3766925.4213690618</v>
      </c>
    </row>
    <row r="11" spans="1:20" ht="16.5" customHeight="1">
      <c r="A11" s="468">
        <f t="shared" si="6"/>
        <v>6</v>
      </c>
      <c r="B11" s="167" t="s">
        <v>501</v>
      </c>
      <c r="C11" s="486">
        <v>42566</v>
      </c>
      <c r="D11" s="487" t="s">
        <v>701</v>
      </c>
      <c r="E11" s="548">
        <v>48</v>
      </c>
      <c r="F11" s="547">
        <v>41</v>
      </c>
      <c r="G11" s="547">
        <v>29</v>
      </c>
      <c r="H11" s="593">
        <f t="shared" si="5"/>
        <v>1.34</v>
      </c>
      <c r="I11" s="140">
        <f t="shared" si="0"/>
        <v>93.800000000000011</v>
      </c>
      <c r="J11" s="566">
        <v>70</v>
      </c>
      <c r="K11" s="140">
        <f t="shared" si="1"/>
        <v>11046.218628839601</v>
      </c>
      <c r="L11" s="421">
        <v>14400</v>
      </c>
      <c r="M11" s="483"/>
      <c r="N11" s="284" t="s">
        <v>407</v>
      </c>
      <c r="O11" s="484">
        <v>42551</v>
      </c>
      <c r="P11" s="508">
        <v>8730</v>
      </c>
      <c r="Q11" s="501">
        <v>8500</v>
      </c>
      <c r="R11" s="5">
        <f t="shared" si="7"/>
        <v>74205000</v>
      </c>
      <c r="S11" s="464">
        <f t="shared" si="3"/>
        <v>1008000</v>
      </c>
      <c r="T11" s="464">
        <f t="shared" si="4"/>
        <v>773235.30401877209</v>
      </c>
    </row>
    <row r="12" spans="1:20" ht="16.5" customHeight="1">
      <c r="A12" s="468">
        <f t="shared" si="6"/>
        <v>7</v>
      </c>
      <c r="B12" s="167" t="s">
        <v>502</v>
      </c>
      <c r="C12" s="486">
        <v>42567</v>
      </c>
      <c r="D12" s="487" t="s">
        <v>702</v>
      </c>
      <c r="E12" s="548">
        <v>45</v>
      </c>
      <c r="F12" s="547">
        <v>37</v>
      </c>
      <c r="G12" s="547">
        <v>27.5</v>
      </c>
      <c r="H12" s="593">
        <f t="shared" si="5"/>
        <v>1.1399999999999999</v>
      </c>
      <c r="I12" s="140">
        <f t="shared" si="0"/>
        <v>341.99999999999994</v>
      </c>
      <c r="J12" s="566">
        <v>300</v>
      </c>
      <c r="K12" s="140">
        <f t="shared" si="1"/>
        <v>9397.5292812515981</v>
      </c>
      <c r="L12" s="421">
        <v>13400</v>
      </c>
      <c r="M12" s="483"/>
      <c r="N12" s="284" t="s">
        <v>450</v>
      </c>
      <c r="O12" s="484">
        <v>42551</v>
      </c>
      <c r="P12" s="508">
        <v>8191</v>
      </c>
      <c r="Q12" s="501">
        <v>8500</v>
      </c>
      <c r="R12" s="5">
        <f t="shared" si="7"/>
        <v>69623500</v>
      </c>
      <c r="S12" s="464">
        <f t="shared" si="3"/>
        <v>4020000</v>
      </c>
      <c r="T12" s="464">
        <f t="shared" si="4"/>
        <v>2819258.7843754794</v>
      </c>
    </row>
    <row r="13" spans="1:20" ht="16.5" customHeight="1">
      <c r="A13" s="468">
        <f t="shared" si="6"/>
        <v>8</v>
      </c>
      <c r="B13" s="167" t="s">
        <v>502</v>
      </c>
      <c r="C13" s="486">
        <v>42567</v>
      </c>
      <c r="D13" s="487" t="s">
        <v>702</v>
      </c>
      <c r="E13" s="548">
        <v>45</v>
      </c>
      <c r="F13" s="547">
        <v>37</v>
      </c>
      <c r="G13" s="547">
        <v>27.5</v>
      </c>
      <c r="H13" s="593">
        <f t="shared" si="5"/>
        <v>1.1399999999999999</v>
      </c>
      <c r="I13" s="140">
        <f t="shared" si="0"/>
        <v>570</v>
      </c>
      <c r="J13" s="566">
        <v>500</v>
      </c>
      <c r="K13" s="140">
        <f t="shared" si="1"/>
        <v>9397.5292812515981</v>
      </c>
      <c r="L13" s="421">
        <v>13800</v>
      </c>
      <c r="M13" s="483"/>
      <c r="N13" s="284"/>
      <c r="O13" s="484"/>
      <c r="P13" s="508"/>
      <c r="Q13" s="501"/>
      <c r="R13" s="5"/>
      <c r="S13" s="464">
        <f t="shared" si="3"/>
        <v>6900000</v>
      </c>
      <c r="T13" s="464">
        <f t="shared" si="4"/>
        <v>4698764.6406257991</v>
      </c>
    </row>
    <row r="14" spans="1:20" ht="16.5" customHeight="1">
      <c r="A14" s="468">
        <f t="shared" si="6"/>
        <v>9</v>
      </c>
      <c r="B14" s="167" t="s">
        <v>377</v>
      </c>
      <c r="C14" s="486">
        <v>42567</v>
      </c>
      <c r="D14" s="487" t="s">
        <v>702</v>
      </c>
      <c r="E14" s="548">
        <v>44</v>
      </c>
      <c r="F14" s="547">
        <v>20</v>
      </c>
      <c r="G14" s="547"/>
      <c r="H14" s="593">
        <f t="shared" si="5"/>
        <v>0.09</v>
      </c>
      <c r="I14" s="140">
        <f t="shared" si="0"/>
        <v>144</v>
      </c>
      <c r="J14" s="566">
        <v>1600</v>
      </c>
      <c r="K14" s="140">
        <f t="shared" si="1"/>
        <v>741.91020641459988</v>
      </c>
      <c r="L14" s="421">
        <v>1300</v>
      </c>
      <c r="M14" s="483"/>
      <c r="N14" s="539" t="s">
        <v>379</v>
      </c>
      <c r="O14" s="540"/>
      <c r="P14" s="541"/>
      <c r="Q14" s="353"/>
      <c r="R14" s="353">
        <f>SUM(R6:R13)</f>
        <v>360238000</v>
      </c>
      <c r="S14" s="464">
        <f t="shared" si="3"/>
        <v>2080000</v>
      </c>
      <c r="T14" s="464">
        <f t="shared" si="4"/>
        <v>1187056.3302633597</v>
      </c>
    </row>
    <row r="15" spans="1:20" ht="16.5" customHeight="1">
      <c r="A15" s="468">
        <f t="shared" si="6"/>
        <v>10</v>
      </c>
      <c r="B15" s="167" t="s">
        <v>503</v>
      </c>
      <c r="C15" s="486">
        <v>42567</v>
      </c>
      <c r="D15" s="487" t="s">
        <v>703</v>
      </c>
      <c r="E15" s="548">
        <v>55</v>
      </c>
      <c r="F15" s="547">
        <v>28</v>
      </c>
      <c r="G15" s="547">
        <v>23.5</v>
      </c>
      <c r="H15" s="593">
        <f t="shared" si="5"/>
        <v>0.93</v>
      </c>
      <c r="I15" s="140">
        <f t="shared" si="0"/>
        <v>934.65000000000009</v>
      </c>
      <c r="J15" s="566">
        <v>1005</v>
      </c>
      <c r="K15" s="140">
        <f t="shared" ref="K15:K21" si="8">H15*$R$33</f>
        <v>7666.4054662842</v>
      </c>
      <c r="L15" s="421">
        <v>11000</v>
      </c>
      <c r="M15" s="483"/>
      <c r="N15" s="112" t="s">
        <v>444</v>
      </c>
      <c r="O15" s="486">
        <v>42595</v>
      </c>
      <c r="P15" s="501">
        <v>19810</v>
      </c>
      <c r="Q15" s="501">
        <v>780</v>
      </c>
      <c r="R15" s="5">
        <f t="shared" ref="R15" si="9">ROUND(P15*Q15,0)</f>
        <v>15451800</v>
      </c>
      <c r="S15" s="464">
        <f t="shared" si="3"/>
        <v>11055000</v>
      </c>
      <c r="T15" s="464">
        <f t="shared" si="4"/>
        <v>7704737.4936156208</v>
      </c>
    </row>
    <row r="16" spans="1:20" ht="16.5" customHeight="1">
      <c r="A16" s="468">
        <f t="shared" si="6"/>
        <v>11</v>
      </c>
      <c r="B16" s="167" t="s">
        <v>504</v>
      </c>
      <c r="C16" s="486">
        <v>42569</v>
      </c>
      <c r="D16" s="487" t="s">
        <v>704</v>
      </c>
      <c r="E16" s="548">
        <v>37.5</v>
      </c>
      <c r="F16" s="547">
        <v>23.5</v>
      </c>
      <c r="G16" s="547">
        <v>69.5</v>
      </c>
      <c r="H16" s="593">
        <f t="shared" si="5"/>
        <v>1.22</v>
      </c>
      <c r="I16" s="140">
        <f t="shared" si="0"/>
        <v>309.88</v>
      </c>
      <c r="J16" s="566">
        <v>254</v>
      </c>
      <c r="K16" s="140">
        <f t="shared" si="8"/>
        <v>10057.005020286799</v>
      </c>
      <c r="L16" s="421">
        <v>10300</v>
      </c>
      <c r="M16" s="483"/>
      <c r="N16" s="112" t="s">
        <v>444</v>
      </c>
      <c r="O16" s="113">
        <v>42601</v>
      </c>
      <c r="P16" s="139">
        <v>14330</v>
      </c>
      <c r="Q16" s="139">
        <v>780</v>
      </c>
      <c r="R16" s="5">
        <f t="shared" ref="R16:R20" si="10">ROUND(P16*Q16,0)</f>
        <v>11177400</v>
      </c>
      <c r="S16" s="464">
        <f t="shared" si="3"/>
        <v>2616200</v>
      </c>
      <c r="T16" s="464">
        <f t="shared" si="4"/>
        <v>2554479.2751528467</v>
      </c>
    </row>
    <row r="17" spans="1:20" ht="16.5" customHeight="1">
      <c r="A17" s="468">
        <f t="shared" si="6"/>
        <v>12</v>
      </c>
      <c r="B17" s="167" t="s">
        <v>505</v>
      </c>
      <c r="C17" s="486">
        <v>42569</v>
      </c>
      <c r="D17" s="487" t="s">
        <v>705</v>
      </c>
      <c r="E17" s="548">
        <v>40</v>
      </c>
      <c r="F17" s="547">
        <v>25</v>
      </c>
      <c r="G17" s="547">
        <v>72</v>
      </c>
      <c r="H17" s="593">
        <f t="shared" si="5"/>
        <v>1.35</v>
      </c>
      <c r="I17" s="140">
        <f t="shared" si="0"/>
        <v>101.25</v>
      </c>
      <c r="J17" s="566">
        <v>75</v>
      </c>
      <c r="K17" s="140">
        <f t="shared" si="8"/>
        <v>11128.653096218999</v>
      </c>
      <c r="L17" s="421">
        <v>10800</v>
      </c>
      <c r="M17" s="483"/>
      <c r="N17" s="112" t="s">
        <v>444</v>
      </c>
      <c r="O17" s="113">
        <v>42613</v>
      </c>
      <c r="P17" s="139">
        <v>12830</v>
      </c>
      <c r="Q17" s="139">
        <v>780</v>
      </c>
      <c r="R17" s="5">
        <f t="shared" si="10"/>
        <v>10007400</v>
      </c>
      <c r="S17" s="464">
        <f t="shared" si="3"/>
        <v>810000</v>
      </c>
      <c r="T17" s="464">
        <f t="shared" si="4"/>
        <v>834648.98221642489</v>
      </c>
    </row>
    <row r="18" spans="1:20" ht="16.5" customHeight="1">
      <c r="A18" s="468">
        <f t="shared" si="6"/>
        <v>13</v>
      </c>
      <c r="B18" s="167" t="s">
        <v>508</v>
      </c>
      <c r="C18" s="486">
        <v>42571</v>
      </c>
      <c r="D18" s="487" t="s">
        <v>706</v>
      </c>
      <c r="E18" s="548">
        <v>70</v>
      </c>
      <c r="F18" s="547">
        <v>45</v>
      </c>
      <c r="G18" s="547"/>
      <c r="H18" s="593">
        <f t="shared" si="5"/>
        <v>0.32</v>
      </c>
      <c r="I18" s="140">
        <f t="shared" si="0"/>
        <v>160</v>
      </c>
      <c r="J18" s="566">
        <v>500</v>
      </c>
      <c r="K18" s="140">
        <f t="shared" si="8"/>
        <v>2637.9029561407997</v>
      </c>
      <c r="L18" s="421">
        <v>3200</v>
      </c>
      <c r="M18" s="483"/>
      <c r="N18" s="112" t="s">
        <v>777</v>
      </c>
      <c r="O18" s="113">
        <v>42625</v>
      </c>
      <c r="P18" s="139">
        <v>21050</v>
      </c>
      <c r="Q18" s="139">
        <v>750</v>
      </c>
      <c r="R18" s="5">
        <f t="shared" si="10"/>
        <v>15787500</v>
      </c>
      <c r="S18" s="464">
        <f t="shared" si="3"/>
        <v>1600000</v>
      </c>
      <c r="T18" s="464">
        <f t="shared" si="4"/>
        <v>1318951.4780704</v>
      </c>
    </row>
    <row r="19" spans="1:20" ht="16.5" customHeight="1">
      <c r="A19" s="468">
        <f t="shared" si="6"/>
        <v>14</v>
      </c>
      <c r="B19" s="167" t="s">
        <v>509</v>
      </c>
      <c r="C19" s="486">
        <v>42571</v>
      </c>
      <c r="D19" s="487" t="s">
        <v>706</v>
      </c>
      <c r="E19" s="548">
        <v>50</v>
      </c>
      <c r="F19" s="547">
        <v>40</v>
      </c>
      <c r="G19" s="547"/>
      <c r="H19" s="593">
        <f t="shared" si="5"/>
        <v>0.2</v>
      </c>
      <c r="I19" s="140">
        <f t="shared" si="0"/>
        <v>60</v>
      </c>
      <c r="J19" s="566">
        <v>300</v>
      </c>
      <c r="K19" s="140">
        <f t="shared" si="8"/>
        <v>1648.6893475879999</v>
      </c>
      <c r="L19" s="421">
        <v>2200</v>
      </c>
      <c r="M19" s="483"/>
      <c r="N19" s="112" t="s">
        <v>444</v>
      </c>
      <c r="O19" s="486">
        <v>42630</v>
      </c>
      <c r="P19" s="139">
        <v>18500</v>
      </c>
      <c r="Q19" s="139">
        <v>780</v>
      </c>
      <c r="R19" s="5">
        <f t="shared" si="10"/>
        <v>14430000</v>
      </c>
      <c r="S19" s="464">
        <f t="shared" si="3"/>
        <v>660000</v>
      </c>
      <c r="T19" s="464">
        <f t="shared" si="4"/>
        <v>494606.80427639995</v>
      </c>
    </row>
    <row r="20" spans="1:20" ht="16.5" customHeight="1">
      <c r="A20" s="468">
        <f t="shared" si="6"/>
        <v>15</v>
      </c>
      <c r="B20" s="167" t="s">
        <v>510</v>
      </c>
      <c r="C20" s="486">
        <v>42571</v>
      </c>
      <c r="D20" s="487" t="s">
        <v>707</v>
      </c>
      <c r="E20" s="548">
        <v>37.5</v>
      </c>
      <c r="F20" s="547">
        <v>25.5</v>
      </c>
      <c r="G20" s="547">
        <v>23.9</v>
      </c>
      <c r="H20" s="593">
        <f t="shared" si="5"/>
        <v>0.69</v>
      </c>
      <c r="I20" s="140">
        <f t="shared" si="0"/>
        <v>1075.7099999999998</v>
      </c>
      <c r="J20" s="566">
        <v>1559</v>
      </c>
      <c r="K20" s="140">
        <f t="shared" si="8"/>
        <v>5687.9782491785991</v>
      </c>
      <c r="L20" s="421">
        <v>5900</v>
      </c>
      <c r="M20" s="483"/>
      <c r="N20" s="112" t="s">
        <v>777</v>
      </c>
      <c r="O20" s="486">
        <v>42633</v>
      </c>
      <c r="P20" s="139">
        <v>22450</v>
      </c>
      <c r="Q20" s="139">
        <v>750</v>
      </c>
      <c r="R20" s="5">
        <f t="shared" si="10"/>
        <v>16837500</v>
      </c>
      <c r="S20" s="464">
        <f t="shared" si="3"/>
        <v>9198100</v>
      </c>
      <c r="T20" s="464">
        <f t="shared" si="4"/>
        <v>8867558.0904694367</v>
      </c>
    </row>
    <row r="21" spans="1:20" ht="16.5" customHeight="1">
      <c r="A21" s="468">
        <f t="shared" si="6"/>
        <v>16</v>
      </c>
      <c r="B21" s="167" t="s">
        <v>512</v>
      </c>
      <c r="C21" s="486">
        <v>42572</v>
      </c>
      <c r="D21" s="487" t="s">
        <v>708</v>
      </c>
      <c r="E21" s="548">
        <v>72</v>
      </c>
      <c r="F21" s="547">
        <v>51.5</v>
      </c>
      <c r="G21" s="547">
        <v>40</v>
      </c>
      <c r="H21" s="593">
        <f t="shared" si="5"/>
        <v>2.38</v>
      </c>
      <c r="I21" s="140">
        <f t="shared" si="0"/>
        <v>242.76</v>
      </c>
      <c r="J21" s="566">
        <v>102</v>
      </c>
      <c r="K21" s="140">
        <f t="shared" si="8"/>
        <v>19619.403236297199</v>
      </c>
      <c r="L21" s="421">
        <v>7900</v>
      </c>
      <c r="M21" s="483"/>
      <c r="N21" s="284"/>
      <c r="O21" s="484"/>
      <c r="P21" s="508"/>
      <c r="Q21" s="501"/>
      <c r="R21" s="5"/>
      <c r="S21" s="464">
        <f t="shared" si="3"/>
        <v>805800</v>
      </c>
      <c r="T21" s="464">
        <f t="shared" si="4"/>
        <v>2001179.1301023143</v>
      </c>
    </row>
    <row r="22" spans="1:20" ht="16.5" customHeight="1">
      <c r="A22" s="468">
        <f>IF(B22&lt;&gt;"",A21+1,"")</f>
        <v>17</v>
      </c>
      <c r="B22" s="167" t="s">
        <v>511</v>
      </c>
      <c r="C22" s="486">
        <v>42572</v>
      </c>
      <c r="D22" s="487" t="s">
        <v>708</v>
      </c>
      <c r="E22" s="548">
        <v>49.5</v>
      </c>
      <c r="F22" s="547">
        <v>38.5</v>
      </c>
      <c r="G22" s="547">
        <v>32.5</v>
      </c>
      <c r="H22" s="593">
        <f t="shared" si="5"/>
        <v>1.34</v>
      </c>
      <c r="I22" s="140">
        <f t="shared" si="0"/>
        <v>138.02000000000001</v>
      </c>
      <c r="J22" s="566">
        <v>103</v>
      </c>
      <c r="K22" s="140">
        <f t="shared" ref="K22:K53" si="11">H22*$R$33</f>
        <v>11046.218628839601</v>
      </c>
      <c r="L22" s="421">
        <v>12900</v>
      </c>
      <c r="M22" s="483"/>
      <c r="N22" s="539" t="s">
        <v>380</v>
      </c>
      <c r="O22" s="540"/>
      <c r="P22" s="541"/>
      <c r="Q22" s="353"/>
      <c r="R22" s="353">
        <f>SUM(R15:R21)</f>
        <v>83691600</v>
      </c>
      <c r="S22" s="464">
        <f t="shared" si="3"/>
        <v>1328700</v>
      </c>
      <c r="T22" s="464">
        <f t="shared" si="4"/>
        <v>1137760.5187704789</v>
      </c>
    </row>
    <row r="23" spans="1:20" ht="16.5" customHeight="1">
      <c r="A23" s="468">
        <f t="shared" si="6"/>
        <v>18</v>
      </c>
      <c r="B23" s="167" t="s">
        <v>646</v>
      </c>
      <c r="C23" s="486">
        <v>42573</v>
      </c>
      <c r="D23" s="487" t="s">
        <v>709</v>
      </c>
      <c r="E23" s="548">
        <v>43</v>
      </c>
      <c r="F23" s="547">
        <v>42</v>
      </c>
      <c r="G23" s="547">
        <v>26</v>
      </c>
      <c r="H23" s="593">
        <f t="shared" si="5"/>
        <v>1.24</v>
      </c>
      <c r="I23" s="140">
        <f t="shared" si="0"/>
        <v>310</v>
      </c>
      <c r="J23" s="566">
        <v>250</v>
      </c>
      <c r="K23" s="140">
        <f t="shared" si="11"/>
        <v>10221.873955045599</v>
      </c>
      <c r="L23" s="421">
        <v>12400</v>
      </c>
      <c r="M23" s="483"/>
      <c r="N23" s="284" t="s">
        <v>381</v>
      </c>
      <c r="O23" s="484"/>
      <c r="P23" s="508"/>
      <c r="Q23" s="501"/>
      <c r="R23" s="5">
        <f>R14</f>
        <v>360238000</v>
      </c>
      <c r="S23" s="464">
        <f t="shared" si="3"/>
        <v>3100000</v>
      </c>
      <c r="T23" s="464">
        <f t="shared" si="4"/>
        <v>2555468.4887613999</v>
      </c>
    </row>
    <row r="24" spans="1:20" ht="16.5" customHeight="1">
      <c r="A24" s="468">
        <f t="shared" si="6"/>
        <v>19</v>
      </c>
      <c r="B24" s="167" t="s">
        <v>647</v>
      </c>
      <c r="C24" s="486">
        <v>42573</v>
      </c>
      <c r="D24" s="487" t="s">
        <v>709</v>
      </c>
      <c r="E24" s="548">
        <v>49</v>
      </c>
      <c r="F24" s="547">
        <v>47</v>
      </c>
      <c r="G24" s="547">
        <v>27</v>
      </c>
      <c r="H24" s="593">
        <f t="shared" si="5"/>
        <v>1.52</v>
      </c>
      <c r="I24" s="140">
        <f t="shared" si="0"/>
        <v>304</v>
      </c>
      <c r="J24" s="566">
        <v>200</v>
      </c>
      <c r="K24" s="140">
        <f t="shared" si="11"/>
        <v>12530.039041668799</v>
      </c>
      <c r="L24" s="421">
        <v>14200</v>
      </c>
      <c r="M24" s="483"/>
      <c r="N24" s="284" t="s">
        <v>382</v>
      </c>
      <c r="O24" s="484"/>
      <c r="P24" s="508"/>
      <c r="Q24" s="501"/>
      <c r="R24" s="5">
        <f>R22</f>
        <v>83691600</v>
      </c>
      <c r="S24" s="464">
        <f t="shared" si="3"/>
        <v>2840000</v>
      </c>
      <c r="T24" s="464">
        <f t="shared" si="4"/>
        <v>2506007.8083337597</v>
      </c>
    </row>
    <row r="25" spans="1:20" ht="16.5" customHeight="1">
      <c r="A25" s="468">
        <f t="shared" si="6"/>
        <v>20</v>
      </c>
      <c r="B25" s="167" t="s">
        <v>648</v>
      </c>
      <c r="C25" s="486">
        <v>42573</v>
      </c>
      <c r="D25" s="487" t="s">
        <v>709</v>
      </c>
      <c r="E25" s="548">
        <v>40</v>
      </c>
      <c r="F25" s="547">
        <v>39</v>
      </c>
      <c r="G25" s="547">
        <v>32</v>
      </c>
      <c r="H25" s="593">
        <f t="shared" si="5"/>
        <v>1.21</v>
      </c>
      <c r="I25" s="140">
        <f t="shared" si="0"/>
        <v>363</v>
      </c>
      <c r="J25" s="566">
        <v>300</v>
      </c>
      <c r="K25" s="140">
        <f t="shared" si="11"/>
        <v>9974.5705529073985</v>
      </c>
      <c r="L25" s="421">
        <v>16500</v>
      </c>
      <c r="M25" s="483"/>
      <c r="N25" s="284" t="s">
        <v>384</v>
      </c>
      <c r="O25" s="484"/>
      <c r="P25" s="508"/>
      <c r="Q25" s="501"/>
      <c r="R25" s="5">
        <v>13220000</v>
      </c>
      <c r="S25" s="464">
        <f t="shared" si="3"/>
        <v>4950000</v>
      </c>
      <c r="T25" s="464">
        <f t="shared" si="4"/>
        <v>2992371.1658722195</v>
      </c>
    </row>
    <row r="26" spans="1:20" ht="16.5" customHeight="1">
      <c r="A26" s="468">
        <f t="shared" si="6"/>
        <v>21</v>
      </c>
      <c r="B26" s="167" t="s">
        <v>649</v>
      </c>
      <c r="C26" s="486">
        <v>42573</v>
      </c>
      <c r="D26" s="487" t="s">
        <v>709</v>
      </c>
      <c r="E26" s="548">
        <v>42</v>
      </c>
      <c r="F26" s="547">
        <v>41</v>
      </c>
      <c r="G26" s="547">
        <v>34</v>
      </c>
      <c r="H26" s="593">
        <f t="shared" si="5"/>
        <v>1.33</v>
      </c>
      <c r="I26" s="140">
        <f t="shared" si="0"/>
        <v>399</v>
      </c>
      <c r="J26" s="566">
        <v>300</v>
      </c>
      <c r="K26" s="140">
        <f t="shared" si="11"/>
        <v>10963.7841614602</v>
      </c>
      <c r="L26" s="421">
        <v>24500</v>
      </c>
      <c r="M26" s="483"/>
      <c r="N26" s="284" t="s">
        <v>383</v>
      </c>
      <c r="O26" s="484"/>
      <c r="P26" s="508"/>
      <c r="Q26" s="501"/>
      <c r="R26" s="5">
        <v>13250000</v>
      </c>
      <c r="S26" s="464">
        <f t="shared" si="3"/>
        <v>7350000</v>
      </c>
      <c r="T26" s="464">
        <f t="shared" si="4"/>
        <v>3289135.2484380603</v>
      </c>
    </row>
    <row r="27" spans="1:20" ht="16.5" customHeight="1">
      <c r="A27" s="468">
        <f t="shared" si="6"/>
        <v>22</v>
      </c>
      <c r="B27" s="167" t="s">
        <v>819</v>
      </c>
      <c r="C27" s="486">
        <v>42573</v>
      </c>
      <c r="D27" s="487" t="s">
        <v>709</v>
      </c>
      <c r="E27" s="548">
        <v>63</v>
      </c>
      <c r="F27" s="547">
        <v>53</v>
      </c>
      <c r="G27" s="547">
        <v>32</v>
      </c>
      <c r="H27" s="593">
        <f t="shared" si="5"/>
        <v>2.09</v>
      </c>
      <c r="I27" s="140">
        <f t="shared" si="0"/>
        <v>418</v>
      </c>
      <c r="J27" s="566">
        <v>200</v>
      </c>
      <c r="K27" s="140">
        <f t="shared" si="11"/>
        <v>17228.803682294598</v>
      </c>
      <c r="L27" s="421">
        <v>25500</v>
      </c>
      <c r="M27" s="483"/>
      <c r="N27" s="284" t="s">
        <v>396</v>
      </c>
      <c r="O27" s="484"/>
      <c r="P27" s="508"/>
      <c r="Q27" s="501"/>
      <c r="R27" s="5">
        <v>41880000</v>
      </c>
      <c r="S27" s="464">
        <f t="shared" si="3"/>
        <v>5100000</v>
      </c>
      <c r="T27" s="464">
        <f t="shared" si="4"/>
        <v>3445760.7364589195</v>
      </c>
    </row>
    <row r="28" spans="1:20" ht="16.5" customHeight="1">
      <c r="A28" s="468">
        <f t="shared" si="6"/>
        <v>23</v>
      </c>
      <c r="B28" s="167" t="s">
        <v>655</v>
      </c>
      <c r="C28" s="486">
        <v>42574</v>
      </c>
      <c r="D28" s="487" t="s">
        <v>710</v>
      </c>
      <c r="E28" s="548">
        <v>63</v>
      </c>
      <c r="F28" s="547">
        <v>42</v>
      </c>
      <c r="G28" s="547">
        <v>27</v>
      </c>
      <c r="H28" s="593">
        <f t="shared" si="5"/>
        <v>1.55</v>
      </c>
      <c r="I28" s="140">
        <f t="shared" si="0"/>
        <v>821.5</v>
      </c>
      <c r="J28" s="566">
        <v>530</v>
      </c>
      <c r="K28" s="140">
        <f t="shared" si="11"/>
        <v>12777.342443807</v>
      </c>
      <c r="L28" s="421">
        <v>17800</v>
      </c>
      <c r="M28" s="483"/>
      <c r="N28" s="114"/>
      <c r="O28" s="484"/>
      <c r="P28" s="508"/>
      <c r="Q28" s="501"/>
      <c r="R28" s="5"/>
      <c r="S28" s="464">
        <f t="shared" si="3"/>
        <v>9434000</v>
      </c>
      <c r="T28" s="464">
        <f t="shared" si="4"/>
        <v>6771991.4952177098</v>
      </c>
    </row>
    <row r="29" spans="1:20" ht="16.5" customHeight="1">
      <c r="A29" s="468">
        <f t="shared" si="6"/>
        <v>24</v>
      </c>
      <c r="B29" s="167" t="s">
        <v>500</v>
      </c>
      <c r="C29" s="486">
        <v>42574</v>
      </c>
      <c r="D29" s="487" t="s">
        <v>710</v>
      </c>
      <c r="E29" s="548">
        <v>47</v>
      </c>
      <c r="F29" s="547">
        <v>42</v>
      </c>
      <c r="G29" s="547">
        <v>25</v>
      </c>
      <c r="H29" s="593">
        <f t="shared" si="5"/>
        <v>1.28</v>
      </c>
      <c r="I29" s="140">
        <f t="shared" si="0"/>
        <v>42.24</v>
      </c>
      <c r="J29" s="566">
        <v>33</v>
      </c>
      <c r="K29" s="140">
        <f t="shared" si="11"/>
        <v>10551.611824563199</v>
      </c>
      <c r="L29" s="421">
        <v>9600</v>
      </c>
      <c r="M29" s="483"/>
      <c r="N29" s="284"/>
      <c r="O29" s="484"/>
      <c r="P29" s="508"/>
      <c r="Q29" s="501"/>
      <c r="R29" s="5"/>
      <c r="S29" s="464">
        <f t="shared" si="3"/>
        <v>316800</v>
      </c>
      <c r="T29" s="464">
        <f t="shared" si="4"/>
        <v>348203.19021058554</v>
      </c>
    </row>
    <row r="30" spans="1:20" ht="16.5" customHeight="1">
      <c r="A30" s="468">
        <f t="shared" si="6"/>
        <v>25</v>
      </c>
      <c r="B30" s="167" t="s">
        <v>656</v>
      </c>
      <c r="C30" s="486">
        <v>42574</v>
      </c>
      <c r="D30" s="487" t="s">
        <v>710</v>
      </c>
      <c r="E30" s="548">
        <v>58</v>
      </c>
      <c r="F30" s="547">
        <v>31</v>
      </c>
      <c r="G30" s="547">
        <v>40</v>
      </c>
      <c r="H30" s="593">
        <f t="shared" si="5"/>
        <v>1.35</v>
      </c>
      <c r="I30" s="140">
        <f t="shared" si="0"/>
        <v>850.5</v>
      </c>
      <c r="J30" s="566">
        <v>630</v>
      </c>
      <c r="K30" s="140">
        <f t="shared" si="11"/>
        <v>11128.653096218999</v>
      </c>
      <c r="L30" s="421">
        <v>9700</v>
      </c>
      <c r="M30" s="483"/>
      <c r="N30" s="539" t="s">
        <v>393</v>
      </c>
      <c r="O30" s="540"/>
      <c r="P30" s="541"/>
      <c r="Q30" s="353"/>
      <c r="R30" s="353">
        <f>SUM(R23:R29)</f>
        <v>512279600</v>
      </c>
      <c r="S30" s="464">
        <f t="shared" si="3"/>
        <v>6111000</v>
      </c>
      <c r="T30" s="464">
        <f t="shared" si="4"/>
        <v>7011051.450617969</v>
      </c>
    </row>
    <row r="31" spans="1:20" ht="16.5" customHeight="1">
      <c r="A31" s="468">
        <f t="shared" si="6"/>
        <v>26</v>
      </c>
      <c r="B31" s="167" t="s">
        <v>662</v>
      </c>
      <c r="C31" s="486">
        <v>42574</v>
      </c>
      <c r="D31" s="487" t="s">
        <v>710</v>
      </c>
      <c r="E31" s="548">
        <v>45</v>
      </c>
      <c r="F31" s="547">
        <v>37</v>
      </c>
      <c r="G31" s="547">
        <v>27.5</v>
      </c>
      <c r="H31" s="593">
        <f>IF(G31&lt;&gt;"",ROUND(((E31+F31)*2+5)*(F31+G31+3)/10000,2),ROUND(E31*F31/10000,2))</f>
        <v>1.1399999999999999</v>
      </c>
      <c r="I31" s="140">
        <f t="shared" si="0"/>
        <v>401.28</v>
      </c>
      <c r="J31" s="566">
        <v>352</v>
      </c>
      <c r="K31" s="140">
        <f t="shared" si="11"/>
        <v>9397.5292812515981</v>
      </c>
      <c r="L31" s="421">
        <v>13700</v>
      </c>
      <c r="M31" s="483"/>
      <c r="N31" s="285"/>
      <c r="O31" s="492"/>
      <c r="P31" s="509"/>
      <c r="Q31" s="482"/>
      <c r="R31" s="494"/>
      <c r="S31" s="464">
        <f t="shared" si="3"/>
        <v>4822400</v>
      </c>
      <c r="T31" s="464">
        <f t="shared" si="4"/>
        <v>3307930.3070005625</v>
      </c>
    </row>
    <row r="32" spans="1:20" ht="16.5" customHeight="1">
      <c r="A32" s="468">
        <f t="shared" si="6"/>
        <v>27</v>
      </c>
      <c r="B32" s="167" t="s">
        <v>513</v>
      </c>
      <c r="C32" s="486">
        <v>42574</v>
      </c>
      <c r="D32" s="487" t="s">
        <v>711</v>
      </c>
      <c r="E32" s="548">
        <v>48</v>
      </c>
      <c r="F32" s="547">
        <v>40</v>
      </c>
      <c r="G32" s="547">
        <v>18</v>
      </c>
      <c r="H32" s="593">
        <f t="shared" si="5"/>
        <v>1.1000000000000001</v>
      </c>
      <c r="I32" s="140">
        <f t="shared" si="0"/>
        <v>385.00000000000006</v>
      </c>
      <c r="J32" s="566">
        <v>350</v>
      </c>
      <c r="K32" s="140">
        <f t="shared" si="11"/>
        <v>9067.7914117340006</v>
      </c>
      <c r="L32" s="421">
        <v>13600</v>
      </c>
      <c r="M32" s="483"/>
      <c r="N32" s="285"/>
      <c r="O32" s="492"/>
      <c r="P32" s="509"/>
      <c r="Q32" s="482"/>
      <c r="R32" s="494"/>
      <c r="S32" s="464">
        <f t="shared" si="3"/>
        <v>4760000</v>
      </c>
      <c r="T32" s="464">
        <f t="shared" si="4"/>
        <v>3173726.9941069004</v>
      </c>
    </row>
    <row r="33" spans="1:20" ht="16.5" customHeight="1">
      <c r="A33" s="468">
        <f t="shared" si="6"/>
        <v>28</v>
      </c>
      <c r="B33" s="167" t="s">
        <v>514</v>
      </c>
      <c r="C33" s="486">
        <v>42577</v>
      </c>
      <c r="D33" s="487" t="s">
        <v>712</v>
      </c>
      <c r="E33" s="548">
        <v>39.5</v>
      </c>
      <c r="F33" s="547">
        <v>26.5</v>
      </c>
      <c r="G33" s="547">
        <v>29.5</v>
      </c>
      <c r="H33" s="593">
        <f t="shared" si="5"/>
        <v>0.81</v>
      </c>
      <c r="I33" s="140">
        <f t="shared" si="0"/>
        <v>383.13000000000005</v>
      </c>
      <c r="J33" s="566">
        <v>473</v>
      </c>
      <c r="K33" s="140">
        <f t="shared" si="11"/>
        <v>6677.1918577314</v>
      </c>
      <c r="L33" s="421">
        <v>13000</v>
      </c>
      <c r="M33" s="483"/>
      <c r="N33" s="959" t="s">
        <v>394</v>
      </c>
      <c r="O33" s="960"/>
      <c r="P33" s="960"/>
      <c r="Q33" s="961"/>
      <c r="R33" s="544">
        <f>R30/I126</f>
        <v>8243.4467379399994</v>
      </c>
      <c r="S33" s="464">
        <f t="shared" si="3"/>
        <v>6149000</v>
      </c>
      <c r="T33" s="464">
        <f t="shared" si="4"/>
        <v>3158311.7487069522</v>
      </c>
    </row>
    <row r="34" spans="1:20" ht="16.5" customHeight="1">
      <c r="A34" s="468">
        <f t="shared" si="6"/>
        <v>29</v>
      </c>
      <c r="B34" s="167" t="s">
        <v>515</v>
      </c>
      <c r="C34" s="486">
        <v>42580</v>
      </c>
      <c r="D34" s="487" t="s">
        <v>713</v>
      </c>
      <c r="E34" s="548">
        <v>49</v>
      </c>
      <c r="F34" s="547">
        <v>38</v>
      </c>
      <c r="G34" s="547">
        <v>12</v>
      </c>
      <c r="H34" s="593">
        <f t="shared" si="5"/>
        <v>0.95</v>
      </c>
      <c r="I34" s="140">
        <f t="shared" si="0"/>
        <v>286.89999999999998</v>
      </c>
      <c r="J34" s="566">
        <v>302</v>
      </c>
      <c r="K34" s="140">
        <f t="shared" si="11"/>
        <v>7831.2744010429988</v>
      </c>
      <c r="L34" s="421">
        <v>10500</v>
      </c>
      <c r="M34" s="483"/>
      <c r="N34" s="285"/>
      <c r="O34" s="492"/>
      <c r="P34" s="509"/>
      <c r="Q34" s="482"/>
      <c r="R34" s="494"/>
      <c r="S34" s="464">
        <f t="shared" si="3"/>
        <v>3171000</v>
      </c>
      <c r="T34" s="464">
        <f t="shared" si="4"/>
        <v>2365044.8691149857</v>
      </c>
    </row>
    <row r="35" spans="1:20" ht="16.5" customHeight="1">
      <c r="A35" s="468">
        <f t="shared" si="6"/>
        <v>30</v>
      </c>
      <c r="B35" s="167" t="s">
        <v>516</v>
      </c>
      <c r="C35" s="486">
        <v>42580</v>
      </c>
      <c r="D35" s="487" t="s">
        <v>713</v>
      </c>
      <c r="E35" s="548">
        <v>49</v>
      </c>
      <c r="F35" s="547">
        <v>38</v>
      </c>
      <c r="G35" s="547">
        <v>13</v>
      </c>
      <c r="H35" s="593">
        <f t="shared" si="5"/>
        <v>0.97</v>
      </c>
      <c r="I35" s="140">
        <f t="shared" si="0"/>
        <v>511.19</v>
      </c>
      <c r="J35" s="566">
        <v>527</v>
      </c>
      <c r="K35" s="140">
        <f t="shared" si="11"/>
        <v>7996.1433358017994</v>
      </c>
      <c r="L35" s="421">
        <v>10500</v>
      </c>
      <c r="M35" s="483"/>
      <c r="N35" s="285"/>
      <c r="O35" s="492"/>
      <c r="P35" s="509"/>
      <c r="Q35" s="482"/>
      <c r="R35" s="494"/>
      <c r="S35" s="464">
        <f t="shared" si="3"/>
        <v>5533500</v>
      </c>
      <c r="T35" s="464">
        <f t="shared" si="4"/>
        <v>4213967.5379675487</v>
      </c>
    </row>
    <row r="36" spans="1:20" ht="16.5" customHeight="1">
      <c r="A36" s="468">
        <f t="shared" si="6"/>
        <v>31</v>
      </c>
      <c r="B36" s="167" t="s">
        <v>649</v>
      </c>
      <c r="C36" s="486">
        <v>42580</v>
      </c>
      <c r="D36" s="487" t="s">
        <v>714</v>
      </c>
      <c r="E36" s="548">
        <v>42</v>
      </c>
      <c r="F36" s="547">
        <v>41</v>
      </c>
      <c r="G36" s="547">
        <v>34</v>
      </c>
      <c r="H36" s="593">
        <f t="shared" si="5"/>
        <v>1.33</v>
      </c>
      <c r="I36" s="140">
        <f t="shared" si="0"/>
        <v>133</v>
      </c>
      <c r="J36" s="566">
        <v>100</v>
      </c>
      <c r="K36" s="140">
        <f t="shared" si="11"/>
        <v>10963.7841614602</v>
      </c>
      <c r="L36" s="421">
        <v>19700</v>
      </c>
      <c r="M36" s="483"/>
      <c r="N36" s="285"/>
      <c r="O36" s="492"/>
      <c r="P36" s="509"/>
      <c r="Q36" s="482"/>
      <c r="R36" s="494"/>
      <c r="S36" s="464">
        <f t="shared" si="3"/>
        <v>1970000</v>
      </c>
      <c r="T36" s="464">
        <f t="shared" si="4"/>
        <v>1096378.4161460199</v>
      </c>
    </row>
    <row r="37" spans="1:20" ht="16.5" customHeight="1">
      <c r="A37" s="468">
        <f t="shared" si="6"/>
        <v>32</v>
      </c>
      <c r="B37" s="167" t="s">
        <v>819</v>
      </c>
      <c r="C37" s="486">
        <v>42580</v>
      </c>
      <c r="D37" s="487" t="s">
        <v>714</v>
      </c>
      <c r="E37" s="548">
        <v>63</v>
      </c>
      <c r="F37" s="547">
        <v>53</v>
      </c>
      <c r="G37" s="547">
        <v>32</v>
      </c>
      <c r="H37" s="593">
        <f t="shared" si="5"/>
        <v>2.09</v>
      </c>
      <c r="I37" s="140">
        <f t="shared" si="0"/>
        <v>209</v>
      </c>
      <c r="J37" s="566">
        <v>100</v>
      </c>
      <c r="K37" s="140">
        <f t="shared" si="11"/>
        <v>17228.803682294598</v>
      </c>
      <c r="L37" s="421">
        <v>20100</v>
      </c>
      <c r="M37" s="483"/>
      <c r="N37" s="285"/>
      <c r="O37" s="492"/>
      <c r="P37" s="509"/>
      <c r="Q37" s="482"/>
      <c r="R37" s="494"/>
      <c r="S37" s="464">
        <f t="shared" si="3"/>
        <v>2010000</v>
      </c>
      <c r="T37" s="464">
        <f t="shared" si="4"/>
        <v>1722880.3682294597</v>
      </c>
    </row>
    <row r="38" spans="1:20" ht="16.5" customHeight="1">
      <c r="A38" s="468">
        <f t="shared" si="6"/>
        <v>33</v>
      </c>
      <c r="B38" s="167" t="s">
        <v>510</v>
      </c>
      <c r="C38" s="486">
        <v>42583</v>
      </c>
      <c r="D38" s="487" t="s">
        <v>715</v>
      </c>
      <c r="E38" s="548">
        <v>37.5</v>
      </c>
      <c r="F38" s="547">
        <v>25.5</v>
      </c>
      <c r="G38" s="547">
        <v>23.9</v>
      </c>
      <c r="H38" s="593">
        <f t="shared" si="5"/>
        <v>0.69</v>
      </c>
      <c r="I38" s="140">
        <f t="shared" ref="I38:I69" si="12">H38*J38</f>
        <v>345</v>
      </c>
      <c r="J38" s="566">
        <v>500</v>
      </c>
      <c r="K38" s="140">
        <f t="shared" si="11"/>
        <v>5687.9782491785991</v>
      </c>
      <c r="L38" s="421">
        <v>5900</v>
      </c>
      <c r="M38" s="483"/>
      <c r="N38" s="285"/>
      <c r="O38" s="492"/>
      <c r="P38" s="509"/>
      <c r="Q38" s="482"/>
      <c r="R38" s="494"/>
      <c r="S38" s="464">
        <f t="shared" ref="S38:S69" si="13">J38*L38</f>
        <v>2950000</v>
      </c>
      <c r="T38" s="464">
        <f t="shared" ref="T38:T69" si="14">J38*K38</f>
        <v>2843989.1245892993</v>
      </c>
    </row>
    <row r="39" spans="1:20" ht="16.5" customHeight="1">
      <c r="A39" s="468">
        <f t="shared" si="6"/>
        <v>34</v>
      </c>
      <c r="B39" s="167" t="s">
        <v>517</v>
      </c>
      <c r="C39" s="486">
        <v>42584</v>
      </c>
      <c r="D39" s="487" t="s">
        <v>716</v>
      </c>
      <c r="E39" s="548">
        <v>42</v>
      </c>
      <c r="F39" s="547">
        <v>24</v>
      </c>
      <c r="G39" s="547">
        <v>25</v>
      </c>
      <c r="H39" s="593">
        <f t="shared" si="5"/>
        <v>0.71</v>
      </c>
      <c r="I39" s="140">
        <f t="shared" si="12"/>
        <v>430.26</v>
      </c>
      <c r="J39" s="566">
        <v>606</v>
      </c>
      <c r="K39" s="140">
        <f t="shared" si="11"/>
        <v>5852.8471839373997</v>
      </c>
      <c r="L39" s="421">
        <v>6000</v>
      </c>
      <c r="M39" s="483"/>
      <c r="N39" s="285"/>
      <c r="O39" s="492"/>
      <c r="P39" s="509"/>
      <c r="Q39" s="482"/>
      <c r="R39" s="494"/>
      <c r="S39" s="464">
        <f t="shared" si="13"/>
        <v>3636000</v>
      </c>
      <c r="T39" s="464">
        <f t="shared" si="14"/>
        <v>3546825.3934660642</v>
      </c>
    </row>
    <row r="40" spans="1:20" ht="16.5" customHeight="1">
      <c r="A40" s="468">
        <f t="shared" si="6"/>
        <v>35</v>
      </c>
      <c r="B40" s="167" t="s">
        <v>518</v>
      </c>
      <c r="C40" s="486">
        <v>42584</v>
      </c>
      <c r="D40" s="487" t="s">
        <v>716</v>
      </c>
      <c r="E40" s="548">
        <v>50</v>
      </c>
      <c r="F40" s="547">
        <v>37</v>
      </c>
      <c r="G40" s="547">
        <v>21</v>
      </c>
      <c r="H40" s="593">
        <f t="shared" si="5"/>
        <v>1.0900000000000001</v>
      </c>
      <c r="I40" s="140">
        <f t="shared" si="12"/>
        <v>440.36</v>
      </c>
      <c r="J40" s="566">
        <v>404</v>
      </c>
      <c r="K40" s="140">
        <f t="shared" si="11"/>
        <v>8985.3569443546003</v>
      </c>
      <c r="L40" s="421">
        <v>8600</v>
      </c>
      <c r="M40" s="483"/>
      <c r="N40" s="285"/>
      <c r="O40" s="492"/>
      <c r="P40" s="509"/>
      <c r="Q40" s="482"/>
      <c r="R40" s="494"/>
      <c r="S40" s="464">
        <f t="shared" si="13"/>
        <v>3474400</v>
      </c>
      <c r="T40" s="464">
        <f t="shared" si="14"/>
        <v>3630084.2055192585</v>
      </c>
    </row>
    <row r="41" spans="1:20" ht="16.5" customHeight="1">
      <c r="A41" s="468">
        <f t="shared" si="6"/>
        <v>36</v>
      </c>
      <c r="B41" s="167" t="s">
        <v>519</v>
      </c>
      <c r="C41" s="486">
        <v>42584</v>
      </c>
      <c r="D41" s="487" t="s">
        <v>716</v>
      </c>
      <c r="E41" s="548">
        <v>45</v>
      </c>
      <c r="F41" s="547">
        <v>33</v>
      </c>
      <c r="G41" s="547">
        <v>46</v>
      </c>
      <c r="H41" s="593">
        <f t="shared" si="5"/>
        <v>1.32</v>
      </c>
      <c r="I41" s="140">
        <f t="shared" si="12"/>
        <v>401.28000000000003</v>
      </c>
      <c r="J41" s="566">
        <v>304</v>
      </c>
      <c r="K41" s="140">
        <f t="shared" si="11"/>
        <v>10881.3496940808</v>
      </c>
      <c r="L41" s="421">
        <v>14200</v>
      </c>
      <c r="M41" s="483"/>
      <c r="N41" s="285"/>
      <c r="O41" s="492"/>
      <c r="P41" s="509"/>
      <c r="Q41" s="482"/>
      <c r="R41" s="494"/>
      <c r="S41" s="464">
        <f t="shared" si="13"/>
        <v>4316800</v>
      </c>
      <c r="T41" s="464">
        <f t="shared" si="14"/>
        <v>3307930.307000563</v>
      </c>
    </row>
    <row r="42" spans="1:20" ht="17.25" customHeight="1">
      <c r="A42" s="468">
        <f t="shared" si="6"/>
        <v>37</v>
      </c>
      <c r="B42" s="167" t="s">
        <v>520</v>
      </c>
      <c r="C42" s="486">
        <v>42584</v>
      </c>
      <c r="D42" s="487" t="s">
        <v>717</v>
      </c>
      <c r="E42" s="548">
        <v>52</v>
      </c>
      <c r="F42" s="547">
        <v>24.5</v>
      </c>
      <c r="G42" s="547">
        <v>24.5</v>
      </c>
      <c r="H42" s="593">
        <f t="shared" si="5"/>
        <v>0.82</v>
      </c>
      <c r="I42" s="140">
        <f t="shared" si="12"/>
        <v>1094.7</v>
      </c>
      <c r="J42" s="566">
        <v>1335</v>
      </c>
      <c r="K42" s="140">
        <f t="shared" si="11"/>
        <v>6759.6263251107994</v>
      </c>
      <c r="L42" s="421">
        <v>5000</v>
      </c>
      <c r="M42" s="483"/>
      <c r="N42" s="285"/>
      <c r="O42" s="492"/>
      <c r="P42" s="509"/>
      <c r="Q42" s="482"/>
      <c r="R42" s="494"/>
      <c r="S42" s="464">
        <f t="shared" si="13"/>
        <v>6675000</v>
      </c>
      <c r="T42" s="464">
        <f t="shared" si="14"/>
        <v>9024101.1440229174</v>
      </c>
    </row>
    <row r="43" spans="1:20" ht="17.25" customHeight="1">
      <c r="A43" s="468">
        <f t="shared" si="6"/>
        <v>38</v>
      </c>
      <c r="B43" s="167" t="s">
        <v>521</v>
      </c>
      <c r="C43" s="486">
        <v>42584</v>
      </c>
      <c r="D43" s="487" t="s">
        <v>717</v>
      </c>
      <c r="E43" s="548">
        <v>22.5</v>
      </c>
      <c r="F43" s="547">
        <v>22.5</v>
      </c>
      <c r="G43" s="547">
        <v>52</v>
      </c>
      <c r="H43" s="593">
        <f t="shared" si="5"/>
        <v>0.74</v>
      </c>
      <c r="I43" s="140">
        <f t="shared" si="12"/>
        <v>223.48</v>
      </c>
      <c r="J43" s="566">
        <v>302</v>
      </c>
      <c r="K43" s="140">
        <f t="shared" si="11"/>
        <v>6100.1505860755997</v>
      </c>
      <c r="L43" s="421">
        <v>5100</v>
      </c>
      <c r="M43" s="483"/>
      <c r="N43" s="285"/>
      <c r="O43" s="492"/>
      <c r="P43" s="509"/>
      <c r="Q43" s="482"/>
      <c r="R43" s="494"/>
      <c r="S43" s="464">
        <f t="shared" si="13"/>
        <v>1540200</v>
      </c>
      <c r="T43" s="464">
        <f t="shared" si="14"/>
        <v>1842245.4769948311</v>
      </c>
    </row>
    <row r="44" spans="1:20" ht="17.25" customHeight="1">
      <c r="A44" s="468">
        <f t="shared" si="6"/>
        <v>39</v>
      </c>
      <c r="B44" s="167" t="s">
        <v>522</v>
      </c>
      <c r="C44" s="486">
        <v>42584</v>
      </c>
      <c r="D44" s="487" t="s">
        <v>717</v>
      </c>
      <c r="E44" s="548">
        <v>55</v>
      </c>
      <c r="F44" s="547">
        <v>45</v>
      </c>
      <c r="G44" s="547">
        <v>29</v>
      </c>
      <c r="H44" s="593">
        <f t="shared" si="5"/>
        <v>1.58</v>
      </c>
      <c r="I44" s="140">
        <f t="shared" si="12"/>
        <v>663.6</v>
      </c>
      <c r="J44" s="566">
        <v>420</v>
      </c>
      <c r="K44" s="140">
        <f t="shared" si="11"/>
        <v>13024.645845945199</v>
      </c>
      <c r="L44" s="421">
        <v>9700</v>
      </c>
      <c r="M44" s="483"/>
      <c r="O44" s="464"/>
      <c r="P44" s="464"/>
      <c r="Q44" s="464"/>
      <c r="S44" s="464">
        <f t="shared" si="13"/>
        <v>4074000</v>
      </c>
      <c r="T44" s="464">
        <f t="shared" si="14"/>
        <v>5470351.2552969838</v>
      </c>
    </row>
    <row r="45" spans="1:20" ht="17.25" customHeight="1">
      <c r="A45" s="468">
        <f t="shared" si="6"/>
        <v>40</v>
      </c>
      <c r="B45" s="167" t="s">
        <v>523</v>
      </c>
      <c r="C45" s="486">
        <v>42585</v>
      </c>
      <c r="D45" s="487" t="s">
        <v>718</v>
      </c>
      <c r="E45" s="548">
        <v>49</v>
      </c>
      <c r="F45" s="547">
        <v>38</v>
      </c>
      <c r="G45" s="547">
        <v>12.5</v>
      </c>
      <c r="H45" s="593">
        <f t="shared" si="5"/>
        <v>0.96</v>
      </c>
      <c r="I45" s="140">
        <f t="shared" si="12"/>
        <v>409.91999999999996</v>
      </c>
      <c r="J45" s="566">
        <v>427</v>
      </c>
      <c r="K45" s="140">
        <f t="shared" si="11"/>
        <v>7913.7088684223991</v>
      </c>
      <c r="L45" s="421">
        <v>10200</v>
      </c>
      <c r="M45" s="483"/>
      <c r="O45" s="464"/>
      <c r="P45" s="464"/>
      <c r="Q45" s="464"/>
      <c r="S45" s="464">
        <f t="shared" si="13"/>
        <v>4355400</v>
      </c>
      <c r="T45" s="464">
        <f t="shared" si="14"/>
        <v>3379153.6868163645</v>
      </c>
    </row>
    <row r="46" spans="1:20" ht="17.25" customHeight="1">
      <c r="A46" s="468">
        <f t="shared" si="6"/>
        <v>41</v>
      </c>
      <c r="B46" s="167" t="s">
        <v>538</v>
      </c>
      <c r="C46" s="486">
        <v>42588</v>
      </c>
      <c r="D46" s="487" t="s">
        <v>719</v>
      </c>
      <c r="E46" s="548">
        <v>43</v>
      </c>
      <c r="F46" s="547">
        <v>27.5</v>
      </c>
      <c r="G46" s="547">
        <v>23</v>
      </c>
      <c r="H46" s="593">
        <f t="shared" si="5"/>
        <v>0.78</v>
      </c>
      <c r="I46" s="140">
        <f t="shared" si="12"/>
        <v>84.240000000000009</v>
      </c>
      <c r="J46" s="566">
        <v>108</v>
      </c>
      <c r="K46" s="140">
        <f t="shared" si="11"/>
        <v>6429.8884555932</v>
      </c>
      <c r="L46" s="421">
        <v>6400</v>
      </c>
      <c r="M46" s="483"/>
      <c r="O46" s="464"/>
      <c r="P46" s="464"/>
      <c r="Q46" s="464"/>
      <c r="S46" s="464">
        <f t="shared" si="13"/>
        <v>691200</v>
      </c>
      <c r="T46" s="464">
        <f t="shared" si="14"/>
        <v>694427.95320406556</v>
      </c>
    </row>
    <row r="47" spans="1:20" ht="17.25" customHeight="1">
      <c r="A47" s="468">
        <f t="shared" si="6"/>
        <v>42</v>
      </c>
      <c r="B47" s="167" t="s">
        <v>664</v>
      </c>
      <c r="C47" s="486">
        <v>42588</v>
      </c>
      <c r="D47" s="487" t="s">
        <v>719</v>
      </c>
      <c r="E47" s="548">
        <v>39.5</v>
      </c>
      <c r="F47" s="547">
        <v>32.299999999999997</v>
      </c>
      <c r="G47" s="547">
        <v>27.7</v>
      </c>
      <c r="H47" s="593">
        <f t="shared" si="5"/>
        <v>0.94</v>
      </c>
      <c r="I47" s="140">
        <f t="shared" si="12"/>
        <v>96.82</v>
      </c>
      <c r="J47" s="566">
        <v>103</v>
      </c>
      <c r="K47" s="140">
        <f t="shared" si="11"/>
        <v>7748.8399336635994</v>
      </c>
      <c r="L47" s="421">
        <v>9400</v>
      </c>
      <c r="M47" s="483"/>
      <c r="O47" s="464"/>
      <c r="P47" s="464"/>
      <c r="Q47" s="464"/>
      <c r="S47" s="464">
        <f t="shared" si="13"/>
        <v>968200</v>
      </c>
      <c r="T47" s="464">
        <f t="shared" si="14"/>
        <v>798130.51316735079</v>
      </c>
    </row>
    <row r="48" spans="1:20" ht="17.25" customHeight="1">
      <c r="A48" s="468">
        <f t="shared" si="6"/>
        <v>43</v>
      </c>
      <c r="B48" s="167" t="s">
        <v>524</v>
      </c>
      <c r="C48" s="486">
        <v>42591</v>
      </c>
      <c r="D48" s="487" t="s">
        <v>720</v>
      </c>
      <c r="E48" s="548">
        <v>36.5</v>
      </c>
      <c r="F48" s="547">
        <v>26.5</v>
      </c>
      <c r="G48" s="547">
        <v>26</v>
      </c>
      <c r="H48" s="593">
        <f t="shared" si="5"/>
        <v>0.73</v>
      </c>
      <c r="I48" s="140">
        <f t="shared" si="12"/>
        <v>357.7</v>
      </c>
      <c r="J48" s="566">
        <v>490</v>
      </c>
      <c r="K48" s="140">
        <f t="shared" si="11"/>
        <v>6017.7161186961994</v>
      </c>
      <c r="L48" s="421">
        <v>11000</v>
      </c>
      <c r="M48" s="483"/>
      <c r="O48" s="464"/>
      <c r="P48" s="464"/>
      <c r="Q48" s="464"/>
      <c r="S48" s="464">
        <f t="shared" si="13"/>
        <v>5390000</v>
      </c>
      <c r="T48" s="464">
        <f t="shared" si="14"/>
        <v>2948680.8981611375</v>
      </c>
    </row>
    <row r="49" spans="1:20" ht="17.25" customHeight="1">
      <c r="A49" s="468">
        <f t="shared" si="6"/>
        <v>44</v>
      </c>
      <c r="B49" s="167" t="s">
        <v>526</v>
      </c>
      <c r="C49" s="486">
        <v>42592</v>
      </c>
      <c r="D49" s="487" t="s">
        <v>721</v>
      </c>
      <c r="E49" s="548">
        <v>62</v>
      </c>
      <c r="F49" s="547">
        <v>42.5</v>
      </c>
      <c r="G49" s="547">
        <v>42.5</v>
      </c>
      <c r="H49" s="593">
        <f t="shared" si="5"/>
        <v>1.88</v>
      </c>
      <c r="I49" s="140">
        <f t="shared" si="12"/>
        <v>757.64</v>
      </c>
      <c r="J49" s="566">
        <v>403</v>
      </c>
      <c r="K49" s="140">
        <f t="shared" si="11"/>
        <v>15497.679867327199</v>
      </c>
      <c r="L49" s="421">
        <v>20000</v>
      </c>
      <c r="M49" s="483"/>
      <c r="O49" s="464"/>
      <c r="P49" s="464"/>
      <c r="Q49" s="464"/>
      <c r="S49" s="464">
        <f t="shared" si="13"/>
        <v>8060000</v>
      </c>
      <c r="T49" s="464">
        <f t="shared" si="14"/>
        <v>6245564.9865328614</v>
      </c>
    </row>
    <row r="50" spans="1:20" ht="17.25" customHeight="1">
      <c r="A50" s="468">
        <f t="shared" si="6"/>
        <v>45</v>
      </c>
      <c r="B50" s="167" t="s">
        <v>647</v>
      </c>
      <c r="C50" s="486">
        <v>42592</v>
      </c>
      <c r="D50" s="487" t="s">
        <v>722</v>
      </c>
      <c r="E50" s="548">
        <v>49</v>
      </c>
      <c r="F50" s="547">
        <v>47</v>
      </c>
      <c r="G50" s="547">
        <v>27</v>
      </c>
      <c r="H50" s="593">
        <f t="shared" si="5"/>
        <v>1.52</v>
      </c>
      <c r="I50" s="140">
        <f t="shared" si="12"/>
        <v>45.6</v>
      </c>
      <c r="J50" s="566">
        <v>30</v>
      </c>
      <c r="K50" s="140">
        <f t="shared" si="11"/>
        <v>12530.039041668799</v>
      </c>
      <c r="L50" s="421">
        <v>14200</v>
      </c>
      <c r="M50" s="483"/>
      <c r="O50" s="464"/>
      <c r="P50" s="464"/>
      <c r="Q50" s="464"/>
      <c r="S50" s="464">
        <f t="shared" si="13"/>
        <v>426000</v>
      </c>
      <c r="T50" s="464">
        <f t="shared" si="14"/>
        <v>375901.17125006398</v>
      </c>
    </row>
    <row r="51" spans="1:20" ht="17.25" customHeight="1">
      <c r="A51" s="468">
        <f t="shared" si="6"/>
        <v>46</v>
      </c>
      <c r="B51" s="167" t="s">
        <v>650</v>
      </c>
      <c r="C51" s="486">
        <v>42592</v>
      </c>
      <c r="D51" s="487" t="s">
        <v>722</v>
      </c>
      <c r="E51" s="548">
        <v>38</v>
      </c>
      <c r="F51" s="547">
        <v>37</v>
      </c>
      <c r="G51" s="547">
        <v>30</v>
      </c>
      <c r="H51" s="593">
        <f t="shared" si="5"/>
        <v>1.0900000000000001</v>
      </c>
      <c r="I51" s="140">
        <f t="shared" si="12"/>
        <v>32.700000000000003</v>
      </c>
      <c r="J51" s="566">
        <v>30</v>
      </c>
      <c r="K51" s="140">
        <f t="shared" si="11"/>
        <v>8985.3569443546003</v>
      </c>
      <c r="L51" s="421">
        <v>15300</v>
      </c>
      <c r="M51" s="483"/>
      <c r="O51" s="464"/>
      <c r="P51" s="464"/>
      <c r="Q51" s="464"/>
      <c r="S51" s="464">
        <f t="shared" si="13"/>
        <v>459000</v>
      </c>
      <c r="T51" s="464">
        <f t="shared" si="14"/>
        <v>269560.70833063801</v>
      </c>
    </row>
    <row r="52" spans="1:20" ht="17.25" customHeight="1">
      <c r="A52" s="468">
        <f t="shared" si="6"/>
        <v>47</v>
      </c>
      <c r="B52" s="167" t="s">
        <v>648</v>
      </c>
      <c r="C52" s="486">
        <v>42592</v>
      </c>
      <c r="D52" s="487" t="s">
        <v>722</v>
      </c>
      <c r="E52" s="548">
        <v>40</v>
      </c>
      <c r="F52" s="547">
        <v>39</v>
      </c>
      <c r="G52" s="547">
        <v>32</v>
      </c>
      <c r="H52" s="593">
        <f t="shared" si="5"/>
        <v>1.21</v>
      </c>
      <c r="I52" s="140">
        <f t="shared" si="12"/>
        <v>36.299999999999997</v>
      </c>
      <c r="J52" s="566">
        <v>30</v>
      </c>
      <c r="K52" s="140">
        <f t="shared" si="11"/>
        <v>9974.5705529073985</v>
      </c>
      <c r="L52" s="421">
        <v>16500</v>
      </c>
      <c r="M52" s="483"/>
      <c r="O52" s="464"/>
      <c r="P52" s="464"/>
      <c r="Q52" s="464"/>
      <c r="S52" s="464">
        <f t="shared" si="13"/>
        <v>495000</v>
      </c>
      <c r="T52" s="464">
        <f t="shared" si="14"/>
        <v>299237.11658722197</v>
      </c>
    </row>
    <row r="53" spans="1:20" ht="17.25" customHeight="1">
      <c r="A53" s="468">
        <f t="shared" si="6"/>
        <v>48</v>
      </c>
      <c r="B53" s="167" t="s">
        <v>649</v>
      </c>
      <c r="C53" s="486">
        <v>42592</v>
      </c>
      <c r="D53" s="487" t="s">
        <v>722</v>
      </c>
      <c r="E53" s="548">
        <v>42</v>
      </c>
      <c r="F53" s="547">
        <v>41</v>
      </c>
      <c r="G53" s="547">
        <v>34</v>
      </c>
      <c r="H53" s="593">
        <f t="shared" si="5"/>
        <v>1.33</v>
      </c>
      <c r="I53" s="140">
        <f t="shared" si="12"/>
        <v>133</v>
      </c>
      <c r="J53" s="566">
        <v>100</v>
      </c>
      <c r="K53" s="140">
        <f t="shared" si="11"/>
        <v>10963.7841614602</v>
      </c>
      <c r="L53" s="421">
        <v>19700</v>
      </c>
      <c r="M53" s="483"/>
      <c r="O53" s="464"/>
      <c r="P53" s="464"/>
      <c r="Q53" s="464"/>
      <c r="S53" s="464">
        <f t="shared" si="13"/>
        <v>1970000</v>
      </c>
      <c r="T53" s="464">
        <f t="shared" si="14"/>
        <v>1096378.4161460199</v>
      </c>
    </row>
    <row r="54" spans="1:20" ht="17.25" customHeight="1">
      <c r="A54" s="468">
        <f t="shared" si="6"/>
        <v>49</v>
      </c>
      <c r="B54" s="167" t="s">
        <v>819</v>
      </c>
      <c r="C54" s="486">
        <v>42592</v>
      </c>
      <c r="D54" s="487" t="s">
        <v>722</v>
      </c>
      <c r="E54" s="548">
        <v>63</v>
      </c>
      <c r="F54" s="547">
        <v>53</v>
      </c>
      <c r="G54" s="547">
        <v>32</v>
      </c>
      <c r="H54" s="593">
        <f t="shared" si="5"/>
        <v>2.09</v>
      </c>
      <c r="I54" s="140">
        <f t="shared" si="12"/>
        <v>125.39999999999999</v>
      </c>
      <c r="J54" s="566">
        <v>60</v>
      </c>
      <c r="K54" s="140">
        <f t="shared" ref="K54:K85" si="15">H54*$R$33</f>
        <v>17228.803682294598</v>
      </c>
      <c r="L54" s="421">
        <v>20100</v>
      </c>
      <c r="M54" s="483"/>
      <c r="O54" s="464"/>
      <c r="P54" s="464"/>
      <c r="Q54" s="464"/>
      <c r="S54" s="464">
        <f t="shared" si="13"/>
        <v>1206000</v>
      </c>
      <c r="T54" s="464">
        <f t="shared" si="14"/>
        <v>1033728.2209376759</v>
      </c>
    </row>
    <row r="55" spans="1:20" ht="17.25" customHeight="1">
      <c r="A55" s="468">
        <f t="shared" si="6"/>
        <v>50</v>
      </c>
      <c r="B55" s="167" t="s">
        <v>526</v>
      </c>
      <c r="C55" s="486">
        <v>42592</v>
      </c>
      <c r="D55" s="487" t="s">
        <v>723</v>
      </c>
      <c r="E55" s="548">
        <v>62</v>
      </c>
      <c r="F55" s="547">
        <v>42.5</v>
      </c>
      <c r="G55" s="547">
        <v>42.5</v>
      </c>
      <c r="H55" s="593">
        <f t="shared" si="5"/>
        <v>1.88</v>
      </c>
      <c r="I55" s="140">
        <f t="shared" si="12"/>
        <v>757.64</v>
      </c>
      <c r="J55" s="566">
        <v>403</v>
      </c>
      <c r="K55" s="140">
        <f t="shared" si="15"/>
        <v>15497.679867327199</v>
      </c>
      <c r="L55" s="421">
        <v>20000</v>
      </c>
      <c r="M55" s="483"/>
      <c r="O55" s="464"/>
      <c r="P55" s="464"/>
      <c r="Q55" s="464"/>
      <c r="S55" s="464">
        <f t="shared" si="13"/>
        <v>8060000</v>
      </c>
      <c r="T55" s="464">
        <f t="shared" si="14"/>
        <v>6245564.9865328614</v>
      </c>
    </row>
    <row r="56" spans="1:20" ht="17.25" customHeight="1">
      <c r="A56" s="468">
        <f t="shared" si="6"/>
        <v>51</v>
      </c>
      <c r="B56" s="167" t="s">
        <v>657</v>
      </c>
      <c r="C56" s="486">
        <v>42594</v>
      </c>
      <c r="D56" s="487" t="s">
        <v>724</v>
      </c>
      <c r="E56" s="548">
        <v>47</v>
      </c>
      <c r="F56" s="547">
        <v>42</v>
      </c>
      <c r="G56" s="547">
        <v>24.5</v>
      </c>
      <c r="H56" s="593">
        <f t="shared" si="5"/>
        <v>1.27</v>
      </c>
      <c r="I56" s="140">
        <f t="shared" si="12"/>
        <v>1689.1000000000001</v>
      </c>
      <c r="J56" s="566">
        <v>1330</v>
      </c>
      <c r="K56" s="140">
        <f t="shared" si="15"/>
        <v>10469.177357183798</v>
      </c>
      <c r="L56" s="421">
        <v>9360</v>
      </c>
      <c r="M56" s="483"/>
      <c r="O56" s="464"/>
      <c r="P56" s="464"/>
      <c r="Q56" s="464"/>
      <c r="S56" s="464">
        <f t="shared" si="13"/>
        <v>12448800</v>
      </c>
      <c r="T56" s="464">
        <f t="shared" si="14"/>
        <v>13924005.885054452</v>
      </c>
    </row>
    <row r="57" spans="1:20" ht="17.25" customHeight="1">
      <c r="A57" s="468">
        <f t="shared" si="6"/>
        <v>52</v>
      </c>
      <c r="B57" s="167" t="s">
        <v>657</v>
      </c>
      <c r="C57" s="486">
        <v>42594</v>
      </c>
      <c r="D57" s="487" t="s">
        <v>724</v>
      </c>
      <c r="E57" s="548">
        <v>47</v>
      </c>
      <c r="F57" s="547">
        <v>42</v>
      </c>
      <c r="G57" s="547">
        <v>24.5</v>
      </c>
      <c r="H57" s="593">
        <f t="shared" si="5"/>
        <v>1.27</v>
      </c>
      <c r="I57" s="140">
        <f t="shared" si="12"/>
        <v>101.6</v>
      </c>
      <c r="J57" s="566">
        <v>80</v>
      </c>
      <c r="K57" s="140">
        <f t="shared" si="15"/>
        <v>10469.177357183798</v>
      </c>
      <c r="L57" s="421">
        <v>9200</v>
      </c>
      <c r="M57" s="483"/>
      <c r="O57" s="464"/>
      <c r="P57" s="464"/>
      <c r="Q57" s="464"/>
      <c r="S57" s="464">
        <f t="shared" si="13"/>
        <v>736000</v>
      </c>
      <c r="T57" s="464">
        <f t="shared" si="14"/>
        <v>837534.18857470388</v>
      </c>
    </row>
    <row r="58" spans="1:20" ht="17.25" customHeight="1">
      <c r="A58" s="468">
        <f t="shared" si="6"/>
        <v>53</v>
      </c>
      <c r="B58" s="167" t="s">
        <v>658</v>
      </c>
      <c r="C58" s="486">
        <v>42594</v>
      </c>
      <c r="D58" s="487" t="s">
        <v>724</v>
      </c>
      <c r="E58" s="548">
        <v>46</v>
      </c>
      <c r="F58" s="547">
        <v>42</v>
      </c>
      <c r="G58" s="547">
        <v>26</v>
      </c>
      <c r="H58" s="593">
        <f t="shared" si="5"/>
        <v>1.29</v>
      </c>
      <c r="I58" s="140">
        <f t="shared" si="12"/>
        <v>45.15</v>
      </c>
      <c r="J58" s="566">
        <v>35</v>
      </c>
      <c r="K58" s="140">
        <f t="shared" si="15"/>
        <v>10634.046291942599</v>
      </c>
      <c r="L58" s="421">
        <v>9300</v>
      </c>
      <c r="M58" s="483"/>
      <c r="O58" s="464"/>
      <c r="P58" s="464"/>
      <c r="Q58" s="464"/>
      <c r="S58" s="464">
        <f t="shared" si="13"/>
        <v>325500</v>
      </c>
      <c r="T58" s="464">
        <f t="shared" si="14"/>
        <v>372191.62021799095</v>
      </c>
    </row>
    <row r="59" spans="1:20" ht="17.25" customHeight="1">
      <c r="A59" s="468">
        <f t="shared" si="6"/>
        <v>54</v>
      </c>
      <c r="B59" s="167" t="s">
        <v>659</v>
      </c>
      <c r="C59" s="486">
        <v>42594</v>
      </c>
      <c r="D59" s="487" t="s">
        <v>724</v>
      </c>
      <c r="E59" s="548">
        <v>47</v>
      </c>
      <c r="F59" s="547">
        <v>42</v>
      </c>
      <c r="G59" s="547">
        <v>13</v>
      </c>
      <c r="H59" s="593">
        <f t="shared" si="5"/>
        <v>1.06</v>
      </c>
      <c r="I59" s="140">
        <f t="shared" si="12"/>
        <v>95.4</v>
      </c>
      <c r="J59" s="566">
        <v>90</v>
      </c>
      <c r="K59" s="140">
        <f t="shared" si="15"/>
        <v>8738.0535422163994</v>
      </c>
      <c r="L59" s="421">
        <v>7500</v>
      </c>
      <c r="M59" s="483"/>
      <c r="O59" s="464"/>
      <c r="P59" s="464"/>
      <c r="Q59" s="464"/>
      <c r="S59" s="464">
        <f t="shared" si="13"/>
        <v>675000</v>
      </c>
      <c r="T59" s="464">
        <f t="shared" si="14"/>
        <v>786424.81879947591</v>
      </c>
    </row>
    <row r="60" spans="1:20" ht="17.25" customHeight="1">
      <c r="A60" s="468">
        <f t="shared" si="6"/>
        <v>55</v>
      </c>
      <c r="B60" s="167" t="s">
        <v>660</v>
      </c>
      <c r="C60" s="486">
        <v>42594</v>
      </c>
      <c r="D60" s="487" t="s">
        <v>724</v>
      </c>
      <c r="E60" s="548">
        <v>39</v>
      </c>
      <c r="F60" s="547">
        <v>29</v>
      </c>
      <c r="G60" s="547">
        <v>27</v>
      </c>
      <c r="H60" s="593">
        <f t="shared" si="5"/>
        <v>0.83</v>
      </c>
      <c r="I60" s="140">
        <f t="shared" si="12"/>
        <v>539.5</v>
      </c>
      <c r="J60" s="566">
        <v>650</v>
      </c>
      <c r="K60" s="140">
        <f t="shared" si="15"/>
        <v>6842.0607924901988</v>
      </c>
      <c r="L60" s="421">
        <v>6200</v>
      </c>
      <c r="M60" s="483"/>
      <c r="O60" s="464"/>
      <c r="P60" s="464"/>
      <c r="Q60" s="464"/>
      <c r="S60" s="464">
        <f t="shared" si="13"/>
        <v>4030000</v>
      </c>
      <c r="T60" s="464">
        <f t="shared" si="14"/>
        <v>4447339.5151186287</v>
      </c>
    </row>
    <row r="61" spans="1:20" ht="17.25" customHeight="1">
      <c r="A61" s="468">
        <f t="shared" si="6"/>
        <v>56</v>
      </c>
      <c r="B61" s="167" t="s">
        <v>661</v>
      </c>
      <c r="C61" s="486">
        <v>42594</v>
      </c>
      <c r="D61" s="487" t="s">
        <v>724</v>
      </c>
      <c r="E61" s="548">
        <v>47</v>
      </c>
      <c r="F61" s="547">
        <v>42</v>
      </c>
      <c r="G61" s="547">
        <v>27</v>
      </c>
      <c r="H61" s="593">
        <f t="shared" si="5"/>
        <v>1.32</v>
      </c>
      <c r="I61" s="140">
        <f t="shared" si="12"/>
        <v>277.2</v>
      </c>
      <c r="J61" s="566">
        <v>210</v>
      </c>
      <c r="K61" s="140">
        <f t="shared" si="15"/>
        <v>10881.3496940808</v>
      </c>
      <c r="L61" s="421">
        <v>9500</v>
      </c>
      <c r="M61" s="483"/>
      <c r="O61" s="464"/>
      <c r="P61" s="464"/>
      <c r="Q61" s="464"/>
      <c r="S61" s="464">
        <f t="shared" si="13"/>
        <v>1995000</v>
      </c>
      <c r="T61" s="464">
        <f t="shared" si="14"/>
        <v>2285083.4357569679</v>
      </c>
    </row>
    <row r="62" spans="1:20" ht="17.25" customHeight="1">
      <c r="A62" s="468">
        <f t="shared" si="6"/>
        <v>57</v>
      </c>
      <c r="B62" s="167" t="s">
        <v>527</v>
      </c>
      <c r="C62" s="486">
        <v>42597</v>
      </c>
      <c r="D62" s="487" t="s">
        <v>725</v>
      </c>
      <c r="E62" s="548">
        <v>52</v>
      </c>
      <c r="F62" s="547">
        <v>24</v>
      </c>
      <c r="G62" s="547">
        <v>24</v>
      </c>
      <c r="H62" s="593">
        <f t="shared" si="5"/>
        <v>0.8</v>
      </c>
      <c r="I62" s="140">
        <f t="shared" si="12"/>
        <v>343.20000000000005</v>
      </c>
      <c r="J62" s="566">
        <v>429</v>
      </c>
      <c r="K62" s="140">
        <f t="shared" si="15"/>
        <v>6594.7573903519997</v>
      </c>
      <c r="L62" s="421">
        <v>6000</v>
      </c>
      <c r="M62" s="483"/>
      <c r="O62" s="464"/>
      <c r="P62" s="464"/>
      <c r="Q62" s="464"/>
      <c r="S62" s="464">
        <f t="shared" si="13"/>
        <v>2574000</v>
      </c>
      <c r="T62" s="464">
        <f t="shared" si="14"/>
        <v>2829150.9204610079</v>
      </c>
    </row>
    <row r="63" spans="1:20" ht="17.25" customHeight="1">
      <c r="A63" s="468">
        <f t="shared" si="6"/>
        <v>58</v>
      </c>
      <c r="B63" s="167" t="s">
        <v>528</v>
      </c>
      <c r="C63" s="486">
        <v>42597</v>
      </c>
      <c r="D63" s="487" t="s">
        <v>725</v>
      </c>
      <c r="E63" s="548">
        <v>52</v>
      </c>
      <c r="F63" s="547">
        <v>27</v>
      </c>
      <c r="G63" s="547">
        <v>27</v>
      </c>
      <c r="H63" s="593">
        <f t="shared" si="5"/>
        <v>0.93</v>
      </c>
      <c r="I63" s="140">
        <f t="shared" si="12"/>
        <v>344.1</v>
      </c>
      <c r="J63" s="566">
        <v>370</v>
      </c>
      <c r="K63" s="140">
        <f t="shared" si="15"/>
        <v>7666.4054662842</v>
      </c>
      <c r="L63" s="421">
        <v>6600</v>
      </c>
      <c r="M63" s="483"/>
      <c r="O63" s="464"/>
      <c r="P63" s="464"/>
      <c r="Q63" s="464"/>
      <c r="S63" s="464">
        <f t="shared" si="13"/>
        <v>2442000</v>
      </c>
      <c r="T63" s="464">
        <f t="shared" si="14"/>
        <v>2836570.0225251541</v>
      </c>
    </row>
    <row r="64" spans="1:20" ht="17.25" customHeight="1">
      <c r="A64" s="468">
        <f t="shared" si="6"/>
        <v>59</v>
      </c>
      <c r="B64" s="167" t="s">
        <v>529</v>
      </c>
      <c r="C64" s="486">
        <v>42597</v>
      </c>
      <c r="D64" s="487" t="s">
        <v>726</v>
      </c>
      <c r="E64" s="548">
        <v>103</v>
      </c>
      <c r="F64" s="547">
        <v>50</v>
      </c>
      <c r="G64" s="547">
        <v>180</v>
      </c>
      <c r="H64" s="593">
        <f t="shared" si="5"/>
        <v>7.25</v>
      </c>
      <c r="I64" s="140">
        <f t="shared" si="12"/>
        <v>942.5</v>
      </c>
      <c r="J64" s="566">
        <v>130</v>
      </c>
      <c r="K64" s="140">
        <f t="shared" si="15"/>
        <v>59764.988850064998</v>
      </c>
      <c r="L64" s="421">
        <v>47449</v>
      </c>
      <c r="M64" s="483"/>
      <c r="O64" s="464"/>
      <c r="P64" s="464"/>
      <c r="Q64" s="464"/>
      <c r="S64" s="464">
        <f t="shared" si="13"/>
        <v>6168370</v>
      </c>
      <c r="T64" s="464">
        <f t="shared" si="14"/>
        <v>7769448.5505084498</v>
      </c>
    </row>
    <row r="65" spans="1:20" ht="17.25" customHeight="1">
      <c r="A65" s="468">
        <f t="shared" si="6"/>
        <v>60</v>
      </c>
      <c r="B65" s="167" t="s">
        <v>530</v>
      </c>
      <c r="C65" s="486">
        <v>42599</v>
      </c>
      <c r="D65" s="487" t="s">
        <v>727</v>
      </c>
      <c r="E65" s="548">
        <v>40</v>
      </c>
      <c r="F65" s="547">
        <v>29.5</v>
      </c>
      <c r="G65" s="547">
        <v>19</v>
      </c>
      <c r="H65" s="593">
        <f t="shared" si="5"/>
        <v>0.74</v>
      </c>
      <c r="I65" s="140">
        <f t="shared" si="12"/>
        <v>228.66</v>
      </c>
      <c r="J65" s="566">
        <v>309</v>
      </c>
      <c r="K65" s="140">
        <f t="shared" si="15"/>
        <v>6100.1505860755997</v>
      </c>
      <c r="L65" s="421">
        <v>7500</v>
      </c>
      <c r="M65" s="483"/>
      <c r="O65" s="464"/>
      <c r="P65" s="464"/>
      <c r="Q65" s="464"/>
      <c r="S65" s="464">
        <f t="shared" si="13"/>
        <v>2317500</v>
      </c>
      <c r="T65" s="464">
        <f t="shared" si="14"/>
        <v>1884946.5310973602</v>
      </c>
    </row>
    <row r="66" spans="1:20" ht="17.25" customHeight="1">
      <c r="A66" s="468">
        <f t="shared" si="6"/>
        <v>61</v>
      </c>
      <c r="B66" s="167" t="s">
        <v>531</v>
      </c>
      <c r="C66" s="486">
        <v>42599</v>
      </c>
      <c r="D66" s="487" t="s">
        <v>728</v>
      </c>
      <c r="E66" s="548">
        <v>40</v>
      </c>
      <c r="F66" s="547">
        <v>25.5</v>
      </c>
      <c r="G66" s="547">
        <v>72</v>
      </c>
      <c r="H66" s="593">
        <f t="shared" si="5"/>
        <v>1.37</v>
      </c>
      <c r="I66" s="140">
        <f t="shared" si="12"/>
        <v>26.03</v>
      </c>
      <c r="J66" s="566">
        <v>19</v>
      </c>
      <c r="K66" s="140">
        <f t="shared" si="15"/>
        <v>11293.5220309778</v>
      </c>
      <c r="L66" s="421">
        <v>10800</v>
      </c>
      <c r="M66" s="483"/>
      <c r="O66" s="464"/>
      <c r="P66" s="464"/>
      <c r="Q66" s="464"/>
      <c r="S66" s="464">
        <f t="shared" si="13"/>
        <v>205200</v>
      </c>
      <c r="T66" s="464">
        <f t="shared" si="14"/>
        <v>214576.91858857821</v>
      </c>
    </row>
    <row r="67" spans="1:20" ht="17.25" customHeight="1">
      <c r="A67" s="468">
        <f t="shared" si="6"/>
        <v>62</v>
      </c>
      <c r="B67" s="167" t="s">
        <v>510</v>
      </c>
      <c r="C67" s="486">
        <v>42602</v>
      </c>
      <c r="D67" s="487" t="s">
        <v>730</v>
      </c>
      <c r="E67" s="548">
        <v>37.5</v>
      </c>
      <c r="F67" s="547">
        <v>25.5</v>
      </c>
      <c r="G67" s="547">
        <v>23.9</v>
      </c>
      <c r="H67" s="593">
        <f t="shared" si="5"/>
        <v>0.69</v>
      </c>
      <c r="I67" s="140">
        <f t="shared" si="12"/>
        <v>648.59999999999991</v>
      </c>
      <c r="J67" s="566">
        <v>940</v>
      </c>
      <c r="K67" s="140">
        <f t="shared" si="15"/>
        <v>5687.9782491785991</v>
      </c>
      <c r="L67" s="421">
        <v>5900</v>
      </c>
      <c r="M67" s="483"/>
      <c r="O67" s="464"/>
      <c r="P67" s="464"/>
      <c r="Q67" s="464"/>
      <c r="S67" s="464">
        <f t="shared" si="13"/>
        <v>5546000</v>
      </c>
      <c r="T67" s="464">
        <f t="shared" si="14"/>
        <v>5346699.554227883</v>
      </c>
    </row>
    <row r="68" spans="1:20" ht="17.25" customHeight="1">
      <c r="A68" s="468">
        <f t="shared" si="6"/>
        <v>63</v>
      </c>
      <c r="B68" s="167" t="s">
        <v>685</v>
      </c>
      <c r="C68" s="486">
        <v>42605</v>
      </c>
      <c r="D68" s="487" t="s">
        <v>731</v>
      </c>
      <c r="E68" s="548">
        <v>47</v>
      </c>
      <c r="F68" s="547">
        <v>47</v>
      </c>
      <c r="G68" s="547">
        <v>52</v>
      </c>
      <c r="H68" s="593">
        <f t="shared" si="5"/>
        <v>1.97</v>
      </c>
      <c r="I68" s="140">
        <f t="shared" si="12"/>
        <v>114.26</v>
      </c>
      <c r="J68" s="566">
        <v>58</v>
      </c>
      <c r="K68" s="140">
        <f t="shared" si="15"/>
        <v>16239.590073741798</v>
      </c>
      <c r="L68" s="421">
        <v>16070</v>
      </c>
      <c r="M68" s="483"/>
      <c r="O68" s="464"/>
      <c r="P68" s="464"/>
      <c r="Q68" s="464"/>
      <c r="S68" s="464">
        <f t="shared" si="13"/>
        <v>932060</v>
      </c>
      <c r="T68" s="464">
        <f t="shared" si="14"/>
        <v>941896.22427702427</v>
      </c>
    </row>
    <row r="69" spans="1:20" ht="17.25" customHeight="1">
      <c r="A69" s="468">
        <f t="shared" si="6"/>
        <v>64</v>
      </c>
      <c r="B69" s="167" t="s">
        <v>498</v>
      </c>
      <c r="C69" s="486">
        <v>42605</v>
      </c>
      <c r="D69" s="487" t="s">
        <v>731</v>
      </c>
      <c r="E69" s="548">
        <v>10.3</v>
      </c>
      <c r="F69" s="547">
        <v>5.4</v>
      </c>
      <c r="G69" s="547">
        <v>18</v>
      </c>
      <c r="H69" s="593">
        <f t="shared" si="5"/>
        <v>0.1</v>
      </c>
      <c r="I69" s="140">
        <f t="shared" si="12"/>
        <v>5.6000000000000005</v>
      </c>
      <c r="J69" s="566">
        <v>56</v>
      </c>
      <c r="K69" s="140">
        <f t="shared" si="15"/>
        <v>824.34467379399996</v>
      </c>
      <c r="L69" s="421">
        <v>73100</v>
      </c>
      <c r="M69" s="483"/>
      <c r="O69" s="464"/>
      <c r="P69" s="464"/>
      <c r="Q69" s="464"/>
      <c r="S69" s="464">
        <f t="shared" si="13"/>
        <v>4093600</v>
      </c>
      <c r="T69" s="464">
        <f t="shared" si="14"/>
        <v>46163.301732463995</v>
      </c>
    </row>
    <row r="70" spans="1:20" ht="17.25" customHeight="1">
      <c r="A70" s="468">
        <f t="shared" si="6"/>
        <v>65</v>
      </c>
      <c r="B70" s="167" t="s">
        <v>653</v>
      </c>
      <c r="C70" s="486">
        <v>42607</v>
      </c>
      <c r="D70" s="487" t="s">
        <v>732</v>
      </c>
      <c r="E70" s="548">
        <v>53</v>
      </c>
      <c r="F70" s="547">
        <v>42</v>
      </c>
      <c r="G70" s="547">
        <v>29</v>
      </c>
      <c r="H70" s="593">
        <f t="shared" si="5"/>
        <v>1.44</v>
      </c>
      <c r="I70" s="140">
        <f t="shared" ref="I70:I101" si="16">H70*J70</f>
        <v>1497.6</v>
      </c>
      <c r="J70" s="566">
        <v>1040</v>
      </c>
      <c r="K70" s="140">
        <f t="shared" si="15"/>
        <v>11870.563302633598</v>
      </c>
      <c r="L70" s="421">
        <v>15100</v>
      </c>
      <c r="M70" s="483"/>
      <c r="O70" s="464"/>
      <c r="P70" s="464"/>
      <c r="Q70" s="464"/>
      <c r="S70" s="464">
        <f t="shared" ref="S70:S101" si="17">J70*L70</f>
        <v>15704000</v>
      </c>
      <c r="T70" s="464">
        <f t="shared" ref="T70:T101" si="18">J70*K70</f>
        <v>12345385.834738942</v>
      </c>
    </row>
    <row r="71" spans="1:20" ht="17.25" customHeight="1">
      <c r="A71" s="468">
        <f t="shared" si="6"/>
        <v>66</v>
      </c>
      <c r="B71" s="167" t="s">
        <v>653</v>
      </c>
      <c r="C71" s="486">
        <v>42607</v>
      </c>
      <c r="D71" s="487" t="s">
        <v>733</v>
      </c>
      <c r="E71" s="548">
        <v>53</v>
      </c>
      <c r="F71" s="547">
        <v>42</v>
      </c>
      <c r="G71" s="547">
        <v>29</v>
      </c>
      <c r="H71" s="593">
        <f t="shared" ref="H71:H124" si="19">IF(G71&lt;&gt;"",ROUND(((E71+F71)*2+5)*(F71+G71+3)/10000,2),ROUND(E71*F71/10000,2))</f>
        <v>1.44</v>
      </c>
      <c r="I71" s="140">
        <f t="shared" si="16"/>
        <v>158.4</v>
      </c>
      <c r="J71" s="566">
        <v>110</v>
      </c>
      <c r="K71" s="140">
        <f t="shared" si="15"/>
        <v>11870.563302633598</v>
      </c>
      <c r="L71" s="421">
        <v>15100</v>
      </c>
      <c r="M71" s="483"/>
      <c r="O71" s="464"/>
      <c r="P71" s="464"/>
      <c r="Q71" s="464"/>
      <c r="S71" s="464">
        <f t="shared" si="17"/>
        <v>1661000</v>
      </c>
      <c r="T71" s="464">
        <f t="shared" si="18"/>
        <v>1305761.9632896958</v>
      </c>
    </row>
    <row r="72" spans="1:20" ht="17.25" customHeight="1">
      <c r="A72" s="468">
        <f t="shared" si="6"/>
        <v>67</v>
      </c>
      <c r="B72" s="167" t="s">
        <v>534</v>
      </c>
      <c r="C72" s="486">
        <v>42608</v>
      </c>
      <c r="D72" s="487" t="s">
        <v>734</v>
      </c>
      <c r="E72" s="548">
        <v>51.5</v>
      </c>
      <c r="F72" s="547">
        <v>39.5</v>
      </c>
      <c r="G72" s="547">
        <v>39.5</v>
      </c>
      <c r="H72" s="593">
        <f t="shared" si="19"/>
        <v>1.53</v>
      </c>
      <c r="I72" s="140">
        <f t="shared" si="16"/>
        <v>183.6</v>
      </c>
      <c r="J72" s="566">
        <v>120</v>
      </c>
      <c r="K72" s="140">
        <f t="shared" si="15"/>
        <v>12612.473509048199</v>
      </c>
      <c r="L72" s="421">
        <v>19000</v>
      </c>
      <c r="M72" s="483"/>
      <c r="O72" s="464"/>
      <c r="P72" s="464"/>
      <c r="Q72" s="464"/>
      <c r="S72" s="464">
        <f t="shared" si="17"/>
        <v>2280000</v>
      </c>
      <c r="T72" s="464">
        <f t="shared" si="18"/>
        <v>1513496.8210857839</v>
      </c>
    </row>
    <row r="73" spans="1:20" ht="17.25" customHeight="1">
      <c r="A73" s="468">
        <f t="shared" si="6"/>
        <v>68</v>
      </c>
      <c r="B73" s="167" t="s">
        <v>535</v>
      </c>
      <c r="C73" s="486">
        <v>42608</v>
      </c>
      <c r="D73" s="487" t="s">
        <v>734</v>
      </c>
      <c r="E73" s="548">
        <v>50</v>
      </c>
      <c r="F73" s="547">
        <v>38</v>
      </c>
      <c r="G73" s="547"/>
      <c r="H73" s="593">
        <f t="shared" si="19"/>
        <v>0.19</v>
      </c>
      <c r="I73" s="140">
        <f t="shared" si="16"/>
        <v>45.6</v>
      </c>
      <c r="J73" s="566">
        <v>240</v>
      </c>
      <c r="K73" s="140">
        <f t="shared" si="15"/>
        <v>1566.2548802085998</v>
      </c>
      <c r="L73" s="421">
        <v>1750</v>
      </c>
      <c r="M73" s="483"/>
      <c r="O73" s="464"/>
      <c r="P73" s="464"/>
      <c r="Q73" s="464"/>
      <c r="S73" s="464">
        <f t="shared" si="17"/>
        <v>420000</v>
      </c>
      <c r="T73" s="464">
        <f t="shared" si="18"/>
        <v>375901.17125006398</v>
      </c>
    </row>
    <row r="74" spans="1:20" ht="17.25" customHeight="1">
      <c r="A74" s="468">
        <f t="shared" si="6"/>
        <v>69</v>
      </c>
      <c r="B74" s="167" t="s">
        <v>515</v>
      </c>
      <c r="C74" s="486">
        <v>42608</v>
      </c>
      <c r="D74" s="487" t="s">
        <v>735</v>
      </c>
      <c r="E74" s="548">
        <v>49</v>
      </c>
      <c r="F74" s="547">
        <v>38</v>
      </c>
      <c r="G74" s="547">
        <v>12</v>
      </c>
      <c r="H74" s="593">
        <f t="shared" si="19"/>
        <v>0.95</v>
      </c>
      <c r="I74" s="140">
        <f t="shared" si="16"/>
        <v>487.34999999999997</v>
      </c>
      <c r="J74" s="566">
        <v>513</v>
      </c>
      <c r="K74" s="140">
        <f t="shared" si="15"/>
        <v>7831.2744010429988</v>
      </c>
      <c r="L74" s="421">
        <v>10500</v>
      </c>
      <c r="M74" s="483"/>
      <c r="O74" s="464"/>
      <c r="P74" s="464"/>
      <c r="Q74" s="464"/>
      <c r="S74" s="464">
        <f t="shared" si="17"/>
        <v>5386500</v>
      </c>
      <c r="T74" s="464">
        <f t="shared" si="18"/>
        <v>4017443.7677350584</v>
      </c>
    </row>
    <row r="75" spans="1:20" ht="17.25" customHeight="1">
      <c r="A75" s="468">
        <f t="shared" si="6"/>
        <v>70</v>
      </c>
      <c r="B75" s="167" t="s">
        <v>536</v>
      </c>
      <c r="C75" s="486">
        <v>42608</v>
      </c>
      <c r="D75" s="487" t="s">
        <v>736</v>
      </c>
      <c r="E75" s="548">
        <v>52.5</v>
      </c>
      <c r="F75" s="547">
        <v>30.5</v>
      </c>
      <c r="G75" s="547">
        <v>8.5</v>
      </c>
      <c r="H75" s="593">
        <f t="shared" si="19"/>
        <v>0.72</v>
      </c>
      <c r="I75" s="140">
        <f t="shared" si="16"/>
        <v>720</v>
      </c>
      <c r="J75" s="566">
        <v>1000</v>
      </c>
      <c r="K75" s="140">
        <f t="shared" si="15"/>
        <v>5935.2816513167991</v>
      </c>
      <c r="L75" s="421">
        <v>7700</v>
      </c>
      <c r="M75" s="483"/>
      <c r="O75" s="464"/>
      <c r="P75" s="464"/>
      <c r="Q75" s="464"/>
      <c r="S75" s="464">
        <f t="shared" si="17"/>
        <v>7700000</v>
      </c>
      <c r="T75" s="464">
        <f t="shared" si="18"/>
        <v>5935281.6513167992</v>
      </c>
    </row>
    <row r="76" spans="1:20" ht="17.25" customHeight="1">
      <c r="A76" s="468">
        <f t="shared" si="6"/>
        <v>71</v>
      </c>
      <c r="B76" s="167" t="s">
        <v>537</v>
      </c>
      <c r="C76" s="486">
        <v>42608</v>
      </c>
      <c r="D76" s="487" t="s">
        <v>736</v>
      </c>
      <c r="E76" s="548">
        <v>53</v>
      </c>
      <c r="F76" s="547">
        <v>31</v>
      </c>
      <c r="G76" s="547">
        <v>9.1999999999999993</v>
      </c>
      <c r="H76" s="593">
        <f t="shared" si="19"/>
        <v>0.75</v>
      </c>
      <c r="I76" s="140">
        <f t="shared" si="16"/>
        <v>727.5</v>
      </c>
      <c r="J76" s="566">
        <v>970</v>
      </c>
      <c r="K76" s="140">
        <f t="shared" si="15"/>
        <v>6182.5850534549991</v>
      </c>
      <c r="L76" s="421">
        <v>6400</v>
      </c>
      <c r="M76" s="483"/>
      <c r="O76" s="464"/>
      <c r="P76" s="464"/>
      <c r="Q76" s="464"/>
      <c r="S76" s="464">
        <f t="shared" si="17"/>
        <v>6208000</v>
      </c>
      <c r="T76" s="464">
        <f t="shared" si="18"/>
        <v>5997107.5018513491</v>
      </c>
    </row>
    <row r="77" spans="1:20" ht="17.25" customHeight="1">
      <c r="A77" s="468">
        <f t="shared" si="6"/>
        <v>72</v>
      </c>
      <c r="B77" s="167" t="s">
        <v>538</v>
      </c>
      <c r="C77" s="486">
        <v>42609</v>
      </c>
      <c r="D77" s="487" t="s">
        <v>737</v>
      </c>
      <c r="E77" s="548">
        <v>43</v>
      </c>
      <c r="F77" s="547">
        <v>27.5</v>
      </c>
      <c r="G77" s="547">
        <v>23</v>
      </c>
      <c r="H77" s="593">
        <f t="shared" si="19"/>
        <v>0.78</v>
      </c>
      <c r="I77" s="140">
        <f t="shared" si="16"/>
        <v>158.34</v>
      </c>
      <c r="J77" s="566">
        <v>203</v>
      </c>
      <c r="K77" s="140">
        <f t="shared" si="15"/>
        <v>6429.8884555932</v>
      </c>
      <c r="L77" s="421">
        <v>6400</v>
      </c>
      <c r="M77" s="483"/>
      <c r="O77" s="464"/>
      <c r="P77" s="464"/>
      <c r="Q77" s="464"/>
      <c r="S77" s="464">
        <f t="shared" si="17"/>
        <v>1299200</v>
      </c>
      <c r="T77" s="464">
        <f t="shared" si="18"/>
        <v>1305267.3564854197</v>
      </c>
    </row>
    <row r="78" spans="1:20" ht="17.25" customHeight="1">
      <c r="A78" s="468">
        <f t="shared" si="6"/>
        <v>73</v>
      </c>
      <c r="B78" s="167" t="s">
        <v>529</v>
      </c>
      <c r="C78" s="486">
        <v>42611</v>
      </c>
      <c r="D78" s="487" t="s">
        <v>738</v>
      </c>
      <c r="E78" s="548">
        <v>103</v>
      </c>
      <c r="F78" s="547">
        <v>50</v>
      </c>
      <c r="G78" s="547">
        <v>180</v>
      </c>
      <c r="H78" s="593">
        <f t="shared" si="19"/>
        <v>7.25</v>
      </c>
      <c r="I78" s="140">
        <f t="shared" si="16"/>
        <v>1160</v>
      </c>
      <c r="J78" s="566">
        <v>160</v>
      </c>
      <c r="K78" s="140">
        <f t="shared" si="15"/>
        <v>59764.988850064998</v>
      </c>
      <c r="L78" s="421">
        <v>47449</v>
      </c>
      <c r="M78" s="483"/>
      <c r="O78" s="464"/>
      <c r="P78" s="464"/>
      <c r="Q78" s="464"/>
      <c r="S78" s="464">
        <f t="shared" si="17"/>
        <v>7591840</v>
      </c>
      <c r="T78" s="464">
        <f t="shared" si="18"/>
        <v>9562398.2160103992</v>
      </c>
    </row>
    <row r="79" spans="1:20" ht="17.25" customHeight="1">
      <c r="A79" s="468">
        <f t="shared" si="6"/>
        <v>74</v>
      </c>
      <c r="B79" s="167" t="s">
        <v>370</v>
      </c>
      <c r="C79" s="486">
        <v>42612</v>
      </c>
      <c r="D79" s="487" t="s">
        <v>739</v>
      </c>
      <c r="E79" s="548">
        <v>125</v>
      </c>
      <c r="F79" s="547">
        <v>185</v>
      </c>
      <c r="G79" s="547"/>
      <c r="H79" s="593">
        <f t="shared" si="19"/>
        <v>2.31</v>
      </c>
      <c r="I79" s="140">
        <f t="shared" si="16"/>
        <v>1155</v>
      </c>
      <c r="J79" s="566">
        <v>500</v>
      </c>
      <c r="K79" s="140">
        <f t="shared" si="15"/>
        <v>19042.361964641397</v>
      </c>
      <c r="L79" s="421">
        <v>12950</v>
      </c>
      <c r="M79" s="483"/>
      <c r="O79" s="464"/>
      <c r="P79" s="464"/>
      <c r="Q79" s="464"/>
      <c r="S79" s="464">
        <f t="shared" si="17"/>
        <v>6475000</v>
      </c>
      <c r="T79" s="464">
        <f t="shared" si="18"/>
        <v>9521180.982320698</v>
      </c>
    </row>
    <row r="80" spans="1:20" ht="17.25" customHeight="1">
      <c r="A80" s="468">
        <f t="shared" si="6"/>
        <v>75</v>
      </c>
      <c r="B80" s="167" t="s">
        <v>502</v>
      </c>
      <c r="C80" s="486">
        <v>42613</v>
      </c>
      <c r="D80" s="487" t="s">
        <v>740</v>
      </c>
      <c r="E80" s="548">
        <v>45</v>
      </c>
      <c r="F80" s="547">
        <v>37</v>
      </c>
      <c r="G80" s="547">
        <v>27.5</v>
      </c>
      <c r="H80" s="593">
        <f t="shared" si="19"/>
        <v>1.1399999999999999</v>
      </c>
      <c r="I80" s="140">
        <f t="shared" si="16"/>
        <v>1709.9999999999998</v>
      </c>
      <c r="J80" s="566">
        <v>1500</v>
      </c>
      <c r="K80" s="140">
        <f t="shared" si="15"/>
        <v>9397.5292812515981</v>
      </c>
      <c r="L80" s="421">
        <v>13800</v>
      </c>
      <c r="M80" s="483"/>
      <c r="O80" s="464"/>
      <c r="P80" s="464"/>
      <c r="Q80" s="464"/>
      <c r="S80" s="464">
        <f t="shared" si="17"/>
        <v>20700000</v>
      </c>
      <c r="T80" s="464">
        <f t="shared" si="18"/>
        <v>14096293.921877397</v>
      </c>
    </row>
    <row r="81" spans="1:20" ht="17.25" customHeight="1">
      <c r="A81" s="468">
        <f t="shared" si="6"/>
        <v>76</v>
      </c>
      <c r="B81" s="167" t="s">
        <v>502</v>
      </c>
      <c r="C81" s="486">
        <v>42613</v>
      </c>
      <c r="D81" s="487" t="s">
        <v>740</v>
      </c>
      <c r="E81" s="548">
        <v>45</v>
      </c>
      <c r="F81" s="547">
        <v>37</v>
      </c>
      <c r="G81" s="547">
        <v>27.5</v>
      </c>
      <c r="H81" s="593">
        <f t="shared" si="19"/>
        <v>1.1399999999999999</v>
      </c>
      <c r="I81" s="140">
        <f t="shared" si="16"/>
        <v>455.99999999999994</v>
      </c>
      <c r="J81" s="566">
        <v>400</v>
      </c>
      <c r="K81" s="140">
        <f t="shared" si="15"/>
        <v>9397.5292812515981</v>
      </c>
      <c r="L81" s="421">
        <v>13400</v>
      </c>
      <c r="M81" s="483"/>
      <c r="O81" s="464"/>
      <c r="P81" s="464"/>
      <c r="Q81" s="464"/>
      <c r="S81" s="464">
        <f t="shared" si="17"/>
        <v>5360000</v>
      </c>
      <c r="T81" s="464">
        <f t="shared" si="18"/>
        <v>3759011.7125006393</v>
      </c>
    </row>
    <row r="82" spans="1:20" ht="17.25" customHeight="1">
      <c r="A82" s="468">
        <f t="shared" si="6"/>
        <v>77</v>
      </c>
      <c r="B82" s="167" t="s">
        <v>377</v>
      </c>
      <c r="C82" s="486">
        <v>42613</v>
      </c>
      <c r="D82" s="487" t="s">
        <v>740</v>
      </c>
      <c r="E82" s="548">
        <v>44</v>
      </c>
      <c r="F82" s="547">
        <v>20</v>
      </c>
      <c r="G82" s="547"/>
      <c r="H82" s="593">
        <f t="shared" si="19"/>
        <v>0.09</v>
      </c>
      <c r="I82" s="140">
        <f t="shared" si="16"/>
        <v>342</v>
      </c>
      <c r="J82" s="566">
        <v>3800</v>
      </c>
      <c r="K82" s="140">
        <f t="shared" si="15"/>
        <v>741.91020641459988</v>
      </c>
      <c r="L82" s="421">
        <v>1300</v>
      </c>
      <c r="M82" s="483"/>
      <c r="O82" s="464"/>
      <c r="P82" s="464"/>
      <c r="Q82" s="464"/>
      <c r="S82" s="464">
        <f t="shared" si="17"/>
        <v>4940000</v>
      </c>
      <c r="T82" s="464">
        <f t="shared" si="18"/>
        <v>2819258.7843754794</v>
      </c>
    </row>
    <row r="83" spans="1:20" ht="17.25" customHeight="1">
      <c r="A83" s="468">
        <f t="shared" si="6"/>
        <v>78</v>
      </c>
      <c r="B83" s="167" t="s">
        <v>520</v>
      </c>
      <c r="C83" s="486">
        <v>42613</v>
      </c>
      <c r="D83" s="487" t="s">
        <v>741</v>
      </c>
      <c r="E83" s="548">
        <v>52</v>
      </c>
      <c r="F83" s="547">
        <v>24.5</v>
      </c>
      <c r="G83" s="547">
        <v>24.5</v>
      </c>
      <c r="H83" s="593">
        <f t="shared" si="19"/>
        <v>0.82</v>
      </c>
      <c r="I83" s="140">
        <f t="shared" si="16"/>
        <v>671.57999999999993</v>
      </c>
      <c r="J83" s="566">
        <v>819</v>
      </c>
      <c r="K83" s="140">
        <f t="shared" si="15"/>
        <v>6759.6263251107994</v>
      </c>
      <c r="L83" s="421">
        <v>5000</v>
      </c>
      <c r="M83" s="483"/>
      <c r="O83" s="464"/>
      <c r="P83" s="464"/>
      <c r="Q83" s="464"/>
      <c r="S83" s="464">
        <f t="shared" si="17"/>
        <v>4095000</v>
      </c>
      <c r="T83" s="464">
        <f t="shared" si="18"/>
        <v>5536133.9602657445</v>
      </c>
    </row>
    <row r="84" spans="1:20" ht="17.25" customHeight="1">
      <c r="A84" s="468">
        <f t="shared" si="6"/>
        <v>79</v>
      </c>
      <c r="B84" s="167" t="s">
        <v>546</v>
      </c>
      <c r="C84" s="486">
        <v>42613</v>
      </c>
      <c r="D84" s="487" t="s">
        <v>741</v>
      </c>
      <c r="E84" s="548">
        <v>52</v>
      </c>
      <c r="F84" s="547">
        <v>26.5</v>
      </c>
      <c r="G84" s="547">
        <v>26.5</v>
      </c>
      <c r="H84" s="593">
        <f t="shared" si="19"/>
        <v>0.91</v>
      </c>
      <c r="I84" s="140">
        <f t="shared" si="16"/>
        <v>555.1</v>
      </c>
      <c r="J84" s="566">
        <v>610</v>
      </c>
      <c r="K84" s="140">
        <f t="shared" si="15"/>
        <v>7501.5365315253994</v>
      </c>
      <c r="L84" s="421">
        <v>5550</v>
      </c>
      <c r="M84" s="483"/>
      <c r="O84" s="464"/>
      <c r="P84" s="464"/>
      <c r="Q84" s="464"/>
      <c r="S84" s="464">
        <f t="shared" si="17"/>
        <v>3385500</v>
      </c>
      <c r="T84" s="464">
        <f t="shared" si="18"/>
        <v>4575937.2842304939</v>
      </c>
    </row>
    <row r="85" spans="1:20" ht="17.25" customHeight="1">
      <c r="A85" s="468">
        <f t="shared" si="6"/>
        <v>80</v>
      </c>
      <c r="B85" s="167" t="s">
        <v>522</v>
      </c>
      <c r="C85" s="486">
        <v>42613</v>
      </c>
      <c r="D85" s="487" t="s">
        <v>741</v>
      </c>
      <c r="E85" s="548">
        <v>55</v>
      </c>
      <c r="F85" s="547">
        <v>45</v>
      </c>
      <c r="G85" s="547">
        <v>29</v>
      </c>
      <c r="H85" s="593">
        <f t="shared" si="19"/>
        <v>1.58</v>
      </c>
      <c r="I85" s="140">
        <f t="shared" si="16"/>
        <v>946.42000000000007</v>
      </c>
      <c r="J85" s="566">
        <v>599</v>
      </c>
      <c r="K85" s="140">
        <f t="shared" si="15"/>
        <v>13024.645845945199</v>
      </c>
      <c r="L85" s="421">
        <v>9700</v>
      </c>
      <c r="M85" s="483"/>
      <c r="O85" s="464"/>
      <c r="P85" s="464"/>
      <c r="Q85" s="464"/>
      <c r="S85" s="464">
        <f t="shared" si="17"/>
        <v>5810300</v>
      </c>
      <c r="T85" s="464">
        <f t="shared" si="18"/>
        <v>7801762.8617211739</v>
      </c>
    </row>
    <row r="86" spans="1:20" ht="17.25" customHeight="1">
      <c r="A86" s="468">
        <f t="shared" si="6"/>
        <v>81</v>
      </c>
      <c r="B86" s="167" t="s">
        <v>625</v>
      </c>
      <c r="C86" s="486">
        <v>42613</v>
      </c>
      <c r="D86" s="487" t="s">
        <v>741</v>
      </c>
      <c r="E86" s="548">
        <v>61</v>
      </c>
      <c r="F86" s="547">
        <v>51</v>
      </c>
      <c r="G86" s="547">
        <v>30</v>
      </c>
      <c r="H86" s="593">
        <f t="shared" si="19"/>
        <v>1.92</v>
      </c>
      <c r="I86" s="140">
        <f t="shared" si="16"/>
        <v>585.6</v>
      </c>
      <c r="J86" s="566">
        <v>305</v>
      </c>
      <c r="K86" s="140">
        <f t="shared" ref="K86:K117" si="20">H86*$R$33</f>
        <v>15827.417736844798</v>
      </c>
      <c r="L86" s="421">
        <v>10670</v>
      </c>
      <c r="M86" s="483"/>
      <c r="O86" s="464"/>
      <c r="P86" s="464"/>
      <c r="Q86" s="464"/>
      <c r="S86" s="464">
        <f t="shared" si="17"/>
        <v>3254350</v>
      </c>
      <c r="T86" s="464">
        <f t="shared" si="18"/>
        <v>4827362.4097376633</v>
      </c>
    </row>
    <row r="87" spans="1:20" ht="17.25" customHeight="1">
      <c r="A87" s="468">
        <f t="shared" si="6"/>
        <v>82</v>
      </c>
      <c r="B87" s="167" t="s">
        <v>540</v>
      </c>
      <c r="C87" s="486">
        <v>42614</v>
      </c>
      <c r="D87" s="487" t="s">
        <v>742</v>
      </c>
      <c r="E87" s="548">
        <v>52</v>
      </c>
      <c r="F87" s="547">
        <v>28</v>
      </c>
      <c r="G87" s="547">
        <v>28</v>
      </c>
      <c r="H87" s="593">
        <f t="shared" si="19"/>
        <v>0.97</v>
      </c>
      <c r="I87" s="140">
        <f t="shared" si="16"/>
        <v>488.88</v>
      </c>
      <c r="J87" s="566">
        <v>504</v>
      </c>
      <c r="K87" s="140">
        <f t="shared" si="20"/>
        <v>7996.1433358017994</v>
      </c>
      <c r="L87" s="421">
        <v>6400</v>
      </c>
      <c r="M87" s="483"/>
      <c r="O87" s="464"/>
      <c r="P87" s="464"/>
      <c r="Q87" s="464"/>
      <c r="S87" s="464">
        <f t="shared" si="17"/>
        <v>3225600</v>
      </c>
      <c r="T87" s="464">
        <f t="shared" si="18"/>
        <v>4030056.241244107</v>
      </c>
    </row>
    <row r="88" spans="1:20" ht="17.25" customHeight="1">
      <c r="A88" s="468">
        <f t="shared" si="6"/>
        <v>83</v>
      </c>
      <c r="B88" s="167" t="s">
        <v>541</v>
      </c>
      <c r="C88" s="486">
        <v>42614</v>
      </c>
      <c r="D88" s="487" t="s">
        <v>743</v>
      </c>
      <c r="E88" s="548">
        <v>32</v>
      </c>
      <c r="F88" s="547">
        <v>26</v>
      </c>
      <c r="G88" s="547">
        <v>25</v>
      </c>
      <c r="H88" s="593">
        <f t="shared" si="19"/>
        <v>0.65</v>
      </c>
      <c r="I88" s="140">
        <f t="shared" si="16"/>
        <v>1729</v>
      </c>
      <c r="J88" s="566">
        <v>2660</v>
      </c>
      <c r="K88" s="140">
        <f t="shared" si="20"/>
        <v>5358.2403796609997</v>
      </c>
      <c r="L88" s="421">
        <v>7350</v>
      </c>
      <c r="M88" s="483"/>
      <c r="O88" s="464"/>
      <c r="P88" s="464"/>
      <c r="Q88" s="464"/>
      <c r="S88" s="464">
        <f t="shared" si="17"/>
        <v>19551000</v>
      </c>
      <c r="T88" s="464">
        <f t="shared" si="18"/>
        <v>14252919.409898259</v>
      </c>
    </row>
    <row r="89" spans="1:20" ht="17.25" customHeight="1">
      <c r="A89" s="468">
        <f t="shared" si="6"/>
        <v>84</v>
      </c>
      <c r="B89" s="167" t="s">
        <v>651</v>
      </c>
      <c r="C89" s="486">
        <v>42618</v>
      </c>
      <c r="D89" s="487" t="s">
        <v>744</v>
      </c>
      <c r="E89" s="548">
        <v>36</v>
      </c>
      <c r="F89" s="547">
        <v>30.5</v>
      </c>
      <c r="G89" s="547">
        <v>42</v>
      </c>
      <c r="H89" s="593">
        <f t="shared" si="19"/>
        <v>1.04</v>
      </c>
      <c r="I89" s="140">
        <f t="shared" si="16"/>
        <v>428.48</v>
      </c>
      <c r="J89" s="566">
        <v>412</v>
      </c>
      <c r="K89" s="140">
        <f t="shared" si="20"/>
        <v>8573.1846074575988</v>
      </c>
      <c r="L89" s="421">
        <v>11800</v>
      </c>
      <c r="M89" s="483"/>
      <c r="O89" s="464"/>
      <c r="P89" s="464"/>
      <c r="Q89" s="464"/>
      <c r="S89" s="464">
        <f t="shared" si="17"/>
        <v>4861600</v>
      </c>
      <c r="T89" s="464">
        <f t="shared" si="18"/>
        <v>3532152.0582725308</v>
      </c>
    </row>
    <row r="90" spans="1:20" ht="17.25" customHeight="1">
      <c r="A90" s="468">
        <f t="shared" si="6"/>
        <v>85</v>
      </c>
      <c r="B90" s="167" t="s">
        <v>500</v>
      </c>
      <c r="C90" s="486">
        <v>42618</v>
      </c>
      <c r="D90" s="487" t="s">
        <v>744</v>
      </c>
      <c r="E90" s="548">
        <v>47</v>
      </c>
      <c r="F90" s="547">
        <v>42</v>
      </c>
      <c r="G90" s="547">
        <v>25</v>
      </c>
      <c r="H90" s="593">
        <f t="shared" si="19"/>
        <v>1.28</v>
      </c>
      <c r="I90" s="140">
        <f t="shared" si="16"/>
        <v>488.96000000000004</v>
      </c>
      <c r="J90" s="566">
        <v>382</v>
      </c>
      <c r="K90" s="140">
        <f t="shared" si="20"/>
        <v>10551.611824563199</v>
      </c>
      <c r="L90" s="421">
        <v>9400</v>
      </c>
      <c r="M90" s="483"/>
      <c r="O90" s="464"/>
      <c r="P90" s="464"/>
      <c r="Q90" s="464"/>
      <c r="S90" s="464">
        <f t="shared" si="17"/>
        <v>3590800</v>
      </c>
      <c r="T90" s="464">
        <f t="shared" si="18"/>
        <v>4030715.7169831418</v>
      </c>
    </row>
    <row r="91" spans="1:20" ht="17.25" customHeight="1">
      <c r="A91" s="468">
        <f t="shared" si="6"/>
        <v>86</v>
      </c>
      <c r="B91" s="167" t="s">
        <v>500</v>
      </c>
      <c r="C91" s="486">
        <v>42618</v>
      </c>
      <c r="D91" s="487" t="s">
        <v>744</v>
      </c>
      <c r="E91" s="548">
        <v>47</v>
      </c>
      <c r="F91" s="547">
        <v>42</v>
      </c>
      <c r="G91" s="547">
        <v>25</v>
      </c>
      <c r="H91" s="593">
        <f t="shared" si="19"/>
        <v>1.28</v>
      </c>
      <c r="I91" s="140">
        <f t="shared" si="16"/>
        <v>140.80000000000001</v>
      </c>
      <c r="J91" s="566">
        <v>110</v>
      </c>
      <c r="K91" s="140">
        <f t="shared" si="20"/>
        <v>10551.611824563199</v>
      </c>
      <c r="L91" s="421">
        <v>16700</v>
      </c>
      <c r="M91" s="483"/>
      <c r="O91" s="464"/>
      <c r="P91" s="464"/>
      <c r="Q91" s="464"/>
      <c r="S91" s="464">
        <f t="shared" si="17"/>
        <v>1837000</v>
      </c>
      <c r="T91" s="464">
        <f t="shared" si="18"/>
        <v>1160677.3007019518</v>
      </c>
    </row>
    <row r="92" spans="1:20" ht="17.25" customHeight="1">
      <c r="A92" s="468">
        <f t="shared" si="6"/>
        <v>87</v>
      </c>
      <c r="B92" s="167" t="s">
        <v>652</v>
      </c>
      <c r="C92" s="486">
        <v>42618</v>
      </c>
      <c r="D92" s="487" t="s">
        <v>744</v>
      </c>
      <c r="E92" s="548">
        <v>28</v>
      </c>
      <c r="F92" s="547">
        <v>28</v>
      </c>
      <c r="G92" s="547">
        <v>42</v>
      </c>
      <c r="H92" s="593">
        <f t="shared" si="19"/>
        <v>0.85</v>
      </c>
      <c r="I92" s="140">
        <f t="shared" si="16"/>
        <v>93.5</v>
      </c>
      <c r="J92" s="566">
        <v>110</v>
      </c>
      <c r="K92" s="140">
        <f t="shared" si="20"/>
        <v>7006.9297272489994</v>
      </c>
      <c r="L92" s="421">
        <v>6300</v>
      </c>
      <c r="M92" s="483"/>
      <c r="O92" s="464"/>
      <c r="P92" s="464"/>
      <c r="Q92" s="464"/>
      <c r="S92" s="464">
        <f t="shared" si="17"/>
        <v>693000</v>
      </c>
      <c r="T92" s="464">
        <f t="shared" si="18"/>
        <v>770762.26999738999</v>
      </c>
    </row>
    <row r="93" spans="1:20" ht="17.25" customHeight="1">
      <c r="A93" s="468">
        <f t="shared" si="6"/>
        <v>88</v>
      </c>
      <c r="B93" s="167" t="s">
        <v>653</v>
      </c>
      <c r="C93" s="486">
        <v>42618</v>
      </c>
      <c r="D93" s="487" t="s">
        <v>745</v>
      </c>
      <c r="E93" s="548">
        <v>53</v>
      </c>
      <c r="F93" s="547">
        <v>42</v>
      </c>
      <c r="G93" s="547">
        <v>29</v>
      </c>
      <c r="H93" s="593">
        <f t="shared" si="19"/>
        <v>1.44</v>
      </c>
      <c r="I93" s="140">
        <f t="shared" si="16"/>
        <v>93.6</v>
      </c>
      <c r="J93" s="566">
        <v>65</v>
      </c>
      <c r="K93" s="140">
        <f t="shared" si="20"/>
        <v>11870.563302633598</v>
      </c>
      <c r="L93" s="421">
        <v>15600</v>
      </c>
      <c r="M93" s="483"/>
      <c r="O93" s="464"/>
      <c r="P93" s="464"/>
      <c r="Q93" s="464"/>
      <c r="S93" s="464">
        <f t="shared" si="17"/>
        <v>1014000</v>
      </c>
      <c r="T93" s="464">
        <f t="shared" si="18"/>
        <v>771586.61467118387</v>
      </c>
    </row>
    <row r="94" spans="1:20" ht="17.25" customHeight="1">
      <c r="A94" s="468">
        <f t="shared" si="6"/>
        <v>89</v>
      </c>
      <c r="B94" s="167" t="s">
        <v>654</v>
      </c>
      <c r="C94" s="486">
        <v>42618</v>
      </c>
      <c r="D94" s="487" t="s">
        <v>745</v>
      </c>
      <c r="E94" s="548">
        <v>47</v>
      </c>
      <c r="F94" s="547">
        <v>42</v>
      </c>
      <c r="G94" s="547">
        <v>13.5</v>
      </c>
      <c r="H94" s="593">
        <f t="shared" si="19"/>
        <v>1.07</v>
      </c>
      <c r="I94" s="140">
        <f t="shared" si="16"/>
        <v>981.19</v>
      </c>
      <c r="J94" s="566">
        <v>917</v>
      </c>
      <c r="K94" s="140">
        <f t="shared" si="20"/>
        <v>8820.4880095957997</v>
      </c>
      <c r="L94" s="421">
        <v>7900</v>
      </c>
      <c r="M94" s="483"/>
      <c r="O94" s="464"/>
      <c r="P94" s="464"/>
      <c r="Q94" s="464"/>
      <c r="S94" s="464">
        <f t="shared" si="17"/>
        <v>7244300</v>
      </c>
      <c r="T94" s="464">
        <f t="shared" si="18"/>
        <v>8088387.5047993483</v>
      </c>
    </row>
    <row r="95" spans="1:20" ht="17.25" customHeight="1">
      <c r="A95" s="468">
        <f t="shared" si="6"/>
        <v>90</v>
      </c>
      <c r="B95" s="167" t="s">
        <v>500</v>
      </c>
      <c r="C95" s="486">
        <v>42618</v>
      </c>
      <c r="D95" s="487" t="s">
        <v>745</v>
      </c>
      <c r="E95" s="548">
        <v>47</v>
      </c>
      <c r="F95" s="547">
        <v>42</v>
      </c>
      <c r="G95" s="547">
        <v>25</v>
      </c>
      <c r="H95" s="593">
        <f t="shared" si="19"/>
        <v>1.28</v>
      </c>
      <c r="I95" s="140">
        <f t="shared" si="16"/>
        <v>92.16</v>
      </c>
      <c r="J95" s="566">
        <v>72</v>
      </c>
      <c r="K95" s="140">
        <f t="shared" si="20"/>
        <v>10551.611824563199</v>
      </c>
      <c r="L95" s="421">
        <v>9400</v>
      </c>
      <c r="M95" s="483"/>
      <c r="O95" s="464"/>
      <c r="P95" s="464"/>
      <c r="Q95" s="464"/>
      <c r="S95" s="464">
        <f t="shared" si="17"/>
        <v>676800</v>
      </c>
      <c r="T95" s="464">
        <f t="shared" si="18"/>
        <v>759716.05136855028</v>
      </c>
    </row>
    <row r="96" spans="1:20" ht="17.25" customHeight="1">
      <c r="A96" s="468">
        <f t="shared" si="6"/>
        <v>91</v>
      </c>
      <c r="B96" s="167" t="s">
        <v>510</v>
      </c>
      <c r="C96" s="486">
        <v>42619</v>
      </c>
      <c r="D96" s="487" t="s">
        <v>746</v>
      </c>
      <c r="E96" s="548">
        <v>37.5</v>
      </c>
      <c r="F96" s="547">
        <v>25.5</v>
      </c>
      <c r="G96" s="547">
        <v>23.9</v>
      </c>
      <c r="H96" s="593">
        <f t="shared" si="19"/>
        <v>0.69</v>
      </c>
      <c r="I96" s="140">
        <f t="shared" si="16"/>
        <v>714.83999999999992</v>
      </c>
      <c r="J96" s="566">
        <v>1036</v>
      </c>
      <c r="K96" s="140">
        <f t="shared" si="20"/>
        <v>5687.9782491785991</v>
      </c>
      <c r="L96" s="421">
        <v>5900</v>
      </c>
      <c r="M96" s="483"/>
      <c r="O96" s="464"/>
      <c r="P96" s="464"/>
      <c r="Q96" s="464"/>
      <c r="S96" s="464">
        <f t="shared" si="17"/>
        <v>6112400</v>
      </c>
      <c r="T96" s="464">
        <f t="shared" si="18"/>
        <v>5892745.4661490284</v>
      </c>
    </row>
    <row r="97" spans="1:20" ht="17.25" customHeight="1">
      <c r="A97" s="468">
        <f t="shared" si="6"/>
        <v>92</v>
      </c>
      <c r="B97" s="167" t="s">
        <v>664</v>
      </c>
      <c r="C97" s="486">
        <v>42619</v>
      </c>
      <c r="D97" s="487" t="s">
        <v>748</v>
      </c>
      <c r="E97" s="548">
        <v>39.5</v>
      </c>
      <c r="F97" s="547">
        <v>32.299999999999997</v>
      </c>
      <c r="G97" s="547">
        <v>27.7</v>
      </c>
      <c r="H97" s="593">
        <f t="shared" si="19"/>
        <v>0.94</v>
      </c>
      <c r="I97" s="140">
        <f t="shared" si="16"/>
        <v>199.28</v>
      </c>
      <c r="J97" s="566">
        <v>212</v>
      </c>
      <c r="K97" s="140">
        <f t="shared" si="20"/>
        <v>7748.8399336635994</v>
      </c>
      <c r="L97" s="421">
        <v>9400</v>
      </c>
      <c r="M97" s="483"/>
      <c r="O97" s="464"/>
      <c r="P97" s="464"/>
      <c r="Q97" s="464"/>
      <c r="S97" s="464">
        <f t="shared" si="17"/>
        <v>1992800</v>
      </c>
      <c r="T97" s="464">
        <f t="shared" si="18"/>
        <v>1642754.065936683</v>
      </c>
    </row>
    <row r="98" spans="1:20" ht="17.25" customHeight="1">
      <c r="A98" s="468">
        <f t="shared" si="6"/>
        <v>93</v>
      </c>
      <c r="B98" s="167" t="s">
        <v>529</v>
      </c>
      <c r="C98" s="486">
        <v>42620</v>
      </c>
      <c r="D98" s="487" t="s">
        <v>750</v>
      </c>
      <c r="E98" s="548">
        <v>103</v>
      </c>
      <c r="F98" s="547">
        <v>50</v>
      </c>
      <c r="G98" s="547">
        <v>180</v>
      </c>
      <c r="H98" s="593">
        <f t="shared" si="19"/>
        <v>7.25</v>
      </c>
      <c r="I98" s="140">
        <f t="shared" si="16"/>
        <v>435</v>
      </c>
      <c r="J98" s="566">
        <v>60</v>
      </c>
      <c r="K98" s="140">
        <f t="shared" si="20"/>
        <v>59764.988850064998</v>
      </c>
      <c r="L98" s="421">
        <v>47449</v>
      </c>
      <c r="M98" s="483"/>
      <c r="O98" s="464"/>
      <c r="P98" s="464"/>
      <c r="Q98" s="464"/>
      <c r="S98" s="464">
        <f t="shared" si="17"/>
        <v>2846940</v>
      </c>
      <c r="T98" s="464">
        <f t="shared" si="18"/>
        <v>3585899.3310038997</v>
      </c>
    </row>
    <row r="99" spans="1:20" ht="17.25" customHeight="1">
      <c r="A99" s="468">
        <f t="shared" si="6"/>
        <v>94</v>
      </c>
      <c r="B99" s="167" t="s">
        <v>666</v>
      </c>
      <c r="C99" s="486">
        <v>42620</v>
      </c>
      <c r="D99" s="487" t="s">
        <v>750</v>
      </c>
      <c r="E99" s="548">
        <v>122</v>
      </c>
      <c r="F99" s="547">
        <v>54</v>
      </c>
      <c r="G99" s="547">
        <v>180</v>
      </c>
      <c r="H99" s="593">
        <f t="shared" si="19"/>
        <v>8.4600000000000009</v>
      </c>
      <c r="I99" s="140">
        <f t="shared" si="16"/>
        <v>169.20000000000002</v>
      </c>
      <c r="J99" s="566">
        <v>20</v>
      </c>
      <c r="K99" s="140">
        <f t="shared" si="20"/>
        <v>69739.559402972402</v>
      </c>
      <c r="L99" s="421">
        <v>54530</v>
      </c>
      <c r="M99" s="483"/>
      <c r="O99" s="464"/>
      <c r="P99" s="464"/>
      <c r="Q99" s="464"/>
      <c r="S99" s="464">
        <f t="shared" si="17"/>
        <v>1090600</v>
      </c>
      <c r="T99" s="464">
        <f t="shared" si="18"/>
        <v>1394791.188059448</v>
      </c>
    </row>
    <row r="100" spans="1:20" ht="17.25" customHeight="1">
      <c r="A100" s="468">
        <f t="shared" si="6"/>
        <v>95</v>
      </c>
      <c r="B100" s="167" t="s">
        <v>543</v>
      </c>
      <c r="C100" s="486">
        <v>42621</v>
      </c>
      <c r="D100" s="487" t="s">
        <v>751</v>
      </c>
      <c r="E100" s="548">
        <v>23.5</v>
      </c>
      <c r="F100" s="547">
        <v>23.5</v>
      </c>
      <c r="G100" s="547">
        <v>30</v>
      </c>
      <c r="H100" s="593">
        <f t="shared" si="19"/>
        <v>0.56000000000000005</v>
      </c>
      <c r="I100" s="140">
        <f t="shared" si="16"/>
        <v>575.12</v>
      </c>
      <c r="J100" s="566">
        <v>1027</v>
      </c>
      <c r="K100" s="140">
        <f t="shared" si="20"/>
        <v>4616.3301732463997</v>
      </c>
      <c r="L100" s="421">
        <v>6700</v>
      </c>
      <c r="M100" s="483"/>
      <c r="O100" s="464"/>
      <c r="P100" s="464"/>
      <c r="Q100" s="464"/>
      <c r="S100" s="464">
        <f t="shared" si="17"/>
        <v>6880900</v>
      </c>
      <c r="T100" s="464">
        <f t="shared" si="18"/>
        <v>4740971.087924052</v>
      </c>
    </row>
    <row r="101" spans="1:20" ht="17.25" customHeight="1">
      <c r="A101" s="468">
        <f t="shared" si="6"/>
        <v>96</v>
      </c>
      <c r="B101" s="167" t="s">
        <v>646</v>
      </c>
      <c r="C101" s="486">
        <v>42621</v>
      </c>
      <c r="D101" s="487" t="s">
        <v>752</v>
      </c>
      <c r="E101" s="548">
        <v>43</v>
      </c>
      <c r="F101" s="547">
        <v>42</v>
      </c>
      <c r="G101" s="547">
        <v>26</v>
      </c>
      <c r="H101" s="593">
        <f t="shared" si="19"/>
        <v>1.24</v>
      </c>
      <c r="I101" s="140">
        <f t="shared" si="16"/>
        <v>372</v>
      </c>
      <c r="J101" s="566">
        <v>300</v>
      </c>
      <c r="K101" s="140">
        <f t="shared" si="20"/>
        <v>10221.873955045599</v>
      </c>
      <c r="L101" s="421">
        <v>12400</v>
      </c>
      <c r="M101" s="483"/>
      <c r="O101" s="464"/>
      <c r="P101" s="464"/>
      <c r="Q101" s="464"/>
      <c r="S101" s="464">
        <f t="shared" si="17"/>
        <v>3720000</v>
      </c>
      <c r="T101" s="464">
        <f t="shared" si="18"/>
        <v>3066562.18651368</v>
      </c>
    </row>
    <row r="102" spans="1:20" ht="17.25" customHeight="1">
      <c r="A102" s="468">
        <f t="shared" si="6"/>
        <v>97</v>
      </c>
      <c r="B102" s="167" t="s">
        <v>647</v>
      </c>
      <c r="C102" s="486">
        <v>42621</v>
      </c>
      <c r="D102" s="487" t="s">
        <v>752</v>
      </c>
      <c r="E102" s="548">
        <v>49</v>
      </c>
      <c r="F102" s="547">
        <v>47</v>
      </c>
      <c r="G102" s="547">
        <v>27</v>
      </c>
      <c r="H102" s="593">
        <f t="shared" si="19"/>
        <v>1.52</v>
      </c>
      <c r="I102" s="140">
        <f t="shared" ref="I102:I124" si="21">H102*J102</f>
        <v>456</v>
      </c>
      <c r="J102" s="566">
        <v>300</v>
      </c>
      <c r="K102" s="140">
        <f t="shared" si="20"/>
        <v>12530.039041668799</v>
      </c>
      <c r="L102" s="421">
        <v>14200</v>
      </c>
      <c r="M102" s="483"/>
      <c r="O102" s="464"/>
      <c r="P102" s="464"/>
      <c r="Q102" s="464"/>
      <c r="S102" s="464">
        <f t="shared" ref="S102:S124" si="22">J102*L102</f>
        <v>4260000</v>
      </c>
      <c r="T102" s="464">
        <f t="shared" ref="T102:T124" si="23">J102*K102</f>
        <v>3759011.7125006397</v>
      </c>
    </row>
    <row r="103" spans="1:20" ht="17.25" customHeight="1">
      <c r="A103" s="468">
        <f t="shared" si="6"/>
        <v>98</v>
      </c>
      <c r="B103" s="167" t="s">
        <v>650</v>
      </c>
      <c r="C103" s="486">
        <v>42621</v>
      </c>
      <c r="D103" s="487" t="s">
        <v>752</v>
      </c>
      <c r="E103" s="548">
        <v>38</v>
      </c>
      <c r="F103" s="547">
        <v>37</v>
      </c>
      <c r="G103" s="547">
        <v>30</v>
      </c>
      <c r="H103" s="593">
        <f t="shared" si="19"/>
        <v>1.0900000000000001</v>
      </c>
      <c r="I103" s="140">
        <f t="shared" si="21"/>
        <v>327</v>
      </c>
      <c r="J103" s="566">
        <v>300</v>
      </c>
      <c r="K103" s="140">
        <f t="shared" si="20"/>
        <v>8985.3569443546003</v>
      </c>
      <c r="L103" s="421">
        <v>15300</v>
      </c>
      <c r="M103" s="483"/>
      <c r="O103" s="464"/>
      <c r="P103" s="464"/>
      <c r="Q103" s="464"/>
      <c r="S103" s="464">
        <f t="shared" si="22"/>
        <v>4590000</v>
      </c>
      <c r="T103" s="464">
        <f t="shared" si="23"/>
        <v>2695607.0833063801</v>
      </c>
    </row>
    <row r="104" spans="1:20" ht="17.25" customHeight="1">
      <c r="A104" s="468">
        <f t="shared" si="6"/>
        <v>99</v>
      </c>
      <c r="B104" s="167" t="s">
        <v>648</v>
      </c>
      <c r="C104" s="486">
        <v>42621</v>
      </c>
      <c r="D104" s="487" t="s">
        <v>752</v>
      </c>
      <c r="E104" s="548">
        <v>40</v>
      </c>
      <c r="F104" s="547">
        <v>39</v>
      </c>
      <c r="G104" s="547">
        <v>32</v>
      </c>
      <c r="H104" s="593">
        <f t="shared" si="19"/>
        <v>1.21</v>
      </c>
      <c r="I104" s="140">
        <f t="shared" si="21"/>
        <v>363</v>
      </c>
      <c r="J104" s="566">
        <v>300</v>
      </c>
      <c r="K104" s="140">
        <f t="shared" si="20"/>
        <v>9974.5705529073985</v>
      </c>
      <c r="L104" s="421">
        <v>16500</v>
      </c>
      <c r="M104" s="483"/>
      <c r="O104" s="464"/>
      <c r="P104" s="464"/>
      <c r="Q104" s="464"/>
      <c r="S104" s="464">
        <f t="shared" si="22"/>
        <v>4950000</v>
      </c>
      <c r="T104" s="464">
        <f t="shared" si="23"/>
        <v>2992371.1658722195</v>
      </c>
    </row>
    <row r="105" spans="1:20" ht="17.25" customHeight="1">
      <c r="A105" s="468">
        <f t="shared" si="6"/>
        <v>100</v>
      </c>
      <c r="B105" s="167" t="s">
        <v>649</v>
      </c>
      <c r="C105" s="486">
        <v>42621</v>
      </c>
      <c r="D105" s="487" t="s">
        <v>752</v>
      </c>
      <c r="E105" s="548">
        <v>42</v>
      </c>
      <c r="F105" s="547">
        <v>41</v>
      </c>
      <c r="G105" s="547">
        <v>34</v>
      </c>
      <c r="H105" s="593">
        <f t="shared" si="19"/>
        <v>1.33</v>
      </c>
      <c r="I105" s="140">
        <f t="shared" si="21"/>
        <v>399</v>
      </c>
      <c r="J105" s="566">
        <v>300</v>
      </c>
      <c r="K105" s="140">
        <f t="shared" si="20"/>
        <v>10963.7841614602</v>
      </c>
      <c r="L105" s="421">
        <v>19700</v>
      </c>
      <c r="M105" s="483"/>
      <c r="O105" s="464"/>
      <c r="P105" s="464"/>
      <c r="Q105" s="464"/>
      <c r="S105" s="464">
        <f t="shared" si="22"/>
        <v>5910000</v>
      </c>
      <c r="T105" s="464">
        <f t="shared" si="23"/>
        <v>3289135.2484380603</v>
      </c>
    </row>
    <row r="106" spans="1:20" ht="17.25" customHeight="1">
      <c r="A106" s="468">
        <f t="shared" si="6"/>
        <v>101</v>
      </c>
      <c r="B106" s="167" t="s">
        <v>545</v>
      </c>
      <c r="C106" s="486">
        <v>42624</v>
      </c>
      <c r="D106" s="487" t="s">
        <v>753</v>
      </c>
      <c r="E106" s="548">
        <v>44.5</v>
      </c>
      <c r="F106" s="547">
        <v>28.5</v>
      </c>
      <c r="G106" s="547">
        <v>22.5</v>
      </c>
      <c r="H106" s="593">
        <f t="shared" si="19"/>
        <v>0.82</v>
      </c>
      <c r="I106" s="140">
        <f t="shared" si="21"/>
        <v>8626.4</v>
      </c>
      <c r="J106" s="566">
        <v>10520</v>
      </c>
      <c r="K106" s="140">
        <f t="shared" si="20"/>
        <v>6759.6263251107994</v>
      </c>
      <c r="L106" s="421">
        <v>9000</v>
      </c>
      <c r="M106" s="483"/>
      <c r="O106" s="464"/>
      <c r="P106" s="464"/>
      <c r="Q106" s="464"/>
      <c r="S106" s="464">
        <f t="shared" si="22"/>
        <v>94680000</v>
      </c>
      <c r="T106" s="464">
        <f t="shared" si="23"/>
        <v>71111268.940165609</v>
      </c>
    </row>
    <row r="107" spans="1:20" ht="17.25" customHeight="1">
      <c r="A107" s="468">
        <f t="shared" si="6"/>
        <v>102</v>
      </c>
      <c r="B107" s="167" t="s">
        <v>664</v>
      </c>
      <c r="C107" s="486">
        <v>42626</v>
      </c>
      <c r="D107" s="487" t="s">
        <v>754</v>
      </c>
      <c r="E107" s="548">
        <v>39.5</v>
      </c>
      <c r="F107" s="547">
        <v>32.299999999999997</v>
      </c>
      <c r="G107" s="547">
        <v>27.7</v>
      </c>
      <c r="H107" s="593">
        <f t="shared" si="19"/>
        <v>0.94</v>
      </c>
      <c r="I107" s="140">
        <f t="shared" si="21"/>
        <v>197.39999999999998</v>
      </c>
      <c r="J107" s="566">
        <v>210</v>
      </c>
      <c r="K107" s="140">
        <f t="shared" si="20"/>
        <v>7748.8399336635994</v>
      </c>
      <c r="L107" s="421">
        <v>9400</v>
      </c>
      <c r="M107" s="483"/>
      <c r="O107" s="464"/>
      <c r="P107" s="464"/>
      <c r="Q107" s="464"/>
      <c r="S107" s="464">
        <f t="shared" si="22"/>
        <v>1974000</v>
      </c>
      <c r="T107" s="464">
        <f t="shared" si="23"/>
        <v>1627256.3860693558</v>
      </c>
    </row>
    <row r="108" spans="1:20" ht="17.25" customHeight="1">
      <c r="A108" s="468">
        <f t="shared" si="6"/>
        <v>103</v>
      </c>
      <c r="B108" s="167" t="s">
        <v>665</v>
      </c>
      <c r="C108" s="486">
        <v>42626</v>
      </c>
      <c r="D108" s="487" t="s">
        <v>754</v>
      </c>
      <c r="E108" s="548">
        <v>35</v>
      </c>
      <c r="F108" s="547">
        <v>35</v>
      </c>
      <c r="G108" s="547">
        <v>21</v>
      </c>
      <c r="H108" s="593">
        <f t="shared" si="19"/>
        <v>0.86</v>
      </c>
      <c r="I108" s="140">
        <f t="shared" si="21"/>
        <v>172</v>
      </c>
      <c r="J108" s="566">
        <v>200</v>
      </c>
      <c r="K108" s="140">
        <f t="shared" si="20"/>
        <v>7089.3641946283997</v>
      </c>
      <c r="L108" s="421">
        <v>9800</v>
      </c>
      <c r="M108" s="483"/>
      <c r="O108" s="464"/>
      <c r="P108" s="464"/>
      <c r="Q108" s="464"/>
      <c r="S108" s="464">
        <f t="shared" si="22"/>
        <v>1960000</v>
      </c>
      <c r="T108" s="464">
        <f t="shared" si="23"/>
        <v>1417872.8389256799</v>
      </c>
    </row>
    <row r="109" spans="1:20" ht="17.25" customHeight="1">
      <c r="A109" s="468">
        <f t="shared" si="6"/>
        <v>104</v>
      </c>
      <c r="B109" s="167" t="s">
        <v>663</v>
      </c>
      <c r="C109" s="486">
        <v>42626</v>
      </c>
      <c r="D109" s="487" t="s">
        <v>754</v>
      </c>
      <c r="E109" s="548">
        <v>45</v>
      </c>
      <c r="F109" s="547">
        <v>35</v>
      </c>
      <c r="G109" s="547">
        <v>28</v>
      </c>
      <c r="H109" s="593">
        <f t="shared" si="19"/>
        <v>1.0900000000000001</v>
      </c>
      <c r="I109" s="140">
        <f t="shared" si="21"/>
        <v>186.39000000000001</v>
      </c>
      <c r="J109" s="566">
        <v>171</v>
      </c>
      <c r="K109" s="140">
        <f t="shared" si="20"/>
        <v>8985.3569443546003</v>
      </c>
      <c r="L109" s="421">
        <v>11250</v>
      </c>
      <c r="M109" s="483"/>
      <c r="O109" s="464"/>
      <c r="P109" s="464"/>
      <c r="Q109" s="464"/>
      <c r="S109" s="464">
        <f t="shared" si="22"/>
        <v>1923750</v>
      </c>
      <c r="T109" s="464">
        <f t="shared" si="23"/>
        <v>1536496.0374846365</v>
      </c>
    </row>
    <row r="110" spans="1:20" ht="17.25" customHeight="1">
      <c r="A110" s="468">
        <f t="shared" si="6"/>
        <v>105</v>
      </c>
      <c r="B110" s="167" t="s">
        <v>817</v>
      </c>
      <c r="C110" s="486">
        <v>42627</v>
      </c>
      <c r="D110" s="487" t="s">
        <v>755</v>
      </c>
      <c r="E110" s="548">
        <v>29</v>
      </c>
      <c r="F110" s="547">
        <v>18</v>
      </c>
      <c r="G110" s="547">
        <v>18.8</v>
      </c>
      <c r="H110" s="593">
        <f t="shared" si="19"/>
        <v>0.39</v>
      </c>
      <c r="I110" s="140">
        <f t="shared" si="21"/>
        <v>936</v>
      </c>
      <c r="J110" s="566">
        <v>2400</v>
      </c>
      <c r="K110" s="140">
        <f t="shared" si="20"/>
        <v>3214.9442277966</v>
      </c>
      <c r="L110" s="421">
        <v>5200</v>
      </c>
      <c r="M110" s="483"/>
      <c r="O110" s="464"/>
      <c r="P110" s="464"/>
      <c r="Q110" s="464"/>
      <c r="S110" s="464">
        <f t="shared" si="22"/>
        <v>12480000</v>
      </c>
      <c r="T110" s="464">
        <f t="shared" si="23"/>
        <v>7715866.1467118403</v>
      </c>
    </row>
    <row r="111" spans="1:20" ht="17.25" customHeight="1">
      <c r="A111" s="468">
        <f t="shared" si="6"/>
        <v>106</v>
      </c>
      <c r="B111" s="167" t="s">
        <v>818</v>
      </c>
      <c r="C111" s="486">
        <v>42627</v>
      </c>
      <c r="D111" s="487" t="s">
        <v>755</v>
      </c>
      <c r="E111" s="548">
        <v>42.5</v>
      </c>
      <c r="F111" s="547">
        <v>28.5</v>
      </c>
      <c r="G111" s="547">
        <v>23</v>
      </c>
      <c r="H111" s="593">
        <f t="shared" si="19"/>
        <v>0.8</v>
      </c>
      <c r="I111" s="140">
        <f t="shared" si="21"/>
        <v>400</v>
      </c>
      <c r="J111" s="566">
        <v>500</v>
      </c>
      <c r="K111" s="140">
        <f t="shared" si="20"/>
        <v>6594.7573903519997</v>
      </c>
      <c r="L111" s="421">
        <v>10200</v>
      </c>
      <c r="M111" s="483"/>
      <c r="O111" s="464"/>
      <c r="P111" s="464"/>
      <c r="Q111" s="464"/>
      <c r="S111" s="464">
        <f t="shared" si="22"/>
        <v>5100000</v>
      </c>
      <c r="T111" s="464">
        <f t="shared" si="23"/>
        <v>3297378.6951759998</v>
      </c>
    </row>
    <row r="112" spans="1:20" ht="17.25" customHeight="1">
      <c r="A112" s="468">
        <f t="shared" si="6"/>
        <v>107</v>
      </c>
      <c r="B112" s="167" t="s">
        <v>520</v>
      </c>
      <c r="C112" s="486">
        <v>42628</v>
      </c>
      <c r="D112" s="487" t="s">
        <v>756</v>
      </c>
      <c r="E112" s="548">
        <v>52</v>
      </c>
      <c r="F112" s="547">
        <v>24.5</v>
      </c>
      <c r="G112" s="547">
        <v>24.5</v>
      </c>
      <c r="H112" s="593">
        <f t="shared" si="19"/>
        <v>0.82</v>
      </c>
      <c r="I112" s="140">
        <f t="shared" si="21"/>
        <v>1492.3999999999999</v>
      </c>
      <c r="J112" s="566">
        <v>1820</v>
      </c>
      <c r="K112" s="140">
        <f t="shared" si="20"/>
        <v>6759.6263251107994</v>
      </c>
      <c r="L112" s="421">
        <v>5000</v>
      </c>
      <c r="M112" s="483"/>
      <c r="O112" s="464"/>
      <c r="P112" s="464"/>
      <c r="Q112" s="464"/>
      <c r="S112" s="464">
        <f t="shared" si="22"/>
        <v>9100000</v>
      </c>
      <c r="T112" s="464">
        <f t="shared" si="23"/>
        <v>12302519.911701655</v>
      </c>
    </row>
    <row r="113" spans="1:20" ht="17.25" customHeight="1">
      <c r="A113" s="468">
        <f t="shared" si="6"/>
        <v>108</v>
      </c>
      <c r="B113" s="167" t="s">
        <v>546</v>
      </c>
      <c r="C113" s="486">
        <v>42628</v>
      </c>
      <c r="D113" s="487" t="s">
        <v>756</v>
      </c>
      <c r="E113" s="548">
        <v>52</v>
      </c>
      <c r="F113" s="547">
        <v>26.5</v>
      </c>
      <c r="G113" s="547">
        <v>26.5</v>
      </c>
      <c r="H113" s="593">
        <f t="shared" si="19"/>
        <v>0.91</v>
      </c>
      <c r="I113" s="140">
        <f t="shared" si="21"/>
        <v>564.20000000000005</v>
      </c>
      <c r="J113" s="566">
        <v>620</v>
      </c>
      <c r="K113" s="140">
        <f t="shared" si="20"/>
        <v>7501.5365315253994</v>
      </c>
      <c r="L113" s="421">
        <v>5550</v>
      </c>
      <c r="M113" s="483"/>
      <c r="O113" s="464"/>
      <c r="P113" s="464"/>
      <c r="Q113" s="464"/>
      <c r="S113" s="464">
        <f t="shared" si="22"/>
        <v>3441000</v>
      </c>
      <c r="T113" s="464">
        <f t="shared" si="23"/>
        <v>4650952.6495457478</v>
      </c>
    </row>
    <row r="114" spans="1:20" ht="17.25" customHeight="1">
      <c r="A114" s="468">
        <f t="shared" si="6"/>
        <v>109</v>
      </c>
      <c r="B114" s="167" t="s">
        <v>547</v>
      </c>
      <c r="C114" s="486">
        <v>42628</v>
      </c>
      <c r="D114" s="487" t="s">
        <v>756</v>
      </c>
      <c r="E114" s="548">
        <v>52</v>
      </c>
      <c r="F114" s="547">
        <v>32</v>
      </c>
      <c r="G114" s="547">
        <v>12</v>
      </c>
      <c r="H114" s="593">
        <f t="shared" si="19"/>
        <v>0.81</v>
      </c>
      <c r="I114" s="140">
        <f t="shared" si="21"/>
        <v>246.24</v>
      </c>
      <c r="J114" s="566">
        <v>304</v>
      </c>
      <c r="K114" s="140">
        <f t="shared" si="20"/>
        <v>6677.1918577314</v>
      </c>
      <c r="L114" s="421">
        <v>5800</v>
      </c>
      <c r="M114" s="483"/>
      <c r="O114" s="464"/>
      <c r="P114" s="464"/>
      <c r="Q114" s="464"/>
      <c r="S114" s="464">
        <f t="shared" si="22"/>
        <v>1763200</v>
      </c>
      <c r="T114" s="464">
        <f t="shared" si="23"/>
        <v>2029866.3247503457</v>
      </c>
    </row>
    <row r="115" spans="1:20" ht="17.25" customHeight="1">
      <c r="A115" s="468">
        <f t="shared" si="6"/>
        <v>110</v>
      </c>
      <c r="B115" s="167" t="s">
        <v>548</v>
      </c>
      <c r="C115" s="486">
        <v>42628</v>
      </c>
      <c r="D115" s="487" t="s">
        <v>756</v>
      </c>
      <c r="E115" s="548">
        <v>50</v>
      </c>
      <c r="F115" s="547">
        <v>25</v>
      </c>
      <c r="G115" s="547">
        <v>30</v>
      </c>
      <c r="H115" s="593">
        <f t="shared" si="19"/>
        <v>0.9</v>
      </c>
      <c r="I115" s="140">
        <f t="shared" si="21"/>
        <v>284.40000000000003</v>
      </c>
      <c r="J115" s="566">
        <v>316</v>
      </c>
      <c r="K115" s="140">
        <f t="shared" si="20"/>
        <v>7419.102064146</v>
      </c>
      <c r="L115" s="421">
        <v>5600</v>
      </c>
      <c r="M115" s="483"/>
      <c r="O115" s="464"/>
      <c r="P115" s="464"/>
      <c r="Q115" s="464"/>
      <c r="S115" s="464">
        <f t="shared" si="22"/>
        <v>1769600</v>
      </c>
      <c r="T115" s="464">
        <f t="shared" si="23"/>
        <v>2344436.252270136</v>
      </c>
    </row>
    <row r="116" spans="1:20" ht="17.25" customHeight="1">
      <c r="A116" s="468">
        <f t="shared" si="6"/>
        <v>111</v>
      </c>
      <c r="B116" s="167" t="s">
        <v>515</v>
      </c>
      <c r="C116" s="486">
        <v>42635</v>
      </c>
      <c r="D116" s="487" t="s">
        <v>757</v>
      </c>
      <c r="E116" s="548">
        <v>49</v>
      </c>
      <c r="F116" s="547">
        <v>38</v>
      </c>
      <c r="G116" s="547">
        <v>12</v>
      </c>
      <c r="H116" s="593">
        <f t="shared" si="19"/>
        <v>0.95</v>
      </c>
      <c r="I116" s="140">
        <f t="shared" si="21"/>
        <v>285</v>
      </c>
      <c r="J116" s="566">
        <v>300</v>
      </c>
      <c r="K116" s="140">
        <f t="shared" si="20"/>
        <v>7831.2744010429988</v>
      </c>
      <c r="L116" s="421">
        <v>10500</v>
      </c>
      <c r="M116" s="483"/>
      <c r="O116" s="464"/>
      <c r="P116" s="464"/>
      <c r="Q116" s="464"/>
      <c r="S116" s="464">
        <f t="shared" si="22"/>
        <v>3150000</v>
      </c>
      <c r="T116" s="464">
        <f t="shared" si="23"/>
        <v>2349382.3203128995</v>
      </c>
    </row>
    <row r="117" spans="1:20" ht="17.25" customHeight="1">
      <c r="A117" s="468">
        <f t="shared" si="6"/>
        <v>112</v>
      </c>
      <c r="B117" s="167" t="s">
        <v>549</v>
      </c>
      <c r="C117" s="486">
        <v>42639</v>
      </c>
      <c r="D117" s="487" t="s">
        <v>758</v>
      </c>
      <c r="E117" s="548">
        <v>41.5</v>
      </c>
      <c r="F117" s="547">
        <v>24.5</v>
      </c>
      <c r="G117" s="547">
        <v>11.6</v>
      </c>
      <c r="H117" s="593">
        <f t="shared" si="19"/>
        <v>0.54</v>
      </c>
      <c r="I117" s="140">
        <f t="shared" si="21"/>
        <v>58.860000000000007</v>
      </c>
      <c r="J117" s="566">
        <v>109</v>
      </c>
      <c r="K117" s="140">
        <f t="shared" si="20"/>
        <v>4451.4612384876</v>
      </c>
      <c r="L117" s="421">
        <v>6400</v>
      </c>
      <c r="M117" s="483"/>
      <c r="O117" s="464"/>
      <c r="P117" s="464"/>
      <c r="Q117" s="464"/>
      <c r="S117" s="464">
        <f t="shared" si="22"/>
        <v>697600</v>
      </c>
      <c r="T117" s="464">
        <f t="shared" si="23"/>
        <v>485209.27499514841</v>
      </c>
    </row>
    <row r="118" spans="1:20" ht="17.25" customHeight="1">
      <c r="A118" s="468">
        <f t="shared" si="6"/>
        <v>113</v>
      </c>
      <c r="B118" s="167" t="s">
        <v>550</v>
      </c>
      <c r="C118" s="486">
        <v>42639</v>
      </c>
      <c r="D118" s="487" t="s">
        <v>758</v>
      </c>
      <c r="E118" s="548">
        <v>46.5</v>
      </c>
      <c r="F118" s="547">
        <v>26.5</v>
      </c>
      <c r="G118" s="547">
        <v>11.5</v>
      </c>
      <c r="H118" s="593">
        <f t="shared" si="19"/>
        <v>0.62</v>
      </c>
      <c r="I118" s="140">
        <f t="shared" si="21"/>
        <v>63.24</v>
      </c>
      <c r="J118" s="566">
        <v>102</v>
      </c>
      <c r="K118" s="140">
        <f t="shared" ref="K118:K124" si="24">H118*$R$33</f>
        <v>5110.9369775227997</v>
      </c>
      <c r="L118" s="421">
        <v>7300</v>
      </c>
      <c r="M118" s="483"/>
      <c r="O118" s="464"/>
      <c r="P118" s="464"/>
      <c r="Q118" s="464"/>
      <c r="S118" s="464">
        <f t="shared" si="22"/>
        <v>744600</v>
      </c>
      <c r="T118" s="464">
        <f t="shared" si="23"/>
        <v>521315.57170732558</v>
      </c>
    </row>
    <row r="119" spans="1:20" ht="17.25" customHeight="1">
      <c r="A119" s="468">
        <f t="shared" si="6"/>
        <v>114</v>
      </c>
      <c r="B119" s="167" t="s">
        <v>663</v>
      </c>
      <c r="C119" s="486">
        <v>42639</v>
      </c>
      <c r="D119" s="487" t="s">
        <v>758</v>
      </c>
      <c r="E119" s="548">
        <v>45</v>
      </c>
      <c r="F119" s="547">
        <v>35</v>
      </c>
      <c r="G119" s="547">
        <v>28</v>
      </c>
      <c r="H119" s="593">
        <f t="shared" si="19"/>
        <v>1.0900000000000001</v>
      </c>
      <c r="I119" s="140">
        <f t="shared" si="21"/>
        <v>61.040000000000006</v>
      </c>
      <c r="J119" s="566">
        <v>56</v>
      </c>
      <c r="K119" s="140">
        <f t="shared" si="24"/>
        <v>8985.3569443546003</v>
      </c>
      <c r="L119" s="421">
        <v>11250</v>
      </c>
      <c r="M119" s="483"/>
      <c r="O119" s="464"/>
      <c r="P119" s="464"/>
      <c r="Q119" s="464"/>
      <c r="S119" s="464">
        <f t="shared" si="22"/>
        <v>630000</v>
      </c>
      <c r="T119" s="464">
        <f t="shared" si="23"/>
        <v>503179.98888385762</v>
      </c>
    </row>
    <row r="120" spans="1:20" ht="17.25" customHeight="1">
      <c r="A120" s="468">
        <f t="shared" si="6"/>
        <v>115</v>
      </c>
      <c r="B120" s="167" t="s">
        <v>500</v>
      </c>
      <c r="C120" s="486">
        <v>42640</v>
      </c>
      <c r="D120" s="487" t="s">
        <v>759</v>
      </c>
      <c r="E120" s="548">
        <v>47</v>
      </c>
      <c r="F120" s="547">
        <v>42</v>
      </c>
      <c r="G120" s="547">
        <v>25</v>
      </c>
      <c r="H120" s="593">
        <f t="shared" si="19"/>
        <v>1.28</v>
      </c>
      <c r="I120" s="140">
        <f t="shared" si="21"/>
        <v>682.24</v>
      </c>
      <c r="J120" s="566">
        <v>533</v>
      </c>
      <c r="K120" s="140">
        <f t="shared" si="24"/>
        <v>10551.611824563199</v>
      </c>
      <c r="L120" s="421">
        <v>9400</v>
      </c>
      <c r="M120" s="483"/>
      <c r="O120" s="464"/>
      <c r="P120" s="464"/>
      <c r="Q120" s="464"/>
      <c r="S120" s="464">
        <f t="shared" si="22"/>
        <v>5010200</v>
      </c>
      <c r="T120" s="464">
        <f t="shared" si="23"/>
        <v>5624009.1024921853</v>
      </c>
    </row>
    <row r="121" spans="1:20" ht="17.25" customHeight="1">
      <c r="A121" s="468">
        <f t="shared" ref="A121:A124" si="25">IF(B121&lt;&gt;"",A120+1,"")</f>
        <v>116</v>
      </c>
      <c r="B121" s="167" t="s">
        <v>500</v>
      </c>
      <c r="C121" s="486">
        <v>42640</v>
      </c>
      <c r="D121" s="487" t="s">
        <v>760</v>
      </c>
      <c r="E121" s="548">
        <v>47</v>
      </c>
      <c r="F121" s="547">
        <v>42</v>
      </c>
      <c r="G121" s="547">
        <v>25</v>
      </c>
      <c r="H121" s="593">
        <f t="shared" si="19"/>
        <v>1.28</v>
      </c>
      <c r="I121" s="140">
        <f t="shared" si="21"/>
        <v>199.68</v>
      </c>
      <c r="J121" s="566">
        <v>156</v>
      </c>
      <c r="K121" s="140">
        <f t="shared" si="24"/>
        <v>10551.611824563199</v>
      </c>
      <c r="L121" s="421">
        <v>9400</v>
      </c>
      <c r="M121" s="483"/>
      <c r="O121" s="464"/>
      <c r="P121" s="464"/>
      <c r="Q121" s="464"/>
      <c r="S121" s="464">
        <f t="shared" si="22"/>
        <v>1466400</v>
      </c>
      <c r="T121" s="464">
        <f t="shared" si="23"/>
        <v>1646051.444631859</v>
      </c>
    </row>
    <row r="122" spans="1:20" ht="17.25" customHeight="1">
      <c r="A122" s="468">
        <f t="shared" si="25"/>
        <v>117</v>
      </c>
      <c r="B122" s="167" t="s">
        <v>654</v>
      </c>
      <c r="C122" s="486">
        <v>42640</v>
      </c>
      <c r="D122" s="487" t="s">
        <v>760</v>
      </c>
      <c r="E122" s="548">
        <v>47</v>
      </c>
      <c r="F122" s="547">
        <v>42</v>
      </c>
      <c r="G122" s="547">
        <v>13.5</v>
      </c>
      <c r="H122" s="593">
        <f t="shared" si="19"/>
        <v>1.07</v>
      </c>
      <c r="I122" s="140">
        <f t="shared" si="21"/>
        <v>2696.4</v>
      </c>
      <c r="J122" s="566">
        <v>2520</v>
      </c>
      <c r="K122" s="140">
        <f t="shared" si="24"/>
        <v>8820.4880095957997</v>
      </c>
      <c r="L122" s="421">
        <v>7900</v>
      </c>
      <c r="M122" s="483"/>
      <c r="O122" s="464"/>
      <c r="P122" s="464"/>
      <c r="Q122" s="464"/>
      <c r="S122" s="464">
        <f t="shared" si="22"/>
        <v>19908000</v>
      </c>
      <c r="T122" s="464">
        <f t="shared" si="23"/>
        <v>22227629.784181416</v>
      </c>
    </row>
    <row r="123" spans="1:20" ht="17.25" customHeight="1">
      <c r="A123" s="468">
        <f t="shared" si="25"/>
        <v>118</v>
      </c>
      <c r="B123" s="167" t="s">
        <v>655</v>
      </c>
      <c r="C123" s="486">
        <v>42640</v>
      </c>
      <c r="D123" s="487" t="s">
        <v>760</v>
      </c>
      <c r="E123" s="548">
        <v>63</v>
      </c>
      <c r="F123" s="547">
        <v>42</v>
      </c>
      <c r="G123" s="547">
        <v>27</v>
      </c>
      <c r="H123" s="593">
        <f t="shared" si="19"/>
        <v>1.55</v>
      </c>
      <c r="I123" s="140">
        <f t="shared" si="21"/>
        <v>68.2</v>
      </c>
      <c r="J123" s="566">
        <v>44</v>
      </c>
      <c r="K123" s="140">
        <f t="shared" si="24"/>
        <v>12777.342443807</v>
      </c>
      <c r="L123" s="421">
        <v>17600</v>
      </c>
      <c r="M123" s="483"/>
      <c r="O123" s="464"/>
      <c r="P123" s="464"/>
      <c r="Q123" s="464"/>
      <c r="S123" s="464">
        <f t="shared" si="22"/>
        <v>774400</v>
      </c>
      <c r="T123" s="464">
        <f t="shared" si="23"/>
        <v>562203.06752750801</v>
      </c>
    </row>
    <row r="124" spans="1:20" ht="17.25" customHeight="1">
      <c r="A124" s="468">
        <f t="shared" si="25"/>
        <v>119</v>
      </c>
      <c r="B124" s="167" t="s">
        <v>511</v>
      </c>
      <c r="C124" s="486">
        <v>42641</v>
      </c>
      <c r="D124" s="487" t="s">
        <v>431</v>
      </c>
      <c r="E124" s="548">
        <v>49.5</v>
      </c>
      <c r="F124" s="547">
        <v>38.5</v>
      </c>
      <c r="G124" s="547">
        <v>32.5</v>
      </c>
      <c r="H124" s="593">
        <f t="shared" si="19"/>
        <v>1.34</v>
      </c>
      <c r="I124" s="140">
        <f t="shared" si="21"/>
        <v>282.74</v>
      </c>
      <c r="J124" s="566">
        <v>211</v>
      </c>
      <c r="K124" s="140">
        <f t="shared" si="24"/>
        <v>11046.218628839601</v>
      </c>
      <c r="L124" s="421">
        <v>12900</v>
      </c>
      <c r="M124" s="483"/>
      <c r="O124" s="464"/>
      <c r="P124" s="464"/>
      <c r="Q124" s="464"/>
      <c r="S124" s="464">
        <f t="shared" si="22"/>
        <v>2721900</v>
      </c>
      <c r="T124" s="464">
        <f t="shared" si="23"/>
        <v>2330752.1306851557</v>
      </c>
    </row>
    <row r="125" spans="1:20" s="489" customFormat="1" ht="17.25" customHeight="1">
      <c r="A125" s="468"/>
      <c r="B125" s="167"/>
      <c r="C125" s="537"/>
      <c r="D125" s="488"/>
      <c r="E125" s="548"/>
      <c r="F125" s="547"/>
      <c r="G125" s="547"/>
      <c r="H125" s="469"/>
      <c r="I125" s="469"/>
      <c r="J125" s="140"/>
      <c r="K125" s="469"/>
      <c r="L125" s="421"/>
      <c r="M125" s="421"/>
    </row>
    <row r="126" spans="1:20" s="465" customFormat="1" ht="17.25" customHeight="1">
      <c r="A126" s="470"/>
      <c r="B126" s="471" t="s">
        <v>236</v>
      </c>
      <c r="C126" s="490"/>
      <c r="D126" s="491"/>
      <c r="E126" s="541"/>
      <c r="F126" s="541"/>
      <c r="G126" s="541"/>
      <c r="H126" s="544">
        <f>ROUND(SUM(H6:H125),2)</f>
        <v>172.23</v>
      </c>
      <c r="I126" s="353">
        <f>ROUND(SUM(I6:I125),2)</f>
        <v>62143.86</v>
      </c>
      <c r="J126" s="353">
        <f>ROUND(SUM(J6:J125),2)</f>
        <v>65710</v>
      </c>
      <c r="K126" s="353"/>
      <c r="L126" s="479"/>
      <c r="M126" s="479"/>
      <c r="R126" s="601">
        <f>S126-T126</f>
        <v>77930986.99999994</v>
      </c>
      <c r="S126" s="353">
        <f>SUM(S6:S125)</f>
        <v>590210587</v>
      </c>
      <c r="T126" s="353">
        <f>SUM(T6:T125)</f>
        <v>512279600.00000006</v>
      </c>
    </row>
    <row r="127" spans="1:20" s="465" customFormat="1">
      <c r="A127" s="472"/>
      <c r="B127" s="473"/>
      <c r="C127" s="492"/>
      <c r="D127" s="493"/>
      <c r="E127" s="545"/>
      <c r="F127" s="545"/>
      <c r="G127" s="545"/>
      <c r="H127" s="466"/>
      <c r="I127" s="466"/>
      <c r="J127" s="466"/>
      <c r="K127" s="466"/>
      <c r="L127" s="479"/>
      <c r="M127" s="479"/>
    </row>
    <row r="128" spans="1:20">
      <c r="C128" s="492"/>
      <c r="D128" s="493"/>
      <c r="E128" s="549"/>
      <c r="F128" s="549"/>
      <c r="G128" s="550"/>
      <c r="H128" s="475"/>
      <c r="I128" s="466"/>
      <c r="J128" s="466"/>
      <c r="O128" s="464"/>
      <c r="P128" s="464"/>
      <c r="Q128" s="464"/>
    </row>
    <row r="129" spans="1:20" ht="18" customHeight="1">
      <c r="A129" s="387" t="str">
        <f>TH!$A$1</f>
        <v>Đơn vị: CÔNG TY TNHH BAO BÌ GIẤY KIM DUNG PHÁT</v>
      </c>
      <c r="B129" s="465"/>
      <c r="C129" s="492"/>
      <c r="D129" s="493"/>
      <c r="H129" s="165"/>
      <c r="I129" s="409"/>
      <c r="J129" s="409"/>
      <c r="K129" s="165"/>
      <c r="M129" s="479"/>
      <c r="N129" s="474"/>
      <c r="O129" s="464"/>
      <c r="P129" s="464"/>
      <c r="Q129" s="464"/>
    </row>
    <row r="130" spans="1:20" ht="18.75" customHeight="1">
      <c r="A130" s="466" t="s">
        <v>414</v>
      </c>
      <c r="B130" s="466"/>
      <c r="C130" s="492"/>
      <c r="D130" s="493"/>
      <c r="E130" s="545"/>
      <c r="F130" s="545"/>
      <c r="G130" s="545"/>
      <c r="H130" s="466"/>
      <c r="I130" s="466"/>
      <c r="J130" s="466"/>
      <c r="K130" s="466"/>
      <c r="M130" s="479"/>
      <c r="O130" s="464"/>
      <c r="P130" s="464"/>
      <c r="Q130" s="464"/>
    </row>
    <row r="131" spans="1:20" ht="18.75" customHeight="1">
      <c r="A131" s="466"/>
      <c r="B131" s="467"/>
      <c r="C131" s="492"/>
      <c r="D131" s="493"/>
      <c r="E131" s="542"/>
      <c r="F131" s="542"/>
      <c r="G131" s="542"/>
      <c r="H131" s="467"/>
      <c r="I131" s="480"/>
      <c r="J131" s="480"/>
      <c r="K131" s="467"/>
      <c r="M131" s="479"/>
      <c r="O131" s="464"/>
      <c r="P131" s="464"/>
      <c r="Q131" s="464"/>
    </row>
    <row r="132" spans="1:20" s="282" customFormat="1" ht="21" customHeight="1">
      <c r="A132" s="962" t="s">
        <v>34</v>
      </c>
      <c r="B132" s="962" t="s">
        <v>232</v>
      </c>
      <c r="C132" s="962" t="s">
        <v>385</v>
      </c>
      <c r="D132" s="962" t="s">
        <v>386</v>
      </c>
      <c r="E132" s="964" t="s">
        <v>387</v>
      </c>
      <c r="F132" s="965"/>
      <c r="G132" s="965"/>
      <c r="H132" s="966"/>
      <c r="I132" s="967" t="s">
        <v>397</v>
      </c>
      <c r="J132" s="962" t="s">
        <v>233</v>
      </c>
      <c r="K132" s="962" t="s">
        <v>391</v>
      </c>
      <c r="L132" s="281"/>
      <c r="M132" s="281"/>
      <c r="N132" s="962" t="s">
        <v>232</v>
      </c>
      <c r="O132" s="962" t="s">
        <v>392</v>
      </c>
      <c r="P132" s="962" t="s">
        <v>191</v>
      </c>
      <c r="Q132" s="962" t="s">
        <v>234</v>
      </c>
      <c r="R132" s="962" t="s">
        <v>235</v>
      </c>
    </row>
    <row r="133" spans="1:20" s="282" customFormat="1" ht="21" customHeight="1">
      <c r="A133" s="962"/>
      <c r="B133" s="962"/>
      <c r="C133" s="962"/>
      <c r="D133" s="962"/>
      <c r="E133" s="507" t="s">
        <v>388</v>
      </c>
      <c r="F133" s="507" t="s">
        <v>389</v>
      </c>
      <c r="G133" s="507" t="s">
        <v>390</v>
      </c>
      <c r="H133" s="280" t="s">
        <v>395</v>
      </c>
      <c r="I133" s="968"/>
      <c r="J133" s="962"/>
      <c r="K133" s="962"/>
      <c r="L133" s="281"/>
      <c r="M133" s="281"/>
      <c r="N133" s="962"/>
      <c r="O133" s="962"/>
      <c r="P133" s="962"/>
      <c r="Q133" s="962"/>
      <c r="R133" s="962"/>
    </row>
    <row r="134" spans="1:20" ht="16.5" customHeight="1">
      <c r="A134" s="499">
        <f t="shared" ref="A134:A143" si="26">IF(B134&lt;&gt;"",ROW()-133,"")</f>
        <v>1</v>
      </c>
      <c r="B134" s="167" t="s">
        <v>802</v>
      </c>
      <c r="C134" s="484">
        <v>42647</v>
      </c>
      <c r="D134" s="485" t="s">
        <v>801</v>
      </c>
      <c r="E134" s="551">
        <v>40</v>
      </c>
      <c r="F134" s="552">
        <v>30</v>
      </c>
      <c r="G134" s="552">
        <v>18.5</v>
      </c>
      <c r="H134" s="593">
        <f t="shared" ref="H134:H143" si="27">IF(G134&lt;&gt;"",ROUND(((E134+F134)*2+5)*(F134+G134+3)/10000,2),ROUND(E134*F134/10000,2))</f>
        <v>0.75</v>
      </c>
      <c r="I134" s="140">
        <f t="shared" ref="I134:I165" si="28">H134*J134</f>
        <v>317.25</v>
      </c>
      <c r="J134" s="566">
        <v>423</v>
      </c>
      <c r="K134" s="140">
        <f t="shared" ref="K134:K165" si="29">H134*$R$170</f>
        <v>5706.4898215078556</v>
      </c>
      <c r="L134" s="421">
        <v>8800</v>
      </c>
      <c r="M134" s="421"/>
      <c r="N134" s="112" t="s">
        <v>405</v>
      </c>
      <c r="O134" s="486">
        <v>42563</v>
      </c>
      <c r="P134" s="139">
        <v>11536</v>
      </c>
      <c r="Q134" s="139">
        <v>7600</v>
      </c>
      <c r="R134" s="5">
        <f t="shared" ref="R134:R144" si="30">ROUND(P134*Q134,0)</f>
        <v>87673600</v>
      </c>
      <c r="S134" s="464">
        <f t="shared" ref="S134:S165" si="31">J134*L134</f>
        <v>3722400</v>
      </c>
      <c r="T134" s="464">
        <f t="shared" ref="T134:T165" si="32">J134*K134</f>
        <v>2413845.1944978228</v>
      </c>
    </row>
    <row r="135" spans="1:20" ht="16.5" customHeight="1">
      <c r="A135" s="499">
        <f t="shared" si="26"/>
        <v>2</v>
      </c>
      <c r="B135" s="167" t="s">
        <v>804</v>
      </c>
      <c r="C135" s="484">
        <v>42647</v>
      </c>
      <c r="D135" s="485" t="s">
        <v>803</v>
      </c>
      <c r="E135" s="551">
        <v>48</v>
      </c>
      <c r="F135" s="552">
        <v>23</v>
      </c>
      <c r="G135" s="552">
        <v>22</v>
      </c>
      <c r="H135" s="593">
        <f t="shared" si="27"/>
        <v>0.71</v>
      </c>
      <c r="I135" s="140">
        <f t="shared" si="28"/>
        <v>669.53</v>
      </c>
      <c r="J135" s="566">
        <v>943</v>
      </c>
      <c r="K135" s="140">
        <f t="shared" si="29"/>
        <v>5402.1436976941031</v>
      </c>
      <c r="L135" s="421">
        <v>7135</v>
      </c>
      <c r="M135" s="421"/>
      <c r="N135" s="112" t="s">
        <v>449</v>
      </c>
      <c r="O135" s="113">
        <v>42563</v>
      </c>
      <c r="P135" s="139">
        <v>5979</v>
      </c>
      <c r="Q135" s="139">
        <v>8900</v>
      </c>
      <c r="R135" s="5">
        <f t="shared" si="30"/>
        <v>53213100</v>
      </c>
      <c r="S135" s="464">
        <f t="shared" si="31"/>
        <v>6728305</v>
      </c>
      <c r="T135" s="464">
        <f t="shared" si="32"/>
        <v>5094221.5069255391</v>
      </c>
    </row>
    <row r="136" spans="1:20" ht="16.5" customHeight="1">
      <c r="A136" s="499">
        <f t="shared" si="26"/>
        <v>3</v>
      </c>
      <c r="B136" s="167" t="s">
        <v>805</v>
      </c>
      <c r="C136" s="484">
        <v>42647</v>
      </c>
      <c r="D136" s="485" t="s">
        <v>803</v>
      </c>
      <c r="E136" s="551">
        <v>49</v>
      </c>
      <c r="F136" s="510">
        <v>23.5</v>
      </c>
      <c r="G136" s="510">
        <v>30.5</v>
      </c>
      <c r="H136" s="593">
        <f t="shared" si="27"/>
        <v>0.86</v>
      </c>
      <c r="I136" s="140">
        <f t="shared" si="28"/>
        <v>232.2</v>
      </c>
      <c r="J136" s="566">
        <v>270</v>
      </c>
      <c r="K136" s="140">
        <f t="shared" si="29"/>
        <v>6543.4416619956746</v>
      </c>
      <c r="L136" s="421">
        <v>8719</v>
      </c>
      <c r="M136" s="421"/>
      <c r="N136" s="112" t="s">
        <v>450</v>
      </c>
      <c r="O136" s="113">
        <v>42563</v>
      </c>
      <c r="P136" s="139">
        <v>4011</v>
      </c>
      <c r="Q136" s="139">
        <v>8500</v>
      </c>
      <c r="R136" s="5">
        <f t="shared" si="30"/>
        <v>34093500</v>
      </c>
      <c r="S136" s="464">
        <f t="shared" si="31"/>
        <v>2354130</v>
      </c>
      <c r="T136" s="464">
        <f t="shared" si="32"/>
        <v>1766729.2487388321</v>
      </c>
    </row>
    <row r="137" spans="1:20" ht="16.5" customHeight="1">
      <c r="A137" s="499">
        <f t="shared" si="26"/>
        <v>4</v>
      </c>
      <c r="B137" s="167" t="s">
        <v>807</v>
      </c>
      <c r="C137" s="484">
        <v>42648</v>
      </c>
      <c r="D137" s="485" t="s">
        <v>806</v>
      </c>
      <c r="E137" s="551">
        <v>39.5</v>
      </c>
      <c r="F137" s="552">
        <v>32.299999999999997</v>
      </c>
      <c r="G137" s="552">
        <v>27</v>
      </c>
      <c r="H137" s="593">
        <f t="shared" si="27"/>
        <v>0.93</v>
      </c>
      <c r="I137" s="140">
        <f t="shared" si="28"/>
        <v>283.65000000000003</v>
      </c>
      <c r="J137" s="566">
        <v>305</v>
      </c>
      <c r="K137" s="140">
        <f t="shared" si="29"/>
        <v>7076.0473786697412</v>
      </c>
      <c r="L137" s="421">
        <v>9400</v>
      </c>
      <c r="M137" s="421"/>
      <c r="N137" s="112" t="s">
        <v>405</v>
      </c>
      <c r="O137" s="113">
        <v>42580</v>
      </c>
      <c r="P137" s="139">
        <v>7756</v>
      </c>
      <c r="Q137" s="139">
        <v>7600</v>
      </c>
      <c r="R137" s="5">
        <f t="shared" si="30"/>
        <v>58945600</v>
      </c>
      <c r="S137" s="464">
        <f t="shared" si="31"/>
        <v>2867000</v>
      </c>
      <c r="T137" s="464">
        <f t="shared" si="32"/>
        <v>2158194.4504942712</v>
      </c>
    </row>
    <row r="138" spans="1:20" ht="16.5" customHeight="1">
      <c r="A138" s="499">
        <f t="shared" si="26"/>
        <v>5</v>
      </c>
      <c r="B138" s="167" t="s">
        <v>808</v>
      </c>
      <c r="C138" s="484">
        <v>42648</v>
      </c>
      <c r="D138" s="485" t="s">
        <v>806</v>
      </c>
      <c r="E138" s="551">
        <v>32</v>
      </c>
      <c r="F138" s="552">
        <v>31</v>
      </c>
      <c r="G138" s="552">
        <v>35</v>
      </c>
      <c r="H138" s="593">
        <f t="shared" si="27"/>
        <v>0.9</v>
      </c>
      <c r="I138" s="140">
        <f t="shared" si="28"/>
        <v>49.5</v>
      </c>
      <c r="J138" s="566">
        <v>55</v>
      </c>
      <c r="K138" s="140">
        <f t="shared" si="29"/>
        <v>6847.7877858094271</v>
      </c>
      <c r="L138" s="421">
        <v>12000</v>
      </c>
      <c r="M138" s="421"/>
      <c r="N138" s="112" t="s">
        <v>449</v>
      </c>
      <c r="O138" s="113">
        <v>42580</v>
      </c>
      <c r="P138" s="139">
        <f>4223-1383</f>
        <v>2840</v>
      </c>
      <c r="Q138" s="139">
        <v>8900</v>
      </c>
      <c r="R138" s="5">
        <f t="shared" si="30"/>
        <v>25276000</v>
      </c>
      <c r="S138" s="464">
        <f t="shared" si="31"/>
        <v>660000</v>
      </c>
      <c r="T138" s="464">
        <f t="shared" si="32"/>
        <v>376628.32821951847</v>
      </c>
    </row>
    <row r="139" spans="1:20" ht="16.5" customHeight="1">
      <c r="A139" s="499">
        <f t="shared" si="26"/>
        <v>6</v>
      </c>
      <c r="B139" s="167" t="s">
        <v>809</v>
      </c>
      <c r="C139" s="484">
        <v>42648</v>
      </c>
      <c r="D139" s="485" t="s">
        <v>806</v>
      </c>
      <c r="E139" s="551">
        <v>29.5</v>
      </c>
      <c r="F139" s="552">
        <v>15</v>
      </c>
      <c r="G139" s="552">
        <v>15.5</v>
      </c>
      <c r="H139" s="593">
        <f t="shared" si="27"/>
        <v>0.31</v>
      </c>
      <c r="I139" s="140">
        <f t="shared" si="28"/>
        <v>63.55</v>
      </c>
      <c r="J139" s="566">
        <v>205</v>
      </c>
      <c r="K139" s="140">
        <f t="shared" si="29"/>
        <v>2358.6824595565804</v>
      </c>
      <c r="L139" s="421">
        <v>3200</v>
      </c>
      <c r="M139" s="421"/>
      <c r="N139" s="112" t="s">
        <v>450</v>
      </c>
      <c r="O139" s="113">
        <v>42580</v>
      </c>
      <c r="P139" s="139">
        <v>6881</v>
      </c>
      <c r="Q139" s="139">
        <v>8500</v>
      </c>
      <c r="R139" s="5">
        <f t="shared" si="30"/>
        <v>58488500</v>
      </c>
      <c r="S139" s="464">
        <f t="shared" si="31"/>
        <v>656000</v>
      </c>
      <c r="T139" s="464">
        <f t="shared" si="32"/>
        <v>483529.90420909895</v>
      </c>
    </row>
    <row r="140" spans="1:20" ht="16.5" customHeight="1">
      <c r="A140" s="499">
        <f t="shared" si="26"/>
        <v>7</v>
      </c>
      <c r="B140" s="167" t="s">
        <v>520</v>
      </c>
      <c r="C140" s="484">
        <v>42648</v>
      </c>
      <c r="D140" s="485" t="s">
        <v>810</v>
      </c>
      <c r="E140" s="551">
        <v>52</v>
      </c>
      <c r="F140" s="552">
        <v>24.5</v>
      </c>
      <c r="G140" s="552">
        <v>24.5</v>
      </c>
      <c r="H140" s="593">
        <f t="shared" si="27"/>
        <v>0.82</v>
      </c>
      <c r="I140" s="140">
        <f t="shared" si="28"/>
        <v>262.39999999999998</v>
      </c>
      <c r="J140" s="566">
        <v>320</v>
      </c>
      <c r="K140" s="140">
        <f t="shared" si="29"/>
        <v>6239.0955381819222</v>
      </c>
      <c r="L140" s="421">
        <v>5000</v>
      </c>
      <c r="M140" s="421"/>
      <c r="N140" s="112" t="s">
        <v>783</v>
      </c>
      <c r="O140" s="113">
        <v>42660</v>
      </c>
      <c r="P140" s="139">
        <v>8032</v>
      </c>
      <c r="Q140" s="139">
        <v>7800</v>
      </c>
      <c r="R140" s="5">
        <f t="shared" si="30"/>
        <v>62649600</v>
      </c>
      <c r="S140" s="464">
        <f t="shared" si="31"/>
        <v>1600000</v>
      </c>
      <c r="T140" s="464">
        <f t="shared" si="32"/>
        <v>1996510.5722182151</v>
      </c>
    </row>
    <row r="141" spans="1:20" ht="16.5" customHeight="1">
      <c r="A141" s="499">
        <f t="shared" si="26"/>
        <v>8</v>
      </c>
      <c r="B141" s="167" t="s">
        <v>522</v>
      </c>
      <c r="C141" s="484">
        <v>42648</v>
      </c>
      <c r="D141" s="485" t="s">
        <v>810</v>
      </c>
      <c r="E141" s="551">
        <v>55</v>
      </c>
      <c r="F141" s="552">
        <v>45</v>
      </c>
      <c r="G141" s="552">
        <v>29</v>
      </c>
      <c r="H141" s="593">
        <f t="shared" si="27"/>
        <v>1.58</v>
      </c>
      <c r="I141" s="140">
        <f t="shared" si="28"/>
        <v>1041.22</v>
      </c>
      <c r="J141" s="566">
        <v>659</v>
      </c>
      <c r="K141" s="140">
        <f t="shared" si="29"/>
        <v>12021.671890643216</v>
      </c>
      <c r="L141" s="421">
        <v>9700</v>
      </c>
      <c r="M141" s="421"/>
      <c r="N141" s="112" t="s">
        <v>783</v>
      </c>
      <c r="O141" s="113">
        <v>42660</v>
      </c>
      <c r="P141" s="139">
        <v>7448</v>
      </c>
      <c r="Q141" s="139">
        <v>8200</v>
      </c>
      <c r="R141" s="5">
        <f t="shared" si="30"/>
        <v>61073600</v>
      </c>
      <c r="S141" s="464">
        <f t="shared" si="31"/>
        <v>6392300</v>
      </c>
      <c r="T141" s="464">
        <f t="shared" si="32"/>
        <v>7922281.7759338794</v>
      </c>
    </row>
    <row r="142" spans="1:20" ht="16.5" customHeight="1">
      <c r="A142" s="499">
        <f t="shared" si="26"/>
        <v>9</v>
      </c>
      <c r="B142" s="167" t="s">
        <v>526</v>
      </c>
      <c r="C142" s="484">
        <v>42649</v>
      </c>
      <c r="D142" s="485" t="s">
        <v>436</v>
      </c>
      <c r="E142" s="551">
        <v>62</v>
      </c>
      <c r="F142" s="552">
        <v>42.5</v>
      </c>
      <c r="G142" s="552">
        <v>42.5</v>
      </c>
      <c r="H142" s="593">
        <f t="shared" si="27"/>
        <v>1.88</v>
      </c>
      <c r="I142" s="140">
        <f t="shared" si="28"/>
        <v>752</v>
      </c>
      <c r="J142" s="566">
        <v>400</v>
      </c>
      <c r="K142" s="140">
        <f t="shared" si="29"/>
        <v>14304.267819246357</v>
      </c>
      <c r="L142" s="421">
        <v>20000</v>
      </c>
      <c r="M142" s="421"/>
      <c r="N142" s="112" t="s">
        <v>783</v>
      </c>
      <c r="O142" s="113">
        <v>42660</v>
      </c>
      <c r="P142" s="139">
        <v>2161</v>
      </c>
      <c r="Q142" s="139">
        <v>8200</v>
      </c>
      <c r="R142" s="5">
        <f t="shared" si="30"/>
        <v>17720200</v>
      </c>
      <c r="S142" s="464">
        <f t="shared" si="31"/>
        <v>8000000</v>
      </c>
      <c r="T142" s="464">
        <f t="shared" si="32"/>
        <v>5721707.1276985426</v>
      </c>
    </row>
    <row r="143" spans="1:20" ht="16.5" customHeight="1">
      <c r="A143" s="499">
        <f t="shared" si="26"/>
        <v>10</v>
      </c>
      <c r="B143" s="167" t="s">
        <v>674</v>
      </c>
      <c r="C143" s="484">
        <v>42660</v>
      </c>
      <c r="D143" s="485" t="s">
        <v>761</v>
      </c>
      <c r="E143" s="551">
        <v>48</v>
      </c>
      <c r="F143" s="552">
        <v>37</v>
      </c>
      <c r="G143" s="552">
        <v>29</v>
      </c>
      <c r="H143" s="593">
        <f t="shared" si="27"/>
        <v>1.21</v>
      </c>
      <c r="I143" s="140">
        <f t="shared" si="28"/>
        <v>2178</v>
      </c>
      <c r="J143" s="566">
        <v>1800</v>
      </c>
      <c r="K143" s="140">
        <f t="shared" si="29"/>
        <v>9206.4702453660066</v>
      </c>
      <c r="L143" s="421">
        <v>9100</v>
      </c>
      <c r="M143" s="421"/>
      <c r="N143" s="112" t="s">
        <v>783</v>
      </c>
      <c r="O143" s="113">
        <v>42662</v>
      </c>
      <c r="P143" s="139">
        <v>6632</v>
      </c>
      <c r="Q143" s="139">
        <v>8200</v>
      </c>
      <c r="R143" s="5">
        <f t="shared" si="30"/>
        <v>54382400</v>
      </c>
      <c r="S143" s="464">
        <f t="shared" si="31"/>
        <v>16380000</v>
      </c>
      <c r="T143" s="464">
        <f t="shared" si="32"/>
        <v>16571646.441658812</v>
      </c>
    </row>
    <row r="144" spans="1:20" ht="16.5" customHeight="1">
      <c r="A144" s="499">
        <f t="shared" ref="A144:A207" si="33">IF(B144&lt;&gt;"",ROW()-133,"")</f>
        <v>11</v>
      </c>
      <c r="B144" s="167" t="s">
        <v>673</v>
      </c>
      <c r="C144" s="484">
        <v>42660</v>
      </c>
      <c r="D144" s="485" t="s">
        <v>761</v>
      </c>
      <c r="E144" s="551">
        <v>43</v>
      </c>
      <c r="F144" s="552">
        <v>33</v>
      </c>
      <c r="G144" s="552">
        <v>33</v>
      </c>
      <c r="H144" s="593">
        <f t="shared" ref="H144:H257" si="34">IF(G144&lt;&gt;"",ROUND(((E144+F144)*2+5)*(F144+G144+3)/10000,2),ROUND(E144*F144/10000,2))</f>
        <v>1.08</v>
      </c>
      <c r="I144" s="140">
        <f t="shared" si="28"/>
        <v>28.080000000000002</v>
      </c>
      <c r="J144" s="566">
        <v>26</v>
      </c>
      <c r="K144" s="140">
        <f t="shared" si="29"/>
        <v>8217.3453429713136</v>
      </c>
      <c r="L144" s="421">
        <v>13000</v>
      </c>
      <c r="M144" s="421"/>
      <c r="N144" s="112" t="s">
        <v>879</v>
      </c>
      <c r="O144" s="113">
        <v>42674</v>
      </c>
      <c r="P144" s="139">
        <v>28000</v>
      </c>
      <c r="Q144" s="139">
        <v>8400</v>
      </c>
      <c r="R144" s="5">
        <f t="shared" si="30"/>
        <v>235200000</v>
      </c>
      <c r="S144" s="464">
        <f t="shared" si="31"/>
        <v>338000</v>
      </c>
      <c r="T144" s="464">
        <f t="shared" si="32"/>
        <v>213650.97891725416</v>
      </c>
    </row>
    <row r="145" spans="1:20" ht="16.5" customHeight="1">
      <c r="A145" s="499">
        <f t="shared" si="33"/>
        <v>12</v>
      </c>
      <c r="B145" s="167" t="s">
        <v>667</v>
      </c>
      <c r="C145" s="484">
        <v>42662</v>
      </c>
      <c r="D145" s="485" t="s">
        <v>762</v>
      </c>
      <c r="E145" s="551">
        <v>110</v>
      </c>
      <c r="F145" s="552">
        <v>70</v>
      </c>
      <c r="G145" s="552"/>
      <c r="H145" s="593">
        <f t="shared" si="34"/>
        <v>0.77</v>
      </c>
      <c r="I145" s="140">
        <f t="shared" si="28"/>
        <v>400.40000000000003</v>
      </c>
      <c r="J145" s="566">
        <v>520</v>
      </c>
      <c r="K145" s="140">
        <f t="shared" si="29"/>
        <v>5858.6628834147323</v>
      </c>
      <c r="L145" s="421">
        <v>3311</v>
      </c>
      <c r="M145" s="421"/>
      <c r="N145" s="284"/>
      <c r="O145" s="484"/>
      <c r="P145" s="508"/>
      <c r="Q145" s="501"/>
      <c r="R145" s="5"/>
      <c r="S145" s="464">
        <f t="shared" si="31"/>
        <v>1721720</v>
      </c>
      <c r="T145" s="464">
        <f t="shared" si="32"/>
        <v>3046504.6993756606</v>
      </c>
    </row>
    <row r="146" spans="1:20" ht="16.5" customHeight="1">
      <c r="A146" s="499">
        <f t="shared" si="33"/>
        <v>13</v>
      </c>
      <c r="B146" s="167" t="s">
        <v>526</v>
      </c>
      <c r="C146" s="484">
        <v>42662</v>
      </c>
      <c r="D146" s="485" t="s">
        <v>762</v>
      </c>
      <c r="E146" s="551">
        <v>62</v>
      </c>
      <c r="F146" s="552">
        <v>42.5</v>
      </c>
      <c r="G146" s="552">
        <v>42.5</v>
      </c>
      <c r="H146" s="593">
        <f t="shared" si="34"/>
        <v>1.88</v>
      </c>
      <c r="I146" s="140">
        <f t="shared" si="28"/>
        <v>188</v>
      </c>
      <c r="J146" s="566">
        <v>100</v>
      </c>
      <c r="K146" s="140">
        <f t="shared" si="29"/>
        <v>14304.267819246357</v>
      </c>
      <c r="L146" s="421">
        <v>20000</v>
      </c>
      <c r="M146" s="421"/>
      <c r="N146" s="539" t="s">
        <v>379</v>
      </c>
      <c r="O146" s="540"/>
      <c r="P146" s="541"/>
      <c r="Q146" s="353"/>
      <c r="R146" s="353">
        <f>SUM(R134:R145)</f>
        <v>748716100</v>
      </c>
      <c r="S146" s="464">
        <f t="shared" si="31"/>
        <v>2000000</v>
      </c>
      <c r="T146" s="464">
        <f t="shared" si="32"/>
        <v>1430426.7819246356</v>
      </c>
    </row>
    <row r="147" spans="1:20" ht="16.5" customHeight="1">
      <c r="A147" s="499">
        <f t="shared" si="33"/>
        <v>14</v>
      </c>
      <c r="B147" s="167" t="s">
        <v>668</v>
      </c>
      <c r="C147" s="484">
        <v>42672</v>
      </c>
      <c r="D147" s="485" t="s">
        <v>763</v>
      </c>
      <c r="E147" s="551">
        <v>52</v>
      </c>
      <c r="F147" s="552">
        <v>41</v>
      </c>
      <c r="G147" s="552">
        <v>27</v>
      </c>
      <c r="H147" s="593">
        <f t="shared" si="34"/>
        <v>1.36</v>
      </c>
      <c r="I147" s="140">
        <f t="shared" si="28"/>
        <v>48.96</v>
      </c>
      <c r="J147" s="566">
        <v>36</v>
      </c>
      <c r="K147" s="140">
        <f t="shared" si="29"/>
        <v>10347.76820966758</v>
      </c>
      <c r="L147" s="421">
        <v>15400</v>
      </c>
      <c r="M147" s="421"/>
      <c r="N147" s="284" t="s">
        <v>777</v>
      </c>
      <c r="O147" s="484">
        <v>42652</v>
      </c>
      <c r="P147" s="508">
        <v>13490</v>
      </c>
      <c r="Q147" s="501">
        <v>750</v>
      </c>
      <c r="R147" s="5">
        <f t="shared" ref="R147:R157" si="35">ROUND(P147*Q147,0)</f>
        <v>10117500</v>
      </c>
      <c r="S147" s="464">
        <f t="shared" si="31"/>
        <v>554400</v>
      </c>
      <c r="T147" s="464">
        <f t="shared" si="32"/>
        <v>372519.6555480329</v>
      </c>
    </row>
    <row r="148" spans="1:20" ht="16.5" customHeight="1">
      <c r="A148" s="499">
        <f t="shared" si="33"/>
        <v>15</v>
      </c>
      <c r="B148" s="167" t="s">
        <v>655</v>
      </c>
      <c r="C148" s="484">
        <v>42672</v>
      </c>
      <c r="D148" s="485" t="s">
        <v>763</v>
      </c>
      <c r="E148" s="551">
        <v>63</v>
      </c>
      <c r="F148" s="552">
        <v>42</v>
      </c>
      <c r="G148" s="552">
        <v>27</v>
      </c>
      <c r="H148" s="593">
        <f t="shared" si="34"/>
        <v>1.55</v>
      </c>
      <c r="I148" s="140">
        <f t="shared" si="28"/>
        <v>170.5</v>
      </c>
      <c r="J148" s="566">
        <v>110</v>
      </c>
      <c r="K148" s="140">
        <f t="shared" si="29"/>
        <v>11793.412297782903</v>
      </c>
      <c r="L148" s="421">
        <v>17500</v>
      </c>
      <c r="M148" s="421"/>
      <c r="N148" s="284" t="s">
        <v>777</v>
      </c>
      <c r="O148" s="484">
        <v>42657</v>
      </c>
      <c r="P148" s="508">
        <v>16010</v>
      </c>
      <c r="Q148" s="501">
        <v>800</v>
      </c>
      <c r="R148" s="5">
        <f t="shared" si="35"/>
        <v>12808000</v>
      </c>
      <c r="S148" s="464">
        <f t="shared" si="31"/>
        <v>1925000</v>
      </c>
      <c r="T148" s="464">
        <f t="shared" si="32"/>
        <v>1297275.3527561193</v>
      </c>
    </row>
    <row r="149" spans="1:20" ht="16.5" customHeight="1">
      <c r="A149" s="499">
        <f t="shared" si="33"/>
        <v>16</v>
      </c>
      <c r="B149" s="167" t="s">
        <v>669</v>
      </c>
      <c r="C149" s="484">
        <v>42672</v>
      </c>
      <c r="D149" s="485" t="s">
        <v>763</v>
      </c>
      <c r="E149" s="551">
        <v>43</v>
      </c>
      <c r="F149" s="552">
        <v>32</v>
      </c>
      <c r="G149" s="552">
        <v>32</v>
      </c>
      <c r="H149" s="593">
        <f t="shared" si="34"/>
        <v>1.04</v>
      </c>
      <c r="I149" s="140">
        <f t="shared" si="28"/>
        <v>115.44</v>
      </c>
      <c r="J149" s="566">
        <v>111</v>
      </c>
      <c r="K149" s="140">
        <f t="shared" si="29"/>
        <v>7912.9992191575602</v>
      </c>
      <c r="L149" s="421">
        <v>11700</v>
      </c>
      <c r="M149" s="421"/>
      <c r="N149" s="284" t="s">
        <v>777</v>
      </c>
      <c r="O149" s="484">
        <v>42665</v>
      </c>
      <c r="P149" s="508">
        <v>13030</v>
      </c>
      <c r="Q149" s="501">
        <v>800</v>
      </c>
      <c r="R149" s="5">
        <f t="shared" si="35"/>
        <v>10424000</v>
      </c>
      <c r="S149" s="464">
        <f t="shared" si="31"/>
        <v>1298700</v>
      </c>
      <c r="T149" s="464">
        <f t="shared" si="32"/>
        <v>878342.91332648916</v>
      </c>
    </row>
    <row r="150" spans="1:20" ht="16.5" customHeight="1">
      <c r="A150" s="499">
        <f t="shared" si="33"/>
        <v>17</v>
      </c>
      <c r="B150" s="167" t="s">
        <v>670</v>
      </c>
      <c r="C150" s="484">
        <v>42672</v>
      </c>
      <c r="D150" s="485" t="s">
        <v>763</v>
      </c>
      <c r="E150" s="551">
        <v>63</v>
      </c>
      <c r="F150" s="552">
        <v>42</v>
      </c>
      <c r="G150" s="552">
        <v>29</v>
      </c>
      <c r="H150" s="593">
        <f t="shared" si="34"/>
        <v>1.59</v>
      </c>
      <c r="I150" s="140">
        <f t="shared" si="28"/>
        <v>28.62</v>
      </c>
      <c r="J150" s="566">
        <v>18</v>
      </c>
      <c r="K150" s="140">
        <f t="shared" si="29"/>
        <v>12097.758421596654</v>
      </c>
      <c r="L150" s="421">
        <v>18000</v>
      </c>
      <c r="M150" s="421"/>
      <c r="N150" s="284" t="s">
        <v>862</v>
      </c>
      <c r="O150" s="484">
        <v>42678</v>
      </c>
      <c r="P150" s="508">
        <v>430</v>
      </c>
      <c r="Q150" s="501">
        <v>23500</v>
      </c>
      <c r="R150" s="5">
        <f t="shared" si="35"/>
        <v>10105000</v>
      </c>
      <c r="S150" s="464">
        <f t="shared" si="31"/>
        <v>324000</v>
      </c>
      <c r="T150" s="464">
        <f t="shared" si="32"/>
        <v>217759.65158873977</v>
      </c>
    </row>
    <row r="151" spans="1:20" ht="16.5" customHeight="1">
      <c r="A151" s="499">
        <f t="shared" si="33"/>
        <v>18</v>
      </c>
      <c r="B151" s="167" t="s">
        <v>500</v>
      </c>
      <c r="C151" s="484">
        <v>42672</v>
      </c>
      <c r="D151" s="485" t="s">
        <v>763</v>
      </c>
      <c r="E151" s="551">
        <v>47</v>
      </c>
      <c r="F151" s="552">
        <v>42</v>
      </c>
      <c r="G151" s="552">
        <v>25</v>
      </c>
      <c r="H151" s="593">
        <f t="shared" si="34"/>
        <v>1.28</v>
      </c>
      <c r="I151" s="140">
        <f t="shared" si="28"/>
        <v>66.56</v>
      </c>
      <c r="J151" s="566">
        <v>52</v>
      </c>
      <c r="K151" s="140">
        <f t="shared" si="29"/>
        <v>9739.075962040075</v>
      </c>
      <c r="L151" s="421">
        <v>9800</v>
      </c>
      <c r="M151" s="421"/>
      <c r="N151" s="284" t="s">
        <v>864</v>
      </c>
      <c r="O151" s="484">
        <v>42678</v>
      </c>
      <c r="P151" s="508">
        <v>250</v>
      </c>
      <c r="Q151" s="501">
        <v>9000</v>
      </c>
      <c r="R151" s="5">
        <f t="shared" si="35"/>
        <v>2250000</v>
      </c>
      <c r="S151" s="464">
        <f t="shared" si="31"/>
        <v>509600</v>
      </c>
      <c r="T151" s="464">
        <f t="shared" si="32"/>
        <v>506431.95002608391</v>
      </c>
    </row>
    <row r="152" spans="1:20" ht="16.5" customHeight="1">
      <c r="A152" s="499">
        <f t="shared" si="33"/>
        <v>19</v>
      </c>
      <c r="B152" s="167" t="s">
        <v>500</v>
      </c>
      <c r="C152" s="484">
        <v>42672</v>
      </c>
      <c r="D152" s="485" t="s">
        <v>764</v>
      </c>
      <c r="E152" s="551">
        <v>47</v>
      </c>
      <c r="F152" s="552">
        <v>42</v>
      </c>
      <c r="G152" s="552">
        <v>25</v>
      </c>
      <c r="H152" s="593">
        <f t="shared" si="34"/>
        <v>1.28</v>
      </c>
      <c r="I152" s="140">
        <f t="shared" si="28"/>
        <v>263.68</v>
      </c>
      <c r="J152" s="566">
        <v>206</v>
      </c>
      <c r="K152" s="140">
        <f t="shared" si="29"/>
        <v>9739.075962040075</v>
      </c>
      <c r="L152" s="421">
        <v>9800</v>
      </c>
      <c r="M152" s="421"/>
      <c r="N152" s="284" t="s">
        <v>864</v>
      </c>
      <c r="O152" s="484">
        <v>42684</v>
      </c>
      <c r="P152" s="508">
        <v>2000</v>
      </c>
      <c r="Q152" s="501">
        <v>9000</v>
      </c>
      <c r="R152" s="5">
        <f t="shared" si="35"/>
        <v>18000000</v>
      </c>
      <c r="S152" s="464">
        <f t="shared" si="31"/>
        <v>2018800</v>
      </c>
      <c r="T152" s="464">
        <f t="shared" si="32"/>
        <v>2006249.6481802554</v>
      </c>
    </row>
    <row r="153" spans="1:20" ht="16.5" customHeight="1">
      <c r="A153" s="499">
        <f t="shared" si="33"/>
        <v>20</v>
      </c>
      <c r="B153" s="167" t="s">
        <v>671</v>
      </c>
      <c r="C153" s="484">
        <v>42672</v>
      </c>
      <c r="D153" s="485" t="s">
        <v>764</v>
      </c>
      <c r="E153" s="551">
        <v>40</v>
      </c>
      <c r="F153" s="552">
        <v>31</v>
      </c>
      <c r="G153" s="552">
        <v>28</v>
      </c>
      <c r="H153" s="593">
        <f t="shared" si="34"/>
        <v>0.91</v>
      </c>
      <c r="I153" s="140">
        <f t="shared" si="28"/>
        <v>300.3</v>
      </c>
      <c r="J153" s="566">
        <v>330</v>
      </c>
      <c r="K153" s="140">
        <f t="shared" si="29"/>
        <v>6923.8743167628654</v>
      </c>
      <c r="L153" s="421">
        <v>7000</v>
      </c>
      <c r="M153" s="421"/>
      <c r="N153" s="284" t="s">
        <v>777</v>
      </c>
      <c r="O153" s="484">
        <v>42688</v>
      </c>
      <c r="P153" s="508">
        <v>18190</v>
      </c>
      <c r="Q153" s="501">
        <v>800</v>
      </c>
      <c r="R153" s="5">
        <f t="shared" si="35"/>
        <v>14552000</v>
      </c>
      <c r="S153" s="464">
        <f t="shared" si="31"/>
        <v>2310000</v>
      </c>
      <c r="T153" s="464">
        <f t="shared" si="32"/>
        <v>2284878.5245317458</v>
      </c>
    </row>
    <row r="154" spans="1:20" ht="16.5" customHeight="1">
      <c r="A154" s="499">
        <f t="shared" si="33"/>
        <v>21</v>
      </c>
      <c r="B154" s="167" t="s">
        <v>672</v>
      </c>
      <c r="C154" s="484">
        <v>42672</v>
      </c>
      <c r="D154" s="485" t="s">
        <v>764</v>
      </c>
      <c r="E154" s="551">
        <v>43</v>
      </c>
      <c r="F154" s="552">
        <v>39</v>
      </c>
      <c r="G154" s="552">
        <v>25</v>
      </c>
      <c r="H154" s="593">
        <f t="shared" si="34"/>
        <v>1.1299999999999999</v>
      </c>
      <c r="I154" s="140">
        <f t="shared" si="28"/>
        <v>25.99</v>
      </c>
      <c r="J154" s="566">
        <v>23</v>
      </c>
      <c r="K154" s="140">
        <f t="shared" si="29"/>
        <v>8597.7779977385017</v>
      </c>
      <c r="L154" s="421">
        <v>8700</v>
      </c>
      <c r="M154" s="421"/>
      <c r="N154" s="284" t="s">
        <v>777</v>
      </c>
      <c r="O154" s="484">
        <v>42698</v>
      </c>
      <c r="P154" s="508">
        <v>17050</v>
      </c>
      <c r="Q154" s="501">
        <v>800</v>
      </c>
      <c r="R154" s="5">
        <f t="shared" si="35"/>
        <v>13640000</v>
      </c>
      <c r="S154" s="464">
        <f t="shared" si="31"/>
        <v>200100</v>
      </c>
      <c r="T154" s="464">
        <f t="shared" si="32"/>
        <v>197748.89394798555</v>
      </c>
    </row>
    <row r="155" spans="1:20" ht="16.5" customHeight="1">
      <c r="A155" s="499">
        <f t="shared" si="33"/>
        <v>22</v>
      </c>
      <c r="B155" s="167" t="s">
        <v>673</v>
      </c>
      <c r="C155" s="484">
        <v>42672</v>
      </c>
      <c r="D155" s="485" t="s">
        <v>764</v>
      </c>
      <c r="E155" s="551">
        <v>43</v>
      </c>
      <c r="F155" s="552">
        <v>33</v>
      </c>
      <c r="G155" s="552">
        <v>33</v>
      </c>
      <c r="H155" s="593">
        <f t="shared" si="34"/>
        <v>1.08</v>
      </c>
      <c r="I155" s="140">
        <f t="shared" si="28"/>
        <v>59.400000000000006</v>
      </c>
      <c r="J155" s="566">
        <v>55</v>
      </c>
      <c r="K155" s="140">
        <f t="shared" si="29"/>
        <v>8217.3453429713136</v>
      </c>
      <c r="L155" s="421">
        <v>12300</v>
      </c>
      <c r="M155" s="421"/>
      <c r="N155" s="112" t="s">
        <v>444</v>
      </c>
      <c r="O155" s="108">
        <v>42712</v>
      </c>
      <c r="P155" s="139">
        <v>19820</v>
      </c>
      <c r="Q155" s="139">
        <v>800</v>
      </c>
      <c r="R155" s="5">
        <f t="shared" si="35"/>
        <v>15856000</v>
      </c>
      <c r="S155" s="464">
        <f t="shared" si="31"/>
        <v>676500</v>
      </c>
      <c r="T155" s="464">
        <f t="shared" si="32"/>
        <v>451953.99386342225</v>
      </c>
    </row>
    <row r="156" spans="1:20" ht="16.5" customHeight="1">
      <c r="A156" s="499">
        <f t="shared" si="33"/>
        <v>23</v>
      </c>
      <c r="B156" s="167" t="s">
        <v>674</v>
      </c>
      <c r="C156" s="484">
        <v>42672</v>
      </c>
      <c r="D156" s="485" t="s">
        <v>765</v>
      </c>
      <c r="E156" s="551">
        <v>48</v>
      </c>
      <c r="F156" s="552">
        <v>37</v>
      </c>
      <c r="G156" s="552">
        <v>29</v>
      </c>
      <c r="H156" s="593">
        <f t="shared" si="34"/>
        <v>1.21</v>
      </c>
      <c r="I156" s="140">
        <f t="shared" si="28"/>
        <v>254.1</v>
      </c>
      <c r="J156" s="566">
        <v>210</v>
      </c>
      <c r="K156" s="140">
        <f t="shared" si="29"/>
        <v>9206.4702453660066</v>
      </c>
      <c r="L156" s="421">
        <v>9200</v>
      </c>
      <c r="M156" s="421"/>
      <c r="N156" s="112" t="s">
        <v>444</v>
      </c>
      <c r="O156" s="108">
        <v>42723</v>
      </c>
      <c r="P156" s="139">
        <v>6950</v>
      </c>
      <c r="Q156" s="139">
        <v>800</v>
      </c>
      <c r="R156" s="5">
        <f t="shared" si="35"/>
        <v>5560000</v>
      </c>
      <c r="S156" s="464">
        <f t="shared" si="31"/>
        <v>1932000</v>
      </c>
      <c r="T156" s="464">
        <f t="shared" si="32"/>
        <v>1933358.7515268615</v>
      </c>
    </row>
    <row r="157" spans="1:20" ht="16.5" customHeight="1">
      <c r="A157" s="499">
        <f t="shared" si="33"/>
        <v>24</v>
      </c>
      <c r="B157" s="167" t="s">
        <v>675</v>
      </c>
      <c r="C157" s="484">
        <v>42672</v>
      </c>
      <c r="D157" s="485" t="s">
        <v>765</v>
      </c>
      <c r="E157" s="551">
        <v>52</v>
      </c>
      <c r="F157" s="552">
        <v>52</v>
      </c>
      <c r="G157" s="552">
        <v>27</v>
      </c>
      <c r="H157" s="593">
        <f t="shared" si="34"/>
        <v>1.75</v>
      </c>
      <c r="I157" s="140">
        <f t="shared" si="28"/>
        <v>280</v>
      </c>
      <c r="J157" s="566">
        <v>160</v>
      </c>
      <c r="K157" s="140">
        <f t="shared" si="29"/>
        <v>13315.142916851664</v>
      </c>
      <c r="L157" s="421">
        <v>19700</v>
      </c>
      <c r="M157" s="421"/>
      <c r="N157" s="112" t="s">
        <v>862</v>
      </c>
      <c r="O157" s="113">
        <v>42730</v>
      </c>
      <c r="P157" s="139">
        <v>400</v>
      </c>
      <c r="Q157" s="139">
        <v>23500</v>
      </c>
      <c r="R157" s="5">
        <f t="shared" si="35"/>
        <v>9400000</v>
      </c>
      <c r="S157" s="464">
        <f t="shared" si="31"/>
        <v>3152000</v>
      </c>
      <c r="T157" s="464">
        <f t="shared" si="32"/>
        <v>2130422.8666962665</v>
      </c>
    </row>
    <row r="158" spans="1:20" ht="16.5" customHeight="1">
      <c r="A158" s="499">
        <f t="shared" si="33"/>
        <v>25</v>
      </c>
      <c r="B158" s="167" t="s">
        <v>500</v>
      </c>
      <c r="C158" s="484">
        <v>42672</v>
      </c>
      <c r="D158" s="485" t="s">
        <v>765</v>
      </c>
      <c r="E158" s="551">
        <v>47</v>
      </c>
      <c r="F158" s="552">
        <v>42</v>
      </c>
      <c r="G158" s="552">
        <v>25</v>
      </c>
      <c r="H158" s="593">
        <f t="shared" si="34"/>
        <v>1.28</v>
      </c>
      <c r="I158" s="140">
        <f t="shared" si="28"/>
        <v>204.8</v>
      </c>
      <c r="J158" s="566">
        <v>160</v>
      </c>
      <c r="K158" s="140">
        <f t="shared" si="29"/>
        <v>9739.075962040075</v>
      </c>
      <c r="L158" s="421">
        <v>9800</v>
      </c>
      <c r="M158" s="421"/>
      <c r="N158" s="284"/>
      <c r="O158" s="484"/>
      <c r="P158" s="508"/>
      <c r="Q158" s="501"/>
      <c r="R158" s="5"/>
      <c r="S158" s="464">
        <f t="shared" si="31"/>
        <v>1568000</v>
      </c>
      <c r="T158" s="464">
        <f t="shared" si="32"/>
        <v>1558252.1539264121</v>
      </c>
    </row>
    <row r="159" spans="1:20" ht="16.5" customHeight="1">
      <c r="A159" s="499">
        <f t="shared" si="33"/>
        <v>26</v>
      </c>
      <c r="B159" s="167" t="s">
        <v>676</v>
      </c>
      <c r="C159" s="484">
        <v>42672</v>
      </c>
      <c r="D159" s="485" t="s">
        <v>765</v>
      </c>
      <c r="E159" s="551">
        <v>46</v>
      </c>
      <c r="F159" s="552">
        <v>36</v>
      </c>
      <c r="G159" s="552">
        <v>25</v>
      </c>
      <c r="H159" s="593">
        <f t="shared" si="34"/>
        <v>1.08</v>
      </c>
      <c r="I159" s="140">
        <f t="shared" si="28"/>
        <v>172.8</v>
      </c>
      <c r="J159" s="566">
        <v>160</v>
      </c>
      <c r="K159" s="140">
        <f t="shared" si="29"/>
        <v>8217.3453429713136</v>
      </c>
      <c r="L159" s="421">
        <v>8200</v>
      </c>
      <c r="M159" s="421"/>
      <c r="N159" s="539" t="s">
        <v>380</v>
      </c>
      <c r="O159" s="540"/>
      <c r="P159" s="541"/>
      <c r="Q159" s="353"/>
      <c r="R159" s="353">
        <f>SUM(R147:R158)</f>
        <v>122712500</v>
      </c>
      <c r="S159" s="464">
        <f t="shared" si="31"/>
        <v>1312000</v>
      </c>
      <c r="T159" s="464">
        <f t="shared" si="32"/>
        <v>1314775.2548754101</v>
      </c>
    </row>
    <row r="160" spans="1:20" ht="16.5" customHeight="1">
      <c r="A160" s="499">
        <f t="shared" si="33"/>
        <v>27</v>
      </c>
      <c r="B160" s="167" t="s">
        <v>677</v>
      </c>
      <c r="C160" s="484">
        <v>42672</v>
      </c>
      <c r="D160" s="485" t="s">
        <v>765</v>
      </c>
      <c r="E160" s="551">
        <v>45</v>
      </c>
      <c r="F160" s="552">
        <v>42</v>
      </c>
      <c r="G160" s="552">
        <v>25</v>
      </c>
      <c r="H160" s="593">
        <f t="shared" si="34"/>
        <v>1.25</v>
      </c>
      <c r="I160" s="140">
        <f t="shared" si="28"/>
        <v>128.75</v>
      </c>
      <c r="J160" s="566">
        <v>103</v>
      </c>
      <c r="K160" s="140">
        <f t="shared" si="29"/>
        <v>9510.8163691797599</v>
      </c>
      <c r="L160" s="421">
        <v>9500</v>
      </c>
      <c r="M160" s="421"/>
      <c r="N160" s="284" t="s">
        <v>381</v>
      </c>
      <c r="O160" s="484"/>
      <c r="P160" s="508"/>
      <c r="Q160" s="501"/>
      <c r="R160" s="5">
        <f>R146</f>
        <v>748716100</v>
      </c>
      <c r="S160" s="464">
        <f t="shared" si="31"/>
        <v>978500</v>
      </c>
      <c r="T160" s="464">
        <f t="shared" si="32"/>
        <v>979614.08602551522</v>
      </c>
    </row>
    <row r="161" spans="1:20" ht="16.5" customHeight="1">
      <c r="A161" s="499">
        <f t="shared" si="33"/>
        <v>28</v>
      </c>
      <c r="B161" s="167" t="s">
        <v>678</v>
      </c>
      <c r="C161" s="484">
        <v>42672</v>
      </c>
      <c r="D161" s="485" t="s">
        <v>765</v>
      </c>
      <c r="E161" s="551">
        <v>48</v>
      </c>
      <c r="F161" s="552">
        <v>42</v>
      </c>
      <c r="G161" s="552">
        <v>29</v>
      </c>
      <c r="H161" s="593">
        <f t="shared" si="34"/>
        <v>1.37</v>
      </c>
      <c r="I161" s="140">
        <f t="shared" si="28"/>
        <v>9.59</v>
      </c>
      <c r="J161" s="566">
        <v>7</v>
      </c>
      <c r="K161" s="140">
        <f t="shared" si="29"/>
        <v>10423.854740621018</v>
      </c>
      <c r="L161" s="421">
        <v>15400</v>
      </c>
      <c r="M161" s="421"/>
      <c r="N161" s="284" t="s">
        <v>382</v>
      </c>
      <c r="O161" s="484"/>
      <c r="P161" s="508"/>
      <c r="Q161" s="501"/>
      <c r="R161" s="5">
        <f>R159</f>
        <v>122712500</v>
      </c>
      <c r="S161" s="464">
        <f t="shared" si="31"/>
        <v>107800</v>
      </c>
      <c r="T161" s="464">
        <f t="shared" si="32"/>
        <v>72966.983184347133</v>
      </c>
    </row>
    <row r="162" spans="1:20" ht="16.5" customHeight="1">
      <c r="A162" s="499">
        <f t="shared" si="33"/>
        <v>29</v>
      </c>
      <c r="B162" s="167" t="s">
        <v>679</v>
      </c>
      <c r="C162" s="484">
        <v>42672</v>
      </c>
      <c r="D162" s="485" t="s">
        <v>765</v>
      </c>
      <c r="E162" s="551">
        <v>38</v>
      </c>
      <c r="F162" s="552">
        <v>38</v>
      </c>
      <c r="G162" s="552">
        <v>26</v>
      </c>
      <c r="H162" s="593">
        <f t="shared" si="34"/>
        <v>1.05</v>
      </c>
      <c r="I162" s="140">
        <f t="shared" si="28"/>
        <v>110.25</v>
      </c>
      <c r="J162" s="566">
        <v>105</v>
      </c>
      <c r="K162" s="140">
        <f t="shared" si="29"/>
        <v>7989.0857501109986</v>
      </c>
      <c r="L162" s="421">
        <v>8100</v>
      </c>
      <c r="M162" s="421"/>
      <c r="N162" s="284" t="s">
        <v>384</v>
      </c>
      <c r="O162" s="484"/>
      <c r="P162" s="508"/>
      <c r="Q162" s="501"/>
      <c r="R162" s="5">
        <v>5800000</v>
      </c>
      <c r="S162" s="464">
        <f t="shared" si="31"/>
        <v>850500</v>
      </c>
      <c r="T162" s="464">
        <f t="shared" si="32"/>
        <v>838854.00376165484</v>
      </c>
    </row>
    <row r="163" spans="1:20" ht="16.5" customHeight="1">
      <c r="A163" s="499">
        <f t="shared" si="33"/>
        <v>30</v>
      </c>
      <c r="B163" s="167" t="s">
        <v>680</v>
      </c>
      <c r="C163" s="484">
        <v>42672</v>
      </c>
      <c r="D163" s="485" t="s">
        <v>765</v>
      </c>
      <c r="E163" s="551">
        <v>39</v>
      </c>
      <c r="F163" s="552">
        <v>39</v>
      </c>
      <c r="G163" s="552">
        <v>28</v>
      </c>
      <c r="H163" s="593">
        <f t="shared" si="34"/>
        <v>1.1299999999999999</v>
      </c>
      <c r="I163" s="140">
        <f t="shared" si="28"/>
        <v>124.29999999999998</v>
      </c>
      <c r="J163" s="566">
        <v>110</v>
      </c>
      <c r="K163" s="140">
        <f t="shared" si="29"/>
        <v>8597.7779977385017</v>
      </c>
      <c r="L163" s="421">
        <v>6500</v>
      </c>
      <c r="M163" s="421"/>
      <c r="N163" s="284" t="s">
        <v>383</v>
      </c>
      <c r="O163" s="484"/>
      <c r="P163" s="508"/>
      <c r="Q163" s="501"/>
      <c r="R163" s="5">
        <v>13250000</v>
      </c>
      <c r="S163" s="464">
        <f t="shared" si="31"/>
        <v>715000</v>
      </c>
      <c r="T163" s="464">
        <f t="shared" si="32"/>
        <v>945755.5797512352</v>
      </c>
    </row>
    <row r="164" spans="1:20" ht="16.5" customHeight="1">
      <c r="A164" s="499">
        <f t="shared" si="33"/>
        <v>31</v>
      </c>
      <c r="B164" s="167" t="s">
        <v>502</v>
      </c>
      <c r="C164" s="484">
        <v>42682</v>
      </c>
      <c r="D164" s="485" t="s">
        <v>766</v>
      </c>
      <c r="E164" s="551">
        <v>45</v>
      </c>
      <c r="F164" s="552">
        <v>37</v>
      </c>
      <c r="G164" s="552">
        <v>27.5</v>
      </c>
      <c r="H164" s="593">
        <f t="shared" si="34"/>
        <v>1.1399999999999999</v>
      </c>
      <c r="I164" s="140">
        <f t="shared" si="28"/>
        <v>341.99999999999994</v>
      </c>
      <c r="J164" s="566">
        <v>300</v>
      </c>
      <c r="K164" s="140">
        <f t="shared" si="29"/>
        <v>8673.86452869194</v>
      </c>
      <c r="L164" s="421">
        <v>13800</v>
      </c>
      <c r="M164" s="421"/>
      <c r="N164" s="284" t="s">
        <v>396</v>
      </c>
      <c r="O164" s="484"/>
      <c r="P164" s="508"/>
      <c r="Q164" s="501"/>
      <c r="R164" s="5">
        <v>41940000</v>
      </c>
      <c r="S164" s="464">
        <f t="shared" si="31"/>
        <v>4140000</v>
      </c>
      <c r="T164" s="464">
        <f t="shared" si="32"/>
        <v>2602159.3586075818</v>
      </c>
    </row>
    <row r="165" spans="1:20" ht="16.5" customHeight="1">
      <c r="A165" s="499">
        <f t="shared" si="33"/>
        <v>32</v>
      </c>
      <c r="B165" s="167" t="s">
        <v>502</v>
      </c>
      <c r="C165" s="484">
        <v>42682</v>
      </c>
      <c r="D165" s="485" t="s">
        <v>766</v>
      </c>
      <c r="E165" s="551">
        <v>45</v>
      </c>
      <c r="F165" s="552">
        <v>37</v>
      </c>
      <c r="G165" s="552">
        <v>27.5</v>
      </c>
      <c r="H165" s="593">
        <f t="shared" si="34"/>
        <v>1.1399999999999999</v>
      </c>
      <c r="I165" s="140">
        <f t="shared" si="28"/>
        <v>2280</v>
      </c>
      <c r="J165" s="566">
        <v>2000</v>
      </c>
      <c r="K165" s="140">
        <f t="shared" si="29"/>
        <v>8673.86452869194</v>
      </c>
      <c r="L165" s="421">
        <v>13800</v>
      </c>
      <c r="M165" s="421"/>
      <c r="N165" s="114"/>
      <c r="O165" s="484"/>
      <c r="P165" s="508"/>
      <c r="Q165" s="501"/>
      <c r="R165" s="5"/>
      <c r="S165" s="464">
        <f t="shared" si="31"/>
        <v>27600000</v>
      </c>
      <c r="T165" s="464">
        <f t="shared" si="32"/>
        <v>17347729.05738388</v>
      </c>
    </row>
    <row r="166" spans="1:20" ht="16.5" customHeight="1">
      <c r="A166" s="499">
        <f t="shared" si="33"/>
        <v>33</v>
      </c>
      <c r="B166" s="167" t="s">
        <v>681</v>
      </c>
      <c r="C166" s="484">
        <v>42682</v>
      </c>
      <c r="D166" s="485" t="s">
        <v>766</v>
      </c>
      <c r="E166" s="551">
        <v>44</v>
      </c>
      <c r="F166" s="510">
        <v>20</v>
      </c>
      <c r="G166" s="510"/>
      <c r="H166" s="593">
        <f t="shared" si="34"/>
        <v>0.09</v>
      </c>
      <c r="I166" s="140">
        <f t="shared" ref="I166:I197" si="36">H166*J166</f>
        <v>414</v>
      </c>
      <c r="J166" s="566">
        <v>4600</v>
      </c>
      <c r="K166" s="140">
        <f t="shared" ref="K166:K197" si="37">H166*$R$170</f>
        <v>684.77877858094269</v>
      </c>
      <c r="L166" s="421">
        <v>1300</v>
      </c>
      <c r="M166" s="421"/>
      <c r="N166" s="284"/>
      <c r="O166" s="484"/>
      <c r="P166" s="508"/>
      <c r="Q166" s="501"/>
      <c r="R166" s="5"/>
      <c r="S166" s="464">
        <f t="shared" ref="S166:S197" si="38">J166*L166</f>
        <v>5980000</v>
      </c>
      <c r="T166" s="464">
        <f t="shared" ref="T166:T197" si="39">J166*K166</f>
        <v>3149982.3814723361</v>
      </c>
    </row>
    <row r="167" spans="1:20" ht="16.5" customHeight="1">
      <c r="A167" s="499">
        <f t="shared" si="33"/>
        <v>34</v>
      </c>
      <c r="B167" s="167" t="s">
        <v>682</v>
      </c>
      <c r="C167" s="484">
        <v>42682</v>
      </c>
      <c r="D167" s="485" t="s">
        <v>767</v>
      </c>
      <c r="E167" s="551">
        <v>60</v>
      </c>
      <c r="F167" s="552">
        <v>35</v>
      </c>
      <c r="G167" s="552">
        <v>30</v>
      </c>
      <c r="H167" s="593">
        <f t="shared" si="34"/>
        <v>1.33</v>
      </c>
      <c r="I167" s="140">
        <f t="shared" si="36"/>
        <v>8019.9000000000005</v>
      </c>
      <c r="J167" s="566">
        <v>6030</v>
      </c>
      <c r="K167" s="140">
        <f t="shared" si="37"/>
        <v>10119.508616807265</v>
      </c>
      <c r="L167" s="421">
        <v>13800</v>
      </c>
      <c r="M167" s="421"/>
      <c r="N167" s="539" t="s">
        <v>393</v>
      </c>
      <c r="O167" s="540"/>
      <c r="P167" s="541"/>
      <c r="Q167" s="353"/>
      <c r="R167" s="353">
        <f>SUM(R160:R166)</f>
        <v>932418600</v>
      </c>
      <c r="S167" s="464">
        <f t="shared" si="38"/>
        <v>83214000</v>
      </c>
      <c r="T167" s="464">
        <f t="shared" si="39"/>
        <v>61020636.959347807</v>
      </c>
    </row>
    <row r="168" spans="1:20" ht="16.5" customHeight="1">
      <c r="A168" s="499">
        <f t="shared" si="33"/>
        <v>35</v>
      </c>
      <c r="B168" s="167" t="s">
        <v>692</v>
      </c>
      <c r="C168" s="484">
        <v>42683</v>
      </c>
      <c r="D168" s="485" t="s">
        <v>768</v>
      </c>
      <c r="E168" s="551">
        <v>52</v>
      </c>
      <c r="F168" s="552">
        <v>25</v>
      </c>
      <c r="G168" s="552">
        <v>25</v>
      </c>
      <c r="H168" s="593">
        <f t="shared" si="34"/>
        <v>0.84</v>
      </c>
      <c r="I168" s="140">
        <f t="shared" si="36"/>
        <v>267.12</v>
      </c>
      <c r="J168" s="566">
        <v>318</v>
      </c>
      <c r="K168" s="140">
        <f t="shared" si="37"/>
        <v>6391.2686000887979</v>
      </c>
      <c r="L168" s="421">
        <v>5800</v>
      </c>
      <c r="M168" s="421"/>
      <c r="N168" s="285"/>
      <c r="O168" s="492"/>
      <c r="P168" s="509"/>
      <c r="Q168" s="482"/>
      <c r="R168" s="494"/>
      <c r="S168" s="464">
        <f t="shared" si="38"/>
        <v>1844400</v>
      </c>
      <c r="T168" s="464">
        <f t="shared" si="39"/>
        <v>2032423.4148282378</v>
      </c>
    </row>
    <row r="169" spans="1:20" ht="16.5" customHeight="1">
      <c r="A169" s="499">
        <f t="shared" si="33"/>
        <v>36</v>
      </c>
      <c r="B169" s="167" t="s">
        <v>540</v>
      </c>
      <c r="C169" s="484">
        <v>42683</v>
      </c>
      <c r="D169" s="485" t="s">
        <v>768</v>
      </c>
      <c r="E169" s="551">
        <v>52</v>
      </c>
      <c r="F169" s="552">
        <v>28</v>
      </c>
      <c r="G169" s="552">
        <v>28</v>
      </c>
      <c r="H169" s="593">
        <f t="shared" si="34"/>
        <v>0.97</v>
      </c>
      <c r="I169" s="140">
        <f t="shared" si="36"/>
        <v>504.4</v>
      </c>
      <c r="J169" s="566">
        <v>520</v>
      </c>
      <c r="K169" s="140">
        <f t="shared" si="37"/>
        <v>7380.3935024834936</v>
      </c>
      <c r="L169" s="421">
        <v>6400</v>
      </c>
      <c r="M169" s="421"/>
      <c r="N169" s="285"/>
      <c r="O169" s="492"/>
      <c r="P169" s="509"/>
      <c r="Q169" s="482"/>
      <c r="R169" s="494"/>
      <c r="S169" s="464">
        <f t="shared" si="38"/>
        <v>3328000</v>
      </c>
      <c r="T169" s="464">
        <f t="shared" si="39"/>
        <v>3837804.6212914167</v>
      </c>
    </row>
    <row r="170" spans="1:20" ht="16.5" customHeight="1">
      <c r="A170" s="499">
        <f t="shared" si="33"/>
        <v>37</v>
      </c>
      <c r="B170" s="167" t="s">
        <v>813</v>
      </c>
      <c r="C170" s="484">
        <v>42683</v>
      </c>
      <c r="D170" s="485" t="s">
        <v>811</v>
      </c>
      <c r="E170" s="551">
        <v>50</v>
      </c>
      <c r="F170" s="552">
        <v>29.5</v>
      </c>
      <c r="G170" s="552">
        <v>19</v>
      </c>
      <c r="H170" s="593">
        <f t="shared" si="34"/>
        <v>0.84</v>
      </c>
      <c r="I170" s="140">
        <f t="shared" si="36"/>
        <v>3360</v>
      </c>
      <c r="J170" s="566">
        <v>4000</v>
      </c>
      <c r="K170" s="140">
        <f t="shared" si="37"/>
        <v>6391.2686000887979</v>
      </c>
      <c r="L170" s="421">
        <v>4500</v>
      </c>
      <c r="M170" s="421"/>
      <c r="N170" s="959" t="s">
        <v>394</v>
      </c>
      <c r="O170" s="960"/>
      <c r="P170" s="960"/>
      <c r="Q170" s="961"/>
      <c r="R170" s="544">
        <f>R167/I273</f>
        <v>7608.6530953438078</v>
      </c>
      <c r="S170" s="464">
        <f t="shared" si="38"/>
        <v>18000000</v>
      </c>
      <c r="T170" s="464">
        <f t="shared" si="39"/>
        <v>25565074.40035519</v>
      </c>
    </row>
    <row r="171" spans="1:20" ht="16.5" customHeight="1">
      <c r="A171" s="499">
        <f t="shared" si="33"/>
        <v>38</v>
      </c>
      <c r="B171" s="167" t="s">
        <v>813</v>
      </c>
      <c r="C171" s="484">
        <v>42684</v>
      </c>
      <c r="D171" s="485" t="s">
        <v>812</v>
      </c>
      <c r="E171" s="551">
        <v>50</v>
      </c>
      <c r="F171" s="552">
        <v>29.5</v>
      </c>
      <c r="G171" s="552">
        <v>19</v>
      </c>
      <c r="H171" s="593">
        <f t="shared" si="34"/>
        <v>0.84</v>
      </c>
      <c r="I171" s="140">
        <f t="shared" si="36"/>
        <v>3360</v>
      </c>
      <c r="J171" s="566">
        <v>4000</v>
      </c>
      <c r="K171" s="140">
        <f t="shared" si="37"/>
        <v>6391.2686000887979</v>
      </c>
      <c r="L171" s="421">
        <v>4500</v>
      </c>
      <c r="M171" s="421"/>
      <c r="O171" s="464"/>
      <c r="P171" s="464"/>
      <c r="Q171" s="464"/>
      <c r="S171" s="464">
        <f t="shared" si="38"/>
        <v>18000000</v>
      </c>
      <c r="T171" s="464">
        <f t="shared" si="39"/>
        <v>25565074.40035519</v>
      </c>
    </row>
    <row r="172" spans="1:20" ht="16.5" customHeight="1">
      <c r="A172" s="499">
        <f t="shared" si="33"/>
        <v>39</v>
      </c>
      <c r="B172" s="167" t="s">
        <v>685</v>
      </c>
      <c r="C172" s="484">
        <v>42693</v>
      </c>
      <c r="D172" s="485" t="s">
        <v>769</v>
      </c>
      <c r="E172" s="551">
        <v>47</v>
      </c>
      <c r="F172" s="552">
        <v>47</v>
      </c>
      <c r="G172" s="552">
        <v>52</v>
      </c>
      <c r="H172" s="593">
        <f t="shared" si="34"/>
        <v>1.97</v>
      </c>
      <c r="I172" s="140">
        <f t="shared" si="36"/>
        <v>45.31</v>
      </c>
      <c r="J172" s="566">
        <v>23</v>
      </c>
      <c r="K172" s="140">
        <f t="shared" si="37"/>
        <v>14989.046597827301</v>
      </c>
      <c r="L172" s="421">
        <v>16070</v>
      </c>
      <c r="M172" s="421"/>
      <c r="O172" s="464"/>
      <c r="P172" s="464"/>
      <c r="Q172" s="464"/>
      <c r="S172" s="464">
        <f t="shared" si="38"/>
        <v>369610</v>
      </c>
      <c r="T172" s="464">
        <f t="shared" si="39"/>
        <v>344748.07175002788</v>
      </c>
    </row>
    <row r="173" spans="1:20" ht="16.5" customHeight="1">
      <c r="A173" s="499">
        <f t="shared" si="33"/>
        <v>40</v>
      </c>
      <c r="B173" s="167" t="s">
        <v>498</v>
      </c>
      <c r="C173" s="484">
        <v>42693</v>
      </c>
      <c r="D173" s="485" t="s">
        <v>769</v>
      </c>
      <c r="E173" s="551">
        <v>103</v>
      </c>
      <c r="F173" s="552">
        <v>54</v>
      </c>
      <c r="G173" s="552">
        <v>180</v>
      </c>
      <c r="H173" s="593">
        <f t="shared" si="34"/>
        <v>7.56</v>
      </c>
      <c r="I173" s="140">
        <f t="shared" si="36"/>
        <v>476.28</v>
      </c>
      <c r="J173" s="566">
        <v>63</v>
      </c>
      <c r="K173" s="140">
        <f t="shared" si="37"/>
        <v>57521.417400799182</v>
      </c>
      <c r="L173" s="421">
        <v>75276</v>
      </c>
      <c r="M173" s="421"/>
      <c r="O173" s="464"/>
      <c r="P173" s="464"/>
      <c r="Q173" s="464"/>
      <c r="S173" s="464">
        <f t="shared" si="38"/>
        <v>4742388</v>
      </c>
      <c r="T173" s="464">
        <f t="shared" si="39"/>
        <v>3623849.2962503484</v>
      </c>
    </row>
    <row r="174" spans="1:20" ht="16.5" customHeight="1">
      <c r="A174" s="499">
        <f t="shared" si="33"/>
        <v>41</v>
      </c>
      <c r="B174" s="167" t="s">
        <v>686</v>
      </c>
      <c r="C174" s="484">
        <v>42693</v>
      </c>
      <c r="D174" s="485" t="s">
        <v>769</v>
      </c>
      <c r="E174" s="551">
        <v>58</v>
      </c>
      <c r="F174" s="552">
        <v>57</v>
      </c>
      <c r="G174" s="552">
        <v>95</v>
      </c>
      <c r="H174" s="593">
        <f t="shared" si="34"/>
        <v>3.64</v>
      </c>
      <c r="I174" s="140">
        <f t="shared" si="36"/>
        <v>98.28</v>
      </c>
      <c r="J174" s="566">
        <v>27</v>
      </c>
      <c r="K174" s="140">
        <f t="shared" si="37"/>
        <v>27695.497267051462</v>
      </c>
      <c r="L174" s="421">
        <v>29954</v>
      </c>
      <c r="M174" s="421"/>
      <c r="O174" s="464"/>
      <c r="P174" s="464"/>
      <c r="Q174" s="464"/>
      <c r="S174" s="464">
        <f t="shared" si="38"/>
        <v>808758</v>
      </c>
      <c r="T174" s="464">
        <f t="shared" si="39"/>
        <v>747778.42621038947</v>
      </c>
    </row>
    <row r="175" spans="1:20" ht="16.5" customHeight="1">
      <c r="A175" s="499">
        <f t="shared" si="33"/>
        <v>42</v>
      </c>
      <c r="B175" s="167" t="s">
        <v>687</v>
      </c>
      <c r="C175" s="484">
        <v>42693</v>
      </c>
      <c r="D175" s="485" t="s">
        <v>769</v>
      </c>
      <c r="E175" s="551">
        <v>58</v>
      </c>
      <c r="F175" s="552">
        <v>57</v>
      </c>
      <c r="G175" s="552">
        <v>81</v>
      </c>
      <c r="H175" s="593">
        <f t="shared" si="34"/>
        <v>3.31</v>
      </c>
      <c r="I175" s="140">
        <f t="shared" si="36"/>
        <v>89.37</v>
      </c>
      <c r="J175" s="566">
        <v>27</v>
      </c>
      <c r="K175" s="140">
        <f t="shared" si="37"/>
        <v>25184.641745588004</v>
      </c>
      <c r="L175" s="421">
        <v>27926</v>
      </c>
      <c r="M175" s="421"/>
      <c r="O175" s="464"/>
      <c r="P175" s="464"/>
      <c r="Q175" s="464"/>
      <c r="S175" s="464">
        <f t="shared" si="38"/>
        <v>754002</v>
      </c>
      <c r="T175" s="464">
        <f t="shared" si="39"/>
        <v>679985.32713087613</v>
      </c>
    </row>
    <row r="176" spans="1:20" ht="16.5" customHeight="1">
      <c r="A176" s="499">
        <f t="shared" si="33"/>
        <v>43</v>
      </c>
      <c r="B176" s="167" t="s">
        <v>688</v>
      </c>
      <c r="C176" s="484">
        <v>42693</v>
      </c>
      <c r="D176" s="485" t="s">
        <v>769</v>
      </c>
      <c r="E176" s="551">
        <v>67</v>
      </c>
      <c r="F176" s="552">
        <v>62</v>
      </c>
      <c r="G176" s="552">
        <v>114</v>
      </c>
      <c r="H176" s="593">
        <f t="shared" si="34"/>
        <v>4.71</v>
      </c>
      <c r="I176" s="140">
        <f t="shared" si="36"/>
        <v>122.46</v>
      </c>
      <c r="J176" s="566">
        <v>26</v>
      </c>
      <c r="K176" s="140">
        <f t="shared" si="37"/>
        <v>35836.756079069331</v>
      </c>
      <c r="L176" s="421">
        <v>42230</v>
      </c>
      <c r="M176" s="421"/>
      <c r="O176" s="464"/>
      <c r="P176" s="464"/>
      <c r="Q176" s="464"/>
      <c r="S176" s="464">
        <f t="shared" si="38"/>
        <v>1097980</v>
      </c>
      <c r="T176" s="464">
        <f t="shared" si="39"/>
        <v>931755.65805580257</v>
      </c>
    </row>
    <row r="177" spans="1:20" ht="16.5" customHeight="1">
      <c r="A177" s="499">
        <f t="shared" si="33"/>
        <v>44</v>
      </c>
      <c r="B177" s="167" t="s">
        <v>689</v>
      </c>
      <c r="C177" s="484">
        <v>42693</v>
      </c>
      <c r="D177" s="485" t="s">
        <v>769</v>
      </c>
      <c r="E177" s="551">
        <v>58</v>
      </c>
      <c r="F177" s="552">
        <v>57</v>
      </c>
      <c r="G177" s="552">
        <v>62</v>
      </c>
      <c r="H177" s="593">
        <f t="shared" si="34"/>
        <v>2.87</v>
      </c>
      <c r="I177" s="140">
        <f t="shared" si="36"/>
        <v>60.27</v>
      </c>
      <c r="J177" s="566">
        <v>21</v>
      </c>
      <c r="K177" s="140">
        <f t="shared" si="37"/>
        <v>21836.834383636728</v>
      </c>
      <c r="L177" s="421">
        <v>21839</v>
      </c>
      <c r="M177" s="421"/>
      <c r="O177" s="464"/>
      <c r="P177" s="464"/>
      <c r="Q177" s="464"/>
      <c r="S177" s="464">
        <f t="shared" si="38"/>
        <v>458619</v>
      </c>
      <c r="T177" s="464">
        <f t="shared" si="39"/>
        <v>458573.52205637126</v>
      </c>
    </row>
    <row r="178" spans="1:20" ht="16.5" customHeight="1">
      <c r="A178" s="499">
        <f t="shared" si="33"/>
        <v>45</v>
      </c>
      <c r="B178" s="167" t="s">
        <v>959</v>
      </c>
      <c r="C178" s="484">
        <v>42694</v>
      </c>
      <c r="D178" s="485" t="s">
        <v>438</v>
      </c>
      <c r="E178" s="551">
        <v>82</v>
      </c>
      <c r="F178" s="552">
        <v>37.5</v>
      </c>
      <c r="G178" s="552">
        <v>11.2</v>
      </c>
      <c r="H178" s="593">
        <f t="shared" si="34"/>
        <v>1.26</v>
      </c>
      <c r="I178" s="140">
        <f t="shared" si="36"/>
        <v>1965.6</v>
      </c>
      <c r="J178" s="566">
        <v>1560</v>
      </c>
      <c r="K178" s="140">
        <f t="shared" si="37"/>
        <v>9586.9029001331983</v>
      </c>
      <c r="L178" s="421">
        <v>8813</v>
      </c>
      <c r="M178" s="421"/>
      <c r="O178" s="464"/>
      <c r="P178" s="464"/>
      <c r="Q178" s="464"/>
      <c r="S178" s="464">
        <f t="shared" si="38"/>
        <v>13748280</v>
      </c>
      <c r="T178" s="464">
        <f t="shared" si="39"/>
        <v>14955568.524207789</v>
      </c>
    </row>
    <row r="179" spans="1:20" ht="16.5" customHeight="1">
      <c r="A179" s="499">
        <f t="shared" si="33"/>
        <v>46</v>
      </c>
      <c r="B179" s="167" t="s">
        <v>813</v>
      </c>
      <c r="C179" s="484">
        <v>42693</v>
      </c>
      <c r="D179" s="485" t="s">
        <v>815</v>
      </c>
      <c r="E179" s="551">
        <v>50</v>
      </c>
      <c r="F179" s="552">
        <v>29.5</v>
      </c>
      <c r="G179" s="552">
        <v>19</v>
      </c>
      <c r="H179" s="593">
        <f t="shared" si="34"/>
        <v>0.84</v>
      </c>
      <c r="I179" s="140">
        <f t="shared" si="36"/>
        <v>3360</v>
      </c>
      <c r="J179" s="566">
        <v>4000</v>
      </c>
      <c r="K179" s="140">
        <f t="shared" si="37"/>
        <v>6391.2686000887979</v>
      </c>
      <c r="L179" s="421">
        <v>4500</v>
      </c>
      <c r="M179" s="421"/>
      <c r="O179" s="464"/>
      <c r="P179" s="464"/>
      <c r="Q179" s="464"/>
      <c r="S179" s="464">
        <f t="shared" si="38"/>
        <v>18000000</v>
      </c>
      <c r="T179" s="464">
        <f t="shared" si="39"/>
        <v>25565074.40035519</v>
      </c>
    </row>
    <row r="180" spans="1:20" ht="16.5" customHeight="1">
      <c r="A180" s="499">
        <f t="shared" si="33"/>
        <v>47</v>
      </c>
      <c r="B180" s="167" t="s">
        <v>684</v>
      </c>
      <c r="C180" s="484">
        <v>42696</v>
      </c>
      <c r="D180" s="485" t="s">
        <v>770</v>
      </c>
      <c r="E180" s="551">
        <v>51.5</v>
      </c>
      <c r="F180" s="552">
        <v>39.5</v>
      </c>
      <c r="G180" s="552">
        <v>38.5</v>
      </c>
      <c r="H180" s="593">
        <f t="shared" si="34"/>
        <v>1.51</v>
      </c>
      <c r="I180" s="140">
        <f t="shared" si="36"/>
        <v>918.08</v>
      </c>
      <c r="J180" s="566">
        <v>608</v>
      </c>
      <c r="K180" s="140">
        <f t="shared" si="37"/>
        <v>11489.06617396915</v>
      </c>
      <c r="L180" s="421">
        <v>20750</v>
      </c>
      <c r="M180" s="421"/>
      <c r="O180" s="464"/>
      <c r="P180" s="464"/>
      <c r="Q180" s="464"/>
      <c r="S180" s="464">
        <f t="shared" si="38"/>
        <v>12616000</v>
      </c>
      <c r="T180" s="464">
        <f t="shared" si="39"/>
        <v>6985352.2337732427</v>
      </c>
    </row>
    <row r="181" spans="1:20" ht="16.5" customHeight="1">
      <c r="A181" s="499">
        <f t="shared" si="33"/>
        <v>48</v>
      </c>
      <c r="B181" s="167" t="s">
        <v>813</v>
      </c>
      <c r="C181" s="484">
        <v>42697</v>
      </c>
      <c r="D181" s="485" t="s">
        <v>816</v>
      </c>
      <c r="E181" s="551">
        <v>50</v>
      </c>
      <c r="F181" s="552">
        <v>29.5</v>
      </c>
      <c r="G181" s="552">
        <v>19</v>
      </c>
      <c r="H181" s="593">
        <f t="shared" si="34"/>
        <v>0.84</v>
      </c>
      <c r="I181" s="140">
        <f t="shared" si="36"/>
        <v>2816.52</v>
      </c>
      <c r="J181" s="566">
        <v>3353</v>
      </c>
      <c r="K181" s="140">
        <f t="shared" si="37"/>
        <v>6391.2686000887979</v>
      </c>
      <c r="L181" s="421">
        <v>4500</v>
      </c>
      <c r="M181" s="421"/>
      <c r="O181" s="464"/>
      <c r="P181" s="464"/>
      <c r="Q181" s="464"/>
      <c r="S181" s="464">
        <f t="shared" si="38"/>
        <v>15088500</v>
      </c>
      <c r="T181" s="464">
        <f t="shared" si="39"/>
        <v>21429923.616097741</v>
      </c>
    </row>
    <row r="182" spans="1:20" ht="16.5" customHeight="1">
      <c r="A182" s="499">
        <f t="shared" si="33"/>
        <v>49</v>
      </c>
      <c r="B182" s="167" t="s">
        <v>691</v>
      </c>
      <c r="C182" s="484">
        <v>42703</v>
      </c>
      <c r="D182" s="485" t="s">
        <v>771</v>
      </c>
      <c r="E182" s="551">
        <v>37.5</v>
      </c>
      <c r="F182" s="552">
        <v>25.3</v>
      </c>
      <c r="G182" s="552">
        <v>23.9</v>
      </c>
      <c r="H182" s="593">
        <f t="shared" si="34"/>
        <v>0.68</v>
      </c>
      <c r="I182" s="140">
        <f t="shared" si="36"/>
        <v>693.6</v>
      </c>
      <c r="J182" s="566">
        <v>1020</v>
      </c>
      <c r="K182" s="140">
        <f t="shared" si="37"/>
        <v>5173.8841048337899</v>
      </c>
      <c r="L182" s="421">
        <v>5900</v>
      </c>
      <c r="M182" s="421"/>
      <c r="O182" s="464"/>
      <c r="P182" s="464"/>
      <c r="Q182" s="464"/>
      <c r="S182" s="464">
        <f t="shared" si="38"/>
        <v>6018000</v>
      </c>
      <c r="T182" s="464">
        <f t="shared" si="39"/>
        <v>5277361.7869304661</v>
      </c>
    </row>
    <row r="183" spans="1:20" ht="16.5" customHeight="1">
      <c r="A183" s="499">
        <f t="shared" si="33"/>
        <v>50</v>
      </c>
      <c r="B183" s="167" t="s">
        <v>693</v>
      </c>
      <c r="C183" s="484">
        <v>42703</v>
      </c>
      <c r="D183" s="485" t="s">
        <v>772</v>
      </c>
      <c r="E183" s="551">
        <v>123</v>
      </c>
      <c r="F183" s="552">
        <v>63</v>
      </c>
      <c r="G183" s="552">
        <v>186</v>
      </c>
      <c r="H183" s="593">
        <f t="shared" si="34"/>
        <v>9.5</v>
      </c>
      <c r="I183" s="140">
        <f t="shared" si="36"/>
        <v>237.5</v>
      </c>
      <c r="J183" s="566">
        <v>25</v>
      </c>
      <c r="K183" s="140">
        <f t="shared" si="37"/>
        <v>72282.20440576617</v>
      </c>
      <c r="L183" s="421">
        <v>56000</v>
      </c>
      <c r="M183" s="421"/>
      <c r="O183" s="464"/>
      <c r="P183" s="464"/>
      <c r="Q183" s="464"/>
      <c r="S183" s="464">
        <f t="shared" si="38"/>
        <v>1400000</v>
      </c>
      <c r="T183" s="464">
        <f t="shared" si="39"/>
        <v>1807055.1101441542</v>
      </c>
    </row>
    <row r="184" spans="1:20" ht="16.5" customHeight="1">
      <c r="A184" s="499">
        <f t="shared" si="33"/>
        <v>51</v>
      </c>
      <c r="B184" s="167" t="s">
        <v>694</v>
      </c>
      <c r="C184" s="484">
        <v>42703</v>
      </c>
      <c r="D184" s="485" t="s">
        <v>772</v>
      </c>
      <c r="E184" s="551">
        <v>123</v>
      </c>
      <c r="F184" s="552">
        <v>63</v>
      </c>
      <c r="G184" s="552">
        <v>138</v>
      </c>
      <c r="H184" s="593">
        <f t="shared" si="34"/>
        <v>7.69</v>
      </c>
      <c r="I184" s="140">
        <f t="shared" si="36"/>
        <v>38.450000000000003</v>
      </c>
      <c r="J184" s="566">
        <v>5</v>
      </c>
      <c r="K184" s="140">
        <f t="shared" si="37"/>
        <v>58510.542303193884</v>
      </c>
      <c r="L184" s="421">
        <v>53000</v>
      </c>
      <c r="M184" s="421"/>
      <c r="O184" s="464"/>
      <c r="P184" s="464"/>
      <c r="Q184" s="464"/>
      <c r="S184" s="464">
        <f t="shared" si="38"/>
        <v>265000</v>
      </c>
      <c r="T184" s="464">
        <f t="shared" si="39"/>
        <v>292552.71151596942</v>
      </c>
    </row>
    <row r="185" spans="1:20" ht="16.5" customHeight="1">
      <c r="A185" s="499">
        <f t="shared" si="33"/>
        <v>52</v>
      </c>
      <c r="B185" s="167" t="s">
        <v>695</v>
      </c>
      <c r="C185" s="484">
        <v>42703</v>
      </c>
      <c r="D185" s="485" t="s">
        <v>772</v>
      </c>
      <c r="E185" s="551">
        <v>142</v>
      </c>
      <c r="F185" s="552">
        <v>72</v>
      </c>
      <c r="G185" s="552">
        <v>58</v>
      </c>
      <c r="H185" s="593">
        <f t="shared" si="34"/>
        <v>5.76</v>
      </c>
      <c r="I185" s="140">
        <f t="shared" si="36"/>
        <v>576</v>
      </c>
      <c r="J185" s="566">
        <v>100</v>
      </c>
      <c r="K185" s="140">
        <f t="shared" si="37"/>
        <v>43825.841829180332</v>
      </c>
      <c r="L185" s="421">
        <v>30237</v>
      </c>
      <c r="M185" s="421"/>
      <c r="O185" s="464"/>
      <c r="P185" s="464"/>
      <c r="Q185" s="464"/>
      <c r="S185" s="464">
        <f t="shared" si="38"/>
        <v>3023700</v>
      </c>
      <c r="T185" s="464">
        <f t="shared" si="39"/>
        <v>4382584.1829180336</v>
      </c>
    </row>
    <row r="186" spans="1:20" ht="16.5" customHeight="1">
      <c r="A186" s="499">
        <f t="shared" si="33"/>
        <v>53</v>
      </c>
      <c r="B186" s="167" t="s">
        <v>696</v>
      </c>
      <c r="C186" s="484">
        <v>42703</v>
      </c>
      <c r="D186" s="485" t="s">
        <v>772</v>
      </c>
      <c r="E186" s="551">
        <v>162</v>
      </c>
      <c r="F186" s="552">
        <v>64</v>
      </c>
      <c r="G186" s="552">
        <v>178</v>
      </c>
      <c r="H186" s="593">
        <f t="shared" si="34"/>
        <v>11.2</v>
      </c>
      <c r="I186" s="140">
        <f t="shared" si="36"/>
        <v>134.39999999999998</v>
      </c>
      <c r="J186" s="566">
        <v>12</v>
      </c>
      <c r="K186" s="140">
        <f t="shared" si="37"/>
        <v>85216.914667850637</v>
      </c>
      <c r="L186" s="421">
        <v>75900</v>
      </c>
      <c r="M186" s="421"/>
      <c r="O186" s="464"/>
      <c r="P186" s="464"/>
      <c r="Q186" s="464"/>
      <c r="S186" s="464">
        <f t="shared" si="38"/>
        <v>910800</v>
      </c>
      <c r="T186" s="464">
        <f t="shared" si="39"/>
        <v>1022602.9760142076</v>
      </c>
    </row>
    <row r="187" spans="1:20" ht="16.5" customHeight="1">
      <c r="A187" s="499">
        <f t="shared" si="33"/>
        <v>54</v>
      </c>
      <c r="B187" s="167" t="s">
        <v>813</v>
      </c>
      <c r="C187" s="484">
        <v>42705</v>
      </c>
      <c r="D187" s="485" t="s">
        <v>776</v>
      </c>
      <c r="E187" s="551">
        <v>50</v>
      </c>
      <c r="F187" s="552">
        <v>29.5</v>
      </c>
      <c r="G187" s="552">
        <v>19</v>
      </c>
      <c r="H187" s="593">
        <f t="shared" si="34"/>
        <v>0.84</v>
      </c>
      <c r="I187" s="140">
        <f t="shared" si="36"/>
        <v>2016</v>
      </c>
      <c r="J187" s="566">
        <v>2400</v>
      </c>
      <c r="K187" s="140">
        <f t="shared" si="37"/>
        <v>6391.2686000887979</v>
      </c>
      <c r="L187" s="421">
        <v>7500</v>
      </c>
      <c r="M187" s="421"/>
      <c r="O187" s="464"/>
      <c r="P187" s="464"/>
      <c r="Q187" s="464"/>
      <c r="S187" s="464">
        <f t="shared" si="38"/>
        <v>18000000</v>
      </c>
      <c r="T187" s="464">
        <f t="shared" si="39"/>
        <v>15339044.640213115</v>
      </c>
    </row>
    <row r="188" spans="1:20" ht="16.5" customHeight="1">
      <c r="A188" s="499">
        <f t="shared" si="33"/>
        <v>55</v>
      </c>
      <c r="B188" s="167" t="s">
        <v>813</v>
      </c>
      <c r="C188" s="484">
        <v>42706</v>
      </c>
      <c r="D188" s="485" t="s">
        <v>824</v>
      </c>
      <c r="E188" s="551">
        <v>50</v>
      </c>
      <c r="F188" s="552">
        <v>29.5</v>
      </c>
      <c r="G188" s="552">
        <v>19</v>
      </c>
      <c r="H188" s="593">
        <f t="shared" si="34"/>
        <v>0.84</v>
      </c>
      <c r="I188" s="140">
        <f t="shared" si="36"/>
        <v>1344</v>
      </c>
      <c r="J188" s="566">
        <v>1600</v>
      </c>
      <c r="K188" s="140">
        <f t="shared" si="37"/>
        <v>6391.2686000887979</v>
      </c>
      <c r="L188" s="421">
        <v>7500</v>
      </c>
      <c r="M188" s="421"/>
      <c r="O188" s="464"/>
      <c r="P188" s="464"/>
      <c r="Q188" s="464"/>
      <c r="S188" s="464">
        <f t="shared" si="38"/>
        <v>12000000</v>
      </c>
      <c r="T188" s="464">
        <f t="shared" si="39"/>
        <v>10226029.760142077</v>
      </c>
    </row>
    <row r="189" spans="1:20" ht="16.5" customHeight="1">
      <c r="A189" s="499">
        <f t="shared" si="33"/>
        <v>56</v>
      </c>
      <c r="B189" s="167" t="s">
        <v>813</v>
      </c>
      <c r="C189" s="484">
        <v>42707</v>
      </c>
      <c r="D189" s="485" t="s">
        <v>825</v>
      </c>
      <c r="E189" s="551">
        <v>50</v>
      </c>
      <c r="F189" s="552">
        <v>29.5</v>
      </c>
      <c r="G189" s="552">
        <v>19</v>
      </c>
      <c r="H189" s="593">
        <f t="shared" si="34"/>
        <v>0.84</v>
      </c>
      <c r="I189" s="140">
        <f t="shared" si="36"/>
        <v>3360</v>
      </c>
      <c r="J189" s="566">
        <v>4000</v>
      </c>
      <c r="K189" s="140">
        <f t="shared" si="37"/>
        <v>6391.2686000887979</v>
      </c>
      <c r="L189" s="421">
        <v>4500</v>
      </c>
      <c r="M189" s="421"/>
      <c r="O189" s="464"/>
      <c r="P189" s="464"/>
      <c r="Q189" s="464"/>
      <c r="S189" s="464">
        <f t="shared" si="38"/>
        <v>18000000</v>
      </c>
      <c r="T189" s="464">
        <f t="shared" si="39"/>
        <v>25565074.40035519</v>
      </c>
    </row>
    <row r="190" spans="1:20" ht="16.5" customHeight="1">
      <c r="A190" s="499">
        <f t="shared" si="33"/>
        <v>57</v>
      </c>
      <c r="B190" s="167" t="s">
        <v>827</v>
      </c>
      <c r="C190" s="484">
        <v>42708</v>
      </c>
      <c r="D190" s="485" t="s">
        <v>826</v>
      </c>
      <c r="E190" s="551">
        <v>54</v>
      </c>
      <c r="F190" s="552">
        <v>28</v>
      </c>
      <c r="G190" s="552">
        <v>27</v>
      </c>
      <c r="H190" s="593">
        <f t="shared" si="34"/>
        <v>0.98</v>
      </c>
      <c r="I190" s="140">
        <f t="shared" si="36"/>
        <v>6030.92</v>
      </c>
      <c r="J190" s="566">
        <v>6154</v>
      </c>
      <c r="K190" s="140">
        <f t="shared" si="37"/>
        <v>7456.4800334369311</v>
      </c>
      <c r="L190" s="421">
        <v>16700</v>
      </c>
      <c r="M190" s="421"/>
      <c r="O190" s="464"/>
      <c r="P190" s="464"/>
      <c r="Q190" s="464"/>
      <c r="S190" s="464">
        <f t="shared" si="38"/>
        <v>102771800</v>
      </c>
      <c r="T190" s="464">
        <f t="shared" si="39"/>
        <v>45887178.125770874</v>
      </c>
    </row>
    <row r="191" spans="1:20" ht="16.5" customHeight="1">
      <c r="A191" s="499">
        <f t="shared" si="33"/>
        <v>58</v>
      </c>
      <c r="B191" s="167" t="s">
        <v>828</v>
      </c>
      <c r="C191" s="484">
        <v>42708</v>
      </c>
      <c r="D191" s="485" t="s">
        <v>826</v>
      </c>
      <c r="E191" s="551">
        <v>56</v>
      </c>
      <c r="F191" s="552">
        <v>32</v>
      </c>
      <c r="G191" s="552">
        <v>30</v>
      </c>
      <c r="H191" s="593">
        <f t="shared" si="34"/>
        <v>1.18</v>
      </c>
      <c r="I191" s="140">
        <f t="shared" si="36"/>
        <v>1036.04</v>
      </c>
      <c r="J191" s="566">
        <v>878</v>
      </c>
      <c r="K191" s="140">
        <f t="shared" si="37"/>
        <v>8978.2106525056934</v>
      </c>
      <c r="L191" s="421">
        <v>19400</v>
      </c>
      <c r="M191" s="421"/>
      <c r="O191" s="464"/>
      <c r="P191" s="464"/>
      <c r="Q191" s="464"/>
      <c r="S191" s="464">
        <f t="shared" si="38"/>
        <v>17033200</v>
      </c>
      <c r="T191" s="464">
        <f t="shared" si="39"/>
        <v>7882868.952899999</v>
      </c>
    </row>
    <row r="192" spans="1:20" ht="16.5" customHeight="1">
      <c r="A192" s="499">
        <f t="shared" si="33"/>
        <v>59</v>
      </c>
      <c r="B192" s="167" t="s">
        <v>813</v>
      </c>
      <c r="C192" s="484">
        <v>42709</v>
      </c>
      <c r="D192" s="485" t="s">
        <v>829</v>
      </c>
      <c r="E192" s="551">
        <v>50</v>
      </c>
      <c r="F192" s="552">
        <v>29.5</v>
      </c>
      <c r="G192" s="552">
        <v>19</v>
      </c>
      <c r="H192" s="593">
        <f t="shared" si="34"/>
        <v>0.84</v>
      </c>
      <c r="I192" s="140">
        <f t="shared" si="36"/>
        <v>2016</v>
      </c>
      <c r="J192" s="566">
        <v>2400</v>
      </c>
      <c r="K192" s="140">
        <f t="shared" si="37"/>
        <v>6391.2686000887979</v>
      </c>
      <c r="L192" s="421">
        <v>7500</v>
      </c>
      <c r="M192" s="421"/>
      <c r="O192" s="464"/>
      <c r="P192" s="464"/>
      <c r="Q192" s="464"/>
      <c r="S192" s="464">
        <f t="shared" si="38"/>
        <v>18000000</v>
      </c>
      <c r="T192" s="464">
        <f t="shared" si="39"/>
        <v>15339044.640213115</v>
      </c>
    </row>
    <row r="193" spans="1:20" ht="16.5" customHeight="1">
      <c r="A193" s="499">
        <f t="shared" si="33"/>
        <v>60</v>
      </c>
      <c r="B193" s="167" t="s">
        <v>813</v>
      </c>
      <c r="C193" s="484">
        <v>42710</v>
      </c>
      <c r="D193" s="485" t="s">
        <v>830</v>
      </c>
      <c r="E193" s="551">
        <v>50</v>
      </c>
      <c r="F193" s="552">
        <v>29.5</v>
      </c>
      <c r="G193" s="552">
        <v>19</v>
      </c>
      <c r="H193" s="593">
        <f t="shared" si="34"/>
        <v>0.84</v>
      </c>
      <c r="I193" s="140">
        <f t="shared" si="36"/>
        <v>2016</v>
      </c>
      <c r="J193" s="566">
        <v>2400</v>
      </c>
      <c r="K193" s="140">
        <f t="shared" si="37"/>
        <v>6391.2686000887979</v>
      </c>
      <c r="L193" s="421">
        <v>7500</v>
      </c>
      <c r="M193" s="421"/>
      <c r="O193" s="464"/>
      <c r="P193" s="464"/>
      <c r="Q193" s="464"/>
      <c r="S193" s="464">
        <f t="shared" si="38"/>
        <v>18000000</v>
      </c>
      <c r="T193" s="464">
        <f t="shared" si="39"/>
        <v>15339044.640213115</v>
      </c>
    </row>
    <row r="194" spans="1:20" ht="16.5" customHeight="1">
      <c r="A194" s="499">
        <f t="shared" si="33"/>
        <v>61</v>
      </c>
      <c r="B194" s="167" t="s">
        <v>833</v>
      </c>
      <c r="C194" s="484">
        <v>42713</v>
      </c>
      <c r="D194" s="485" t="s">
        <v>832</v>
      </c>
      <c r="E194" s="551">
        <v>50</v>
      </c>
      <c r="F194" s="552">
        <v>39</v>
      </c>
      <c r="G194" s="552">
        <v>24.9</v>
      </c>
      <c r="H194" s="593">
        <f t="shared" si="34"/>
        <v>1.22</v>
      </c>
      <c r="I194" s="140">
        <f t="shared" si="36"/>
        <v>488</v>
      </c>
      <c r="J194" s="566">
        <v>400</v>
      </c>
      <c r="K194" s="140">
        <f t="shared" si="37"/>
        <v>9282.5567763194449</v>
      </c>
      <c r="L194" s="421">
        <v>13400</v>
      </c>
      <c r="M194" s="421"/>
      <c r="O194" s="464"/>
      <c r="P194" s="464"/>
      <c r="Q194" s="464"/>
      <c r="S194" s="464">
        <f t="shared" si="38"/>
        <v>5360000</v>
      </c>
      <c r="T194" s="464">
        <f t="shared" si="39"/>
        <v>3713022.7105277781</v>
      </c>
    </row>
    <row r="195" spans="1:20" ht="16.5" customHeight="1">
      <c r="A195" s="499">
        <f t="shared" si="33"/>
        <v>62</v>
      </c>
      <c r="B195" s="167" t="s">
        <v>834</v>
      </c>
      <c r="C195" s="484">
        <v>42713</v>
      </c>
      <c r="D195" s="485" t="s">
        <v>832</v>
      </c>
      <c r="E195" s="551">
        <v>19</v>
      </c>
      <c r="F195" s="552">
        <v>16</v>
      </c>
      <c r="G195" s="552">
        <v>11</v>
      </c>
      <c r="H195" s="593">
        <f t="shared" si="34"/>
        <v>0.23</v>
      </c>
      <c r="I195" s="140">
        <f t="shared" si="36"/>
        <v>920</v>
      </c>
      <c r="J195" s="566">
        <v>4000</v>
      </c>
      <c r="K195" s="140">
        <f t="shared" si="37"/>
        <v>1749.9902119290759</v>
      </c>
      <c r="L195" s="421">
        <v>2200</v>
      </c>
      <c r="M195" s="421"/>
      <c r="O195" s="464"/>
      <c r="P195" s="464"/>
      <c r="Q195" s="464"/>
      <c r="S195" s="464">
        <f t="shared" si="38"/>
        <v>8800000</v>
      </c>
      <c r="T195" s="464">
        <f t="shared" si="39"/>
        <v>6999960.8477163035</v>
      </c>
    </row>
    <row r="196" spans="1:20" ht="16.5" customHeight="1">
      <c r="A196" s="499">
        <f t="shared" si="33"/>
        <v>63</v>
      </c>
      <c r="B196" s="167" t="s">
        <v>828</v>
      </c>
      <c r="C196" s="484">
        <v>42713</v>
      </c>
      <c r="D196" s="485" t="s">
        <v>441</v>
      </c>
      <c r="E196" s="551">
        <v>56</v>
      </c>
      <c r="F196" s="510">
        <v>32</v>
      </c>
      <c r="G196" s="510">
        <v>30</v>
      </c>
      <c r="H196" s="593">
        <f t="shared" si="34"/>
        <v>1.18</v>
      </c>
      <c r="I196" s="140">
        <f t="shared" si="36"/>
        <v>6183.2</v>
      </c>
      <c r="J196" s="566">
        <v>5240</v>
      </c>
      <c r="K196" s="140">
        <f t="shared" si="37"/>
        <v>8978.2106525056934</v>
      </c>
      <c r="L196" s="421">
        <v>13800</v>
      </c>
      <c r="M196" s="421"/>
      <c r="O196" s="464"/>
      <c r="P196" s="464"/>
      <c r="Q196" s="464"/>
      <c r="S196" s="464">
        <f t="shared" si="38"/>
        <v>72312000</v>
      </c>
      <c r="T196" s="464">
        <f t="shared" si="39"/>
        <v>47045823.819129832</v>
      </c>
    </row>
    <row r="197" spans="1:20" ht="16.5" customHeight="1">
      <c r="A197" s="499">
        <f t="shared" si="33"/>
        <v>64</v>
      </c>
      <c r="B197" s="167" t="s">
        <v>837</v>
      </c>
      <c r="C197" s="484">
        <v>42713</v>
      </c>
      <c r="D197" s="485" t="s">
        <v>836</v>
      </c>
      <c r="E197" s="551">
        <v>67</v>
      </c>
      <c r="F197" s="552">
        <v>49</v>
      </c>
      <c r="G197" s="552">
        <v>43</v>
      </c>
      <c r="H197" s="593">
        <f t="shared" si="34"/>
        <v>2.25</v>
      </c>
      <c r="I197" s="140">
        <f t="shared" si="36"/>
        <v>204.75</v>
      </c>
      <c r="J197" s="566">
        <v>91</v>
      </c>
      <c r="K197" s="140">
        <f t="shared" si="37"/>
        <v>17119.469464523569</v>
      </c>
      <c r="L197" s="421">
        <v>27000</v>
      </c>
      <c r="M197" s="421"/>
      <c r="O197" s="464"/>
      <c r="P197" s="464"/>
      <c r="Q197" s="464"/>
      <c r="S197" s="464">
        <f t="shared" si="38"/>
        <v>2457000</v>
      </c>
      <c r="T197" s="464">
        <f t="shared" si="39"/>
        <v>1557871.7212716448</v>
      </c>
    </row>
    <row r="198" spans="1:20" ht="16.5" customHeight="1">
      <c r="A198" s="499">
        <f t="shared" si="33"/>
        <v>65</v>
      </c>
      <c r="B198" s="167" t="s">
        <v>838</v>
      </c>
      <c r="C198" s="484">
        <v>42713</v>
      </c>
      <c r="D198" s="485" t="s">
        <v>836</v>
      </c>
      <c r="E198" s="551">
        <v>48</v>
      </c>
      <c r="F198" s="552">
        <v>22</v>
      </c>
      <c r="G198" s="552">
        <v>33</v>
      </c>
      <c r="H198" s="593">
        <f t="shared" si="34"/>
        <v>0.84</v>
      </c>
      <c r="I198" s="140">
        <f t="shared" ref="I198:I229" si="40">H198*J198</f>
        <v>252</v>
      </c>
      <c r="J198" s="566">
        <v>300</v>
      </c>
      <c r="K198" s="140">
        <f t="shared" ref="K198:K229" si="41">H198*$R$170</f>
        <v>6391.2686000887979</v>
      </c>
      <c r="L198" s="421">
        <v>6700</v>
      </c>
      <c r="M198" s="421"/>
      <c r="O198" s="464"/>
      <c r="P198" s="464"/>
      <c r="Q198" s="464"/>
      <c r="S198" s="464">
        <f t="shared" ref="S198:S229" si="42">J198*L198</f>
        <v>2010000</v>
      </c>
      <c r="T198" s="464">
        <f t="shared" ref="T198:T229" si="43">J198*K198</f>
        <v>1917380.5800266394</v>
      </c>
    </row>
    <row r="199" spans="1:20" ht="16.5" customHeight="1">
      <c r="A199" s="499">
        <f t="shared" si="33"/>
        <v>66</v>
      </c>
      <c r="B199" s="167" t="s">
        <v>813</v>
      </c>
      <c r="C199" s="484">
        <v>42713</v>
      </c>
      <c r="D199" s="485" t="s">
        <v>839</v>
      </c>
      <c r="E199" s="551">
        <v>50</v>
      </c>
      <c r="F199" s="552">
        <v>29.5</v>
      </c>
      <c r="G199" s="552">
        <v>19</v>
      </c>
      <c r="H199" s="593">
        <f t="shared" si="34"/>
        <v>0.84</v>
      </c>
      <c r="I199" s="140">
        <f t="shared" si="40"/>
        <v>2016</v>
      </c>
      <c r="J199" s="566">
        <v>2400</v>
      </c>
      <c r="K199" s="140">
        <f t="shared" si="41"/>
        <v>6391.2686000887979</v>
      </c>
      <c r="L199" s="421">
        <v>7500</v>
      </c>
      <c r="M199" s="421"/>
      <c r="O199" s="464"/>
      <c r="P199" s="464"/>
      <c r="Q199" s="464"/>
      <c r="S199" s="464">
        <f t="shared" si="42"/>
        <v>18000000</v>
      </c>
      <c r="T199" s="464">
        <f t="shared" si="43"/>
        <v>15339044.640213115</v>
      </c>
    </row>
    <row r="200" spans="1:20" ht="16.5" customHeight="1">
      <c r="A200" s="499">
        <f t="shared" si="33"/>
        <v>67</v>
      </c>
      <c r="B200" s="167" t="s">
        <v>813</v>
      </c>
      <c r="C200" s="484">
        <v>42714</v>
      </c>
      <c r="D200" s="485" t="s">
        <v>840</v>
      </c>
      <c r="E200" s="551">
        <v>50</v>
      </c>
      <c r="F200" s="552">
        <v>29.5</v>
      </c>
      <c r="G200" s="552">
        <v>19</v>
      </c>
      <c r="H200" s="593">
        <f t="shared" si="34"/>
        <v>0.84</v>
      </c>
      <c r="I200" s="140">
        <f t="shared" si="40"/>
        <v>2016</v>
      </c>
      <c r="J200" s="566">
        <v>2400</v>
      </c>
      <c r="K200" s="140">
        <f t="shared" si="41"/>
        <v>6391.2686000887979</v>
      </c>
      <c r="L200" s="421">
        <v>7500</v>
      </c>
      <c r="M200" s="421"/>
      <c r="O200" s="464"/>
      <c r="P200" s="464"/>
      <c r="Q200" s="464"/>
      <c r="S200" s="464">
        <f t="shared" si="42"/>
        <v>18000000</v>
      </c>
      <c r="T200" s="464">
        <f t="shared" si="43"/>
        <v>15339044.640213115</v>
      </c>
    </row>
    <row r="201" spans="1:20" ht="16.5" customHeight="1">
      <c r="A201" s="499">
        <f t="shared" si="33"/>
        <v>68</v>
      </c>
      <c r="B201" s="167" t="s">
        <v>813</v>
      </c>
      <c r="C201" s="484">
        <v>42715</v>
      </c>
      <c r="D201" s="485" t="s">
        <v>841</v>
      </c>
      <c r="E201" s="551">
        <v>50</v>
      </c>
      <c r="F201" s="552">
        <v>29.5</v>
      </c>
      <c r="G201" s="552">
        <v>19</v>
      </c>
      <c r="H201" s="593">
        <f t="shared" si="34"/>
        <v>0.84</v>
      </c>
      <c r="I201" s="140">
        <f t="shared" si="40"/>
        <v>2016</v>
      </c>
      <c r="J201" s="566">
        <v>2400</v>
      </c>
      <c r="K201" s="140">
        <f t="shared" si="41"/>
        <v>6391.2686000887979</v>
      </c>
      <c r="L201" s="421">
        <v>7500</v>
      </c>
      <c r="M201" s="421"/>
      <c r="O201" s="464"/>
      <c r="P201" s="464"/>
      <c r="Q201" s="464"/>
      <c r="S201" s="464">
        <f t="shared" si="42"/>
        <v>18000000</v>
      </c>
      <c r="T201" s="464">
        <f t="shared" si="43"/>
        <v>15339044.640213115</v>
      </c>
    </row>
    <row r="202" spans="1:20" ht="16.5" customHeight="1">
      <c r="A202" s="499">
        <f t="shared" si="33"/>
        <v>69</v>
      </c>
      <c r="B202" s="167" t="s">
        <v>813</v>
      </c>
      <c r="C202" s="484">
        <v>42716</v>
      </c>
      <c r="D202" s="485" t="s">
        <v>842</v>
      </c>
      <c r="E202" s="551">
        <v>50</v>
      </c>
      <c r="F202" s="552">
        <v>29.5</v>
      </c>
      <c r="G202" s="552">
        <v>19</v>
      </c>
      <c r="H202" s="593">
        <f t="shared" si="34"/>
        <v>0.84</v>
      </c>
      <c r="I202" s="140">
        <f t="shared" si="40"/>
        <v>2016</v>
      </c>
      <c r="J202" s="566">
        <v>2400</v>
      </c>
      <c r="K202" s="140">
        <f t="shared" si="41"/>
        <v>6391.2686000887979</v>
      </c>
      <c r="L202" s="421">
        <v>7500</v>
      </c>
      <c r="M202" s="421"/>
      <c r="O202" s="464"/>
      <c r="P202" s="464"/>
      <c r="Q202" s="464"/>
      <c r="S202" s="464">
        <f t="shared" si="42"/>
        <v>18000000</v>
      </c>
      <c r="T202" s="464">
        <f t="shared" si="43"/>
        <v>15339044.640213115</v>
      </c>
    </row>
    <row r="203" spans="1:20" ht="16.5" customHeight="1">
      <c r="A203" s="499">
        <f t="shared" si="33"/>
        <v>70</v>
      </c>
      <c r="B203" s="167" t="s">
        <v>664</v>
      </c>
      <c r="C203" s="484">
        <v>42716</v>
      </c>
      <c r="D203" s="485" t="s">
        <v>882</v>
      </c>
      <c r="E203" s="551">
        <v>39.5</v>
      </c>
      <c r="F203" s="552">
        <v>32.299999999999997</v>
      </c>
      <c r="G203" s="552">
        <v>27.7</v>
      </c>
      <c r="H203" s="593">
        <f t="shared" si="34"/>
        <v>0.94</v>
      </c>
      <c r="I203" s="140">
        <f t="shared" si="40"/>
        <v>312.08</v>
      </c>
      <c r="J203" s="566">
        <v>332</v>
      </c>
      <c r="K203" s="140">
        <f t="shared" si="41"/>
        <v>7152.1339096231786</v>
      </c>
      <c r="L203" s="421">
        <v>9400</v>
      </c>
      <c r="M203" s="421"/>
      <c r="O203" s="464"/>
      <c r="P203" s="464"/>
      <c r="Q203" s="464"/>
      <c r="S203" s="464">
        <f t="shared" si="42"/>
        <v>3120800</v>
      </c>
      <c r="T203" s="464">
        <f t="shared" si="43"/>
        <v>2374508.4579948955</v>
      </c>
    </row>
    <row r="204" spans="1:20" ht="16.5" customHeight="1">
      <c r="A204" s="499">
        <f t="shared" si="33"/>
        <v>71</v>
      </c>
      <c r="B204" s="167" t="s">
        <v>511</v>
      </c>
      <c r="C204" s="484">
        <v>42716</v>
      </c>
      <c r="D204" s="485" t="s">
        <v>882</v>
      </c>
      <c r="E204" s="551">
        <v>49.5</v>
      </c>
      <c r="F204" s="552">
        <v>38.5</v>
      </c>
      <c r="G204" s="552">
        <v>32.5</v>
      </c>
      <c r="H204" s="593">
        <f t="shared" si="34"/>
        <v>1.34</v>
      </c>
      <c r="I204" s="140">
        <f t="shared" si="40"/>
        <v>139.36000000000001</v>
      </c>
      <c r="J204" s="566">
        <v>104</v>
      </c>
      <c r="K204" s="140">
        <f t="shared" si="41"/>
        <v>10195.595147760703</v>
      </c>
      <c r="L204" s="421">
        <v>12900</v>
      </c>
      <c r="M204" s="421"/>
      <c r="O204" s="464"/>
      <c r="P204" s="464"/>
      <c r="Q204" s="464"/>
      <c r="S204" s="464">
        <f t="shared" si="42"/>
        <v>1341600</v>
      </c>
      <c r="T204" s="464">
        <f t="shared" si="43"/>
        <v>1060341.8953671132</v>
      </c>
    </row>
    <row r="205" spans="1:20" ht="16.5" customHeight="1">
      <c r="A205" s="499">
        <f t="shared" si="33"/>
        <v>72</v>
      </c>
      <c r="B205" s="167" t="s">
        <v>529</v>
      </c>
      <c r="C205" s="484">
        <v>42717</v>
      </c>
      <c r="D205" s="485" t="s">
        <v>883</v>
      </c>
      <c r="E205" s="551">
        <v>103</v>
      </c>
      <c r="F205" s="552">
        <v>50</v>
      </c>
      <c r="G205" s="552">
        <v>180</v>
      </c>
      <c r="H205" s="593">
        <f t="shared" si="34"/>
        <v>7.25</v>
      </c>
      <c r="I205" s="140">
        <f t="shared" si="40"/>
        <v>435</v>
      </c>
      <c r="J205" s="566">
        <v>60</v>
      </c>
      <c r="K205" s="140">
        <f t="shared" si="41"/>
        <v>55162.734941242605</v>
      </c>
      <c r="L205" s="421">
        <v>47449</v>
      </c>
      <c r="M205" s="421"/>
      <c r="O205" s="464"/>
      <c r="P205" s="464"/>
      <c r="Q205" s="464"/>
      <c r="S205" s="464">
        <f t="shared" si="42"/>
        <v>2846940</v>
      </c>
      <c r="T205" s="464">
        <f t="shared" si="43"/>
        <v>3309764.0964745563</v>
      </c>
    </row>
    <row r="206" spans="1:20" ht="16.5" customHeight="1">
      <c r="A206" s="499">
        <f t="shared" si="33"/>
        <v>73</v>
      </c>
      <c r="B206" s="167" t="s">
        <v>666</v>
      </c>
      <c r="C206" s="484">
        <v>42717</v>
      </c>
      <c r="D206" s="485" t="s">
        <v>883</v>
      </c>
      <c r="E206" s="551">
        <v>122</v>
      </c>
      <c r="F206" s="552">
        <v>54</v>
      </c>
      <c r="G206" s="552">
        <v>180</v>
      </c>
      <c r="H206" s="593">
        <f t="shared" si="34"/>
        <v>8.4600000000000009</v>
      </c>
      <c r="I206" s="140">
        <f t="shared" si="40"/>
        <v>186.12</v>
      </c>
      <c r="J206" s="566">
        <v>22</v>
      </c>
      <c r="K206" s="140">
        <f t="shared" si="41"/>
        <v>64369.205186608619</v>
      </c>
      <c r="L206" s="421">
        <v>54530</v>
      </c>
      <c r="M206" s="421"/>
      <c r="O206" s="464"/>
      <c r="P206" s="464"/>
      <c r="Q206" s="464"/>
      <c r="S206" s="464">
        <f t="shared" si="42"/>
        <v>1199660</v>
      </c>
      <c r="T206" s="464">
        <f t="shared" si="43"/>
        <v>1416122.5141053896</v>
      </c>
    </row>
    <row r="207" spans="1:20" ht="16.5" customHeight="1">
      <c r="A207" s="499">
        <f t="shared" si="33"/>
        <v>74</v>
      </c>
      <c r="B207" s="167" t="s">
        <v>844</v>
      </c>
      <c r="C207" s="484">
        <v>42719</v>
      </c>
      <c r="D207" s="485" t="s">
        <v>843</v>
      </c>
      <c r="E207" s="551">
        <v>78</v>
      </c>
      <c r="F207" s="552">
        <v>52</v>
      </c>
      <c r="G207" s="552">
        <v>4.5</v>
      </c>
      <c r="H207" s="593">
        <f t="shared" si="34"/>
        <v>1.58</v>
      </c>
      <c r="I207" s="140">
        <f t="shared" si="40"/>
        <v>162.74</v>
      </c>
      <c r="J207" s="566">
        <v>103</v>
      </c>
      <c r="K207" s="140">
        <f t="shared" si="41"/>
        <v>12021.671890643216</v>
      </c>
      <c r="L207" s="421">
        <v>14000</v>
      </c>
      <c r="M207" s="421"/>
      <c r="O207" s="464"/>
      <c r="P207" s="464"/>
      <c r="Q207" s="464"/>
      <c r="S207" s="464">
        <f t="shared" si="42"/>
        <v>1442000</v>
      </c>
      <c r="T207" s="464">
        <f t="shared" si="43"/>
        <v>1238232.2047362512</v>
      </c>
    </row>
    <row r="208" spans="1:20" ht="16.5" customHeight="1">
      <c r="A208" s="499">
        <f t="shared" ref="A208:A271" si="44">IF(B208&lt;&gt;"",ROW()-133,"")</f>
        <v>75</v>
      </c>
      <c r="B208" s="167" t="s">
        <v>845</v>
      </c>
      <c r="C208" s="484">
        <v>42719</v>
      </c>
      <c r="D208" s="485" t="s">
        <v>843</v>
      </c>
      <c r="E208" s="551">
        <v>98</v>
      </c>
      <c r="F208" s="552">
        <v>65</v>
      </c>
      <c r="G208" s="552">
        <v>4.5</v>
      </c>
      <c r="H208" s="593">
        <f t="shared" si="34"/>
        <v>2.4</v>
      </c>
      <c r="I208" s="140">
        <f t="shared" si="40"/>
        <v>655.19999999999993</v>
      </c>
      <c r="J208" s="566">
        <v>273</v>
      </c>
      <c r="K208" s="140">
        <f t="shared" si="41"/>
        <v>18260.767428825136</v>
      </c>
      <c r="L208" s="421">
        <v>20000</v>
      </c>
      <c r="M208" s="421"/>
      <c r="O208" s="464"/>
      <c r="P208" s="464"/>
      <c r="Q208" s="464"/>
      <c r="S208" s="464">
        <f t="shared" si="42"/>
        <v>5460000</v>
      </c>
      <c r="T208" s="464">
        <f t="shared" si="43"/>
        <v>4985189.5080692619</v>
      </c>
    </row>
    <row r="209" spans="1:20" ht="16.5" customHeight="1">
      <c r="A209" s="499">
        <f t="shared" si="44"/>
        <v>76</v>
      </c>
      <c r="B209" s="167" t="s">
        <v>813</v>
      </c>
      <c r="C209" s="484">
        <v>42719</v>
      </c>
      <c r="D209" s="485" t="s">
        <v>884</v>
      </c>
      <c r="E209" s="551">
        <v>50</v>
      </c>
      <c r="F209" s="552">
        <v>29.5</v>
      </c>
      <c r="G209" s="552">
        <v>19</v>
      </c>
      <c r="H209" s="593">
        <f t="shared" si="34"/>
        <v>0.84</v>
      </c>
      <c r="I209" s="140">
        <f t="shared" si="40"/>
        <v>2016</v>
      </c>
      <c r="J209" s="566">
        <v>2400</v>
      </c>
      <c r="K209" s="140">
        <f t="shared" si="41"/>
        <v>6391.2686000887979</v>
      </c>
      <c r="L209" s="421">
        <v>7500</v>
      </c>
      <c r="M209" s="421"/>
      <c r="O209" s="464"/>
      <c r="P209" s="464"/>
      <c r="Q209" s="464"/>
      <c r="S209" s="464">
        <f t="shared" si="42"/>
        <v>18000000</v>
      </c>
      <c r="T209" s="464">
        <f t="shared" si="43"/>
        <v>15339044.640213115</v>
      </c>
    </row>
    <row r="210" spans="1:20" ht="16.5" customHeight="1">
      <c r="A210" s="499">
        <f t="shared" si="44"/>
        <v>77</v>
      </c>
      <c r="B210" s="167" t="s">
        <v>813</v>
      </c>
      <c r="C210" s="484">
        <v>42720</v>
      </c>
      <c r="D210" s="485" t="s">
        <v>885</v>
      </c>
      <c r="E210" s="551">
        <v>50</v>
      </c>
      <c r="F210" s="552">
        <v>29.5</v>
      </c>
      <c r="G210" s="552">
        <v>19</v>
      </c>
      <c r="H210" s="593">
        <f t="shared" si="34"/>
        <v>0.84</v>
      </c>
      <c r="I210" s="140">
        <f t="shared" si="40"/>
        <v>2016</v>
      </c>
      <c r="J210" s="566">
        <v>2400</v>
      </c>
      <c r="K210" s="140">
        <f t="shared" si="41"/>
        <v>6391.2686000887979</v>
      </c>
      <c r="L210" s="421">
        <v>7500</v>
      </c>
      <c r="M210" s="421"/>
      <c r="O210" s="464"/>
      <c r="P210" s="464"/>
      <c r="Q210" s="464"/>
      <c r="S210" s="464">
        <f t="shared" si="42"/>
        <v>18000000</v>
      </c>
      <c r="T210" s="464">
        <f t="shared" si="43"/>
        <v>15339044.640213115</v>
      </c>
    </row>
    <row r="211" spans="1:20" ht="16.5" customHeight="1">
      <c r="A211" s="499">
        <f t="shared" si="44"/>
        <v>78</v>
      </c>
      <c r="B211" s="167" t="s">
        <v>848</v>
      </c>
      <c r="C211" s="484">
        <v>42721</v>
      </c>
      <c r="D211" s="485" t="s">
        <v>847</v>
      </c>
      <c r="E211" s="551">
        <v>36</v>
      </c>
      <c r="F211" s="552">
        <v>28</v>
      </c>
      <c r="G211" s="552">
        <v>20</v>
      </c>
      <c r="H211" s="593">
        <f t="shared" si="34"/>
        <v>0.68</v>
      </c>
      <c r="I211" s="140">
        <f t="shared" si="40"/>
        <v>139.4</v>
      </c>
      <c r="J211" s="566">
        <v>205</v>
      </c>
      <c r="K211" s="140">
        <f t="shared" si="41"/>
        <v>5173.8841048337899</v>
      </c>
      <c r="L211" s="421">
        <v>4950</v>
      </c>
      <c r="M211" s="421"/>
      <c r="O211" s="464"/>
      <c r="P211" s="464"/>
      <c r="Q211" s="464"/>
      <c r="S211" s="464">
        <f t="shared" si="42"/>
        <v>1014750</v>
      </c>
      <c r="T211" s="464">
        <f t="shared" si="43"/>
        <v>1060646.2414909268</v>
      </c>
    </row>
    <row r="212" spans="1:20" ht="16.5" customHeight="1">
      <c r="A212" s="499">
        <f t="shared" si="44"/>
        <v>79</v>
      </c>
      <c r="B212" s="167" t="s">
        <v>849</v>
      </c>
      <c r="C212" s="484">
        <v>42721</v>
      </c>
      <c r="D212" s="485" t="s">
        <v>847</v>
      </c>
      <c r="E212" s="551">
        <v>42</v>
      </c>
      <c r="F212" s="552">
        <v>28</v>
      </c>
      <c r="G212" s="552">
        <v>30</v>
      </c>
      <c r="H212" s="593">
        <f t="shared" si="34"/>
        <v>0.88</v>
      </c>
      <c r="I212" s="140">
        <f t="shared" si="40"/>
        <v>1020.8</v>
      </c>
      <c r="J212" s="566">
        <v>1160</v>
      </c>
      <c r="K212" s="140">
        <f t="shared" si="41"/>
        <v>6695.6147239025513</v>
      </c>
      <c r="L212" s="421">
        <v>9936</v>
      </c>
      <c r="M212" s="421"/>
      <c r="O212" s="464"/>
      <c r="P212" s="464"/>
      <c r="Q212" s="464"/>
      <c r="S212" s="464">
        <f t="shared" si="42"/>
        <v>11525760</v>
      </c>
      <c r="T212" s="464">
        <f t="shared" si="43"/>
        <v>7766913.0797269596</v>
      </c>
    </row>
    <row r="213" spans="1:20" ht="16.5" customHeight="1">
      <c r="A213" s="499">
        <f t="shared" si="44"/>
        <v>80</v>
      </c>
      <c r="B213" s="167" t="s">
        <v>851</v>
      </c>
      <c r="C213" s="484">
        <v>42721</v>
      </c>
      <c r="D213" s="485" t="s">
        <v>850</v>
      </c>
      <c r="E213" s="551">
        <v>38</v>
      </c>
      <c r="F213" s="552">
        <v>28</v>
      </c>
      <c r="G213" s="552">
        <v>33</v>
      </c>
      <c r="H213" s="593">
        <f t="shared" si="34"/>
        <v>0.88</v>
      </c>
      <c r="I213" s="140">
        <f t="shared" si="40"/>
        <v>256.95999999999998</v>
      </c>
      <c r="J213" s="566">
        <v>292</v>
      </c>
      <c r="K213" s="140">
        <f t="shared" si="41"/>
        <v>6695.6147239025513</v>
      </c>
      <c r="L213" s="421">
        <v>9853</v>
      </c>
      <c r="M213" s="421"/>
      <c r="O213" s="464"/>
      <c r="P213" s="464"/>
      <c r="Q213" s="464"/>
      <c r="S213" s="464">
        <f t="shared" si="42"/>
        <v>2877076</v>
      </c>
      <c r="T213" s="464">
        <f t="shared" si="43"/>
        <v>1955119.499379545</v>
      </c>
    </row>
    <row r="214" spans="1:20" ht="16.5" customHeight="1">
      <c r="A214" s="499">
        <f t="shared" si="44"/>
        <v>81</v>
      </c>
      <c r="B214" s="167" t="s">
        <v>852</v>
      </c>
      <c r="C214" s="484">
        <v>42721</v>
      </c>
      <c r="D214" s="485" t="s">
        <v>850</v>
      </c>
      <c r="E214" s="551">
        <v>38</v>
      </c>
      <c r="F214" s="552">
        <v>24</v>
      </c>
      <c r="G214" s="552">
        <v>30</v>
      </c>
      <c r="H214" s="593">
        <f t="shared" si="34"/>
        <v>0.74</v>
      </c>
      <c r="I214" s="140">
        <f t="shared" si="40"/>
        <v>133.19999999999999</v>
      </c>
      <c r="J214" s="566">
        <v>180</v>
      </c>
      <c r="K214" s="140">
        <f t="shared" si="41"/>
        <v>5630.4032905544173</v>
      </c>
      <c r="L214" s="421">
        <v>8243</v>
      </c>
      <c r="M214" s="421"/>
      <c r="O214" s="464"/>
      <c r="P214" s="464"/>
      <c r="Q214" s="464"/>
      <c r="S214" s="464">
        <f t="shared" si="42"/>
        <v>1483740</v>
      </c>
      <c r="T214" s="464">
        <f t="shared" si="43"/>
        <v>1013472.5922997951</v>
      </c>
    </row>
    <row r="215" spans="1:20" ht="16.5" customHeight="1">
      <c r="A215" s="499">
        <f t="shared" si="44"/>
        <v>82</v>
      </c>
      <c r="B215" s="167" t="s">
        <v>853</v>
      </c>
      <c r="C215" s="484">
        <v>42721</v>
      </c>
      <c r="D215" s="485" t="s">
        <v>850</v>
      </c>
      <c r="E215" s="551">
        <v>38</v>
      </c>
      <c r="F215" s="552">
        <v>18</v>
      </c>
      <c r="G215" s="552">
        <v>30</v>
      </c>
      <c r="H215" s="593">
        <f t="shared" si="34"/>
        <v>0.6</v>
      </c>
      <c r="I215" s="140">
        <f t="shared" si="40"/>
        <v>30</v>
      </c>
      <c r="J215" s="566">
        <v>50</v>
      </c>
      <c r="K215" s="140">
        <f t="shared" si="41"/>
        <v>4565.1918572062841</v>
      </c>
      <c r="L215" s="421">
        <v>6670</v>
      </c>
      <c r="M215" s="421"/>
      <c r="O215" s="464"/>
      <c r="P215" s="464"/>
      <c r="Q215" s="464"/>
      <c r="S215" s="464">
        <f t="shared" si="42"/>
        <v>333500</v>
      </c>
      <c r="T215" s="464">
        <f t="shared" si="43"/>
        <v>228259.59286031421</v>
      </c>
    </row>
    <row r="216" spans="1:20" ht="16.5" customHeight="1">
      <c r="A216" s="499">
        <f t="shared" si="44"/>
        <v>83</v>
      </c>
      <c r="B216" s="167" t="s">
        <v>854</v>
      </c>
      <c r="C216" s="484">
        <v>42721</v>
      </c>
      <c r="D216" s="485" t="s">
        <v>850</v>
      </c>
      <c r="E216" s="551">
        <v>38</v>
      </c>
      <c r="F216" s="552">
        <v>38</v>
      </c>
      <c r="G216" s="552">
        <v>34</v>
      </c>
      <c r="H216" s="593">
        <f t="shared" si="34"/>
        <v>1.18</v>
      </c>
      <c r="I216" s="140">
        <f t="shared" si="40"/>
        <v>653.71999999999991</v>
      </c>
      <c r="J216" s="566">
        <v>554</v>
      </c>
      <c r="K216" s="140">
        <f t="shared" si="41"/>
        <v>8978.2106525056934</v>
      </c>
      <c r="L216" s="421">
        <v>13276</v>
      </c>
      <c r="M216" s="421"/>
      <c r="O216" s="464"/>
      <c r="P216" s="464"/>
      <c r="Q216" s="464"/>
      <c r="S216" s="464">
        <f t="shared" si="42"/>
        <v>7354904</v>
      </c>
      <c r="T216" s="464">
        <f t="shared" si="43"/>
        <v>4973928.701488154</v>
      </c>
    </row>
    <row r="217" spans="1:20" ht="16.5" customHeight="1">
      <c r="A217" s="499">
        <f t="shared" si="44"/>
        <v>84</v>
      </c>
      <c r="B217" s="167" t="s">
        <v>857</v>
      </c>
      <c r="C217" s="484">
        <v>42721</v>
      </c>
      <c r="D217" s="485" t="s">
        <v>855</v>
      </c>
      <c r="E217" s="551">
        <v>36</v>
      </c>
      <c r="F217" s="552">
        <v>26</v>
      </c>
      <c r="G217" s="552"/>
      <c r="H217" s="593">
        <f t="shared" si="34"/>
        <v>0.09</v>
      </c>
      <c r="I217" s="140">
        <f t="shared" si="40"/>
        <v>52.559999999999995</v>
      </c>
      <c r="J217" s="566">
        <v>584</v>
      </c>
      <c r="K217" s="140">
        <f t="shared" si="41"/>
        <v>684.77877858094269</v>
      </c>
      <c r="L217" s="421">
        <v>562</v>
      </c>
      <c r="M217" s="421"/>
      <c r="O217" s="464"/>
      <c r="P217" s="464"/>
      <c r="Q217" s="464"/>
      <c r="S217" s="464">
        <f t="shared" si="42"/>
        <v>328208</v>
      </c>
      <c r="T217" s="464">
        <f t="shared" si="43"/>
        <v>399910.80669127055</v>
      </c>
    </row>
    <row r="218" spans="1:20" ht="16.5" customHeight="1">
      <c r="A218" s="499">
        <f t="shared" si="44"/>
        <v>85</v>
      </c>
      <c r="B218" s="167" t="s">
        <v>858</v>
      </c>
      <c r="C218" s="484">
        <v>42721</v>
      </c>
      <c r="D218" s="485" t="s">
        <v>855</v>
      </c>
      <c r="E218" s="551">
        <v>36</v>
      </c>
      <c r="F218" s="552">
        <v>22</v>
      </c>
      <c r="G218" s="552"/>
      <c r="H218" s="593">
        <f t="shared" si="34"/>
        <v>0.08</v>
      </c>
      <c r="I218" s="140">
        <f t="shared" si="40"/>
        <v>28.8</v>
      </c>
      <c r="J218" s="566">
        <v>360</v>
      </c>
      <c r="K218" s="140">
        <f t="shared" si="41"/>
        <v>608.69224762750468</v>
      </c>
      <c r="L218" s="421">
        <v>475</v>
      </c>
      <c r="M218" s="421"/>
      <c r="O218" s="464"/>
      <c r="P218" s="464"/>
      <c r="Q218" s="464"/>
      <c r="S218" s="464">
        <f t="shared" si="42"/>
        <v>171000</v>
      </c>
      <c r="T218" s="464">
        <f t="shared" si="43"/>
        <v>219129.2091459017</v>
      </c>
    </row>
    <row r="219" spans="1:20" ht="16.5" customHeight="1">
      <c r="A219" s="499">
        <f t="shared" si="44"/>
        <v>86</v>
      </c>
      <c r="B219" s="167" t="s">
        <v>859</v>
      </c>
      <c r="C219" s="484">
        <v>42721</v>
      </c>
      <c r="D219" s="485" t="s">
        <v>855</v>
      </c>
      <c r="E219" s="551">
        <v>36</v>
      </c>
      <c r="F219" s="552">
        <v>18</v>
      </c>
      <c r="G219" s="552"/>
      <c r="H219" s="593">
        <f t="shared" si="34"/>
        <v>0.06</v>
      </c>
      <c r="I219" s="140">
        <f t="shared" si="40"/>
        <v>6</v>
      </c>
      <c r="J219" s="566">
        <v>100</v>
      </c>
      <c r="K219" s="140">
        <f t="shared" si="41"/>
        <v>456.51918572062846</v>
      </c>
      <c r="L219" s="421">
        <v>389</v>
      </c>
      <c r="M219" s="421"/>
      <c r="O219" s="464"/>
      <c r="P219" s="464"/>
      <c r="Q219" s="464"/>
      <c r="S219" s="464">
        <f t="shared" si="42"/>
        <v>38900</v>
      </c>
      <c r="T219" s="464">
        <f t="shared" si="43"/>
        <v>45651.918572062845</v>
      </c>
    </row>
    <row r="220" spans="1:20" ht="16.5" customHeight="1">
      <c r="A220" s="499">
        <f t="shared" si="44"/>
        <v>87</v>
      </c>
      <c r="B220" s="167" t="s">
        <v>860</v>
      </c>
      <c r="C220" s="484">
        <v>42721</v>
      </c>
      <c r="D220" s="485" t="s">
        <v>855</v>
      </c>
      <c r="E220" s="551">
        <v>36</v>
      </c>
      <c r="F220" s="552">
        <v>36</v>
      </c>
      <c r="G220" s="552"/>
      <c r="H220" s="593">
        <f t="shared" si="34"/>
        <v>0.13</v>
      </c>
      <c r="I220" s="140">
        <f t="shared" si="40"/>
        <v>144.04</v>
      </c>
      <c r="J220" s="566">
        <v>1108</v>
      </c>
      <c r="K220" s="140">
        <f t="shared" si="41"/>
        <v>989.12490239469503</v>
      </c>
      <c r="L220" s="421">
        <v>778</v>
      </c>
      <c r="M220" s="421"/>
      <c r="O220" s="464"/>
      <c r="P220" s="464"/>
      <c r="Q220" s="464"/>
      <c r="S220" s="464">
        <f t="shared" si="42"/>
        <v>862024</v>
      </c>
      <c r="T220" s="464">
        <f t="shared" si="43"/>
        <v>1095950.391853322</v>
      </c>
    </row>
    <row r="221" spans="1:20" ht="16.5" customHeight="1">
      <c r="A221" s="499">
        <f t="shared" si="44"/>
        <v>88</v>
      </c>
      <c r="B221" s="167" t="s">
        <v>813</v>
      </c>
      <c r="C221" s="484">
        <v>42721</v>
      </c>
      <c r="D221" s="485" t="s">
        <v>886</v>
      </c>
      <c r="E221" s="551">
        <v>50</v>
      </c>
      <c r="F221" s="552">
        <v>29.5</v>
      </c>
      <c r="G221" s="552">
        <v>19</v>
      </c>
      <c r="H221" s="593">
        <f t="shared" si="34"/>
        <v>0.84</v>
      </c>
      <c r="I221" s="140">
        <f t="shared" si="40"/>
        <v>2016</v>
      </c>
      <c r="J221" s="566">
        <v>2400</v>
      </c>
      <c r="K221" s="140">
        <f t="shared" si="41"/>
        <v>6391.2686000887979</v>
      </c>
      <c r="L221" s="421">
        <v>7500</v>
      </c>
      <c r="M221" s="421"/>
      <c r="O221" s="464"/>
      <c r="P221" s="464"/>
      <c r="Q221" s="464"/>
      <c r="S221" s="464">
        <f t="shared" si="42"/>
        <v>18000000</v>
      </c>
      <c r="T221" s="464">
        <f t="shared" si="43"/>
        <v>15339044.640213115</v>
      </c>
    </row>
    <row r="222" spans="1:20" ht="16.5" customHeight="1">
      <c r="A222" s="499">
        <f t="shared" si="44"/>
        <v>89</v>
      </c>
      <c r="B222" s="167" t="s">
        <v>813</v>
      </c>
      <c r="C222" s="484">
        <v>42722</v>
      </c>
      <c r="D222" s="485" t="s">
        <v>887</v>
      </c>
      <c r="E222" s="551">
        <v>50</v>
      </c>
      <c r="F222" s="552">
        <v>29.5</v>
      </c>
      <c r="G222" s="552">
        <v>19</v>
      </c>
      <c r="H222" s="593">
        <f t="shared" ref="H222:H246" si="45">IF(G222&lt;&gt;"",ROUND(((E222+F222)*2+5)*(F222+G222+3)/10000,2),ROUND(E222*F222/10000,2))</f>
        <v>0.84</v>
      </c>
      <c r="I222" s="140">
        <f t="shared" si="40"/>
        <v>2016</v>
      </c>
      <c r="J222" s="566">
        <v>2400</v>
      </c>
      <c r="K222" s="140">
        <f t="shared" si="41"/>
        <v>6391.2686000887979</v>
      </c>
      <c r="L222" s="421">
        <v>7500</v>
      </c>
      <c r="M222" s="421"/>
      <c r="O222" s="464"/>
      <c r="P222" s="464"/>
      <c r="Q222" s="464"/>
      <c r="S222" s="464">
        <f t="shared" si="42"/>
        <v>18000000</v>
      </c>
      <c r="T222" s="464">
        <f t="shared" si="43"/>
        <v>15339044.640213115</v>
      </c>
    </row>
    <row r="223" spans="1:20" ht="16.5" customHeight="1">
      <c r="A223" s="499">
        <f t="shared" si="44"/>
        <v>90</v>
      </c>
      <c r="B223" s="167" t="s">
        <v>813</v>
      </c>
      <c r="C223" s="484">
        <v>42723</v>
      </c>
      <c r="D223" s="485" t="s">
        <v>888</v>
      </c>
      <c r="E223" s="551">
        <v>50</v>
      </c>
      <c r="F223" s="552">
        <v>29.5</v>
      </c>
      <c r="G223" s="552">
        <v>19</v>
      </c>
      <c r="H223" s="593">
        <f t="shared" si="45"/>
        <v>0.84</v>
      </c>
      <c r="I223" s="140">
        <f t="shared" si="40"/>
        <v>2016</v>
      </c>
      <c r="J223" s="566">
        <v>2400</v>
      </c>
      <c r="K223" s="140">
        <f t="shared" si="41"/>
        <v>6391.2686000887979</v>
      </c>
      <c r="L223" s="421">
        <v>7500</v>
      </c>
      <c r="M223" s="421"/>
      <c r="O223" s="464"/>
      <c r="P223" s="464"/>
      <c r="Q223" s="464"/>
      <c r="S223" s="464">
        <f t="shared" si="42"/>
        <v>18000000</v>
      </c>
      <c r="T223" s="464">
        <f t="shared" si="43"/>
        <v>15339044.640213115</v>
      </c>
    </row>
    <row r="224" spans="1:20" ht="16.5" customHeight="1">
      <c r="A224" s="499">
        <f t="shared" si="44"/>
        <v>91</v>
      </c>
      <c r="B224" s="167" t="s">
        <v>691</v>
      </c>
      <c r="C224" s="484">
        <v>42724</v>
      </c>
      <c r="D224" s="485" t="s">
        <v>889</v>
      </c>
      <c r="E224" s="551">
        <v>37.5</v>
      </c>
      <c r="F224" s="552">
        <v>25.3</v>
      </c>
      <c r="G224" s="552">
        <v>23.9</v>
      </c>
      <c r="H224" s="593">
        <f t="shared" si="45"/>
        <v>0.68</v>
      </c>
      <c r="I224" s="140">
        <f t="shared" si="40"/>
        <v>592.96</v>
      </c>
      <c r="J224" s="566">
        <v>872</v>
      </c>
      <c r="K224" s="140">
        <f t="shared" si="41"/>
        <v>5173.8841048337899</v>
      </c>
      <c r="L224" s="421">
        <v>5900</v>
      </c>
      <c r="M224" s="421"/>
      <c r="O224" s="464"/>
      <c r="P224" s="464"/>
      <c r="Q224" s="464"/>
      <c r="S224" s="464">
        <f t="shared" si="42"/>
        <v>5144800</v>
      </c>
      <c r="T224" s="464">
        <f t="shared" si="43"/>
        <v>4511626.9394150646</v>
      </c>
    </row>
    <row r="225" spans="1:20" ht="16.5" customHeight="1">
      <c r="A225" s="499">
        <f t="shared" si="44"/>
        <v>92</v>
      </c>
      <c r="B225" s="167" t="s">
        <v>893</v>
      </c>
      <c r="C225" s="484">
        <v>42724</v>
      </c>
      <c r="D225" s="485" t="s">
        <v>892</v>
      </c>
      <c r="E225" s="551">
        <v>84</v>
      </c>
      <c r="F225" s="552">
        <v>17</v>
      </c>
      <c r="G225" s="552">
        <v>84</v>
      </c>
      <c r="H225" s="593">
        <f t="shared" si="45"/>
        <v>2.15</v>
      </c>
      <c r="I225" s="140">
        <f t="shared" si="40"/>
        <v>150.5</v>
      </c>
      <c r="J225" s="566">
        <v>70</v>
      </c>
      <c r="K225" s="140">
        <f t="shared" si="41"/>
        <v>16358.604154989185</v>
      </c>
      <c r="L225" s="421">
        <v>24700</v>
      </c>
      <c r="M225" s="421"/>
      <c r="O225" s="464"/>
      <c r="P225" s="464"/>
      <c r="Q225" s="464"/>
      <c r="S225" s="464">
        <f t="shared" si="42"/>
        <v>1729000</v>
      </c>
      <c r="T225" s="464">
        <f t="shared" si="43"/>
        <v>1145102.2908492431</v>
      </c>
    </row>
    <row r="226" spans="1:20" ht="16.5" customHeight="1">
      <c r="A226" s="499">
        <f t="shared" si="44"/>
        <v>93</v>
      </c>
      <c r="B226" s="167" t="s">
        <v>896</v>
      </c>
      <c r="C226" s="484">
        <v>42724</v>
      </c>
      <c r="D226" s="485" t="s">
        <v>895</v>
      </c>
      <c r="E226" s="551">
        <v>60</v>
      </c>
      <c r="F226" s="552">
        <v>35</v>
      </c>
      <c r="G226" s="552">
        <v>50</v>
      </c>
      <c r="H226" s="593">
        <f t="shared" si="45"/>
        <v>1.72</v>
      </c>
      <c r="I226" s="140">
        <f t="shared" si="40"/>
        <v>216.72</v>
      </c>
      <c r="J226" s="566">
        <v>126</v>
      </c>
      <c r="K226" s="140">
        <f t="shared" si="41"/>
        <v>13086.883323991349</v>
      </c>
      <c r="L226" s="421">
        <v>21900</v>
      </c>
      <c r="M226" s="421"/>
      <c r="O226" s="464"/>
      <c r="P226" s="464"/>
      <c r="Q226" s="464"/>
      <c r="S226" s="464">
        <f t="shared" si="42"/>
        <v>2759400</v>
      </c>
      <c r="T226" s="464">
        <f t="shared" si="43"/>
        <v>1648947.2988229101</v>
      </c>
    </row>
    <row r="227" spans="1:20" ht="16.5" customHeight="1">
      <c r="A227" s="499">
        <f t="shared" si="44"/>
        <v>94</v>
      </c>
      <c r="B227" s="167" t="s">
        <v>897</v>
      </c>
      <c r="C227" s="484">
        <v>42724</v>
      </c>
      <c r="D227" s="485" t="s">
        <v>895</v>
      </c>
      <c r="E227" s="551">
        <v>30</v>
      </c>
      <c r="F227" s="552">
        <v>30</v>
      </c>
      <c r="G227" s="552"/>
      <c r="H227" s="593">
        <f t="shared" si="45"/>
        <v>0.09</v>
      </c>
      <c r="I227" s="140">
        <f t="shared" si="40"/>
        <v>11.34</v>
      </c>
      <c r="J227" s="566">
        <v>126</v>
      </c>
      <c r="K227" s="140">
        <f t="shared" si="41"/>
        <v>684.77877858094269</v>
      </c>
      <c r="L227" s="421">
        <v>800</v>
      </c>
      <c r="M227" s="421"/>
      <c r="O227" s="464"/>
      <c r="P227" s="464"/>
      <c r="Q227" s="464"/>
      <c r="S227" s="464">
        <f t="shared" si="42"/>
        <v>100800</v>
      </c>
      <c r="T227" s="464">
        <f t="shared" si="43"/>
        <v>86282.126101198781</v>
      </c>
    </row>
    <row r="228" spans="1:20" ht="16.5" customHeight="1">
      <c r="A228" s="499">
        <f t="shared" si="44"/>
        <v>95</v>
      </c>
      <c r="B228" s="167" t="s">
        <v>813</v>
      </c>
      <c r="C228" s="484">
        <v>42724</v>
      </c>
      <c r="D228" s="485" t="s">
        <v>899</v>
      </c>
      <c r="E228" s="551">
        <v>50</v>
      </c>
      <c r="F228" s="552">
        <v>29.5</v>
      </c>
      <c r="G228" s="552">
        <v>19</v>
      </c>
      <c r="H228" s="593">
        <f t="shared" si="45"/>
        <v>0.84</v>
      </c>
      <c r="I228" s="140">
        <f t="shared" si="40"/>
        <v>2016</v>
      </c>
      <c r="J228" s="566">
        <v>2400</v>
      </c>
      <c r="K228" s="140">
        <f t="shared" si="41"/>
        <v>6391.2686000887979</v>
      </c>
      <c r="L228" s="421">
        <v>7500</v>
      </c>
      <c r="M228" s="421"/>
      <c r="O228" s="464"/>
      <c r="P228" s="464"/>
      <c r="Q228" s="464"/>
      <c r="S228" s="464">
        <f t="shared" si="42"/>
        <v>18000000</v>
      </c>
      <c r="T228" s="464">
        <f t="shared" si="43"/>
        <v>15339044.640213115</v>
      </c>
    </row>
    <row r="229" spans="1:20" ht="16.5" customHeight="1">
      <c r="A229" s="499">
        <f t="shared" si="44"/>
        <v>96</v>
      </c>
      <c r="B229" s="167" t="s">
        <v>813</v>
      </c>
      <c r="C229" s="484">
        <v>42725</v>
      </c>
      <c r="D229" s="485" t="s">
        <v>900</v>
      </c>
      <c r="E229" s="551">
        <v>50</v>
      </c>
      <c r="F229" s="552">
        <v>29.5</v>
      </c>
      <c r="G229" s="552">
        <v>19</v>
      </c>
      <c r="H229" s="593">
        <f t="shared" si="45"/>
        <v>0.84</v>
      </c>
      <c r="I229" s="140">
        <f t="shared" si="40"/>
        <v>2016</v>
      </c>
      <c r="J229" s="566">
        <v>2400</v>
      </c>
      <c r="K229" s="140">
        <f t="shared" si="41"/>
        <v>6391.2686000887979</v>
      </c>
      <c r="L229" s="421">
        <v>7500</v>
      </c>
      <c r="M229" s="421"/>
      <c r="O229" s="464"/>
      <c r="P229" s="464"/>
      <c r="Q229" s="464"/>
      <c r="S229" s="464">
        <f t="shared" si="42"/>
        <v>18000000</v>
      </c>
      <c r="T229" s="464">
        <f t="shared" si="43"/>
        <v>15339044.640213115</v>
      </c>
    </row>
    <row r="230" spans="1:20" ht="16.5" customHeight="1">
      <c r="A230" s="499">
        <f t="shared" si="44"/>
        <v>97</v>
      </c>
      <c r="B230" s="167" t="s">
        <v>902</v>
      </c>
      <c r="C230" s="484">
        <v>42726</v>
      </c>
      <c r="D230" s="485" t="s">
        <v>901</v>
      </c>
      <c r="E230" s="551">
        <v>48</v>
      </c>
      <c r="F230" s="552">
        <v>42</v>
      </c>
      <c r="G230" s="552">
        <v>25</v>
      </c>
      <c r="H230" s="593">
        <f t="shared" si="45"/>
        <v>1.3</v>
      </c>
      <c r="I230" s="140">
        <f t="shared" ref="I230:I261" si="46">H230*J230</f>
        <v>370.5</v>
      </c>
      <c r="J230" s="566">
        <v>285</v>
      </c>
      <c r="K230" s="140">
        <f t="shared" ref="K230:K271" si="47">H230*$R$170</f>
        <v>9891.2490239469498</v>
      </c>
      <c r="L230" s="421">
        <v>10100</v>
      </c>
      <c r="M230" s="421"/>
      <c r="O230" s="464"/>
      <c r="P230" s="464"/>
      <c r="Q230" s="464"/>
      <c r="S230" s="464">
        <f t="shared" ref="S230:S271" si="48">J230*L230</f>
        <v>2878500</v>
      </c>
      <c r="T230" s="464">
        <f t="shared" ref="T230:T271" si="49">J230*K230</f>
        <v>2819005.9718248807</v>
      </c>
    </row>
    <row r="231" spans="1:20" ht="16.5" customHeight="1">
      <c r="A231" s="499">
        <f t="shared" si="44"/>
        <v>98</v>
      </c>
      <c r="B231" s="167" t="s">
        <v>903</v>
      </c>
      <c r="C231" s="484">
        <v>42726</v>
      </c>
      <c r="D231" s="485" t="s">
        <v>901</v>
      </c>
      <c r="E231" s="551">
        <v>48</v>
      </c>
      <c r="F231" s="552">
        <v>37</v>
      </c>
      <c r="G231" s="552">
        <v>31</v>
      </c>
      <c r="H231" s="593">
        <f t="shared" si="45"/>
        <v>1.24</v>
      </c>
      <c r="I231" s="140">
        <f t="shared" si="46"/>
        <v>136.4</v>
      </c>
      <c r="J231" s="566">
        <v>110</v>
      </c>
      <c r="K231" s="140">
        <f t="shared" si="47"/>
        <v>9434.7298382263216</v>
      </c>
      <c r="L231" s="421">
        <v>9640</v>
      </c>
      <c r="M231" s="421"/>
      <c r="O231" s="464"/>
      <c r="P231" s="464"/>
      <c r="Q231" s="464"/>
      <c r="S231" s="464">
        <f t="shared" si="48"/>
        <v>1060400</v>
      </c>
      <c r="T231" s="464">
        <f t="shared" si="49"/>
        <v>1037820.2822048954</v>
      </c>
    </row>
    <row r="232" spans="1:20" ht="16.5" customHeight="1">
      <c r="A232" s="499">
        <f t="shared" si="44"/>
        <v>99</v>
      </c>
      <c r="B232" s="167" t="s">
        <v>904</v>
      </c>
      <c r="C232" s="484">
        <v>42726</v>
      </c>
      <c r="D232" s="485" t="s">
        <v>901</v>
      </c>
      <c r="E232" s="551">
        <v>42</v>
      </c>
      <c r="F232" s="552">
        <v>42</v>
      </c>
      <c r="G232" s="552">
        <v>29</v>
      </c>
      <c r="H232" s="593">
        <f t="shared" si="45"/>
        <v>1.28</v>
      </c>
      <c r="I232" s="140">
        <f t="shared" si="46"/>
        <v>204.8</v>
      </c>
      <c r="J232" s="566">
        <v>160</v>
      </c>
      <c r="K232" s="140">
        <f t="shared" si="47"/>
        <v>9739.075962040075</v>
      </c>
      <c r="L232" s="421">
        <v>9940</v>
      </c>
      <c r="M232" s="421"/>
      <c r="O232" s="464"/>
      <c r="P232" s="464"/>
      <c r="Q232" s="464"/>
      <c r="S232" s="464">
        <f t="shared" si="48"/>
        <v>1590400</v>
      </c>
      <c r="T232" s="464">
        <f t="shared" si="49"/>
        <v>1558252.1539264121</v>
      </c>
    </row>
    <row r="233" spans="1:20" ht="16.5" customHeight="1">
      <c r="A233" s="499">
        <f t="shared" si="44"/>
        <v>100</v>
      </c>
      <c r="B233" s="167" t="s">
        <v>501</v>
      </c>
      <c r="C233" s="484">
        <v>42726</v>
      </c>
      <c r="D233" s="485" t="s">
        <v>901</v>
      </c>
      <c r="E233" s="551">
        <v>48</v>
      </c>
      <c r="F233" s="552">
        <v>41</v>
      </c>
      <c r="G233" s="552">
        <v>29</v>
      </c>
      <c r="H233" s="593">
        <f t="shared" si="45"/>
        <v>1.34</v>
      </c>
      <c r="I233" s="140">
        <f t="shared" si="46"/>
        <v>737</v>
      </c>
      <c r="J233" s="566">
        <v>550</v>
      </c>
      <c r="K233" s="140">
        <f t="shared" si="47"/>
        <v>10195.595147760703</v>
      </c>
      <c r="L233" s="421">
        <v>14500</v>
      </c>
      <c r="M233" s="421"/>
      <c r="O233" s="464"/>
      <c r="P233" s="464"/>
      <c r="Q233" s="464"/>
      <c r="S233" s="464">
        <f t="shared" si="48"/>
        <v>7975000</v>
      </c>
      <c r="T233" s="464">
        <f t="shared" si="49"/>
        <v>5607577.3312683869</v>
      </c>
    </row>
    <row r="234" spans="1:20" ht="16.5" customHeight="1">
      <c r="A234" s="499">
        <f t="shared" si="44"/>
        <v>101</v>
      </c>
      <c r="B234" s="167" t="s">
        <v>906</v>
      </c>
      <c r="C234" s="484">
        <v>42726</v>
      </c>
      <c r="D234" s="485" t="s">
        <v>905</v>
      </c>
      <c r="E234" s="551">
        <v>53</v>
      </c>
      <c r="F234" s="552">
        <v>42</v>
      </c>
      <c r="G234" s="552">
        <v>40</v>
      </c>
      <c r="H234" s="593">
        <f t="shared" si="45"/>
        <v>1.66</v>
      </c>
      <c r="I234" s="140">
        <f t="shared" si="46"/>
        <v>456.5</v>
      </c>
      <c r="J234" s="566">
        <v>275</v>
      </c>
      <c r="K234" s="140">
        <f t="shared" si="47"/>
        <v>12630.364138270721</v>
      </c>
      <c r="L234" s="421">
        <v>18800</v>
      </c>
      <c r="M234" s="421"/>
      <c r="O234" s="464"/>
      <c r="P234" s="464"/>
      <c r="Q234" s="464"/>
      <c r="R234" s="601"/>
      <c r="S234" s="464">
        <f t="shared" si="48"/>
        <v>5170000</v>
      </c>
      <c r="T234" s="464">
        <f t="shared" si="49"/>
        <v>3473350.1380244484</v>
      </c>
    </row>
    <row r="235" spans="1:20" ht="16.5" customHeight="1">
      <c r="A235" s="499">
        <f t="shared" si="44"/>
        <v>102</v>
      </c>
      <c r="B235" s="167" t="s">
        <v>907</v>
      </c>
      <c r="C235" s="484">
        <v>42726</v>
      </c>
      <c r="D235" s="485" t="s">
        <v>905</v>
      </c>
      <c r="E235" s="551">
        <v>48</v>
      </c>
      <c r="F235" s="552">
        <v>41</v>
      </c>
      <c r="G235" s="552">
        <v>33</v>
      </c>
      <c r="H235" s="593">
        <f t="shared" si="45"/>
        <v>1.41</v>
      </c>
      <c r="I235" s="140">
        <f t="shared" si="46"/>
        <v>93.059999999999988</v>
      </c>
      <c r="J235" s="566">
        <v>66</v>
      </c>
      <c r="K235" s="140">
        <f t="shared" si="47"/>
        <v>10728.200864434768</v>
      </c>
      <c r="L235" s="421">
        <v>18000</v>
      </c>
      <c r="M235" s="421"/>
      <c r="O235" s="464"/>
      <c r="P235" s="464"/>
      <c r="Q235" s="464"/>
      <c r="S235" s="464">
        <f t="shared" si="48"/>
        <v>1188000</v>
      </c>
      <c r="T235" s="464">
        <f t="shared" si="49"/>
        <v>708061.25705269468</v>
      </c>
    </row>
    <row r="236" spans="1:20" ht="16.5" customHeight="1">
      <c r="A236" s="499">
        <f t="shared" si="44"/>
        <v>103</v>
      </c>
      <c r="B236" s="167" t="s">
        <v>501</v>
      </c>
      <c r="C236" s="484">
        <v>42726</v>
      </c>
      <c r="D236" s="485" t="s">
        <v>905</v>
      </c>
      <c r="E236" s="551">
        <v>48</v>
      </c>
      <c r="F236" s="552">
        <v>41</v>
      </c>
      <c r="G236" s="552">
        <v>29</v>
      </c>
      <c r="H236" s="593">
        <f t="shared" si="45"/>
        <v>1.34</v>
      </c>
      <c r="I236" s="140">
        <f t="shared" si="46"/>
        <v>221.10000000000002</v>
      </c>
      <c r="J236" s="566">
        <v>165</v>
      </c>
      <c r="K236" s="140">
        <f t="shared" si="47"/>
        <v>10195.595147760703</v>
      </c>
      <c r="L236" s="421">
        <v>14500</v>
      </c>
      <c r="M236" s="421"/>
      <c r="O236" s="464"/>
      <c r="P236" s="464"/>
      <c r="Q236" s="464"/>
      <c r="S236" s="464">
        <f t="shared" si="48"/>
        <v>2392500</v>
      </c>
      <c r="T236" s="464">
        <f t="shared" si="49"/>
        <v>1682273.1993805161</v>
      </c>
    </row>
    <row r="237" spans="1:20" ht="16.5" customHeight="1">
      <c r="A237" s="499">
        <f t="shared" si="44"/>
        <v>104</v>
      </c>
      <c r="B237" s="167" t="s">
        <v>509</v>
      </c>
      <c r="C237" s="484">
        <v>42726</v>
      </c>
      <c r="D237" s="485" t="s">
        <v>905</v>
      </c>
      <c r="E237" s="551">
        <v>50</v>
      </c>
      <c r="F237" s="552">
        <v>40</v>
      </c>
      <c r="G237" s="552"/>
      <c r="H237" s="593">
        <f t="shared" si="45"/>
        <v>0.2</v>
      </c>
      <c r="I237" s="140">
        <f t="shared" si="46"/>
        <v>110</v>
      </c>
      <c r="J237" s="566">
        <v>550</v>
      </c>
      <c r="K237" s="140">
        <f t="shared" si="47"/>
        <v>1521.7306190687616</v>
      </c>
      <c r="L237" s="421">
        <v>1230</v>
      </c>
      <c r="M237" s="421"/>
      <c r="O237" s="464"/>
      <c r="P237" s="464"/>
      <c r="Q237" s="464"/>
      <c r="S237" s="464">
        <f t="shared" si="48"/>
        <v>676500</v>
      </c>
      <c r="T237" s="464">
        <f t="shared" si="49"/>
        <v>836951.84048781893</v>
      </c>
    </row>
    <row r="238" spans="1:20" ht="16.5" customHeight="1">
      <c r="A238" s="499">
        <f t="shared" si="44"/>
        <v>105</v>
      </c>
      <c r="B238" s="167" t="s">
        <v>908</v>
      </c>
      <c r="C238" s="484">
        <v>42726</v>
      </c>
      <c r="D238" s="485" t="s">
        <v>905</v>
      </c>
      <c r="E238" s="551">
        <v>45</v>
      </c>
      <c r="F238" s="552">
        <v>39</v>
      </c>
      <c r="G238" s="552"/>
      <c r="H238" s="593">
        <f t="shared" si="45"/>
        <v>0.18</v>
      </c>
      <c r="I238" s="140">
        <f t="shared" si="46"/>
        <v>23.759999999999998</v>
      </c>
      <c r="J238" s="566">
        <v>132</v>
      </c>
      <c r="K238" s="140">
        <f t="shared" si="47"/>
        <v>1369.5575571618854</v>
      </c>
      <c r="L238" s="421">
        <v>1100</v>
      </c>
      <c r="M238" s="421"/>
      <c r="O238" s="464"/>
      <c r="P238" s="464"/>
      <c r="Q238" s="464"/>
      <c r="S238" s="464">
        <f t="shared" si="48"/>
        <v>145200</v>
      </c>
      <c r="T238" s="464">
        <f t="shared" si="49"/>
        <v>180781.59754536886</v>
      </c>
    </row>
    <row r="239" spans="1:20" ht="16.5" customHeight="1">
      <c r="A239" s="499">
        <f t="shared" si="44"/>
        <v>106</v>
      </c>
      <c r="B239" s="167" t="s">
        <v>500</v>
      </c>
      <c r="C239" s="484">
        <v>42726</v>
      </c>
      <c r="D239" s="485" t="s">
        <v>909</v>
      </c>
      <c r="E239" s="551">
        <v>47</v>
      </c>
      <c r="F239" s="552">
        <v>42</v>
      </c>
      <c r="G239" s="552">
        <v>25</v>
      </c>
      <c r="H239" s="593">
        <f t="shared" si="45"/>
        <v>1.28</v>
      </c>
      <c r="I239" s="140">
        <f t="shared" si="46"/>
        <v>730.88</v>
      </c>
      <c r="J239" s="566">
        <v>571</v>
      </c>
      <c r="K239" s="140">
        <f t="shared" si="47"/>
        <v>9739.075962040075</v>
      </c>
      <c r="L239" s="421">
        <v>9530</v>
      </c>
      <c r="M239" s="421"/>
      <c r="O239" s="464"/>
      <c r="P239" s="464"/>
      <c r="Q239" s="464"/>
      <c r="S239" s="464">
        <f t="shared" si="48"/>
        <v>5441630</v>
      </c>
      <c r="T239" s="464">
        <f t="shared" si="49"/>
        <v>5561012.3743248824</v>
      </c>
    </row>
    <row r="240" spans="1:20" ht="16.5" customHeight="1">
      <c r="A240" s="499">
        <f t="shared" si="44"/>
        <v>107</v>
      </c>
      <c r="B240" s="167" t="s">
        <v>500</v>
      </c>
      <c r="C240" s="484">
        <v>42726</v>
      </c>
      <c r="D240" s="485" t="s">
        <v>910</v>
      </c>
      <c r="E240" s="551">
        <v>47</v>
      </c>
      <c r="F240" s="552">
        <v>42</v>
      </c>
      <c r="G240" s="552">
        <v>25</v>
      </c>
      <c r="H240" s="593">
        <f t="shared" si="45"/>
        <v>1.28</v>
      </c>
      <c r="I240" s="140">
        <f t="shared" si="46"/>
        <v>810.24</v>
      </c>
      <c r="J240" s="566">
        <v>633</v>
      </c>
      <c r="K240" s="140">
        <f t="shared" si="47"/>
        <v>9739.075962040075</v>
      </c>
      <c r="L240" s="421">
        <v>9530</v>
      </c>
      <c r="M240" s="421"/>
      <c r="O240" s="464"/>
      <c r="P240" s="464"/>
      <c r="Q240" s="464"/>
      <c r="S240" s="464">
        <f t="shared" si="48"/>
        <v>6032490</v>
      </c>
      <c r="T240" s="464">
        <f t="shared" si="49"/>
        <v>6164835.0839713672</v>
      </c>
    </row>
    <row r="241" spans="1:20" ht="16.5" customHeight="1">
      <c r="A241" s="499">
        <f t="shared" si="44"/>
        <v>108</v>
      </c>
      <c r="B241" s="167" t="s">
        <v>529</v>
      </c>
      <c r="C241" s="484">
        <v>42726</v>
      </c>
      <c r="D241" s="485" t="s">
        <v>911</v>
      </c>
      <c r="E241" s="551">
        <v>103</v>
      </c>
      <c r="F241" s="552">
        <v>50</v>
      </c>
      <c r="G241" s="552">
        <v>180</v>
      </c>
      <c r="H241" s="593">
        <f t="shared" si="45"/>
        <v>7.25</v>
      </c>
      <c r="I241" s="140">
        <f t="shared" si="46"/>
        <v>2088</v>
      </c>
      <c r="J241" s="566">
        <v>288</v>
      </c>
      <c r="K241" s="140">
        <f t="shared" si="47"/>
        <v>55162.734941242605</v>
      </c>
      <c r="L241" s="421">
        <v>47449</v>
      </c>
      <c r="M241" s="421"/>
      <c r="O241" s="464"/>
      <c r="P241" s="464"/>
      <c r="Q241" s="464"/>
      <c r="S241" s="464">
        <f t="shared" si="48"/>
        <v>13665312</v>
      </c>
      <c r="T241" s="464">
        <f t="shared" si="49"/>
        <v>15886867.66307787</v>
      </c>
    </row>
    <row r="242" spans="1:20" ht="16.5" customHeight="1">
      <c r="A242" s="499">
        <f t="shared" si="44"/>
        <v>109</v>
      </c>
      <c r="B242" s="167" t="s">
        <v>912</v>
      </c>
      <c r="C242" s="484">
        <v>42726</v>
      </c>
      <c r="D242" s="485" t="s">
        <v>911</v>
      </c>
      <c r="E242" s="551">
        <v>76</v>
      </c>
      <c r="F242" s="552">
        <v>54</v>
      </c>
      <c r="G242" s="552">
        <v>140</v>
      </c>
      <c r="H242" s="593">
        <f t="shared" si="45"/>
        <v>5.22</v>
      </c>
      <c r="I242" s="140">
        <f t="shared" si="46"/>
        <v>125.28</v>
      </c>
      <c r="J242" s="566">
        <v>24</v>
      </c>
      <c r="K242" s="140">
        <f t="shared" si="47"/>
        <v>39717.169157694676</v>
      </c>
      <c r="L242" s="421">
        <v>35000</v>
      </c>
      <c r="M242" s="421"/>
      <c r="O242" s="464"/>
      <c r="P242" s="464"/>
      <c r="Q242" s="464"/>
      <c r="S242" s="464">
        <f t="shared" si="48"/>
        <v>840000</v>
      </c>
      <c r="T242" s="464">
        <f t="shared" si="49"/>
        <v>953212.05978467222</v>
      </c>
    </row>
    <row r="243" spans="1:20" ht="16.5" customHeight="1">
      <c r="A243" s="499">
        <f t="shared" si="44"/>
        <v>110</v>
      </c>
      <c r="B243" s="167" t="s">
        <v>813</v>
      </c>
      <c r="C243" s="484">
        <v>42726</v>
      </c>
      <c r="D243" s="485" t="s">
        <v>913</v>
      </c>
      <c r="E243" s="551">
        <v>50</v>
      </c>
      <c r="F243" s="552">
        <v>29.5</v>
      </c>
      <c r="G243" s="552">
        <v>19</v>
      </c>
      <c r="H243" s="593">
        <f t="shared" si="45"/>
        <v>0.84</v>
      </c>
      <c r="I243" s="140">
        <f t="shared" si="46"/>
        <v>462</v>
      </c>
      <c r="J243" s="566">
        <v>550</v>
      </c>
      <c r="K243" s="140">
        <f t="shared" si="47"/>
        <v>6391.2686000887979</v>
      </c>
      <c r="L243" s="421">
        <v>7500</v>
      </c>
      <c r="M243" s="421"/>
      <c r="O243" s="464"/>
      <c r="P243" s="464"/>
      <c r="Q243" s="464"/>
      <c r="S243" s="464">
        <f t="shared" si="48"/>
        <v>4125000</v>
      </c>
      <c r="T243" s="464">
        <f t="shared" si="49"/>
        <v>3515197.730048839</v>
      </c>
    </row>
    <row r="244" spans="1:20" ht="16.5" customHeight="1">
      <c r="A244" s="499">
        <f t="shared" si="44"/>
        <v>111</v>
      </c>
      <c r="B244" s="167" t="s">
        <v>813</v>
      </c>
      <c r="C244" s="484">
        <v>42727</v>
      </c>
      <c r="D244" s="485" t="s">
        <v>914</v>
      </c>
      <c r="E244" s="551">
        <v>50</v>
      </c>
      <c r="F244" s="552">
        <v>29.5</v>
      </c>
      <c r="G244" s="552">
        <v>19</v>
      </c>
      <c r="H244" s="593">
        <f t="shared" si="45"/>
        <v>0.84</v>
      </c>
      <c r="I244" s="140">
        <f t="shared" si="46"/>
        <v>2016</v>
      </c>
      <c r="J244" s="566">
        <v>2400</v>
      </c>
      <c r="K244" s="140">
        <f t="shared" si="47"/>
        <v>6391.2686000887979</v>
      </c>
      <c r="L244" s="421">
        <v>7500</v>
      </c>
      <c r="M244" s="421"/>
      <c r="O244" s="464"/>
      <c r="P244" s="464"/>
      <c r="Q244" s="464"/>
      <c r="S244" s="464">
        <f t="shared" si="48"/>
        <v>18000000</v>
      </c>
      <c r="T244" s="464">
        <f t="shared" si="49"/>
        <v>15339044.640213115</v>
      </c>
    </row>
    <row r="245" spans="1:20" ht="16.5" customHeight="1">
      <c r="A245" s="499">
        <f t="shared" si="44"/>
        <v>112</v>
      </c>
      <c r="B245" s="167" t="s">
        <v>916</v>
      </c>
      <c r="C245" s="484">
        <v>42728</v>
      </c>
      <c r="D245" s="485" t="s">
        <v>915</v>
      </c>
      <c r="E245" s="551">
        <v>56</v>
      </c>
      <c r="F245" s="552">
        <v>33</v>
      </c>
      <c r="G245" s="552">
        <v>26.5</v>
      </c>
      <c r="H245" s="593">
        <f t="shared" si="45"/>
        <v>1.1399999999999999</v>
      </c>
      <c r="I245" s="140">
        <f t="shared" si="46"/>
        <v>1151.3999999999999</v>
      </c>
      <c r="J245" s="566">
        <v>1010</v>
      </c>
      <c r="K245" s="140">
        <f t="shared" si="47"/>
        <v>8673.86452869194</v>
      </c>
      <c r="L245" s="421">
        <v>12700</v>
      </c>
      <c r="M245" s="421"/>
      <c r="O245" s="464"/>
      <c r="P245" s="464"/>
      <c r="Q245" s="464"/>
      <c r="S245" s="464">
        <f t="shared" si="48"/>
        <v>12827000</v>
      </c>
      <c r="T245" s="464">
        <f t="shared" si="49"/>
        <v>8760603.1739788596</v>
      </c>
    </row>
    <row r="246" spans="1:20" ht="16.5" customHeight="1">
      <c r="A246" s="499">
        <f t="shared" si="44"/>
        <v>113</v>
      </c>
      <c r="B246" s="167" t="s">
        <v>917</v>
      </c>
      <c r="C246" s="484">
        <v>42728</v>
      </c>
      <c r="D246" s="485" t="s">
        <v>915</v>
      </c>
      <c r="E246" s="551">
        <v>55</v>
      </c>
      <c r="F246" s="552">
        <v>28.5</v>
      </c>
      <c r="G246" s="552">
        <v>25.5</v>
      </c>
      <c r="H246" s="593">
        <f t="shared" si="45"/>
        <v>0.98</v>
      </c>
      <c r="I246" s="140">
        <f t="shared" si="46"/>
        <v>985.88</v>
      </c>
      <c r="J246" s="566">
        <v>1006</v>
      </c>
      <c r="K246" s="140">
        <f t="shared" si="47"/>
        <v>7456.4800334369311</v>
      </c>
      <c r="L246" s="421">
        <v>10900</v>
      </c>
      <c r="M246" s="421"/>
      <c r="O246" s="464"/>
      <c r="P246" s="464"/>
      <c r="Q246" s="464"/>
      <c r="S246" s="464">
        <f t="shared" si="48"/>
        <v>10965400</v>
      </c>
      <c r="T246" s="464">
        <f t="shared" si="49"/>
        <v>7501218.9136375524</v>
      </c>
    </row>
    <row r="247" spans="1:20" ht="16.5" customHeight="1">
      <c r="A247" s="499">
        <f t="shared" si="44"/>
        <v>114</v>
      </c>
      <c r="B247" s="167" t="s">
        <v>813</v>
      </c>
      <c r="C247" s="484">
        <v>42728</v>
      </c>
      <c r="D247" s="485" t="s">
        <v>918</v>
      </c>
      <c r="E247" s="551">
        <v>50</v>
      </c>
      <c r="F247" s="552">
        <v>29.5</v>
      </c>
      <c r="G247" s="552">
        <v>19</v>
      </c>
      <c r="H247" s="593">
        <f t="shared" si="34"/>
        <v>0.84</v>
      </c>
      <c r="I247" s="140">
        <f t="shared" si="46"/>
        <v>2016</v>
      </c>
      <c r="J247" s="566">
        <v>2400</v>
      </c>
      <c r="K247" s="140">
        <f t="shared" si="47"/>
        <v>6391.2686000887979</v>
      </c>
      <c r="L247" s="421">
        <v>7500</v>
      </c>
      <c r="M247" s="421"/>
      <c r="O247" s="464"/>
      <c r="P247" s="464"/>
      <c r="Q247" s="464"/>
      <c r="S247" s="464">
        <f t="shared" si="48"/>
        <v>18000000</v>
      </c>
      <c r="T247" s="464">
        <f t="shared" si="49"/>
        <v>15339044.640213115</v>
      </c>
    </row>
    <row r="248" spans="1:20" ht="16.5" customHeight="1">
      <c r="A248" s="499">
        <f t="shared" si="44"/>
        <v>115</v>
      </c>
      <c r="B248" s="167" t="s">
        <v>920</v>
      </c>
      <c r="C248" s="484">
        <v>42729</v>
      </c>
      <c r="D248" s="485" t="s">
        <v>919</v>
      </c>
      <c r="E248" s="551">
        <v>52.5</v>
      </c>
      <c r="F248" s="552">
        <v>31.5</v>
      </c>
      <c r="G248" s="552">
        <v>21</v>
      </c>
      <c r="H248" s="593">
        <f t="shared" si="34"/>
        <v>0.96</v>
      </c>
      <c r="I248" s="140">
        <f t="shared" si="46"/>
        <v>1027.2</v>
      </c>
      <c r="J248" s="566">
        <v>1070</v>
      </c>
      <c r="K248" s="140">
        <f t="shared" si="47"/>
        <v>7304.3069715300553</v>
      </c>
      <c r="L248" s="421">
        <v>9700</v>
      </c>
      <c r="M248" s="421"/>
      <c r="O248" s="464"/>
      <c r="P248" s="464"/>
      <c r="Q248" s="464"/>
      <c r="S248" s="464">
        <f t="shared" si="48"/>
        <v>10379000</v>
      </c>
      <c r="T248" s="464">
        <f t="shared" si="49"/>
        <v>7815608.4595371587</v>
      </c>
    </row>
    <row r="249" spans="1:20" ht="16.5" customHeight="1">
      <c r="A249" s="499">
        <f t="shared" si="44"/>
        <v>116</v>
      </c>
      <c r="B249" s="167" t="s">
        <v>813</v>
      </c>
      <c r="C249" s="484">
        <v>42729</v>
      </c>
      <c r="D249" s="485" t="s">
        <v>922</v>
      </c>
      <c r="E249" s="551">
        <v>50</v>
      </c>
      <c r="F249" s="552">
        <v>29.5</v>
      </c>
      <c r="G249" s="552">
        <v>19</v>
      </c>
      <c r="H249" s="593">
        <f t="shared" si="34"/>
        <v>0.84</v>
      </c>
      <c r="I249" s="140">
        <f t="shared" si="46"/>
        <v>2016</v>
      </c>
      <c r="J249" s="566">
        <v>2400</v>
      </c>
      <c r="K249" s="140">
        <f t="shared" si="47"/>
        <v>6391.2686000887979</v>
      </c>
      <c r="L249" s="421">
        <v>7500</v>
      </c>
      <c r="M249" s="421"/>
      <c r="O249" s="464"/>
      <c r="P249" s="464"/>
      <c r="Q249" s="464"/>
      <c r="S249" s="464">
        <f t="shared" si="48"/>
        <v>18000000</v>
      </c>
      <c r="T249" s="464">
        <f t="shared" si="49"/>
        <v>15339044.640213115</v>
      </c>
    </row>
    <row r="250" spans="1:20" ht="16.5" customHeight="1">
      <c r="A250" s="499">
        <f t="shared" si="44"/>
        <v>117</v>
      </c>
      <c r="B250" s="167" t="s">
        <v>813</v>
      </c>
      <c r="C250" s="484">
        <v>42730</v>
      </c>
      <c r="D250" s="485" t="s">
        <v>923</v>
      </c>
      <c r="E250" s="551">
        <v>50</v>
      </c>
      <c r="F250" s="552">
        <v>29.5</v>
      </c>
      <c r="G250" s="552">
        <v>19</v>
      </c>
      <c r="H250" s="593">
        <f t="shared" si="34"/>
        <v>0.84</v>
      </c>
      <c r="I250" s="140">
        <f t="shared" si="46"/>
        <v>1008</v>
      </c>
      <c r="J250" s="566">
        <v>1200</v>
      </c>
      <c r="K250" s="140">
        <f t="shared" si="47"/>
        <v>6391.2686000887979</v>
      </c>
      <c r="L250" s="421">
        <v>7500</v>
      </c>
      <c r="M250" s="421"/>
      <c r="O250" s="464"/>
      <c r="P250" s="464"/>
      <c r="Q250" s="464"/>
      <c r="S250" s="464">
        <f t="shared" si="48"/>
        <v>9000000</v>
      </c>
      <c r="T250" s="464">
        <f t="shared" si="49"/>
        <v>7669522.3201065576</v>
      </c>
    </row>
    <row r="251" spans="1:20" ht="16.5" customHeight="1">
      <c r="A251" s="499">
        <f t="shared" si="44"/>
        <v>118</v>
      </c>
      <c r="B251" s="167" t="s">
        <v>813</v>
      </c>
      <c r="C251" s="484">
        <v>42731</v>
      </c>
      <c r="D251" s="485" t="s">
        <v>924</v>
      </c>
      <c r="E251" s="551">
        <v>50</v>
      </c>
      <c r="F251" s="552">
        <v>29.5</v>
      </c>
      <c r="G251" s="552">
        <v>19</v>
      </c>
      <c r="H251" s="593">
        <f t="shared" si="34"/>
        <v>0.84</v>
      </c>
      <c r="I251" s="140">
        <f t="shared" si="46"/>
        <v>1159.2</v>
      </c>
      <c r="J251" s="566">
        <v>1380</v>
      </c>
      <c r="K251" s="140">
        <f t="shared" si="47"/>
        <v>6391.2686000887979</v>
      </c>
      <c r="L251" s="421">
        <v>7500</v>
      </c>
      <c r="M251" s="421"/>
      <c r="O251" s="464"/>
      <c r="P251" s="464"/>
      <c r="Q251" s="464"/>
      <c r="S251" s="464">
        <f t="shared" si="48"/>
        <v>10350000</v>
      </c>
      <c r="T251" s="464">
        <f t="shared" si="49"/>
        <v>8819950.6681225412</v>
      </c>
    </row>
    <row r="252" spans="1:20" ht="16.5" customHeight="1">
      <c r="A252" s="499">
        <f t="shared" si="44"/>
        <v>119</v>
      </c>
      <c r="B252" s="167" t="s">
        <v>813</v>
      </c>
      <c r="C252" s="484">
        <v>42732</v>
      </c>
      <c r="D252" s="485" t="s">
        <v>925</v>
      </c>
      <c r="E252" s="551">
        <v>50</v>
      </c>
      <c r="F252" s="552">
        <v>29.5</v>
      </c>
      <c r="G252" s="552">
        <v>19</v>
      </c>
      <c r="H252" s="593">
        <f t="shared" si="34"/>
        <v>0.84</v>
      </c>
      <c r="I252" s="140">
        <f t="shared" si="46"/>
        <v>1705.2</v>
      </c>
      <c r="J252" s="566">
        <v>2030</v>
      </c>
      <c r="K252" s="140">
        <f t="shared" si="47"/>
        <v>6391.2686000887979</v>
      </c>
      <c r="L252" s="421">
        <v>7500</v>
      </c>
      <c r="M252" s="421"/>
      <c r="O252" s="464"/>
      <c r="P252" s="464"/>
      <c r="Q252" s="464"/>
      <c r="S252" s="464">
        <f t="shared" si="48"/>
        <v>15225000</v>
      </c>
      <c r="T252" s="464">
        <f t="shared" si="49"/>
        <v>12974275.258180261</v>
      </c>
    </row>
    <row r="253" spans="1:20" ht="16.5" customHeight="1">
      <c r="A253" s="499">
        <f t="shared" si="44"/>
        <v>120</v>
      </c>
      <c r="B253" s="167" t="s">
        <v>961</v>
      </c>
      <c r="C253" s="484">
        <v>42732</v>
      </c>
      <c r="D253" s="485" t="s">
        <v>960</v>
      </c>
      <c r="E253" s="551">
        <v>51</v>
      </c>
      <c r="F253" s="552">
        <v>37</v>
      </c>
      <c r="G253" s="552">
        <v>27</v>
      </c>
      <c r="H253" s="593">
        <f t="shared" si="34"/>
        <v>1.21</v>
      </c>
      <c r="I253" s="140">
        <f t="shared" si="46"/>
        <v>227.48</v>
      </c>
      <c r="J253" s="566">
        <v>188</v>
      </c>
      <c r="K253" s="140">
        <f t="shared" si="47"/>
        <v>9206.4702453660066</v>
      </c>
      <c r="L253" s="421">
        <v>14000</v>
      </c>
      <c r="M253" s="421"/>
      <c r="O253" s="464"/>
      <c r="P253" s="464"/>
      <c r="Q253" s="464"/>
      <c r="S253" s="464">
        <f t="shared" si="48"/>
        <v>2632000</v>
      </c>
      <c r="T253" s="464">
        <f t="shared" si="49"/>
        <v>1730816.4061288093</v>
      </c>
    </row>
    <row r="254" spans="1:20" ht="16.5" customHeight="1">
      <c r="A254" s="499">
        <f t="shared" si="44"/>
        <v>121</v>
      </c>
      <c r="B254" s="167" t="s">
        <v>511</v>
      </c>
      <c r="C254" s="484">
        <v>42732</v>
      </c>
      <c r="D254" s="485" t="s">
        <v>927</v>
      </c>
      <c r="E254" s="551">
        <v>49.5</v>
      </c>
      <c r="F254" s="552">
        <v>38.5</v>
      </c>
      <c r="G254" s="552">
        <v>32.5</v>
      </c>
      <c r="H254" s="593">
        <f t="shared" si="34"/>
        <v>1.34</v>
      </c>
      <c r="I254" s="140">
        <f t="shared" si="46"/>
        <v>280.06</v>
      </c>
      <c r="J254" s="566">
        <v>209</v>
      </c>
      <c r="K254" s="140">
        <f t="shared" si="47"/>
        <v>10195.595147760703</v>
      </c>
      <c r="L254" s="421">
        <v>12900</v>
      </c>
      <c r="M254" s="421"/>
      <c r="O254" s="464"/>
      <c r="P254" s="464"/>
      <c r="Q254" s="464"/>
      <c r="S254" s="464">
        <f t="shared" si="48"/>
        <v>2696100</v>
      </c>
      <c r="T254" s="464">
        <f t="shared" si="49"/>
        <v>2130879.3858819869</v>
      </c>
    </row>
    <row r="255" spans="1:20" ht="16.5" customHeight="1">
      <c r="A255" s="499">
        <f t="shared" si="44"/>
        <v>122</v>
      </c>
      <c r="B255" s="167" t="s">
        <v>928</v>
      </c>
      <c r="C255" s="484">
        <v>42732</v>
      </c>
      <c r="D255" s="485" t="s">
        <v>926</v>
      </c>
      <c r="E255" s="551">
        <v>60</v>
      </c>
      <c r="F255" s="552">
        <v>40</v>
      </c>
      <c r="G255" s="552">
        <v>28</v>
      </c>
      <c r="H255" s="593">
        <f t="shared" si="34"/>
        <v>1.46</v>
      </c>
      <c r="I255" s="140">
        <f t="shared" si="46"/>
        <v>356.24</v>
      </c>
      <c r="J255" s="566">
        <v>244</v>
      </c>
      <c r="K255" s="140">
        <f t="shared" si="47"/>
        <v>11108.63351920196</v>
      </c>
      <c r="L255" s="421">
        <v>22848</v>
      </c>
      <c r="M255" s="421"/>
      <c r="O255" s="464"/>
      <c r="P255" s="464"/>
      <c r="Q255" s="464"/>
      <c r="S255" s="464">
        <f t="shared" si="48"/>
        <v>5574912</v>
      </c>
      <c r="T255" s="464">
        <f t="shared" si="49"/>
        <v>2710506.5786852781</v>
      </c>
    </row>
    <row r="256" spans="1:20" ht="16.5" customHeight="1">
      <c r="A256" s="499">
        <f t="shared" si="44"/>
        <v>123</v>
      </c>
      <c r="B256" s="167" t="s">
        <v>929</v>
      </c>
      <c r="C256" s="484">
        <v>42732</v>
      </c>
      <c r="D256" s="485" t="s">
        <v>926</v>
      </c>
      <c r="E256" s="551">
        <v>60</v>
      </c>
      <c r="F256" s="552">
        <v>40</v>
      </c>
      <c r="G256" s="552">
        <v>24</v>
      </c>
      <c r="H256" s="593">
        <f t="shared" si="34"/>
        <v>1.37</v>
      </c>
      <c r="I256" s="140">
        <f t="shared" si="46"/>
        <v>334.28000000000003</v>
      </c>
      <c r="J256" s="566">
        <v>244</v>
      </c>
      <c r="K256" s="140">
        <f t="shared" si="47"/>
        <v>10423.854740621018</v>
      </c>
      <c r="L256" s="421">
        <v>21542</v>
      </c>
      <c r="M256" s="421"/>
      <c r="O256" s="464"/>
      <c r="P256" s="464"/>
      <c r="Q256" s="464"/>
      <c r="S256" s="464">
        <f t="shared" si="48"/>
        <v>5256248</v>
      </c>
      <c r="T256" s="464">
        <f t="shared" si="49"/>
        <v>2543420.5567115285</v>
      </c>
    </row>
    <row r="257" spans="1:20" ht="16.5" customHeight="1">
      <c r="A257" s="499">
        <f t="shared" si="44"/>
        <v>124</v>
      </c>
      <c r="B257" s="167" t="s">
        <v>930</v>
      </c>
      <c r="C257" s="484">
        <v>42732</v>
      </c>
      <c r="D257" s="485" t="s">
        <v>926</v>
      </c>
      <c r="E257" s="551">
        <v>58</v>
      </c>
      <c r="F257" s="552">
        <v>26</v>
      </c>
      <c r="G257" s="552"/>
      <c r="H257" s="593">
        <f t="shared" si="34"/>
        <v>0.15</v>
      </c>
      <c r="I257" s="140">
        <f t="shared" si="46"/>
        <v>36.6</v>
      </c>
      <c r="J257" s="566">
        <v>244</v>
      </c>
      <c r="K257" s="140">
        <f t="shared" si="47"/>
        <v>1141.297964301571</v>
      </c>
      <c r="L257" s="421">
        <v>905</v>
      </c>
      <c r="M257" s="421"/>
      <c r="O257" s="464"/>
      <c r="P257" s="464"/>
      <c r="Q257" s="464"/>
      <c r="S257" s="464">
        <f t="shared" si="48"/>
        <v>220820</v>
      </c>
      <c r="T257" s="464">
        <f t="shared" si="49"/>
        <v>278476.70328958333</v>
      </c>
    </row>
    <row r="258" spans="1:20" ht="16.5" customHeight="1">
      <c r="A258" s="499">
        <f t="shared" si="44"/>
        <v>125</v>
      </c>
      <c r="B258" s="167" t="s">
        <v>931</v>
      </c>
      <c r="C258" s="484">
        <v>42732</v>
      </c>
      <c r="D258" s="485" t="s">
        <v>926</v>
      </c>
      <c r="E258" s="551">
        <v>58</v>
      </c>
      <c r="F258" s="552">
        <v>22</v>
      </c>
      <c r="G258" s="552"/>
      <c r="H258" s="593">
        <f t="shared" ref="H258:H271" si="50">IF(G258&lt;&gt;"",ROUND(((E258+F258)*2+5)*(F258+G258+3)/10000,2),ROUND(E258*F258/10000,2))</f>
        <v>0.13</v>
      </c>
      <c r="I258" s="140">
        <f t="shared" si="46"/>
        <v>31.720000000000002</v>
      </c>
      <c r="J258" s="566">
        <v>244</v>
      </c>
      <c r="K258" s="140">
        <f t="shared" si="47"/>
        <v>989.12490239469503</v>
      </c>
      <c r="L258" s="421">
        <v>766</v>
      </c>
      <c r="M258" s="421"/>
      <c r="O258" s="464"/>
      <c r="P258" s="464"/>
      <c r="Q258" s="464"/>
      <c r="S258" s="464">
        <f t="shared" si="48"/>
        <v>186904</v>
      </c>
      <c r="T258" s="464">
        <f t="shared" si="49"/>
        <v>241346.47618430559</v>
      </c>
    </row>
    <row r="259" spans="1:20" ht="16.5" customHeight="1">
      <c r="A259" s="499">
        <f t="shared" si="44"/>
        <v>126</v>
      </c>
      <c r="B259" s="167" t="s">
        <v>932</v>
      </c>
      <c r="C259" s="484">
        <v>42732</v>
      </c>
      <c r="D259" s="485" t="s">
        <v>926</v>
      </c>
      <c r="E259" s="551">
        <v>38</v>
      </c>
      <c r="F259" s="552">
        <v>26</v>
      </c>
      <c r="G259" s="552"/>
      <c r="H259" s="593">
        <f t="shared" si="50"/>
        <v>0.1</v>
      </c>
      <c r="I259" s="140">
        <f t="shared" si="46"/>
        <v>24.400000000000002</v>
      </c>
      <c r="J259" s="566">
        <v>244</v>
      </c>
      <c r="K259" s="140">
        <f t="shared" si="47"/>
        <v>760.8653095343808</v>
      </c>
      <c r="L259" s="421">
        <v>593</v>
      </c>
      <c r="M259" s="421"/>
      <c r="O259" s="464"/>
      <c r="P259" s="464"/>
      <c r="Q259" s="464"/>
      <c r="S259" s="464">
        <f t="shared" si="48"/>
        <v>144692</v>
      </c>
      <c r="T259" s="464">
        <f t="shared" si="49"/>
        <v>185651.13552638891</v>
      </c>
    </row>
    <row r="260" spans="1:20" ht="16.5" customHeight="1">
      <c r="A260" s="499">
        <f t="shared" si="44"/>
        <v>127</v>
      </c>
      <c r="B260" s="167" t="s">
        <v>933</v>
      </c>
      <c r="C260" s="484">
        <v>42732</v>
      </c>
      <c r="D260" s="485" t="s">
        <v>926</v>
      </c>
      <c r="E260" s="551">
        <v>38</v>
      </c>
      <c r="F260" s="552">
        <v>22</v>
      </c>
      <c r="G260" s="552"/>
      <c r="H260" s="593">
        <f t="shared" si="50"/>
        <v>0.08</v>
      </c>
      <c r="I260" s="140">
        <f t="shared" si="46"/>
        <v>19.52</v>
      </c>
      <c r="J260" s="566">
        <v>244</v>
      </c>
      <c r="K260" s="140">
        <f t="shared" si="47"/>
        <v>608.69224762750468</v>
      </c>
      <c r="L260" s="421">
        <v>502</v>
      </c>
      <c r="M260" s="421"/>
      <c r="O260" s="464"/>
      <c r="P260" s="464"/>
      <c r="Q260" s="464"/>
      <c r="S260" s="464">
        <f t="shared" si="48"/>
        <v>122488</v>
      </c>
      <c r="T260" s="464">
        <f t="shared" si="49"/>
        <v>148520.90842111115</v>
      </c>
    </row>
    <row r="261" spans="1:20" ht="16.5" customHeight="1">
      <c r="A261" s="499">
        <f t="shared" si="44"/>
        <v>128</v>
      </c>
      <c r="B261" s="167" t="s">
        <v>937</v>
      </c>
      <c r="C261" s="484">
        <v>42733</v>
      </c>
      <c r="D261" s="485" t="s">
        <v>934</v>
      </c>
      <c r="E261" s="551">
        <v>17</v>
      </c>
      <c r="F261" s="552">
        <v>63</v>
      </c>
      <c r="G261" s="552"/>
      <c r="H261" s="593">
        <f t="shared" si="50"/>
        <v>0.11</v>
      </c>
      <c r="I261" s="140">
        <f t="shared" si="46"/>
        <v>71.5</v>
      </c>
      <c r="J261" s="566">
        <v>650</v>
      </c>
      <c r="K261" s="140">
        <f t="shared" si="47"/>
        <v>836.95184048781891</v>
      </c>
      <c r="L261" s="421">
        <v>4500</v>
      </c>
      <c r="M261" s="421"/>
      <c r="O261" s="464"/>
      <c r="P261" s="464"/>
      <c r="Q261" s="464"/>
      <c r="S261" s="464">
        <f t="shared" si="48"/>
        <v>2925000</v>
      </c>
      <c r="T261" s="464">
        <f t="shared" si="49"/>
        <v>544018.69631708227</v>
      </c>
    </row>
    <row r="262" spans="1:20" ht="16.5" customHeight="1">
      <c r="A262" s="499">
        <f t="shared" si="44"/>
        <v>129</v>
      </c>
      <c r="B262" s="167" t="s">
        <v>524</v>
      </c>
      <c r="C262" s="484">
        <v>42734</v>
      </c>
      <c r="D262" s="485" t="s">
        <v>936</v>
      </c>
      <c r="E262" s="551">
        <v>36.5</v>
      </c>
      <c r="F262" s="552">
        <v>26.5</v>
      </c>
      <c r="G262" s="552">
        <v>26</v>
      </c>
      <c r="H262" s="593">
        <f t="shared" si="50"/>
        <v>0.73</v>
      </c>
      <c r="I262" s="140">
        <f t="shared" ref="I262:I271" si="51">H262*J262</f>
        <v>383.25</v>
      </c>
      <c r="J262" s="566">
        <v>525</v>
      </c>
      <c r="K262" s="140">
        <f t="shared" si="47"/>
        <v>5554.3167596009798</v>
      </c>
      <c r="L262" s="421">
        <v>11000</v>
      </c>
      <c r="M262" s="421"/>
      <c r="O262" s="464"/>
      <c r="P262" s="464"/>
      <c r="Q262" s="464"/>
      <c r="S262" s="464">
        <f t="shared" si="48"/>
        <v>5775000</v>
      </c>
      <c r="T262" s="464">
        <f t="shared" si="49"/>
        <v>2916016.2987905145</v>
      </c>
    </row>
    <row r="263" spans="1:20" ht="16.5" customHeight="1">
      <c r="A263" s="499">
        <f t="shared" si="44"/>
        <v>130</v>
      </c>
      <c r="B263" s="114" t="s">
        <v>1085</v>
      </c>
      <c r="C263" s="484">
        <v>42734</v>
      </c>
      <c r="D263" s="485" t="s">
        <v>1083</v>
      </c>
      <c r="E263" s="551">
        <v>58</v>
      </c>
      <c r="F263" s="552">
        <v>48</v>
      </c>
      <c r="G263" s="552"/>
      <c r="H263" s="593">
        <f t="shared" ref="H263:H269" si="52">IF(G263&lt;&gt;"",ROUND(((E263+F263)*2+5)*(F263+G263+3)/10000,2),ROUND(E263*F263/10000,2))</f>
        <v>0.28000000000000003</v>
      </c>
      <c r="I263" s="140">
        <f t="shared" ref="I263:I269" si="53">H263*J263</f>
        <v>2030.0000000000002</v>
      </c>
      <c r="J263" s="566">
        <v>7250</v>
      </c>
      <c r="K263" s="140">
        <f t="shared" ref="K263:K269" si="54">H263*$R$170</f>
        <v>2130.4228666962663</v>
      </c>
      <c r="L263" s="421">
        <v>1392</v>
      </c>
      <c r="M263" s="421"/>
      <c r="O263" s="464"/>
      <c r="P263" s="464"/>
      <c r="Q263" s="464"/>
    </row>
    <row r="264" spans="1:20" ht="16.5" customHeight="1">
      <c r="A264" s="499">
        <f t="shared" si="44"/>
        <v>131</v>
      </c>
      <c r="B264" s="114" t="s">
        <v>1086</v>
      </c>
      <c r="C264" s="484">
        <v>42734</v>
      </c>
      <c r="D264" s="485" t="s">
        <v>1083</v>
      </c>
      <c r="E264" s="551">
        <v>58</v>
      </c>
      <c r="F264" s="552">
        <v>38</v>
      </c>
      <c r="G264" s="552"/>
      <c r="H264" s="593">
        <f t="shared" si="52"/>
        <v>0.22</v>
      </c>
      <c r="I264" s="140">
        <f t="shared" si="53"/>
        <v>2140.6</v>
      </c>
      <c r="J264" s="566">
        <v>9730</v>
      </c>
      <c r="K264" s="140">
        <f t="shared" si="54"/>
        <v>1673.9036809756378</v>
      </c>
      <c r="L264" s="421">
        <v>1102</v>
      </c>
      <c r="M264" s="421"/>
      <c r="O264" s="464"/>
      <c r="P264" s="464"/>
      <c r="Q264" s="464"/>
    </row>
    <row r="265" spans="1:20" ht="16.5" customHeight="1">
      <c r="A265" s="499">
        <f t="shared" si="44"/>
        <v>132</v>
      </c>
      <c r="B265" s="114" t="s">
        <v>1087</v>
      </c>
      <c r="C265" s="484">
        <v>42734</v>
      </c>
      <c r="D265" s="485" t="s">
        <v>1083</v>
      </c>
      <c r="E265" s="552">
        <v>25</v>
      </c>
      <c r="F265" s="552">
        <v>20</v>
      </c>
      <c r="G265" s="552"/>
      <c r="H265" s="593">
        <f t="shared" si="52"/>
        <v>0.05</v>
      </c>
      <c r="I265" s="140">
        <f t="shared" si="53"/>
        <v>18.75</v>
      </c>
      <c r="J265" s="566">
        <v>375</v>
      </c>
      <c r="K265" s="140">
        <f t="shared" si="54"/>
        <v>380.4326547671904</v>
      </c>
      <c r="L265" s="421">
        <v>5348</v>
      </c>
      <c r="M265" s="421"/>
      <c r="O265" s="464"/>
      <c r="P265" s="464"/>
      <c r="Q265" s="464"/>
    </row>
    <row r="266" spans="1:20" ht="16.5" customHeight="1">
      <c r="A266" s="499">
        <f t="shared" si="44"/>
        <v>133</v>
      </c>
      <c r="B266" s="114" t="s">
        <v>1088</v>
      </c>
      <c r="C266" s="484">
        <v>42734</v>
      </c>
      <c r="D266" s="485" t="s">
        <v>1083</v>
      </c>
      <c r="E266" s="551">
        <v>120</v>
      </c>
      <c r="F266" s="552">
        <v>240</v>
      </c>
      <c r="G266" s="552"/>
      <c r="H266" s="593">
        <f t="shared" si="52"/>
        <v>2.88</v>
      </c>
      <c r="I266" s="140">
        <f t="shared" si="53"/>
        <v>1440</v>
      </c>
      <c r="J266" s="566">
        <v>500</v>
      </c>
      <c r="K266" s="140">
        <f t="shared" si="54"/>
        <v>21912.920914590166</v>
      </c>
      <c r="L266" s="421">
        <v>14400</v>
      </c>
      <c r="M266" s="421"/>
      <c r="O266" s="464"/>
      <c r="P266" s="464"/>
      <c r="Q266" s="464"/>
    </row>
    <row r="267" spans="1:20" ht="16.5" customHeight="1">
      <c r="A267" s="499">
        <f t="shared" si="44"/>
        <v>134</v>
      </c>
      <c r="B267" s="114" t="s">
        <v>1089</v>
      </c>
      <c r="C267" s="484">
        <v>42734</v>
      </c>
      <c r="D267" s="485" t="s">
        <v>1083</v>
      </c>
      <c r="E267" s="551">
        <v>41</v>
      </c>
      <c r="F267" s="552">
        <v>40</v>
      </c>
      <c r="G267" s="552"/>
      <c r="H267" s="593">
        <f t="shared" si="52"/>
        <v>0.16</v>
      </c>
      <c r="I267" s="140">
        <f t="shared" si="53"/>
        <v>380</v>
      </c>
      <c r="J267" s="566">
        <v>2375</v>
      </c>
      <c r="K267" s="140">
        <f t="shared" si="54"/>
        <v>1217.3844952550094</v>
      </c>
      <c r="L267" s="421">
        <v>820</v>
      </c>
      <c r="M267" s="421"/>
      <c r="O267" s="464"/>
      <c r="P267" s="464"/>
      <c r="Q267" s="464"/>
    </row>
    <row r="268" spans="1:20" ht="16.5" customHeight="1">
      <c r="A268" s="499">
        <f t="shared" si="44"/>
        <v>135</v>
      </c>
      <c r="B268" s="114" t="s">
        <v>1090</v>
      </c>
      <c r="C268" s="484">
        <v>42734</v>
      </c>
      <c r="D268" s="485" t="s">
        <v>1083</v>
      </c>
      <c r="E268" s="551">
        <v>88</v>
      </c>
      <c r="F268" s="552">
        <v>41</v>
      </c>
      <c r="G268" s="552"/>
      <c r="H268" s="593">
        <f t="shared" si="52"/>
        <v>0.36</v>
      </c>
      <c r="I268" s="140">
        <f t="shared" si="53"/>
        <v>72</v>
      </c>
      <c r="J268" s="566">
        <v>200</v>
      </c>
      <c r="K268" s="140">
        <f t="shared" si="54"/>
        <v>2739.1151143237707</v>
      </c>
      <c r="L268" s="421">
        <v>1804</v>
      </c>
      <c r="M268" s="421"/>
      <c r="O268" s="464"/>
      <c r="P268" s="464"/>
      <c r="Q268" s="464"/>
    </row>
    <row r="269" spans="1:20" ht="16.5" customHeight="1">
      <c r="A269" s="499">
        <f t="shared" si="44"/>
        <v>136</v>
      </c>
      <c r="B269" s="114" t="s">
        <v>1091</v>
      </c>
      <c r="C269" s="484">
        <v>42734</v>
      </c>
      <c r="D269" s="485" t="s">
        <v>1083</v>
      </c>
      <c r="E269" s="551">
        <v>47</v>
      </c>
      <c r="F269" s="552">
        <v>30</v>
      </c>
      <c r="G269" s="552"/>
      <c r="H269" s="593">
        <f t="shared" si="52"/>
        <v>0.14000000000000001</v>
      </c>
      <c r="I269" s="140">
        <f t="shared" si="53"/>
        <v>280</v>
      </c>
      <c r="J269" s="566">
        <v>2000</v>
      </c>
      <c r="K269" s="140">
        <f t="shared" si="54"/>
        <v>1065.2114333481331</v>
      </c>
      <c r="L269" s="421">
        <v>705</v>
      </c>
      <c r="M269" s="421"/>
      <c r="O269" s="464"/>
      <c r="P269" s="464"/>
      <c r="Q269" s="464"/>
    </row>
    <row r="270" spans="1:20" ht="16.5" customHeight="1">
      <c r="A270" s="499">
        <f t="shared" si="44"/>
        <v>137</v>
      </c>
      <c r="B270" s="167" t="s">
        <v>502</v>
      </c>
      <c r="C270" s="484">
        <v>42735</v>
      </c>
      <c r="D270" s="485" t="s">
        <v>944</v>
      </c>
      <c r="E270" s="551">
        <v>45</v>
      </c>
      <c r="F270" s="552">
        <v>37</v>
      </c>
      <c r="G270" s="552">
        <v>27.5</v>
      </c>
      <c r="H270" s="593">
        <f t="shared" si="50"/>
        <v>1.1399999999999999</v>
      </c>
      <c r="I270" s="140">
        <f t="shared" si="51"/>
        <v>2061.12</v>
      </c>
      <c r="J270" s="566">
        <v>1808</v>
      </c>
      <c r="K270" s="140">
        <f t="shared" si="47"/>
        <v>8673.86452869194</v>
      </c>
      <c r="L270" s="421">
        <v>13800</v>
      </c>
      <c r="M270" s="421"/>
      <c r="O270" s="464"/>
      <c r="P270" s="464"/>
      <c r="Q270" s="464"/>
      <c r="S270" s="464">
        <f t="shared" si="48"/>
        <v>24950400</v>
      </c>
      <c r="T270" s="464">
        <f t="shared" si="49"/>
        <v>15682347.067875028</v>
      </c>
    </row>
    <row r="271" spans="1:20" ht="16.5" customHeight="1">
      <c r="A271" s="499">
        <f t="shared" si="44"/>
        <v>138</v>
      </c>
      <c r="B271" s="167" t="s">
        <v>377</v>
      </c>
      <c r="C271" s="484">
        <v>42735</v>
      </c>
      <c r="D271" s="485" t="s">
        <v>944</v>
      </c>
      <c r="E271" s="551">
        <v>44</v>
      </c>
      <c r="F271" s="552">
        <v>20</v>
      </c>
      <c r="G271" s="552"/>
      <c r="H271" s="593">
        <f t="shared" si="50"/>
        <v>0.09</v>
      </c>
      <c r="I271" s="140">
        <f t="shared" si="51"/>
        <v>325.44</v>
      </c>
      <c r="J271" s="566">
        <v>3616</v>
      </c>
      <c r="K271" s="140">
        <f t="shared" si="47"/>
        <v>684.77877858094269</v>
      </c>
      <c r="L271" s="421">
        <v>1300</v>
      </c>
      <c r="M271" s="421"/>
      <c r="O271" s="464"/>
      <c r="P271" s="464"/>
      <c r="Q271" s="464"/>
      <c r="R271" s="602"/>
      <c r="S271" s="464">
        <f t="shared" si="48"/>
        <v>4700800</v>
      </c>
      <c r="T271" s="464">
        <f t="shared" si="49"/>
        <v>2476160.0633486887</v>
      </c>
    </row>
    <row r="272" spans="1:20" ht="16.5" customHeight="1">
      <c r="A272" s="538" t="str">
        <f t="shared" ref="A272" si="55">IF(B272&lt;&gt;"",ROW()-133,"")</f>
        <v/>
      </c>
      <c r="B272" s="495"/>
      <c r="C272" s="484"/>
      <c r="D272" s="485"/>
      <c r="E272" s="553"/>
      <c r="F272" s="554"/>
      <c r="G272" s="555"/>
      <c r="H272" s="496"/>
      <c r="I272" s="497"/>
      <c r="J272" s="497"/>
      <c r="K272" s="496"/>
      <c r="L272" s="421"/>
      <c r="M272" s="421"/>
      <c r="O272" s="464"/>
      <c r="P272" s="464"/>
      <c r="Q272" s="464"/>
    </row>
    <row r="273" spans="1:20" ht="16.5" customHeight="1">
      <c r="A273" s="470"/>
      <c r="B273" s="471" t="s">
        <v>236</v>
      </c>
      <c r="C273" s="490"/>
      <c r="D273" s="491"/>
      <c r="E273" s="541"/>
      <c r="F273" s="541"/>
      <c r="G273" s="541"/>
      <c r="H273" s="544">
        <f>ROUND(SUM(H134:H272),2)</f>
        <v>204.74</v>
      </c>
      <c r="I273" s="353">
        <f>ROUND(SUM(I134:I272),2)</f>
        <v>122547.13</v>
      </c>
      <c r="J273" s="353">
        <f>ROUND(SUM(J134:J272),2)</f>
        <v>153709</v>
      </c>
      <c r="K273" s="353"/>
      <c r="M273" s="421"/>
      <c r="O273" s="464"/>
      <c r="P273" s="464"/>
      <c r="Q273" s="464"/>
      <c r="R273" s="602">
        <f>S273-T273</f>
        <v>206235055.36806512</v>
      </c>
      <c r="S273" s="353">
        <f>SUM(S134:S272)</f>
        <v>1090252350</v>
      </c>
      <c r="T273" s="353">
        <f>SUM(T134:T272)</f>
        <v>884017294.63193488</v>
      </c>
    </row>
    <row r="274" spans="1:20" ht="16.5" customHeight="1">
      <c r="A274" s="472"/>
      <c r="B274" s="473"/>
      <c r="C274" s="492"/>
      <c r="D274" s="493"/>
      <c r="E274" s="545"/>
      <c r="F274" s="545"/>
      <c r="G274" s="545"/>
      <c r="H274" s="466"/>
      <c r="I274" s="466"/>
      <c r="J274" s="466"/>
      <c r="K274" s="466"/>
      <c r="M274" s="421"/>
      <c r="O274" s="464"/>
      <c r="P274" s="464"/>
      <c r="Q274" s="464"/>
    </row>
    <row r="275" spans="1:20" ht="16.5" customHeight="1">
      <c r="A275"/>
      <c r="B275"/>
      <c r="C275"/>
      <c r="D275"/>
      <c r="E275"/>
      <c r="F275"/>
      <c r="G275"/>
      <c r="H275"/>
      <c r="I275"/>
      <c r="J275"/>
      <c r="K275"/>
      <c r="L275"/>
      <c r="M275" s="421"/>
      <c r="O275" s="464"/>
      <c r="P275" s="464"/>
      <c r="Q275" s="464"/>
    </row>
    <row r="276" spans="1:20" ht="16.5" customHeight="1">
      <c r="A276"/>
      <c r="B276"/>
      <c r="C276"/>
      <c r="D276"/>
      <c r="E276"/>
      <c r="F276"/>
      <c r="G276"/>
      <c r="H276"/>
      <c r="I276"/>
      <c r="J276"/>
      <c r="K276"/>
      <c r="L276"/>
      <c r="M276" s="421"/>
      <c r="O276" s="464"/>
      <c r="P276" s="464"/>
      <c r="Q276" s="464"/>
    </row>
    <row r="277" spans="1:20" ht="16.5" customHeight="1">
      <c r="A277"/>
      <c r="B277"/>
      <c r="C277"/>
      <c r="D277"/>
      <c r="E277"/>
      <c r="F277"/>
      <c r="G277"/>
      <c r="H277"/>
      <c r="I277"/>
      <c r="J277"/>
      <c r="K277"/>
      <c r="L277"/>
      <c r="M277" s="421"/>
      <c r="O277" s="464"/>
      <c r="P277" s="464"/>
      <c r="Q277" s="464"/>
    </row>
    <row r="278" spans="1:20" ht="16.5" customHeight="1">
      <c r="A278"/>
      <c r="B278"/>
      <c r="C278"/>
      <c r="D278"/>
      <c r="E278"/>
      <c r="F278"/>
      <c r="G278"/>
      <c r="H278"/>
      <c r="I278"/>
      <c r="J278"/>
      <c r="K278"/>
      <c r="L278"/>
      <c r="M278" s="421"/>
      <c r="O278" s="464"/>
      <c r="P278" s="464"/>
      <c r="Q278" s="464"/>
    </row>
    <row r="279" spans="1:20" ht="16.5" customHeight="1">
      <c r="A279"/>
      <c r="B279"/>
      <c r="C279"/>
      <c r="D279"/>
      <c r="E279"/>
      <c r="F279"/>
      <c r="G279"/>
      <c r="H279"/>
      <c r="I279"/>
      <c r="J279"/>
      <c r="K279"/>
      <c r="L279"/>
      <c r="M279" s="421"/>
      <c r="O279" s="464"/>
      <c r="P279" s="464"/>
      <c r="Q279" s="464"/>
    </row>
    <row r="280" spans="1:20" ht="16.5" customHeight="1">
      <c r="A280"/>
      <c r="B280"/>
      <c r="C280"/>
      <c r="D280"/>
      <c r="E280"/>
      <c r="F280"/>
      <c r="G280"/>
      <c r="H280"/>
      <c r="I280"/>
      <c r="J280"/>
      <c r="K280"/>
      <c r="L280"/>
      <c r="M280" s="421"/>
      <c r="O280" s="464"/>
      <c r="P280" s="464"/>
      <c r="Q280" s="464"/>
    </row>
    <row r="281" spans="1:20" ht="16.5" customHeight="1">
      <c r="A281"/>
      <c r="B281"/>
      <c r="C281"/>
      <c r="D281"/>
      <c r="E281"/>
      <c r="F281"/>
      <c r="G281"/>
      <c r="H281"/>
      <c r="I281"/>
      <c r="J281"/>
      <c r="K281"/>
      <c r="L281"/>
      <c r="M281" s="421"/>
      <c r="O281" s="464"/>
      <c r="P281" s="464"/>
      <c r="Q281" s="464"/>
    </row>
    <row r="282" spans="1:20" ht="16.5" customHeight="1">
      <c r="A282"/>
      <c r="B282"/>
      <c r="C282"/>
      <c r="D282"/>
      <c r="E282"/>
      <c r="F282"/>
      <c r="G282"/>
      <c r="H282"/>
      <c r="I282"/>
      <c r="J282"/>
      <c r="K282"/>
      <c r="L282"/>
      <c r="M282" s="421"/>
      <c r="O282" s="464"/>
      <c r="P282" s="464"/>
      <c r="Q282" s="464"/>
    </row>
    <row r="283" spans="1:20" ht="16.5" customHeight="1">
      <c r="A283"/>
      <c r="B283"/>
      <c r="C283"/>
      <c r="D283"/>
      <c r="E283"/>
      <c r="F283"/>
      <c r="G283"/>
      <c r="H283"/>
      <c r="I283"/>
      <c r="J283"/>
      <c r="K283"/>
      <c r="L283"/>
      <c r="M283" s="421"/>
      <c r="O283" s="464"/>
      <c r="P283" s="464"/>
      <c r="Q283" s="464"/>
    </row>
    <row r="284" spans="1:20" ht="16.5" customHeight="1">
      <c r="A284"/>
      <c r="B284"/>
      <c r="C284"/>
      <c r="D284"/>
      <c r="E284"/>
      <c r="F284"/>
      <c r="G284"/>
      <c r="H284"/>
      <c r="I284"/>
      <c r="J284"/>
      <c r="K284"/>
      <c r="L284"/>
      <c r="M284" s="421"/>
      <c r="O284" s="464"/>
      <c r="P284" s="464"/>
      <c r="Q284" s="464"/>
    </row>
    <row r="285" spans="1:20" ht="16.5" customHeight="1">
      <c r="A285"/>
      <c r="B285"/>
      <c r="C285"/>
      <c r="D285"/>
      <c r="E285"/>
      <c r="F285"/>
      <c r="G285"/>
      <c r="H285"/>
      <c r="I285"/>
      <c r="J285"/>
      <c r="K285"/>
      <c r="L285"/>
      <c r="M285" s="421"/>
      <c r="O285" s="464"/>
      <c r="P285" s="464"/>
      <c r="Q285" s="464"/>
    </row>
    <row r="286" spans="1:20" ht="16.5" customHeight="1">
      <c r="A286"/>
      <c r="B286"/>
      <c r="C286"/>
      <c r="D286"/>
      <c r="E286"/>
      <c r="F286"/>
      <c r="G286"/>
      <c r="H286"/>
      <c r="I286"/>
      <c r="J286"/>
      <c r="K286"/>
      <c r="L286"/>
      <c r="M286" s="421"/>
      <c r="O286" s="464"/>
      <c r="P286" s="464"/>
      <c r="Q286" s="464"/>
    </row>
    <row r="287" spans="1:20" ht="16.5" customHeight="1">
      <c r="A287"/>
      <c r="B287"/>
      <c r="C287"/>
      <c r="D287"/>
      <c r="E287"/>
      <c r="F287"/>
      <c r="G287"/>
      <c r="H287"/>
      <c r="I287"/>
      <c r="J287"/>
      <c r="K287"/>
      <c r="L287"/>
      <c r="M287" s="421"/>
      <c r="O287" s="464"/>
      <c r="P287" s="464"/>
      <c r="Q287" s="464"/>
    </row>
    <row r="288" spans="1:20" ht="16.5" customHeight="1">
      <c r="A288"/>
      <c r="B288"/>
      <c r="C288"/>
      <c r="D288"/>
      <c r="E288"/>
      <c r="F288"/>
      <c r="G288"/>
      <c r="H288"/>
      <c r="I288"/>
      <c r="J288"/>
      <c r="K288"/>
      <c r="L288"/>
      <c r="M288" s="421"/>
      <c r="O288" s="464"/>
      <c r="P288" s="464"/>
      <c r="Q288" s="464"/>
    </row>
    <row r="289" spans="1:17" ht="16.5" customHeight="1">
      <c r="A289"/>
      <c r="B289"/>
      <c r="C289"/>
      <c r="D289"/>
      <c r="E289"/>
      <c r="F289"/>
      <c r="G289"/>
      <c r="H289"/>
      <c r="I289"/>
      <c r="J289"/>
      <c r="K289"/>
      <c r="L289"/>
      <c r="M289" s="421"/>
      <c r="O289" s="464"/>
      <c r="P289" s="464"/>
      <c r="Q289" s="464"/>
    </row>
    <row r="290" spans="1:17" ht="16.5" customHeight="1">
      <c r="A290"/>
      <c r="B290"/>
      <c r="C290"/>
      <c r="D290"/>
      <c r="E290"/>
      <c r="F290"/>
      <c r="G290"/>
      <c r="H290"/>
      <c r="I290"/>
      <c r="J290"/>
      <c r="K290"/>
      <c r="L290"/>
      <c r="M290" s="421"/>
      <c r="O290" s="464"/>
      <c r="P290" s="464"/>
      <c r="Q290" s="464"/>
    </row>
    <row r="291" spans="1:17" ht="16.5" customHeight="1">
      <c r="A291"/>
      <c r="B291"/>
      <c r="C291"/>
      <c r="D291"/>
      <c r="E291"/>
      <c r="F291"/>
      <c r="G291"/>
      <c r="H291"/>
      <c r="I291"/>
      <c r="J291"/>
      <c r="K291"/>
      <c r="L291"/>
      <c r="M291" s="421"/>
      <c r="O291" s="464"/>
      <c r="P291" s="464"/>
      <c r="Q291" s="464"/>
    </row>
    <row r="292" spans="1:17" ht="16.5" customHeight="1">
      <c r="A292"/>
      <c r="B292"/>
      <c r="C292"/>
      <c r="D292"/>
      <c r="E292"/>
      <c r="F292"/>
      <c r="G292"/>
      <c r="H292"/>
      <c r="I292"/>
      <c r="J292"/>
      <c r="K292"/>
      <c r="L292"/>
      <c r="M292" s="421"/>
      <c r="O292" s="464"/>
      <c r="P292" s="464"/>
      <c r="Q292" s="464"/>
    </row>
    <row r="293" spans="1:17" ht="16.5" customHeight="1">
      <c r="A293"/>
      <c r="B293"/>
      <c r="C293"/>
      <c r="D293"/>
      <c r="E293"/>
      <c r="F293"/>
      <c r="G293"/>
      <c r="H293"/>
      <c r="I293"/>
      <c r="J293"/>
      <c r="K293"/>
      <c r="L293"/>
      <c r="M293" s="421"/>
      <c r="O293" s="464"/>
      <c r="P293" s="464"/>
      <c r="Q293" s="464"/>
    </row>
    <row r="294" spans="1:17" ht="16.5" customHeight="1">
      <c r="A294"/>
      <c r="B294"/>
      <c r="C294"/>
      <c r="D294"/>
      <c r="E294"/>
      <c r="F294"/>
      <c r="G294"/>
      <c r="H294"/>
      <c r="I294"/>
      <c r="J294"/>
      <c r="K294"/>
      <c r="L294"/>
      <c r="M294" s="421"/>
      <c r="O294" s="464"/>
      <c r="P294" s="464"/>
      <c r="Q294" s="464"/>
    </row>
    <row r="295" spans="1:17" ht="16.5" customHeight="1">
      <c r="A295"/>
      <c r="B295"/>
      <c r="C295"/>
      <c r="D295"/>
      <c r="E295"/>
      <c r="F295"/>
      <c r="G295"/>
      <c r="H295"/>
      <c r="I295"/>
      <c r="J295"/>
      <c r="K295"/>
      <c r="L295"/>
      <c r="M295" s="421"/>
      <c r="O295" s="464"/>
      <c r="P295" s="464"/>
      <c r="Q295" s="464"/>
    </row>
    <row r="296" spans="1:17" ht="16.5" customHeight="1">
      <c r="A296"/>
      <c r="B296"/>
      <c r="C296"/>
      <c r="D296"/>
      <c r="E296"/>
      <c r="F296"/>
      <c r="G296"/>
      <c r="H296"/>
      <c r="I296"/>
      <c r="J296"/>
      <c r="K296"/>
      <c r="L296"/>
      <c r="M296" s="421"/>
      <c r="O296" s="464"/>
      <c r="P296" s="464"/>
      <c r="Q296" s="464"/>
    </row>
    <row r="297" spans="1:17" ht="16.5" customHeight="1">
      <c r="A297"/>
      <c r="B297"/>
      <c r="C297"/>
      <c r="D297"/>
      <c r="E297"/>
      <c r="F297"/>
      <c r="G297"/>
      <c r="H297"/>
      <c r="I297"/>
      <c r="J297"/>
      <c r="K297"/>
      <c r="L297"/>
      <c r="M297" s="421"/>
      <c r="O297" s="464"/>
      <c r="P297" s="464"/>
      <c r="Q297" s="464"/>
    </row>
    <row r="298" spans="1:17" ht="16.5" customHeight="1">
      <c r="A298"/>
      <c r="B298"/>
      <c r="C298"/>
      <c r="D298"/>
      <c r="E298"/>
      <c r="F298"/>
      <c r="G298"/>
      <c r="H298"/>
      <c r="I298"/>
      <c r="J298"/>
      <c r="K298"/>
      <c r="L298"/>
      <c r="M298" s="421"/>
      <c r="O298" s="464"/>
      <c r="P298" s="464"/>
      <c r="Q298" s="464"/>
    </row>
    <row r="299" spans="1:17" ht="16.5" customHeight="1">
      <c r="A299"/>
      <c r="B299"/>
      <c r="C299"/>
      <c r="D299"/>
      <c r="E299"/>
      <c r="F299"/>
      <c r="G299"/>
      <c r="H299"/>
      <c r="I299"/>
      <c r="J299"/>
      <c r="K299"/>
      <c r="L299"/>
      <c r="M299" s="421"/>
      <c r="O299" s="464"/>
      <c r="P299" s="464"/>
      <c r="Q299" s="464"/>
    </row>
    <row r="300" spans="1:17" ht="16.5" customHeight="1">
      <c r="A300"/>
      <c r="B300"/>
      <c r="C300"/>
      <c r="D300"/>
      <c r="E300"/>
      <c r="F300"/>
      <c r="G300"/>
      <c r="H300"/>
      <c r="I300"/>
      <c r="J300"/>
      <c r="K300"/>
      <c r="L300"/>
      <c r="M300" s="421"/>
      <c r="O300" s="464"/>
      <c r="P300" s="464"/>
      <c r="Q300" s="464"/>
    </row>
    <row r="301" spans="1:17" ht="16.5" customHeight="1">
      <c r="A301"/>
      <c r="B301"/>
      <c r="C301"/>
      <c r="D301"/>
      <c r="E301"/>
      <c r="F301"/>
      <c r="G301"/>
      <c r="H301"/>
      <c r="I301"/>
      <c r="J301"/>
      <c r="K301"/>
      <c r="L301"/>
      <c r="M301" s="421"/>
      <c r="O301" s="464"/>
      <c r="P301" s="464"/>
      <c r="Q301" s="464"/>
    </row>
    <row r="302" spans="1:17" ht="16.5" customHeight="1">
      <c r="A302"/>
      <c r="B302"/>
      <c r="C302"/>
      <c r="D302"/>
      <c r="E302"/>
      <c r="F302"/>
      <c r="G302"/>
      <c r="H302"/>
      <c r="I302"/>
      <c r="J302"/>
      <c r="K302"/>
      <c r="L302"/>
      <c r="M302" s="421"/>
      <c r="O302" s="464"/>
      <c r="P302" s="464"/>
      <c r="Q302" s="464"/>
    </row>
    <row r="303" spans="1:17" ht="16.5" customHeight="1">
      <c r="A303"/>
      <c r="B303"/>
      <c r="C303"/>
      <c r="D303"/>
      <c r="E303"/>
      <c r="F303"/>
      <c r="G303"/>
      <c r="H303"/>
      <c r="I303"/>
      <c r="J303"/>
      <c r="K303"/>
      <c r="L303"/>
      <c r="M303" s="421"/>
      <c r="O303" s="464"/>
      <c r="P303" s="464"/>
      <c r="Q303" s="464"/>
    </row>
    <row r="304" spans="1:17" ht="16.5" customHeight="1">
      <c r="A304"/>
      <c r="B304"/>
      <c r="C304"/>
      <c r="D304"/>
      <c r="E304"/>
      <c r="F304"/>
      <c r="G304"/>
      <c r="H304"/>
      <c r="I304"/>
      <c r="J304"/>
      <c r="K304"/>
      <c r="L304"/>
      <c r="M304" s="421"/>
      <c r="O304" s="464"/>
      <c r="P304" s="464"/>
      <c r="Q304" s="464"/>
    </row>
    <row r="305" spans="1:17" ht="16.5" customHeight="1">
      <c r="A305"/>
      <c r="B305"/>
      <c r="C305"/>
      <c r="D305"/>
      <c r="E305"/>
      <c r="F305"/>
      <c r="G305"/>
      <c r="H305"/>
      <c r="I305"/>
      <c r="J305"/>
      <c r="K305"/>
      <c r="L305"/>
      <c r="M305" s="421"/>
      <c r="O305" s="464"/>
      <c r="P305" s="464"/>
      <c r="Q305" s="464"/>
    </row>
    <row r="306" spans="1:17" ht="16.5" customHeight="1">
      <c r="A306"/>
      <c r="B306"/>
      <c r="C306"/>
      <c r="D306"/>
      <c r="E306"/>
      <c r="F306"/>
      <c r="G306"/>
      <c r="H306"/>
      <c r="I306"/>
      <c r="J306"/>
      <c r="K306"/>
      <c r="L306"/>
      <c r="M306" s="421"/>
      <c r="O306" s="464"/>
      <c r="P306" s="464"/>
      <c r="Q306" s="464"/>
    </row>
    <row r="307" spans="1:17" ht="16.5" customHeight="1">
      <c r="A307"/>
      <c r="B307"/>
      <c r="C307"/>
      <c r="D307"/>
      <c r="E307"/>
      <c r="F307"/>
      <c r="G307"/>
      <c r="H307"/>
      <c r="I307"/>
      <c r="J307"/>
      <c r="K307"/>
      <c r="L307"/>
      <c r="M307" s="421"/>
      <c r="O307" s="464"/>
      <c r="P307" s="464"/>
      <c r="Q307" s="464"/>
    </row>
    <row r="308" spans="1:17" ht="16.5" customHeight="1">
      <c r="A308"/>
      <c r="B308"/>
      <c r="C308"/>
      <c r="D308"/>
      <c r="E308"/>
      <c r="F308"/>
      <c r="G308"/>
      <c r="H308"/>
      <c r="I308"/>
      <c r="J308"/>
      <c r="K308"/>
      <c r="L308"/>
      <c r="M308" s="421"/>
      <c r="O308" s="464"/>
      <c r="P308" s="464"/>
      <c r="Q308" s="464"/>
    </row>
    <row r="309" spans="1:17" ht="16.5" customHeight="1">
      <c r="A309"/>
      <c r="B309"/>
      <c r="C309"/>
      <c r="D309"/>
      <c r="E309"/>
      <c r="F309"/>
      <c r="G309"/>
      <c r="H309"/>
      <c r="I309"/>
      <c r="J309"/>
      <c r="K309"/>
      <c r="L309"/>
      <c r="M309" s="421"/>
      <c r="O309" s="464"/>
      <c r="P309" s="464"/>
      <c r="Q309" s="464"/>
    </row>
    <row r="310" spans="1:17" ht="16.5" customHeight="1">
      <c r="A310"/>
      <c r="B310"/>
      <c r="C310"/>
      <c r="D310"/>
      <c r="E310"/>
      <c r="F310"/>
      <c r="G310"/>
      <c r="H310"/>
      <c r="I310"/>
      <c r="J310"/>
      <c r="K310"/>
      <c r="L310"/>
      <c r="M310" s="421"/>
      <c r="O310" s="464"/>
      <c r="P310" s="464"/>
      <c r="Q310" s="464"/>
    </row>
    <row r="311" spans="1:17" ht="16.5" customHeight="1">
      <c r="A311"/>
      <c r="B311"/>
      <c r="C311"/>
      <c r="D311"/>
      <c r="E311"/>
      <c r="F311"/>
      <c r="G311"/>
      <c r="H311"/>
      <c r="I311"/>
      <c r="J311"/>
      <c r="K311"/>
      <c r="L311"/>
      <c r="M311" s="421"/>
      <c r="O311" s="464"/>
      <c r="P311" s="464"/>
      <c r="Q311" s="464"/>
    </row>
    <row r="312" spans="1:17" ht="16.5" customHeight="1">
      <c r="A312"/>
      <c r="B312"/>
      <c r="C312"/>
      <c r="D312"/>
      <c r="E312"/>
      <c r="F312"/>
      <c r="G312"/>
      <c r="H312"/>
      <c r="I312"/>
      <c r="J312"/>
      <c r="K312"/>
      <c r="L312"/>
      <c r="M312" s="421"/>
      <c r="O312" s="464"/>
      <c r="P312" s="464"/>
      <c r="Q312" s="464"/>
    </row>
    <row r="313" spans="1:17" ht="16.5" customHeight="1">
      <c r="A313"/>
      <c r="B313"/>
      <c r="C313"/>
      <c r="D313"/>
      <c r="E313"/>
      <c r="F313"/>
      <c r="G313"/>
      <c r="H313"/>
      <c r="I313"/>
      <c r="J313"/>
      <c r="K313"/>
      <c r="L313"/>
      <c r="M313" s="421"/>
      <c r="O313" s="464"/>
      <c r="P313" s="464"/>
      <c r="Q313" s="464"/>
    </row>
    <row r="314" spans="1:17" ht="16.5" customHeight="1">
      <c r="A314"/>
      <c r="B314"/>
      <c r="C314"/>
      <c r="D314"/>
      <c r="E314"/>
      <c r="F314"/>
      <c r="G314"/>
      <c r="H314"/>
      <c r="I314"/>
      <c r="J314"/>
      <c r="K314"/>
      <c r="L314"/>
      <c r="M314" s="421"/>
      <c r="O314" s="464"/>
      <c r="P314" s="464"/>
      <c r="Q314" s="464"/>
    </row>
    <row r="315" spans="1:17" ht="16.5" customHeight="1">
      <c r="A315"/>
      <c r="B315"/>
      <c r="C315"/>
      <c r="D315"/>
      <c r="E315"/>
      <c r="F315"/>
      <c r="G315"/>
      <c r="H315"/>
      <c r="I315"/>
      <c r="J315"/>
      <c r="K315"/>
      <c r="L315"/>
      <c r="M315" s="421"/>
      <c r="O315" s="464"/>
      <c r="P315" s="464"/>
      <c r="Q315" s="464"/>
    </row>
    <row r="316" spans="1:17" ht="16.5" customHeight="1">
      <c r="A316"/>
      <c r="B316"/>
      <c r="C316"/>
      <c r="D316"/>
      <c r="E316"/>
      <c r="F316"/>
      <c r="G316"/>
      <c r="H316"/>
      <c r="I316"/>
      <c r="J316"/>
      <c r="K316"/>
      <c r="L316"/>
      <c r="M316" s="421"/>
      <c r="O316" s="464"/>
      <c r="P316" s="464"/>
      <c r="Q316" s="464"/>
    </row>
    <row r="317" spans="1:17" ht="16.5" customHeight="1">
      <c r="A317"/>
      <c r="B317"/>
      <c r="C317"/>
      <c r="D317"/>
      <c r="E317"/>
      <c r="F317"/>
      <c r="G317"/>
      <c r="H317"/>
      <c r="I317"/>
      <c r="J317"/>
      <c r="K317"/>
      <c r="L317"/>
      <c r="M317" s="421"/>
      <c r="O317" s="464"/>
      <c r="P317" s="464"/>
      <c r="Q317" s="464"/>
    </row>
    <row r="318" spans="1:17" ht="16.5" customHeight="1">
      <c r="A318"/>
      <c r="B318"/>
      <c r="C318"/>
      <c r="D318"/>
      <c r="E318"/>
      <c r="F318"/>
      <c r="G318"/>
      <c r="H318"/>
      <c r="I318"/>
      <c r="J318"/>
      <c r="K318"/>
      <c r="L318"/>
      <c r="M318" s="421"/>
      <c r="O318" s="464"/>
      <c r="P318" s="464"/>
      <c r="Q318" s="464"/>
    </row>
    <row r="319" spans="1:17" ht="16.5" customHeight="1">
      <c r="A319"/>
      <c r="B319"/>
      <c r="C319"/>
      <c r="D319"/>
      <c r="E319"/>
      <c r="F319"/>
      <c r="G319"/>
      <c r="H319"/>
      <c r="I319"/>
      <c r="J319"/>
      <c r="K319"/>
      <c r="L319"/>
      <c r="M319" s="421"/>
      <c r="O319" s="464"/>
      <c r="P319" s="464"/>
      <c r="Q319" s="464"/>
    </row>
    <row r="320" spans="1:17" ht="16.5" customHeight="1">
      <c r="A320"/>
      <c r="B320"/>
      <c r="C320"/>
      <c r="D320"/>
      <c r="E320"/>
      <c r="F320"/>
      <c r="G320"/>
      <c r="H320"/>
      <c r="I320"/>
      <c r="J320"/>
      <c r="K320"/>
      <c r="L320"/>
      <c r="M320" s="421"/>
      <c r="O320" s="464"/>
      <c r="P320" s="464"/>
      <c r="Q320" s="464"/>
    </row>
    <row r="321" spans="1:17" ht="16.5" customHeight="1">
      <c r="A321"/>
      <c r="B321"/>
      <c r="C321"/>
      <c r="D321"/>
      <c r="E321"/>
      <c r="F321"/>
      <c r="G321"/>
      <c r="H321"/>
      <c r="I321"/>
      <c r="J321"/>
      <c r="K321"/>
      <c r="L321"/>
      <c r="M321" s="421"/>
      <c r="O321" s="464"/>
      <c r="P321" s="464"/>
      <c r="Q321" s="464"/>
    </row>
    <row r="322" spans="1:17" ht="16.5" customHeight="1">
      <c r="A322"/>
      <c r="B322"/>
      <c r="C322"/>
      <c r="D322"/>
      <c r="E322"/>
      <c r="F322"/>
      <c r="G322"/>
      <c r="H322"/>
      <c r="I322"/>
      <c r="J322"/>
      <c r="K322"/>
      <c r="L322"/>
      <c r="M322" s="421"/>
      <c r="O322" s="464"/>
      <c r="P322" s="464"/>
      <c r="Q322" s="464"/>
    </row>
    <row r="323" spans="1:17" ht="16.5" customHeight="1">
      <c r="A323"/>
      <c r="B323"/>
      <c r="C323"/>
      <c r="D323"/>
      <c r="E323"/>
      <c r="F323"/>
      <c r="G323"/>
      <c r="H323"/>
      <c r="I323"/>
      <c r="J323"/>
      <c r="K323"/>
      <c r="L323"/>
      <c r="M323" s="421"/>
      <c r="O323" s="464"/>
      <c r="P323" s="464"/>
      <c r="Q323" s="464"/>
    </row>
    <row r="324" spans="1:17" ht="16.5" customHeight="1">
      <c r="A324"/>
      <c r="B324"/>
      <c r="C324"/>
      <c r="D324"/>
      <c r="E324"/>
      <c r="F324"/>
      <c r="G324"/>
      <c r="H324"/>
      <c r="I324"/>
      <c r="J324"/>
      <c r="K324"/>
      <c r="L324"/>
      <c r="M324" s="421"/>
      <c r="O324" s="464"/>
      <c r="P324" s="464"/>
      <c r="Q324" s="464"/>
    </row>
    <row r="325" spans="1:17" ht="16.5" customHeight="1">
      <c r="A325"/>
      <c r="B325"/>
      <c r="C325"/>
      <c r="D325"/>
      <c r="E325"/>
      <c r="F325"/>
      <c r="G325"/>
      <c r="H325"/>
      <c r="I325"/>
      <c r="J325"/>
      <c r="K325"/>
      <c r="L325"/>
      <c r="M325" s="421"/>
      <c r="O325" s="464"/>
      <c r="P325" s="464"/>
      <c r="Q325" s="464"/>
    </row>
    <row r="326" spans="1:17" ht="16.5" customHeight="1">
      <c r="A326"/>
      <c r="B326"/>
      <c r="C326"/>
      <c r="D326"/>
      <c r="E326"/>
      <c r="F326"/>
      <c r="G326"/>
      <c r="H326"/>
      <c r="I326"/>
      <c r="J326"/>
      <c r="K326"/>
      <c r="L326"/>
      <c r="M326" s="421"/>
      <c r="O326" s="464"/>
      <c r="P326" s="464"/>
      <c r="Q326" s="464"/>
    </row>
    <row r="327" spans="1:17" ht="16.5" customHeight="1">
      <c r="A327"/>
      <c r="B327"/>
      <c r="C327"/>
      <c r="D327"/>
      <c r="E327"/>
      <c r="F327"/>
      <c r="G327"/>
      <c r="H327"/>
      <c r="I327"/>
      <c r="J327"/>
      <c r="K327"/>
      <c r="L327"/>
      <c r="M327" s="421"/>
      <c r="O327" s="464"/>
      <c r="P327" s="464"/>
      <c r="Q327" s="464"/>
    </row>
    <row r="328" spans="1:17" ht="16.5" customHeight="1">
      <c r="A328"/>
      <c r="B328"/>
      <c r="C328"/>
      <c r="D328"/>
      <c r="E328"/>
      <c r="F328"/>
      <c r="G328"/>
      <c r="H328"/>
      <c r="I328"/>
      <c r="J328"/>
      <c r="K328"/>
      <c r="L328"/>
      <c r="M328" s="421"/>
      <c r="O328" s="464"/>
      <c r="P328" s="464"/>
      <c r="Q328" s="464"/>
    </row>
    <row r="329" spans="1:17" ht="16.5" customHeight="1">
      <c r="A329"/>
      <c r="B329"/>
      <c r="C329"/>
      <c r="D329"/>
      <c r="E329"/>
      <c r="F329"/>
      <c r="G329"/>
      <c r="H329"/>
      <c r="I329"/>
      <c r="J329"/>
      <c r="K329"/>
      <c r="L329"/>
      <c r="M329" s="421"/>
      <c r="O329" s="464"/>
      <c r="P329" s="464"/>
      <c r="Q329" s="464"/>
    </row>
    <row r="330" spans="1:17" ht="16.5" customHeight="1">
      <c r="A330"/>
      <c r="B330"/>
      <c r="C330"/>
      <c r="D330"/>
      <c r="E330"/>
      <c r="F330"/>
      <c r="G330"/>
      <c r="H330"/>
      <c r="I330"/>
      <c r="J330"/>
      <c r="K330"/>
      <c r="L330"/>
      <c r="M330" s="421"/>
      <c r="O330" s="464"/>
      <c r="P330" s="464"/>
      <c r="Q330" s="464"/>
    </row>
    <row r="331" spans="1:17" ht="16.5" customHeight="1">
      <c r="A331"/>
      <c r="B331"/>
      <c r="C331"/>
      <c r="D331"/>
      <c r="E331"/>
      <c r="F331"/>
      <c r="G331"/>
      <c r="H331"/>
      <c r="I331"/>
      <c r="J331"/>
      <c r="K331"/>
      <c r="L331"/>
      <c r="M331" s="421"/>
      <c r="O331" s="464"/>
      <c r="P331" s="464"/>
      <c r="Q331" s="464"/>
    </row>
    <row r="332" spans="1:17" ht="16.5" customHeight="1">
      <c r="A332"/>
      <c r="B332"/>
      <c r="C332"/>
      <c r="D332"/>
      <c r="E332"/>
      <c r="F332"/>
      <c r="G332"/>
      <c r="H332"/>
      <c r="I332"/>
      <c r="J332"/>
      <c r="K332"/>
      <c r="L332"/>
      <c r="M332" s="421"/>
      <c r="O332" s="464"/>
      <c r="P332" s="464"/>
      <c r="Q332" s="464"/>
    </row>
    <row r="333" spans="1:17" ht="16.5" customHeight="1">
      <c r="A333"/>
      <c r="B333"/>
      <c r="C333"/>
      <c r="D333"/>
      <c r="E333"/>
      <c r="F333"/>
      <c r="G333"/>
      <c r="H333"/>
      <c r="I333"/>
      <c r="J333"/>
      <c r="K333"/>
      <c r="L333"/>
      <c r="M333" s="421"/>
      <c r="O333" s="464"/>
      <c r="P333" s="464"/>
      <c r="Q333" s="464"/>
    </row>
    <row r="334" spans="1:17" ht="16.5" customHeight="1">
      <c r="A334"/>
      <c r="B334"/>
      <c r="C334"/>
      <c r="D334"/>
      <c r="E334"/>
      <c r="F334"/>
      <c r="G334"/>
      <c r="H334"/>
      <c r="I334"/>
      <c r="J334"/>
      <c r="K334"/>
      <c r="L334"/>
      <c r="M334" s="421"/>
      <c r="O334" s="464"/>
      <c r="P334" s="464"/>
      <c r="Q334" s="464"/>
    </row>
    <row r="335" spans="1:17" ht="16.5" customHeight="1">
      <c r="A335"/>
      <c r="B335"/>
      <c r="C335"/>
      <c r="D335"/>
      <c r="E335"/>
      <c r="F335"/>
      <c r="G335"/>
      <c r="H335"/>
      <c r="I335"/>
      <c r="J335"/>
      <c r="K335"/>
      <c r="L335"/>
      <c r="M335" s="421"/>
      <c r="O335" s="464"/>
      <c r="P335" s="464"/>
      <c r="Q335" s="464"/>
    </row>
    <row r="336" spans="1:17" ht="16.5" customHeight="1">
      <c r="A336"/>
      <c r="B336"/>
      <c r="C336"/>
      <c r="D336"/>
      <c r="E336"/>
      <c r="F336"/>
      <c r="G336"/>
      <c r="H336"/>
      <c r="I336"/>
      <c r="J336"/>
      <c r="K336"/>
      <c r="L336"/>
      <c r="M336" s="421"/>
      <c r="O336" s="464"/>
      <c r="P336" s="464"/>
      <c r="Q336" s="464"/>
    </row>
    <row r="337" spans="1:17" ht="16.5" customHeight="1">
      <c r="A337"/>
      <c r="B337"/>
      <c r="C337"/>
      <c r="D337"/>
      <c r="E337"/>
      <c r="F337"/>
      <c r="G337"/>
      <c r="H337"/>
      <c r="I337"/>
      <c r="J337"/>
      <c r="K337"/>
      <c r="L337"/>
      <c r="M337" s="421"/>
      <c r="O337" s="464"/>
      <c r="P337" s="464"/>
      <c r="Q337" s="464"/>
    </row>
    <row r="338" spans="1:17" ht="16.5" customHeight="1">
      <c r="A338"/>
      <c r="B338"/>
      <c r="C338"/>
      <c r="D338"/>
      <c r="E338"/>
      <c r="F338"/>
      <c r="G338"/>
      <c r="H338"/>
      <c r="I338"/>
      <c r="J338"/>
      <c r="K338"/>
      <c r="L338"/>
      <c r="M338" s="421"/>
      <c r="O338" s="464"/>
      <c r="P338" s="464"/>
      <c r="Q338" s="464"/>
    </row>
    <row r="339" spans="1:17" ht="16.5" customHeight="1">
      <c r="A339"/>
      <c r="B339"/>
      <c r="C339"/>
      <c r="D339"/>
      <c r="E339"/>
      <c r="F339"/>
      <c r="G339"/>
      <c r="H339"/>
      <c r="I339"/>
      <c r="J339"/>
      <c r="K339"/>
      <c r="L339"/>
      <c r="M339" s="421"/>
      <c r="O339" s="464"/>
      <c r="P339" s="464"/>
      <c r="Q339" s="464"/>
    </row>
    <row r="340" spans="1:17" ht="16.5" customHeight="1">
      <c r="A340"/>
      <c r="B340"/>
      <c r="C340"/>
      <c r="D340"/>
      <c r="E340"/>
      <c r="F340"/>
      <c r="G340"/>
      <c r="H340"/>
      <c r="I340"/>
      <c r="J340"/>
      <c r="K340"/>
      <c r="L340"/>
      <c r="M340" s="421"/>
      <c r="O340" s="464"/>
      <c r="P340" s="464"/>
      <c r="Q340" s="464"/>
    </row>
    <row r="341" spans="1:17" ht="16.5" customHeight="1">
      <c r="A341"/>
      <c r="B341"/>
      <c r="C341"/>
      <c r="D341"/>
      <c r="E341"/>
      <c r="F341"/>
      <c r="G341"/>
      <c r="H341"/>
      <c r="I341"/>
      <c r="J341"/>
      <c r="K341"/>
      <c r="L341"/>
      <c r="M341" s="421"/>
      <c r="O341" s="464"/>
      <c r="P341" s="464"/>
      <c r="Q341" s="464"/>
    </row>
    <row r="342" spans="1:17" ht="16.5" customHeight="1">
      <c r="A342"/>
      <c r="B342"/>
      <c r="C342"/>
      <c r="D342"/>
      <c r="E342"/>
      <c r="F342"/>
      <c r="G342"/>
      <c r="H342"/>
      <c r="I342"/>
      <c r="J342"/>
      <c r="K342"/>
      <c r="L342"/>
      <c r="M342" s="421"/>
      <c r="O342" s="464"/>
      <c r="P342" s="464"/>
      <c r="Q342" s="464"/>
    </row>
    <row r="343" spans="1:17" ht="16.5" customHeight="1">
      <c r="A343"/>
      <c r="B343"/>
      <c r="C343"/>
      <c r="D343"/>
      <c r="E343"/>
      <c r="F343"/>
      <c r="G343"/>
      <c r="H343"/>
      <c r="I343"/>
      <c r="J343"/>
      <c r="K343"/>
      <c r="L343"/>
      <c r="M343" s="421"/>
      <c r="O343" s="464"/>
      <c r="P343" s="464"/>
      <c r="Q343" s="464"/>
    </row>
    <row r="344" spans="1:17" ht="16.5" customHeight="1">
      <c r="A344"/>
      <c r="B344"/>
      <c r="C344"/>
      <c r="D344"/>
      <c r="E344"/>
      <c r="F344"/>
      <c r="G344"/>
      <c r="H344"/>
      <c r="I344"/>
      <c r="J344"/>
      <c r="K344"/>
      <c r="L344"/>
      <c r="M344" s="421"/>
      <c r="O344" s="464"/>
      <c r="P344" s="464"/>
      <c r="Q344" s="464"/>
    </row>
    <row r="345" spans="1:17" ht="16.5" customHeight="1">
      <c r="A345"/>
      <c r="B345"/>
      <c r="C345"/>
      <c r="D345"/>
      <c r="E345"/>
      <c r="F345"/>
      <c r="G345"/>
      <c r="H345"/>
      <c r="I345"/>
      <c r="J345"/>
      <c r="K345"/>
      <c r="L345"/>
      <c r="M345" s="421"/>
      <c r="O345" s="464"/>
      <c r="P345" s="464"/>
      <c r="Q345" s="464"/>
    </row>
    <row r="346" spans="1:17" ht="16.5" customHeight="1">
      <c r="A346"/>
      <c r="B346"/>
      <c r="C346"/>
      <c r="D346"/>
      <c r="E346"/>
      <c r="F346"/>
      <c r="G346"/>
      <c r="H346"/>
      <c r="I346"/>
      <c r="J346"/>
      <c r="K346"/>
      <c r="L346"/>
      <c r="M346" s="421"/>
      <c r="O346" s="464"/>
      <c r="P346" s="464"/>
      <c r="Q346" s="464"/>
    </row>
    <row r="347" spans="1:17" ht="16.5" customHeight="1">
      <c r="A347"/>
      <c r="B347"/>
      <c r="C347"/>
      <c r="D347"/>
      <c r="E347"/>
      <c r="F347"/>
      <c r="G347"/>
      <c r="H347"/>
      <c r="I347"/>
      <c r="J347"/>
      <c r="K347"/>
      <c r="L347"/>
      <c r="M347" s="421"/>
      <c r="O347" s="464"/>
      <c r="P347" s="464"/>
      <c r="Q347" s="464"/>
    </row>
    <row r="348" spans="1:17" ht="16.5" customHeight="1">
      <c r="A348"/>
      <c r="B348"/>
      <c r="C348"/>
      <c r="D348"/>
      <c r="E348"/>
      <c r="F348"/>
      <c r="G348"/>
      <c r="H348"/>
      <c r="I348"/>
      <c r="J348"/>
      <c r="K348"/>
      <c r="L348"/>
      <c r="M348" s="421"/>
      <c r="O348" s="464"/>
      <c r="P348" s="464"/>
      <c r="Q348" s="464"/>
    </row>
    <row r="349" spans="1:17" ht="16.5" customHeight="1">
      <c r="A349"/>
      <c r="B349"/>
      <c r="C349"/>
      <c r="D349"/>
      <c r="E349"/>
      <c r="F349"/>
      <c r="G349"/>
      <c r="H349"/>
      <c r="I349"/>
      <c r="J349"/>
      <c r="K349"/>
      <c r="L349"/>
      <c r="M349" s="421"/>
      <c r="O349" s="464"/>
      <c r="P349" s="464"/>
      <c r="Q349" s="464"/>
    </row>
    <row r="350" spans="1:17" ht="16.5" customHeight="1">
      <c r="A350"/>
      <c r="B350"/>
      <c r="C350"/>
      <c r="D350"/>
      <c r="E350"/>
      <c r="F350"/>
      <c r="G350"/>
      <c r="H350"/>
      <c r="I350"/>
      <c r="J350"/>
      <c r="K350"/>
      <c r="L350"/>
      <c r="M350" s="421"/>
      <c r="O350" s="464"/>
      <c r="P350" s="464"/>
      <c r="Q350" s="464"/>
    </row>
    <row r="351" spans="1:17" ht="16.5" customHeight="1">
      <c r="A351"/>
      <c r="B351"/>
      <c r="C351"/>
      <c r="D351"/>
      <c r="E351"/>
      <c r="F351"/>
      <c r="G351"/>
      <c r="H351"/>
      <c r="I351"/>
      <c r="J351"/>
      <c r="K351"/>
      <c r="L351"/>
      <c r="M351" s="421"/>
      <c r="O351" s="464"/>
      <c r="P351" s="464"/>
      <c r="Q351" s="464"/>
    </row>
    <row r="352" spans="1:17" ht="16.5" customHeight="1">
      <c r="A352"/>
      <c r="B352"/>
      <c r="C352"/>
      <c r="D352"/>
      <c r="E352"/>
      <c r="F352"/>
      <c r="G352"/>
      <c r="H352"/>
      <c r="I352"/>
      <c r="J352"/>
      <c r="K352"/>
      <c r="L352"/>
      <c r="M352" s="421"/>
      <c r="O352" s="464"/>
      <c r="P352" s="464"/>
      <c r="Q352" s="464"/>
    </row>
    <row r="353" spans="1:18" ht="16.5" customHeight="1">
      <c r="A353"/>
      <c r="B353"/>
      <c r="C353"/>
      <c r="D353"/>
      <c r="E353"/>
      <c r="F353"/>
      <c r="G353"/>
      <c r="H353"/>
      <c r="I353"/>
      <c r="J353"/>
      <c r="K353"/>
      <c r="L353"/>
      <c r="M353" s="421"/>
      <c r="O353" s="464"/>
      <c r="P353" s="464"/>
      <c r="Q353" s="464"/>
    </row>
    <row r="354" spans="1:18" ht="16.5" customHeight="1">
      <c r="A354"/>
      <c r="B354"/>
      <c r="C354"/>
      <c r="D354"/>
      <c r="E354"/>
      <c r="F354"/>
      <c r="G354"/>
      <c r="H354"/>
      <c r="I354"/>
      <c r="J354"/>
      <c r="K354"/>
      <c r="L354"/>
      <c r="M354" s="421"/>
      <c r="N354"/>
      <c r="O354"/>
      <c r="P354"/>
      <c r="Q354"/>
      <c r="R354"/>
    </row>
    <row r="355" spans="1:18" ht="16.5" customHeight="1">
      <c r="A355"/>
      <c r="B355"/>
      <c r="C355"/>
      <c r="D355"/>
      <c r="E355"/>
      <c r="F355"/>
      <c r="G355"/>
      <c r="H355"/>
      <c r="I355"/>
      <c r="J355"/>
      <c r="K355"/>
      <c r="L355"/>
      <c r="M355" s="421"/>
      <c r="N355"/>
      <c r="O355"/>
      <c r="P355"/>
      <c r="Q355"/>
      <c r="R355"/>
    </row>
    <row r="356" spans="1:18" ht="16.5" customHeight="1">
      <c r="A356"/>
      <c r="B356"/>
      <c r="C356"/>
      <c r="D356"/>
      <c r="E356"/>
      <c r="F356"/>
      <c r="G356"/>
      <c r="H356"/>
      <c r="I356"/>
      <c r="J356"/>
      <c r="K356"/>
      <c r="L356"/>
      <c r="M356" s="421"/>
      <c r="N356"/>
      <c r="O356"/>
      <c r="P356"/>
      <c r="Q356"/>
      <c r="R356"/>
    </row>
    <row r="357" spans="1:18" ht="16.5" customHeight="1">
      <c r="A357"/>
      <c r="B357"/>
      <c r="C357"/>
      <c r="D357"/>
      <c r="E357"/>
      <c r="F357"/>
      <c r="G357"/>
      <c r="H357"/>
      <c r="I357"/>
      <c r="J357"/>
      <c r="K357"/>
      <c r="L357"/>
      <c r="M357" s="421"/>
      <c r="N357"/>
      <c r="O357"/>
      <c r="P357"/>
      <c r="Q357"/>
      <c r="R357"/>
    </row>
    <row r="358" spans="1:18" ht="16.5" customHeight="1">
      <c r="A358"/>
      <c r="B358"/>
      <c r="C358"/>
      <c r="D358"/>
      <c r="E358"/>
      <c r="F358"/>
      <c r="G358"/>
      <c r="H358"/>
      <c r="I358"/>
      <c r="J358"/>
      <c r="K358"/>
      <c r="L358"/>
      <c r="M358" s="421"/>
      <c r="N358"/>
      <c r="O358"/>
      <c r="P358"/>
      <c r="Q358"/>
      <c r="R358"/>
    </row>
    <row r="359" spans="1:18" ht="16.5" customHeight="1">
      <c r="A359"/>
      <c r="B359"/>
      <c r="C359"/>
      <c r="D359"/>
      <c r="E359"/>
      <c r="F359"/>
      <c r="G359"/>
      <c r="H359"/>
      <c r="I359"/>
      <c r="J359"/>
      <c r="K359"/>
      <c r="L359"/>
      <c r="M359" s="421"/>
      <c r="N359"/>
      <c r="O359"/>
      <c r="P359"/>
      <c r="Q359"/>
      <c r="R359"/>
    </row>
    <row r="360" spans="1:18" ht="16.5" customHeight="1">
      <c r="A360"/>
      <c r="B360"/>
      <c r="C360"/>
      <c r="D360"/>
      <c r="E360"/>
      <c r="F360"/>
      <c r="G360"/>
      <c r="H360"/>
      <c r="I360"/>
      <c r="J360"/>
      <c r="K360"/>
      <c r="L360"/>
      <c r="M360" s="421"/>
      <c r="N360"/>
      <c r="O360"/>
      <c r="P360"/>
      <c r="Q360"/>
      <c r="R360"/>
    </row>
    <row r="361" spans="1:18" ht="16.5" customHeight="1">
      <c r="A361"/>
      <c r="B361"/>
      <c r="C361"/>
      <c r="D361"/>
      <c r="E361"/>
      <c r="F361"/>
      <c r="G361"/>
      <c r="H361"/>
      <c r="I361"/>
      <c r="J361"/>
      <c r="K361"/>
      <c r="L361"/>
      <c r="M361" s="421"/>
      <c r="N361"/>
      <c r="O361"/>
      <c r="P361"/>
      <c r="Q361"/>
      <c r="R361"/>
    </row>
    <row r="362" spans="1:18" ht="16.5" customHeight="1">
      <c r="A362"/>
      <c r="B362"/>
      <c r="C362"/>
      <c r="D362"/>
      <c r="E362"/>
      <c r="F362"/>
      <c r="G362"/>
      <c r="H362"/>
      <c r="I362"/>
      <c r="J362"/>
      <c r="K362"/>
      <c r="L362"/>
      <c r="M362" s="421"/>
      <c r="N362"/>
      <c r="O362"/>
      <c r="P362"/>
      <c r="Q362"/>
      <c r="R362"/>
    </row>
    <row r="363" spans="1:18" ht="16.5" customHeight="1">
      <c r="A363"/>
      <c r="B363"/>
      <c r="C363"/>
      <c r="D363"/>
      <c r="E363"/>
      <c r="F363"/>
      <c r="G363"/>
      <c r="H363"/>
      <c r="I363"/>
      <c r="J363"/>
      <c r="K363"/>
      <c r="L363"/>
      <c r="M363" s="421"/>
      <c r="N363"/>
      <c r="O363"/>
      <c r="P363"/>
      <c r="Q363"/>
      <c r="R363"/>
    </row>
    <row r="364" spans="1:18" ht="16.5" customHeight="1">
      <c r="A364"/>
      <c r="B364"/>
      <c r="C364"/>
      <c r="D364"/>
      <c r="E364"/>
      <c r="F364"/>
      <c r="G364"/>
      <c r="H364"/>
      <c r="I364"/>
      <c r="J364"/>
      <c r="K364"/>
      <c r="L364"/>
      <c r="M364" s="421"/>
      <c r="N364"/>
      <c r="O364"/>
      <c r="P364"/>
      <c r="Q364"/>
      <c r="R364"/>
    </row>
    <row r="365" spans="1:18" ht="16.5" customHeight="1">
      <c r="A365"/>
      <c r="B365"/>
      <c r="C365"/>
      <c r="D365"/>
      <c r="E365"/>
      <c r="F365"/>
      <c r="G365"/>
      <c r="H365"/>
      <c r="I365"/>
      <c r="J365"/>
      <c r="K365"/>
      <c r="L365"/>
      <c r="M365" s="421"/>
      <c r="N365"/>
      <c r="O365"/>
      <c r="P365"/>
      <c r="Q365"/>
      <c r="R365"/>
    </row>
    <row r="366" spans="1:18" ht="16.5" customHeight="1">
      <c r="A366"/>
      <c r="B366"/>
      <c r="C366"/>
      <c r="D366"/>
      <c r="E366"/>
      <c r="F366"/>
      <c r="G366"/>
      <c r="H366"/>
      <c r="I366"/>
      <c r="J366"/>
      <c r="K366"/>
      <c r="L366"/>
      <c r="M366" s="421"/>
      <c r="N366"/>
      <c r="O366"/>
      <c r="P366"/>
      <c r="Q366"/>
      <c r="R366"/>
    </row>
    <row r="367" spans="1:18" ht="16.5" customHeight="1">
      <c r="A367"/>
      <c r="B367"/>
      <c r="C367"/>
      <c r="D367"/>
      <c r="E367"/>
      <c r="F367"/>
      <c r="G367"/>
      <c r="H367"/>
      <c r="I367"/>
      <c r="J367"/>
      <c r="K367"/>
      <c r="L367"/>
      <c r="M367" s="421"/>
      <c r="N367"/>
      <c r="O367"/>
      <c r="P367"/>
      <c r="Q367"/>
      <c r="R367"/>
    </row>
    <row r="368" spans="1:18" ht="16.5" customHeight="1">
      <c r="A368"/>
      <c r="B368"/>
      <c r="C368"/>
      <c r="D368"/>
      <c r="E368"/>
      <c r="F368"/>
      <c r="G368"/>
      <c r="H368"/>
      <c r="I368"/>
      <c r="J368"/>
      <c r="K368"/>
      <c r="L368"/>
      <c r="M368" s="421"/>
      <c r="N368"/>
      <c r="O368"/>
      <c r="P368"/>
      <c r="Q368"/>
      <c r="R368"/>
    </row>
    <row r="369" spans="1:18" ht="16.5" customHeight="1">
      <c r="A369"/>
      <c r="B369"/>
      <c r="C369"/>
      <c r="D369"/>
      <c r="E369"/>
      <c r="F369"/>
      <c r="G369"/>
      <c r="H369"/>
      <c r="I369"/>
      <c r="J369"/>
      <c r="K369"/>
      <c r="L369"/>
      <c r="M369" s="421"/>
      <c r="N369"/>
      <c r="O369"/>
      <c r="P369"/>
      <c r="Q369"/>
      <c r="R369"/>
    </row>
    <row r="370" spans="1:18" ht="16.5" customHeight="1">
      <c r="A370"/>
      <c r="B370"/>
      <c r="C370"/>
      <c r="D370"/>
      <c r="E370"/>
      <c r="F370"/>
      <c r="G370"/>
      <c r="H370"/>
      <c r="I370"/>
      <c r="J370"/>
      <c r="K370"/>
      <c r="L370"/>
      <c r="M370" s="421"/>
      <c r="N370"/>
      <c r="O370"/>
      <c r="P370"/>
      <c r="Q370"/>
      <c r="R370"/>
    </row>
    <row r="371" spans="1:18" ht="16.5" customHeight="1">
      <c r="A371"/>
      <c r="B371"/>
      <c r="C371"/>
      <c r="D371"/>
      <c r="E371"/>
      <c r="F371"/>
      <c r="G371"/>
      <c r="H371"/>
      <c r="I371"/>
      <c r="J371"/>
      <c r="K371"/>
      <c r="L371"/>
      <c r="M371" s="421"/>
      <c r="N371"/>
      <c r="O371"/>
      <c r="P371"/>
      <c r="Q371"/>
      <c r="R371"/>
    </row>
    <row r="372" spans="1:18" ht="16.5" customHeight="1">
      <c r="A372"/>
      <c r="B372"/>
      <c r="C372"/>
      <c r="D372"/>
      <c r="E372"/>
      <c r="F372"/>
      <c r="G372"/>
      <c r="H372"/>
      <c r="I372"/>
      <c r="J372"/>
      <c r="K372"/>
      <c r="L372"/>
      <c r="M372" s="421"/>
      <c r="N372"/>
      <c r="O372"/>
      <c r="P372"/>
      <c r="Q372"/>
      <c r="R372"/>
    </row>
    <row r="373" spans="1:18" ht="16.5" customHeight="1">
      <c r="A373"/>
      <c r="B373"/>
      <c r="C373"/>
      <c r="D373"/>
      <c r="E373"/>
      <c r="F373"/>
      <c r="G373"/>
      <c r="H373"/>
      <c r="I373"/>
      <c r="J373"/>
      <c r="K373"/>
      <c r="L373"/>
      <c r="M373" s="421"/>
      <c r="N373"/>
      <c r="O373"/>
      <c r="P373"/>
      <c r="Q373"/>
      <c r="R373"/>
    </row>
    <row r="374" spans="1:18" ht="16.5" customHeight="1">
      <c r="A374"/>
      <c r="B374"/>
      <c r="C374"/>
      <c r="D374"/>
      <c r="E374"/>
      <c r="F374"/>
      <c r="G374"/>
      <c r="H374"/>
      <c r="I374"/>
      <c r="J374"/>
      <c r="K374"/>
      <c r="L374"/>
      <c r="M374" s="421"/>
      <c r="N374"/>
      <c r="O374"/>
      <c r="P374"/>
      <c r="Q374"/>
      <c r="R374"/>
    </row>
    <row r="375" spans="1:18" ht="16.5" customHeight="1">
      <c r="A375"/>
      <c r="B375"/>
      <c r="C375"/>
      <c r="D375"/>
      <c r="E375"/>
      <c r="F375"/>
      <c r="G375"/>
      <c r="H375"/>
      <c r="I375"/>
      <c r="J375"/>
      <c r="K375"/>
      <c r="L375"/>
      <c r="M375" s="421"/>
      <c r="N375"/>
      <c r="O375"/>
      <c r="P375"/>
      <c r="Q375"/>
      <c r="R375"/>
    </row>
    <row r="376" spans="1:18" ht="16.5" customHeight="1">
      <c r="A376"/>
      <c r="B376"/>
      <c r="C376"/>
      <c r="D376"/>
      <c r="E376"/>
      <c r="F376"/>
      <c r="G376"/>
      <c r="H376"/>
      <c r="I376"/>
      <c r="J376"/>
      <c r="K376"/>
      <c r="L376"/>
      <c r="M376" s="421"/>
      <c r="N376"/>
      <c r="O376"/>
      <c r="P376"/>
      <c r="Q376"/>
      <c r="R376"/>
    </row>
    <row r="377" spans="1:18" ht="16.5" customHeight="1">
      <c r="A377"/>
      <c r="B377"/>
      <c r="C377"/>
      <c r="D377"/>
      <c r="E377"/>
      <c r="F377"/>
      <c r="G377"/>
      <c r="H377"/>
      <c r="I377"/>
      <c r="J377"/>
      <c r="K377"/>
      <c r="L377"/>
      <c r="M377" s="421"/>
      <c r="N377"/>
      <c r="O377"/>
      <c r="P377"/>
      <c r="Q377"/>
      <c r="R377"/>
    </row>
    <row r="378" spans="1:18" ht="16.5" customHeight="1">
      <c r="A378"/>
      <c r="B378"/>
      <c r="C378"/>
      <c r="D378"/>
      <c r="E378"/>
      <c r="F378"/>
      <c r="G378"/>
      <c r="H378"/>
      <c r="I378"/>
      <c r="J378"/>
      <c r="K378"/>
      <c r="L378"/>
      <c r="M378" s="421"/>
      <c r="N378"/>
      <c r="O378"/>
      <c r="P378"/>
      <c r="Q378"/>
      <c r="R378"/>
    </row>
    <row r="379" spans="1:18" ht="16.5" customHeight="1">
      <c r="A379"/>
      <c r="B379"/>
      <c r="C379"/>
      <c r="D379"/>
      <c r="E379"/>
      <c r="F379"/>
      <c r="G379"/>
      <c r="H379"/>
      <c r="I379"/>
      <c r="J379"/>
      <c r="K379"/>
      <c r="L379"/>
      <c r="M379" s="421"/>
      <c r="N379"/>
      <c r="O379"/>
      <c r="P379"/>
      <c r="Q379"/>
      <c r="R379"/>
    </row>
    <row r="380" spans="1:18" ht="16.5" customHeight="1">
      <c r="A380"/>
      <c r="B380"/>
      <c r="C380"/>
      <c r="D380"/>
      <c r="E380"/>
      <c r="F380"/>
      <c r="G380"/>
      <c r="H380"/>
      <c r="I380"/>
      <c r="J380"/>
      <c r="K380"/>
      <c r="L380"/>
      <c r="M380" s="421"/>
      <c r="N380"/>
      <c r="O380"/>
      <c r="P380"/>
      <c r="Q380"/>
      <c r="R380"/>
    </row>
    <row r="381" spans="1:18" ht="16.5" customHeight="1">
      <c r="A381"/>
      <c r="B381"/>
      <c r="C381"/>
      <c r="D381"/>
      <c r="E381"/>
      <c r="F381"/>
      <c r="G381"/>
      <c r="H381"/>
      <c r="I381"/>
      <c r="J381"/>
      <c r="K381"/>
      <c r="L381"/>
      <c r="M381" s="421"/>
      <c r="N381"/>
      <c r="O381"/>
      <c r="P381"/>
      <c r="Q381"/>
      <c r="R381"/>
    </row>
    <row r="382" spans="1:18" ht="16.5" customHeight="1">
      <c r="A382"/>
      <c r="B382"/>
      <c r="C382"/>
      <c r="D382"/>
      <c r="E382"/>
      <c r="F382"/>
      <c r="G382"/>
      <c r="H382"/>
      <c r="I382"/>
      <c r="J382"/>
      <c r="K382"/>
      <c r="L382"/>
      <c r="M382" s="421"/>
      <c r="N382"/>
      <c r="O382"/>
      <c r="P382"/>
      <c r="Q382"/>
      <c r="R382"/>
    </row>
    <row r="383" spans="1:18" ht="16.5" customHeight="1">
      <c r="A383"/>
      <c r="B383"/>
      <c r="C383"/>
      <c r="D383"/>
      <c r="E383"/>
      <c r="F383"/>
      <c r="G383"/>
      <c r="H383"/>
      <c r="I383"/>
      <c r="J383"/>
      <c r="K383"/>
      <c r="L383"/>
      <c r="M383" s="421"/>
      <c r="N383"/>
      <c r="O383"/>
      <c r="P383"/>
      <c r="Q383"/>
      <c r="R383"/>
    </row>
    <row r="384" spans="1:18" ht="16.5" customHeight="1">
      <c r="A384"/>
      <c r="B384"/>
      <c r="C384"/>
      <c r="D384"/>
      <c r="E384"/>
      <c r="F384"/>
      <c r="G384"/>
      <c r="H384"/>
      <c r="I384"/>
      <c r="J384"/>
      <c r="K384"/>
      <c r="L384"/>
      <c r="M384" s="421"/>
      <c r="N384"/>
      <c r="O384"/>
      <c r="P384"/>
      <c r="Q384"/>
      <c r="R384"/>
    </row>
    <row r="385" spans="1:20" ht="16.5" customHeight="1">
      <c r="A385"/>
      <c r="B385"/>
      <c r="C385"/>
      <c r="D385"/>
      <c r="E385"/>
      <c r="F385"/>
      <c r="G385"/>
      <c r="H385"/>
      <c r="I385"/>
      <c r="J385"/>
      <c r="K385"/>
      <c r="L385"/>
      <c r="M385" s="421"/>
      <c r="N385"/>
      <c r="O385"/>
      <c r="P385"/>
      <c r="Q385"/>
      <c r="R385"/>
    </row>
    <row r="386" spans="1:20" ht="16.5" customHeight="1">
      <c r="A386"/>
      <c r="B386"/>
      <c r="C386"/>
      <c r="D386"/>
      <c r="E386"/>
      <c r="F386"/>
      <c r="G386"/>
      <c r="H386"/>
      <c r="I386"/>
      <c r="J386"/>
      <c r="K386"/>
      <c r="L386"/>
      <c r="M386" s="421"/>
      <c r="N386"/>
      <c r="O386"/>
      <c r="P386"/>
      <c r="Q386"/>
      <c r="R386"/>
    </row>
    <row r="387" spans="1:20" ht="16.5" customHeight="1">
      <c r="A387"/>
      <c r="B387"/>
      <c r="C387"/>
      <c r="D387"/>
      <c r="E387"/>
      <c r="F387"/>
      <c r="G387"/>
      <c r="H387"/>
      <c r="I387"/>
      <c r="J387"/>
      <c r="K387"/>
      <c r="L387"/>
      <c r="M387" s="421"/>
      <c r="N387"/>
      <c r="O387"/>
      <c r="P387"/>
      <c r="Q387"/>
      <c r="R387"/>
    </row>
    <row r="388" spans="1:20" ht="16.5" customHeight="1">
      <c r="A388"/>
      <c r="B388"/>
      <c r="C388"/>
      <c r="D388"/>
      <c r="E388"/>
      <c r="F388"/>
      <c r="G388"/>
      <c r="H388"/>
      <c r="I388"/>
      <c r="J388"/>
      <c r="K388"/>
      <c r="L388"/>
      <c r="M388" s="421"/>
      <c r="N388"/>
      <c r="O388"/>
      <c r="P388"/>
      <c r="Q388"/>
      <c r="R388"/>
    </row>
    <row r="389" spans="1:20" ht="16.5" customHeight="1">
      <c r="A389"/>
      <c r="B389"/>
      <c r="C389"/>
      <c r="D389"/>
      <c r="E389"/>
      <c r="F389"/>
      <c r="G389"/>
      <c r="H389"/>
      <c r="I389"/>
      <c r="J389"/>
      <c r="K389"/>
      <c r="L389"/>
      <c r="M389" s="421"/>
      <c r="N389"/>
      <c r="O389"/>
      <c r="P389"/>
      <c r="Q389"/>
      <c r="R389"/>
    </row>
    <row r="390" spans="1:20" ht="16.5" customHeight="1">
      <c r="A390"/>
      <c r="B390"/>
      <c r="C390"/>
      <c r="D390"/>
      <c r="E390"/>
      <c r="F390"/>
      <c r="G390"/>
      <c r="H390"/>
      <c r="I390"/>
      <c r="J390"/>
      <c r="K390"/>
      <c r="L390"/>
      <c r="M390" s="421"/>
      <c r="N390"/>
      <c r="O390"/>
      <c r="P390"/>
      <c r="Q390"/>
      <c r="R390"/>
    </row>
    <row r="391" spans="1:20" s="489" customFormat="1" ht="16.5" customHeight="1">
      <c r="A391"/>
      <c r="B391"/>
      <c r="C391"/>
      <c r="D391"/>
      <c r="E391"/>
      <c r="F391"/>
      <c r="G391"/>
      <c r="H391"/>
      <c r="I391"/>
      <c r="J391"/>
      <c r="K391"/>
      <c r="L391"/>
      <c r="M391" s="421"/>
      <c r="N391"/>
      <c r="O391"/>
      <c r="P391"/>
      <c r="Q391"/>
      <c r="R391"/>
    </row>
    <row r="392" spans="1:20" s="465" customFormat="1" ht="16.5" customHeight="1">
      <c r="A392"/>
      <c r="B392"/>
      <c r="C392"/>
      <c r="D392"/>
      <c r="E392"/>
      <c r="F392"/>
      <c r="G392"/>
      <c r="H392"/>
      <c r="I392"/>
      <c r="J392"/>
      <c r="K392"/>
      <c r="L392"/>
      <c r="N392"/>
      <c r="O392"/>
      <c r="P392"/>
      <c r="Q392"/>
      <c r="R392"/>
    </row>
    <row r="393" spans="1:20" s="465" customFormat="1">
      <c r="A393"/>
      <c r="B393"/>
      <c r="C393"/>
      <c r="D393"/>
      <c r="E393"/>
      <c r="F393"/>
      <c r="G393"/>
      <c r="H393"/>
      <c r="I393"/>
      <c r="J393"/>
      <c r="K393"/>
      <c r="L393"/>
      <c r="N393"/>
      <c r="O393"/>
      <c r="P393"/>
      <c r="Q393"/>
      <c r="R393"/>
    </row>
    <row r="394" spans="1:2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1:20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1:20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1:20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1:2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1:20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1:20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1:20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1:20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1:20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1:20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1:20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1:2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1:20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1:20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1:20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1:20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1:20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1:20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1:20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1:20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1:20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1:2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1:20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1:20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1:20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1:20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1:20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1:20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1:20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1:20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 spans="1:20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 spans="1:2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 spans="1:20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 spans="1:20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 spans="1:20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  <row r="1284" spans="1:20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</row>
    <row r="1285" spans="1:20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</row>
    <row r="1286" spans="1:20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</row>
    <row r="1287" spans="1:20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</row>
    <row r="1288" spans="1:20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</row>
    <row r="1289" spans="1:20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</row>
    <row r="1290" spans="1:2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</row>
    <row r="1291" spans="1:20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</row>
    <row r="1292" spans="1:20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</row>
    <row r="1293" spans="1:20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</row>
    <row r="1294" spans="1:20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</row>
    <row r="1295" spans="1:20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</row>
    <row r="1296" spans="1:20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</row>
    <row r="1297" spans="1:20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</row>
    <row r="1298" spans="1:20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</row>
    <row r="1299" spans="1:20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</row>
    <row r="1300" spans="1:2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</row>
    <row r="1301" spans="1:20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</row>
    <row r="1302" spans="1:20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</row>
    <row r="1303" spans="1:20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</row>
    <row r="1304" spans="1:20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</row>
    <row r="1305" spans="1:20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</row>
    <row r="1306" spans="1:20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</row>
    <row r="1307" spans="1:20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</row>
    <row r="1308" spans="1:20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</row>
    <row r="1309" spans="1:20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</row>
    <row r="1310" spans="1:2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</row>
    <row r="1311" spans="1:20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</row>
    <row r="1312" spans="1:20">
      <c r="M1312"/>
      <c r="N1312"/>
      <c r="O1312"/>
      <c r="P1312"/>
      <c r="Q1312"/>
      <c r="R1312"/>
      <c r="S1312"/>
      <c r="T1312"/>
    </row>
    <row r="1313" spans="13:20">
      <c r="M1313"/>
      <c r="N1313"/>
      <c r="O1313"/>
      <c r="P1313"/>
      <c r="Q1313"/>
      <c r="R1313"/>
      <c r="S1313"/>
      <c r="T1313"/>
    </row>
    <row r="1314" spans="13:20">
      <c r="M1314"/>
      <c r="N1314"/>
      <c r="O1314"/>
      <c r="P1314"/>
      <c r="Q1314"/>
      <c r="R1314"/>
      <c r="S1314"/>
      <c r="T1314"/>
    </row>
    <row r="1315" spans="13:20">
      <c r="M1315"/>
      <c r="N1315"/>
      <c r="O1315"/>
      <c r="P1315"/>
      <c r="Q1315"/>
      <c r="R1315"/>
      <c r="S1315"/>
      <c r="T1315"/>
    </row>
    <row r="1316" spans="13:20">
      <c r="M1316"/>
      <c r="N1316"/>
      <c r="O1316"/>
      <c r="P1316"/>
      <c r="Q1316"/>
      <c r="R1316"/>
      <c r="S1316"/>
      <c r="T1316"/>
    </row>
    <row r="1317" spans="13:20">
      <c r="M1317"/>
      <c r="N1317"/>
      <c r="O1317"/>
      <c r="P1317"/>
      <c r="Q1317"/>
      <c r="R1317"/>
      <c r="S1317"/>
      <c r="T1317"/>
    </row>
    <row r="1318" spans="13:20">
      <c r="M1318"/>
      <c r="N1318"/>
      <c r="O1318"/>
      <c r="P1318"/>
      <c r="Q1318"/>
      <c r="R1318"/>
      <c r="S1318"/>
      <c r="T1318"/>
    </row>
    <row r="1319" spans="13:20">
      <c r="M1319"/>
      <c r="N1319"/>
      <c r="O1319"/>
      <c r="P1319"/>
      <c r="Q1319"/>
      <c r="R1319"/>
      <c r="S1319"/>
      <c r="T1319"/>
    </row>
    <row r="1320" spans="13:20">
      <c r="M1320"/>
      <c r="N1320"/>
      <c r="O1320"/>
      <c r="P1320"/>
      <c r="Q1320"/>
      <c r="R1320"/>
      <c r="S1320"/>
      <c r="T1320"/>
    </row>
    <row r="1321" spans="13:20">
      <c r="M1321"/>
      <c r="N1321"/>
      <c r="O1321"/>
      <c r="P1321"/>
      <c r="Q1321"/>
      <c r="R1321"/>
      <c r="S1321"/>
      <c r="T1321"/>
    </row>
    <row r="1322" spans="13:20">
      <c r="M1322"/>
      <c r="N1322"/>
      <c r="O1322"/>
      <c r="P1322"/>
      <c r="Q1322"/>
      <c r="R1322"/>
      <c r="S1322"/>
      <c r="T1322"/>
    </row>
    <row r="1323" spans="13:20">
      <c r="M1323"/>
      <c r="N1323"/>
      <c r="O1323"/>
      <c r="P1323"/>
      <c r="Q1323"/>
      <c r="R1323"/>
      <c r="S1323"/>
      <c r="T1323"/>
    </row>
    <row r="1324" spans="13:20">
      <c r="M1324"/>
      <c r="N1324"/>
      <c r="O1324"/>
      <c r="P1324"/>
      <c r="Q1324"/>
      <c r="R1324"/>
      <c r="S1324"/>
      <c r="T1324"/>
    </row>
    <row r="1325" spans="13:20">
      <c r="M1325"/>
      <c r="N1325"/>
      <c r="O1325"/>
      <c r="P1325"/>
      <c r="Q1325"/>
      <c r="R1325"/>
      <c r="S1325"/>
      <c r="T1325"/>
    </row>
    <row r="1326" spans="13:20">
      <c r="M1326"/>
      <c r="N1326"/>
      <c r="O1326"/>
      <c r="P1326"/>
      <c r="Q1326"/>
      <c r="R1326"/>
      <c r="S1326"/>
      <c r="T1326"/>
    </row>
    <row r="1327" spans="13:20">
      <c r="M1327"/>
      <c r="N1327"/>
      <c r="O1327"/>
      <c r="P1327"/>
      <c r="Q1327"/>
      <c r="R1327"/>
      <c r="S1327"/>
      <c r="T1327"/>
    </row>
    <row r="1328" spans="13:20">
      <c r="M1328"/>
      <c r="N1328"/>
      <c r="O1328"/>
      <c r="P1328"/>
      <c r="Q1328"/>
      <c r="R1328"/>
      <c r="S1328"/>
      <c r="T1328"/>
    </row>
    <row r="1329" spans="13:20">
      <c r="M1329"/>
      <c r="N1329"/>
      <c r="O1329"/>
      <c r="P1329"/>
      <c r="Q1329"/>
      <c r="R1329"/>
      <c r="S1329"/>
      <c r="T1329"/>
    </row>
    <row r="1330" spans="13:20">
      <c r="M1330"/>
      <c r="N1330"/>
      <c r="O1330"/>
      <c r="P1330"/>
      <c r="Q1330"/>
      <c r="R1330"/>
      <c r="S1330"/>
      <c r="T1330"/>
    </row>
    <row r="1331" spans="13:20">
      <c r="M1331"/>
      <c r="N1331"/>
      <c r="O1331"/>
      <c r="P1331"/>
      <c r="Q1331"/>
      <c r="R1331"/>
      <c r="S1331"/>
      <c r="T1331"/>
    </row>
    <row r="1332" spans="13:20">
      <c r="M1332"/>
      <c r="N1332"/>
      <c r="O1332"/>
      <c r="P1332"/>
      <c r="Q1332"/>
      <c r="R1332"/>
      <c r="S1332"/>
      <c r="T1332"/>
    </row>
    <row r="1333" spans="13:20">
      <c r="M1333"/>
      <c r="N1333"/>
      <c r="O1333"/>
      <c r="P1333"/>
      <c r="Q1333"/>
      <c r="R1333"/>
      <c r="S1333"/>
      <c r="T1333"/>
    </row>
    <row r="1334" spans="13:20">
      <c r="M1334"/>
      <c r="N1334"/>
      <c r="O1334"/>
      <c r="P1334"/>
      <c r="Q1334"/>
      <c r="R1334"/>
      <c r="S1334"/>
      <c r="T1334"/>
    </row>
    <row r="1335" spans="13:20">
      <c r="M1335"/>
      <c r="N1335"/>
      <c r="O1335"/>
      <c r="P1335"/>
      <c r="Q1335"/>
      <c r="R1335"/>
      <c r="S1335"/>
      <c r="T1335"/>
    </row>
    <row r="1336" spans="13:20">
      <c r="M1336"/>
      <c r="N1336"/>
      <c r="O1336"/>
      <c r="P1336"/>
      <c r="Q1336"/>
      <c r="R1336"/>
      <c r="S1336"/>
      <c r="T1336"/>
    </row>
    <row r="1337" spans="13:20">
      <c r="M1337"/>
      <c r="N1337"/>
      <c r="O1337"/>
      <c r="P1337"/>
      <c r="Q1337"/>
      <c r="R1337"/>
      <c r="S1337"/>
      <c r="T1337"/>
    </row>
    <row r="1338" spans="13:20">
      <c r="M1338"/>
      <c r="N1338"/>
      <c r="O1338"/>
      <c r="P1338"/>
      <c r="Q1338"/>
      <c r="R1338"/>
      <c r="S1338"/>
      <c r="T1338"/>
    </row>
    <row r="1339" spans="13:20">
      <c r="M1339"/>
      <c r="N1339"/>
      <c r="O1339"/>
      <c r="P1339"/>
      <c r="Q1339"/>
      <c r="R1339"/>
      <c r="S1339"/>
      <c r="T1339"/>
    </row>
    <row r="1340" spans="13:20">
      <c r="M1340"/>
      <c r="N1340"/>
      <c r="O1340"/>
      <c r="P1340"/>
      <c r="Q1340"/>
      <c r="R1340"/>
      <c r="S1340"/>
      <c r="T1340"/>
    </row>
    <row r="1341" spans="13:20">
      <c r="M1341"/>
      <c r="N1341"/>
      <c r="O1341"/>
      <c r="P1341"/>
      <c r="Q1341"/>
      <c r="R1341"/>
      <c r="S1341"/>
      <c r="T1341"/>
    </row>
    <row r="1342" spans="13:20">
      <c r="M1342"/>
      <c r="N1342"/>
      <c r="O1342"/>
      <c r="P1342"/>
      <c r="Q1342"/>
      <c r="R1342"/>
      <c r="S1342"/>
      <c r="T1342"/>
    </row>
    <row r="1343" spans="13:20">
      <c r="M1343"/>
      <c r="N1343"/>
      <c r="O1343"/>
      <c r="P1343"/>
      <c r="Q1343"/>
      <c r="R1343"/>
      <c r="S1343"/>
      <c r="T1343"/>
    </row>
    <row r="1344" spans="13:20">
      <c r="M1344"/>
      <c r="N1344"/>
      <c r="O1344"/>
      <c r="P1344"/>
      <c r="Q1344"/>
      <c r="R1344"/>
      <c r="S1344"/>
      <c r="T1344"/>
    </row>
    <row r="1345" spans="13:20">
      <c r="M1345"/>
      <c r="N1345"/>
      <c r="O1345"/>
      <c r="P1345"/>
      <c r="Q1345"/>
      <c r="R1345"/>
      <c r="S1345"/>
      <c r="T1345"/>
    </row>
    <row r="1346" spans="13:20">
      <c r="M1346"/>
      <c r="N1346"/>
      <c r="O1346"/>
      <c r="P1346"/>
      <c r="Q1346"/>
      <c r="R1346"/>
      <c r="S1346"/>
      <c r="T1346"/>
    </row>
    <row r="1347" spans="13:20">
      <c r="M1347"/>
      <c r="N1347"/>
      <c r="O1347"/>
      <c r="P1347"/>
      <c r="Q1347"/>
      <c r="R1347"/>
      <c r="S1347"/>
      <c r="T1347"/>
    </row>
    <row r="1348" spans="13:20">
      <c r="M1348"/>
      <c r="N1348"/>
      <c r="O1348"/>
      <c r="P1348"/>
      <c r="Q1348"/>
      <c r="R1348"/>
      <c r="S1348"/>
      <c r="T1348"/>
    </row>
    <row r="1349" spans="13:20">
      <c r="M1349"/>
      <c r="N1349"/>
      <c r="O1349"/>
      <c r="P1349"/>
      <c r="Q1349"/>
      <c r="R1349"/>
      <c r="S1349"/>
      <c r="T1349"/>
    </row>
    <row r="1350" spans="13:20">
      <c r="M1350"/>
      <c r="N1350"/>
      <c r="O1350"/>
      <c r="P1350"/>
      <c r="Q1350"/>
      <c r="R1350"/>
      <c r="S1350"/>
      <c r="T1350"/>
    </row>
    <row r="1351" spans="13:20">
      <c r="M1351"/>
      <c r="N1351"/>
      <c r="O1351"/>
      <c r="P1351"/>
      <c r="Q1351"/>
      <c r="R1351"/>
      <c r="S1351"/>
      <c r="T1351"/>
    </row>
    <row r="1352" spans="13:20">
      <c r="M1352"/>
      <c r="N1352"/>
      <c r="O1352"/>
      <c r="P1352"/>
      <c r="Q1352"/>
      <c r="R1352"/>
      <c r="S1352"/>
      <c r="T1352"/>
    </row>
    <row r="1353" spans="13:20">
      <c r="M1353"/>
      <c r="N1353"/>
      <c r="O1353"/>
      <c r="P1353"/>
      <c r="Q1353"/>
      <c r="R1353"/>
      <c r="S1353"/>
      <c r="T1353"/>
    </row>
    <row r="1354" spans="13:20">
      <c r="M1354"/>
      <c r="N1354"/>
      <c r="O1354"/>
      <c r="P1354"/>
      <c r="Q1354"/>
      <c r="R1354"/>
      <c r="S1354"/>
      <c r="T1354"/>
    </row>
    <row r="1355" spans="13:20">
      <c r="M1355"/>
      <c r="N1355"/>
      <c r="O1355"/>
      <c r="P1355"/>
      <c r="Q1355"/>
      <c r="R1355"/>
      <c r="S1355"/>
      <c r="T1355"/>
    </row>
    <row r="1356" spans="13:20">
      <c r="M1356"/>
      <c r="N1356"/>
      <c r="O1356"/>
      <c r="P1356"/>
      <c r="Q1356"/>
      <c r="R1356"/>
      <c r="S1356"/>
      <c r="T1356"/>
    </row>
    <row r="1357" spans="13:20">
      <c r="M1357"/>
      <c r="N1357"/>
      <c r="O1357"/>
      <c r="P1357"/>
      <c r="Q1357"/>
      <c r="R1357"/>
      <c r="S1357"/>
      <c r="T1357"/>
    </row>
    <row r="1358" spans="13:20">
      <c r="M1358"/>
      <c r="N1358"/>
      <c r="O1358"/>
      <c r="P1358"/>
      <c r="Q1358"/>
      <c r="R1358"/>
      <c r="S1358"/>
      <c r="T1358"/>
    </row>
    <row r="1359" spans="13:20">
      <c r="M1359"/>
      <c r="N1359"/>
      <c r="O1359"/>
      <c r="P1359"/>
      <c r="Q1359"/>
      <c r="R1359"/>
      <c r="S1359"/>
      <c r="T1359"/>
    </row>
    <row r="1360" spans="13:20">
      <c r="M1360"/>
      <c r="N1360"/>
      <c r="O1360"/>
      <c r="P1360"/>
      <c r="Q1360"/>
      <c r="R1360"/>
      <c r="S1360"/>
      <c r="T1360"/>
    </row>
    <row r="1361" spans="13:20">
      <c r="M1361"/>
      <c r="N1361"/>
      <c r="O1361"/>
      <c r="P1361"/>
      <c r="Q1361"/>
      <c r="R1361"/>
      <c r="S1361"/>
      <c r="T1361"/>
    </row>
    <row r="1362" spans="13:20">
      <c r="M1362"/>
      <c r="N1362"/>
      <c r="O1362"/>
      <c r="P1362"/>
      <c r="Q1362"/>
      <c r="R1362"/>
      <c r="S1362"/>
      <c r="T1362"/>
    </row>
    <row r="1363" spans="13:20">
      <c r="M1363"/>
      <c r="N1363"/>
      <c r="O1363"/>
      <c r="P1363"/>
      <c r="Q1363"/>
      <c r="R1363"/>
      <c r="S1363"/>
      <c r="T1363"/>
    </row>
    <row r="1364" spans="13:20">
      <c r="M1364"/>
      <c r="N1364"/>
      <c r="O1364"/>
      <c r="P1364"/>
      <c r="Q1364"/>
      <c r="R1364"/>
      <c r="S1364"/>
      <c r="T1364"/>
    </row>
    <row r="1365" spans="13:20">
      <c r="M1365"/>
      <c r="N1365"/>
      <c r="O1365"/>
      <c r="P1365"/>
      <c r="Q1365"/>
      <c r="R1365"/>
      <c r="S1365"/>
      <c r="T1365"/>
    </row>
    <row r="1366" spans="13:20">
      <c r="M1366"/>
      <c r="N1366"/>
      <c r="O1366"/>
      <c r="P1366"/>
      <c r="Q1366"/>
      <c r="R1366"/>
      <c r="S1366"/>
      <c r="T1366"/>
    </row>
    <row r="1367" spans="13:20">
      <c r="M1367"/>
      <c r="N1367"/>
      <c r="O1367"/>
      <c r="P1367"/>
      <c r="Q1367"/>
      <c r="R1367"/>
      <c r="S1367"/>
      <c r="T1367"/>
    </row>
    <row r="1368" spans="13:20">
      <c r="M1368"/>
      <c r="N1368"/>
      <c r="O1368"/>
      <c r="P1368"/>
      <c r="Q1368"/>
      <c r="R1368"/>
      <c r="S1368"/>
      <c r="T1368"/>
    </row>
    <row r="1369" spans="13:20">
      <c r="M1369"/>
      <c r="N1369"/>
      <c r="O1369"/>
      <c r="P1369"/>
      <c r="Q1369"/>
      <c r="R1369"/>
      <c r="S1369"/>
      <c r="T1369"/>
    </row>
    <row r="1370" spans="13:20">
      <c r="M1370"/>
      <c r="N1370"/>
      <c r="O1370"/>
      <c r="P1370"/>
      <c r="Q1370"/>
      <c r="R1370"/>
      <c r="S1370"/>
      <c r="T1370"/>
    </row>
    <row r="1371" spans="13:20">
      <c r="M1371"/>
      <c r="N1371"/>
      <c r="O1371"/>
      <c r="P1371"/>
      <c r="Q1371"/>
      <c r="R1371"/>
      <c r="S1371"/>
      <c r="T1371"/>
    </row>
    <row r="1372" spans="13:20">
      <c r="M1372"/>
      <c r="N1372"/>
      <c r="O1372"/>
      <c r="P1372"/>
      <c r="Q1372"/>
      <c r="R1372"/>
      <c r="S1372"/>
      <c r="T1372"/>
    </row>
    <row r="1373" spans="13:20">
      <c r="M1373"/>
      <c r="N1373"/>
      <c r="O1373"/>
      <c r="P1373"/>
      <c r="Q1373"/>
      <c r="R1373"/>
      <c r="S1373"/>
      <c r="T1373"/>
    </row>
    <row r="1374" spans="13:20">
      <c r="M1374"/>
      <c r="N1374"/>
      <c r="O1374"/>
      <c r="P1374"/>
      <c r="Q1374"/>
      <c r="R1374"/>
      <c r="S1374"/>
      <c r="T1374"/>
    </row>
    <row r="1375" spans="13:20">
      <c r="M1375"/>
      <c r="N1375"/>
      <c r="O1375"/>
      <c r="P1375"/>
      <c r="Q1375"/>
      <c r="R1375"/>
      <c r="S1375"/>
      <c r="T1375"/>
    </row>
    <row r="1376" spans="13:20">
      <c r="M1376"/>
      <c r="N1376"/>
      <c r="O1376"/>
      <c r="P1376"/>
      <c r="Q1376"/>
      <c r="R1376"/>
      <c r="S1376"/>
      <c r="T1376"/>
    </row>
    <row r="1377" spans="13:20">
      <c r="M1377"/>
      <c r="N1377"/>
      <c r="O1377"/>
      <c r="P1377"/>
      <c r="Q1377"/>
      <c r="R1377"/>
      <c r="S1377"/>
      <c r="T1377"/>
    </row>
    <row r="1378" spans="13:20">
      <c r="M1378"/>
      <c r="N1378"/>
      <c r="O1378"/>
      <c r="P1378"/>
      <c r="Q1378"/>
      <c r="R1378"/>
      <c r="S1378"/>
      <c r="T1378"/>
    </row>
    <row r="1379" spans="13:20">
      <c r="M1379"/>
      <c r="N1379"/>
      <c r="O1379"/>
      <c r="P1379"/>
      <c r="Q1379"/>
      <c r="R1379"/>
      <c r="S1379"/>
      <c r="T1379"/>
    </row>
    <row r="1380" spans="13:20">
      <c r="M1380"/>
      <c r="N1380"/>
      <c r="O1380"/>
      <c r="P1380"/>
      <c r="Q1380"/>
      <c r="R1380"/>
      <c r="S1380"/>
      <c r="T1380"/>
    </row>
    <row r="1381" spans="13:20">
      <c r="M1381"/>
      <c r="N1381"/>
      <c r="O1381"/>
      <c r="P1381"/>
      <c r="Q1381"/>
      <c r="R1381"/>
      <c r="S1381"/>
      <c r="T1381"/>
    </row>
    <row r="1382" spans="13:20">
      <c r="M1382"/>
      <c r="N1382"/>
      <c r="O1382"/>
      <c r="P1382"/>
      <c r="Q1382"/>
      <c r="R1382"/>
      <c r="S1382"/>
      <c r="T1382"/>
    </row>
    <row r="1383" spans="13:20">
      <c r="M1383"/>
      <c r="N1383"/>
      <c r="O1383"/>
      <c r="P1383"/>
      <c r="Q1383"/>
      <c r="R1383"/>
      <c r="S1383"/>
      <c r="T1383"/>
    </row>
    <row r="1384" spans="13:20">
      <c r="M1384"/>
      <c r="N1384"/>
      <c r="O1384"/>
      <c r="P1384"/>
      <c r="Q1384"/>
      <c r="R1384"/>
      <c r="S1384"/>
      <c r="T1384"/>
    </row>
    <row r="1385" spans="13:20">
      <c r="M1385"/>
      <c r="N1385"/>
      <c r="O1385"/>
      <c r="P1385"/>
      <c r="Q1385"/>
      <c r="R1385"/>
      <c r="S1385"/>
      <c r="T1385"/>
    </row>
    <row r="1386" spans="13:20">
      <c r="M1386"/>
      <c r="N1386"/>
      <c r="O1386"/>
      <c r="P1386"/>
      <c r="Q1386"/>
      <c r="R1386"/>
      <c r="S1386"/>
      <c r="T1386"/>
    </row>
    <row r="1387" spans="13:20">
      <c r="M1387"/>
      <c r="N1387"/>
      <c r="O1387"/>
      <c r="P1387"/>
      <c r="Q1387"/>
      <c r="R1387"/>
      <c r="S1387"/>
      <c r="T1387"/>
    </row>
    <row r="1388" spans="13:20">
      <c r="M1388"/>
      <c r="N1388"/>
      <c r="O1388"/>
      <c r="P1388"/>
      <c r="Q1388"/>
      <c r="R1388"/>
      <c r="S1388"/>
      <c r="T1388"/>
    </row>
    <row r="1389" spans="13:20">
      <c r="M1389"/>
      <c r="N1389"/>
      <c r="O1389"/>
      <c r="P1389"/>
      <c r="Q1389"/>
      <c r="R1389"/>
      <c r="S1389"/>
      <c r="T1389"/>
    </row>
    <row r="1390" spans="13:20">
      <c r="M1390"/>
      <c r="N1390"/>
      <c r="O1390"/>
      <c r="P1390"/>
      <c r="Q1390"/>
      <c r="R1390"/>
      <c r="S1390"/>
      <c r="T1390"/>
    </row>
    <row r="1391" spans="13:20">
      <c r="M1391"/>
      <c r="S1391"/>
      <c r="T1391"/>
    </row>
    <row r="1392" spans="13:20">
      <c r="M1392"/>
      <c r="S1392"/>
      <c r="T1392"/>
    </row>
    <row r="1393" spans="13:20">
      <c r="M1393"/>
      <c r="S1393"/>
      <c r="T1393"/>
    </row>
    <row r="1394" spans="13:20">
      <c r="M1394"/>
      <c r="S1394"/>
      <c r="T1394"/>
    </row>
    <row r="1395" spans="13:20">
      <c r="M1395"/>
      <c r="S1395"/>
      <c r="T1395"/>
    </row>
    <row r="1396" spans="13:20">
      <c r="M1396"/>
      <c r="S1396"/>
      <c r="T1396"/>
    </row>
    <row r="1397" spans="13:20">
      <c r="M1397"/>
      <c r="S1397"/>
      <c r="T1397"/>
    </row>
    <row r="1398" spans="13:20">
      <c r="M1398"/>
      <c r="S1398"/>
      <c r="T1398"/>
    </row>
    <row r="1399" spans="13:20">
      <c r="M1399"/>
      <c r="S1399"/>
      <c r="T1399"/>
    </row>
    <row r="1400" spans="13:20">
      <c r="M1400"/>
      <c r="S1400"/>
      <c r="T1400"/>
    </row>
    <row r="1401" spans="13:20">
      <c r="M1401"/>
      <c r="S1401"/>
      <c r="T1401"/>
    </row>
    <row r="1402" spans="13:20">
      <c r="M1402"/>
      <c r="S1402"/>
      <c r="T1402"/>
    </row>
    <row r="1403" spans="13:20">
      <c r="M1403"/>
      <c r="S1403"/>
      <c r="T1403"/>
    </row>
    <row r="1404" spans="13:20">
      <c r="M1404"/>
      <c r="S1404"/>
      <c r="T1404"/>
    </row>
    <row r="1405" spans="13:20">
      <c r="M1405"/>
      <c r="S1405"/>
      <c r="T1405"/>
    </row>
    <row r="1406" spans="13:20">
      <c r="M1406"/>
      <c r="S1406"/>
      <c r="T1406"/>
    </row>
    <row r="1407" spans="13:20">
      <c r="M1407"/>
      <c r="S1407"/>
      <c r="T1407"/>
    </row>
    <row r="1408" spans="13:20">
      <c r="M1408"/>
      <c r="S1408"/>
      <c r="T1408"/>
    </row>
    <row r="1409" spans="13:20">
      <c r="M1409"/>
      <c r="S1409"/>
      <c r="T1409"/>
    </row>
    <row r="1410" spans="13:20">
      <c r="M1410"/>
      <c r="S1410"/>
      <c r="T1410"/>
    </row>
    <row r="1411" spans="13:20">
      <c r="M1411"/>
      <c r="S1411"/>
      <c r="T1411"/>
    </row>
    <row r="1412" spans="13:20">
      <c r="M1412"/>
      <c r="S1412"/>
      <c r="T1412"/>
    </row>
    <row r="1413" spans="13:20">
      <c r="M1413"/>
      <c r="S1413"/>
      <c r="T1413"/>
    </row>
    <row r="1414" spans="13:20">
      <c r="M1414"/>
      <c r="S1414"/>
      <c r="T1414"/>
    </row>
    <row r="1415" spans="13:20">
      <c r="M1415"/>
      <c r="S1415"/>
      <c r="T1415"/>
    </row>
    <row r="1416" spans="13:20">
      <c r="M1416"/>
      <c r="S1416"/>
      <c r="T1416"/>
    </row>
    <row r="1417" spans="13:20">
      <c r="M1417"/>
      <c r="S1417"/>
      <c r="T1417"/>
    </row>
    <row r="1418" spans="13:20">
      <c r="M1418"/>
      <c r="S1418"/>
      <c r="T1418"/>
    </row>
    <row r="1419" spans="13:20">
      <c r="M1419"/>
      <c r="S1419"/>
      <c r="T1419"/>
    </row>
    <row r="1420" spans="13:20">
      <c r="M1420"/>
      <c r="S1420"/>
      <c r="T1420"/>
    </row>
    <row r="1421" spans="13:20">
      <c r="M1421"/>
      <c r="S1421"/>
      <c r="T1421"/>
    </row>
    <row r="1422" spans="13:20">
      <c r="M1422"/>
      <c r="S1422"/>
      <c r="T1422"/>
    </row>
    <row r="1423" spans="13:20">
      <c r="M1423"/>
      <c r="S1423"/>
      <c r="T1423"/>
    </row>
    <row r="1424" spans="13:20">
      <c r="M1424"/>
      <c r="S1424"/>
      <c r="T1424"/>
    </row>
    <row r="1425" spans="13:20">
      <c r="M1425"/>
      <c r="S1425"/>
      <c r="T1425"/>
    </row>
    <row r="1426" spans="13:20">
      <c r="M1426"/>
      <c r="S1426"/>
      <c r="T1426"/>
    </row>
    <row r="1427" spans="13:20">
      <c r="M1427"/>
      <c r="S1427"/>
      <c r="T1427"/>
    </row>
    <row r="1428" spans="13:20">
      <c r="M1428"/>
      <c r="S1428"/>
      <c r="T1428"/>
    </row>
    <row r="1429" spans="13:20">
      <c r="M1429"/>
      <c r="S1429"/>
      <c r="T1429"/>
    </row>
    <row r="1430" spans="13:20">
      <c r="M1430"/>
      <c r="S1430"/>
      <c r="T1430"/>
    </row>
  </sheetData>
  <mergeCells count="28">
    <mergeCell ref="R4:R5"/>
    <mergeCell ref="A4:A5"/>
    <mergeCell ref="B4:B5"/>
    <mergeCell ref="C4:C5"/>
    <mergeCell ref="D4:D5"/>
    <mergeCell ref="J4:J5"/>
    <mergeCell ref="Q4:Q5"/>
    <mergeCell ref="A132:A133"/>
    <mergeCell ref="B132:B133"/>
    <mergeCell ref="C132:C133"/>
    <mergeCell ref="D132:D133"/>
    <mergeCell ref="J132:J133"/>
    <mergeCell ref="N170:Q170"/>
    <mergeCell ref="R132:R133"/>
    <mergeCell ref="N33:Q33"/>
    <mergeCell ref="E4:H4"/>
    <mergeCell ref="I4:I5"/>
    <mergeCell ref="E132:H132"/>
    <mergeCell ref="I132:I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400" customWidth="1"/>
    <col min="2" max="2" width="15.7109375" style="400" customWidth="1"/>
    <col min="3" max="3" width="16.85546875" style="400" customWidth="1"/>
    <col min="4" max="9" width="15.28515625" style="400" customWidth="1"/>
    <col min="10" max="10" width="10.140625" style="400" customWidth="1"/>
    <col min="11" max="11" width="5.85546875" style="400" customWidth="1"/>
    <col min="12" max="16384" width="10.28515625" style="400"/>
  </cols>
  <sheetData>
    <row r="1" spans="1:11" s="286" customFormat="1" ht="19.5" customHeight="1">
      <c r="A1" s="387" t="str">
        <f>TH!A1</f>
        <v>Đơn vị: CÔNG TY TNHH BAO BÌ GIẤY KIM DUNG PHÁT</v>
      </c>
      <c r="B1" s="387"/>
      <c r="D1" s="287"/>
      <c r="E1" s="287"/>
      <c r="F1" s="287"/>
      <c r="G1" s="970" t="s">
        <v>237</v>
      </c>
      <c r="H1" s="970"/>
      <c r="I1" s="970"/>
      <c r="J1" s="288"/>
      <c r="K1" s="289"/>
    </row>
    <row r="2" spans="1:11" s="286" customFormat="1" ht="19.5" customHeight="1">
      <c r="A2" s="416" t="str">
        <f>TH!A2</f>
        <v>Địa chỉ: Ấp Rừng Sến, xã Mỹ Hạnh Bắc, Huyện Đức Hòa, Tỉnh Long An, Việt Nam</v>
      </c>
      <c r="B2" s="387"/>
      <c r="D2" s="290"/>
      <c r="E2" s="290"/>
      <c r="F2" s="290"/>
      <c r="G2" s="971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71"/>
      <c r="I2" s="971"/>
      <c r="J2" s="288"/>
      <c r="K2" s="279">
        <v>1</v>
      </c>
    </row>
    <row r="3" spans="1:11" s="286" customFormat="1" ht="15">
      <c r="A3" s="388"/>
      <c r="B3" s="389"/>
      <c r="C3" s="290"/>
      <c r="D3" s="290"/>
      <c r="E3" s="290"/>
      <c r="F3" s="290"/>
      <c r="G3" s="971"/>
      <c r="H3" s="971"/>
      <c r="I3" s="971"/>
      <c r="J3" s="288"/>
    </row>
    <row r="4" spans="1:11" s="391" customFormat="1" ht="17.25" customHeight="1">
      <c r="A4" s="972" t="s">
        <v>238</v>
      </c>
      <c r="B4" s="972"/>
      <c r="C4" s="972"/>
      <c r="D4" s="972"/>
      <c r="E4" s="972"/>
      <c r="F4" s="972"/>
      <c r="G4" s="972"/>
      <c r="H4" s="972"/>
      <c r="I4" s="972"/>
      <c r="J4" s="390"/>
    </row>
    <row r="5" spans="1:11" s="392" customFormat="1" ht="17.25" customHeight="1">
      <c r="B5" s="393"/>
      <c r="C5" s="394" t="s">
        <v>328</v>
      </c>
      <c r="D5" s="393" t="str">
        <f>IF($K$2&lt;10,"0"&amp;$K$2&amp;"  năm 2011",$K$2&amp;"  năm 2011")</f>
        <v>01  năm 2011</v>
      </c>
      <c r="E5" s="393"/>
      <c r="F5" s="393"/>
      <c r="G5" s="393"/>
      <c r="H5" s="393"/>
      <c r="I5" s="393"/>
      <c r="J5" s="393"/>
    </row>
    <row r="6" spans="1:11" s="392" customFormat="1" ht="17.25" customHeight="1">
      <c r="B6" s="395"/>
      <c r="C6" s="973" t="s">
        <v>239</v>
      </c>
      <c r="D6" s="973"/>
      <c r="E6" s="974"/>
      <c r="F6" s="974"/>
      <c r="G6" s="974"/>
      <c r="H6" s="455"/>
      <c r="I6" s="395"/>
      <c r="J6" s="393"/>
    </row>
    <row r="7" spans="1:11" s="397" customFormat="1" ht="9.75" customHeight="1">
      <c r="A7" s="396"/>
      <c r="B7" s="396"/>
      <c r="C7" s="396"/>
      <c r="D7" s="396"/>
      <c r="E7" s="396"/>
      <c r="F7" s="396"/>
      <c r="G7" s="396"/>
      <c r="H7" s="396"/>
      <c r="I7" s="396"/>
      <c r="J7" s="395"/>
    </row>
    <row r="8" spans="1:11" s="292" customFormat="1" ht="17.25" customHeight="1">
      <c r="A8" s="975" t="s">
        <v>240</v>
      </c>
      <c r="B8" s="976" t="s">
        <v>241</v>
      </c>
      <c r="C8" s="976" t="s">
        <v>242</v>
      </c>
      <c r="D8" s="976"/>
      <c r="E8" s="976"/>
      <c r="F8" s="976"/>
      <c r="G8" s="976"/>
      <c r="H8" s="976"/>
      <c r="I8" s="976"/>
      <c r="J8" s="291"/>
    </row>
    <row r="9" spans="1:11" s="295" customFormat="1" ht="35.25" customHeight="1">
      <c r="A9" s="975"/>
      <c r="B9" s="976"/>
      <c r="C9" s="293" t="s">
        <v>353</v>
      </c>
      <c r="D9" s="293" t="s">
        <v>243</v>
      </c>
      <c r="E9" s="293" t="s">
        <v>354</v>
      </c>
      <c r="F9" s="293" t="s">
        <v>355</v>
      </c>
      <c r="G9" s="293" t="s">
        <v>244</v>
      </c>
      <c r="H9" s="293" t="s">
        <v>245</v>
      </c>
      <c r="I9" s="293" t="s">
        <v>356</v>
      </c>
      <c r="J9" s="294"/>
    </row>
    <row r="10" spans="1:11" s="298" customFormat="1" ht="15">
      <c r="A10" s="296" t="s">
        <v>2</v>
      </c>
      <c r="B10" s="297">
        <v>1</v>
      </c>
      <c r="C10" s="297">
        <v>2</v>
      </c>
      <c r="D10" s="297">
        <v>3</v>
      </c>
      <c r="E10" s="297">
        <v>4</v>
      </c>
      <c r="F10" s="297">
        <v>5</v>
      </c>
      <c r="G10" s="297">
        <v>6</v>
      </c>
      <c r="H10" s="297">
        <v>7</v>
      </c>
      <c r="I10" s="297">
        <v>8</v>
      </c>
      <c r="J10" s="288"/>
    </row>
    <row r="11" spans="1:11" s="392" customFormat="1" ht="24.75" customHeight="1">
      <c r="A11" s="398" t="s">
        <v>246</v>
      </c>
      <c r="B11" s="399">
        <f>ROUND(SUM(C11:I11),0)</f>
        <v>0</v>
      </c>
      <c r="C11" s="399">
        <v>0</v>
      </c>
      <c r="D11" s="399">
        <v>0</v>
      </c>
      <c r="E11" s="399">
        <v>0</v>
      </c>
      <c r="F11" s="399">
        <v>0</v>
      </c>
      <c r="G11" s="399">
        <v>0</v>
      </c>
      <c r="H11" s="399">
        <v>0</v>
      </c>
      <c r="I11" s="399">
        <v>0</v>
      </c>
      <c r="J11" s="393"/>
    </row>
    <row r="12" spans="1:11" s="392" customFormat="1" ht="24.75" customHeight="1">
      <c r="A12" s="398" t="s">
        <v>247</v>
      </c>
      <c r="B12" s="399">
        <f ca="1">ROUND(SUM(C12:I12),0)</f>
        <v>0</v>
      </c>
      <c r="C12" s="399">
        <f ca="1">IF(ISNA(VLOOKUP($E6,INDIRECT("DSSP"&amp;$K$2),5,0)),0,VLOOKUP($E6,INDIRECT("DSSP"&amp;$K$2),5,0))</f>
        <v>0</v>
      </c>
      <c r="D12" s="399">
        <f ca="1">IF(ISNA(VLOOKUP($E6,INDIRECT("DSSP"&amp;$K$2),6,0)),0,VLOOKUP($E6,INDIRECT("DSSP"&amp;$K$2),6,0))</f>
        <v>0</v>
      </c>
      <c r="E12" s="399">
        <f ca="1">IF(ISNA(VLOOKUP($E6,INDIRECT("DSSP"&amp;$K$2),7,0)),0,VLOOKUP($E6,INDIRECT("DSSP"&amp;$K$2),7,0))</f>
        <v>0</v>
      </c>
      <c r="F12" s="399">
        <f ca="1">IF(ISNA(VLOOKUP($E6,INDIRECT("DSSP"&amp;$K$2),8,0)),0,VLOOKUP($E6,INDIRECT("DSSP"&amp;$K$2),8,0))</f>
        <v>0</v>
      </c>
      <c r="G12" s="399">
        <f ca="1">IF(ISNA(VLOOKUP($E6,INDIRECT("DSSP"&amp;$K$2),9,0)),0,VLOOKUP($E6,INDIRECT("DSSP"&amp;$K$2),9,0))</f>
        <v>0</v>
      </c>
      <c r="H12" s="399">
        <f ca="1">IF(ISNA(VLOOKUP($E6,INDIRECT("DSSP"&amp;$K$2),10,0)),0,VLOOKUP($E6,INDIRECT("DSSP"&amp;$K$2),10,0))</f>
        <v>0</v>
      </c>
      <c r="I12" s="399">
        <f ca="1">IF(ISNA(VLOOKUP($E6,INDIRECT("DSSP"&amp;$K$2),11,0)),0,VLOOKUP($E6,INDIRECT("DSSP"&amp;$K$2),11,0))</f>
        <v>0</v>
      </c>
      <c r="J12" s="393"/>
    </row>
    <row r="13" spans="1:11" s="392" customFormat="1" ht="24.75" customHeight="1">
      <c r="A13" s="398" t="s">
        <v>248</v>
      </c>
      <c r="B13" s="399">
        <f ca="1">ROUND(IF(ISNA(VLOOKUP($E6,INDIRECT("DSSP"&amp;$K$2),13,0)),0,VLOOKUP($E6,INDIRECT("DSSP"&amp;$K$2),13,0)),0)</f>
        <v>0</v>
      </c>
      <c r="C13" s="399">
        <f t="shared" ref="C13:I13" ca="1" si="0">C12</f>
        <v>0</v>
      </c>
      <c r="D13" s="399">
        <f t="shared" ca="1" si="0"/>
        <v>0</v>
      </c>
      <c r="E13" s="399">
        <f t="shared" ca="1" si="0"/>
        <v>0</v>
      </c>
      <c r="F13" s="399"/>
      <c r="G13" s="399">
        <f t="shared" ca="1" si="0"/>
        <v>0</v>
      </c>
      <c r="H13" s="399"/>
      <c r="I13" s="399">
        <f t="shared" ca="1" si="0"/>
        <v>0</v>
      </c>
      <c r="J13" s="393"/>
    </row>
    <row r="14" spans="1:11" s="392" customFormat="1" ht="24.75" customHeight="1">
      <c r="A14" s="398" t="s">
        <v>249</v>
      </c>
      <c r="B14" s="399">
        <f ca="1">B12-B13</f>
        <v>0</v>
      </c>
      <c r="C14" s="399">
        <f t="shared" ref="C14:I14" ca="1" si="1">C12-C13</f>
        <v>0</v>
      </c>
      <c r="D14" s="399">
        <f t="shared" ca="1" si="1"/>
        <v>0</v>
      </c>
      <c r="E14" s="399">
        <f t="shared" ca="1" si="1"/>
        <v>0</v>
      </c>
      <c r="F14" s="399"/>
      <c r="G14" s="399">
        <f t="shared" ca="1" si="1"/>
        <v>0</v>
      </c>
      <c r="H14" s="399"/>
      <c r="I14" s="399">
        <f t="shared" ca="1" si="1"/>
        <v>0</v>
      </c>
      <c r="J14" s="393"/>
    </row>
    <row r="15" spans="1:11" s="392" customFormat="1" ht="15">
      <c r="B15" s="393"/>
      <c r="C15" s="393"/>
      <c r="D15" s="393"/>
      <c r="E15" s="393"/>
      <c r="F15" s="393"/>
      <c r="G15" s="393"/>
      <c r="H15" s="393"/>
      <c r="I15" s="393"/>
      <c r="J15" s="393"/>
    </row>
    <row r="16" spans="1:11" s="392" customFormat="1" ht="15">
      <c r="B16" s="393"/>
      <c r="C16" s="393"/>
      <c r="D16" s="393"/>
      <c r="E16" s="969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69"/>
      <c r="G16" s="969"/>
      <c r="H16" s="969"/>
      <c r="I16" s="969"/>
      <c r="J16" s="393"/>
    </row>
    <row r="17" spans="2:10" s="392" customFormat="1" ht="15">
      <c r="B17" s="298" t="s">
        <v>250</v>
      </c>
      <c r="C17" s="393"/>
      <c r="D17" s="393"/>
      <c r="E17" s="969" t="s">
        <v>12</v>
      </c>
      <c r="F17" s="969"/>
      <c r="G17" s="969"/>
      <c r="H17" s="969"/>
      <c r="I17" s="969"/>
      <c r="J17" s="393"/>
    </row>
    <row r="19" spans="2:10" ht="15">
      <c r="E19" s="401"/>
      <c r="F19" s="401"/>
    </row>
    <row r="26" spans="2:10">
      <c r="B26" s="376" t="s">
        <v>146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Q14" sqref="Q14:Q17"/>
    </sheetView>
  </sheetViews>
  <sheetFormatPr defaultRowHeight="12.75"/>
  <cols>
    <col min="1" max="1" width="4.140625" style="314" customWidth="1"/>
    <col min="2" max="2" width="9.140625" style="314" customWidth="1"/>
    <col min="3" max="3" width="9" style="315" customWidth="1"/>
    <col min="4" max="4" width="28.140625" style="314" customWidth="1"/>
    <col min="5" max="5" width="9.140625" style="314" customWidth="1"/>
    <col min="6" max="6" width="9.28515625" style="315" customWidth="1"/>
    <col min="7" max="7" width="9" style="314" customWidth="1"/>
    <col min="8" max="8" width="14.5703125" style="314" customWidth="1"/>
    <col min="9" max="9" width="6" style="314" customWidth="1"/>
    <col min="10" max="10" width="14.140625" style="314" customWidth="1"/>
    <col min="11" max="11" width="14.85546875" style="316" customWidth="1"/>
    <col min="12" max="12" width="14.42578125" style="314" customWidth="1"/>
    <col min="13" max="13" width="5.85546875" style="314" customWidth="1"/>
    <col min="14" max="14" width="7.42578125" style="314" customWidth="1"/>
    <col min="15" max="15" width="11.7109375" style="314" customWidth="1"/>
    <col min="16" max="16" width="4.5703125" style="377" customWidth="1"/>
    <col min="17" max="17" width="11.140625" style="314" bestFit="1" customWidth="1"/>
    <col min="18" max="18" width="12" style="314" bestFit="1" customWidth="1"/>
    <col min="19" max="16384" width="9.140625" style="314"/>
  </cols>
  <sheetData>
    <row r="1" spans="1:18" ht="15" customHeight="1">
      <c r="A1" s="417" t="str">
        <f>TH!A1</f>
        <v>Đơn vị: CÔNG TY TNHH BAO BÌ GIẤY KIM DUNG PHÁT</v>
      </c>
      <c r="L1" s="978" t="s">
        <v>271</v>
      </c>
      <c r="M1" s="978"/>
      <c r="N1" s="978"/>
      <c r="O1" s="978"/>
    </row>
    <row r="2" spans="1:18" ht="15" customHeight="1">
      <c r="A2" s="313" t="str">
        <f>TH!A2</f>
        <v>Địa chỉ: Ấp Rừng Sến, xã Mỹ Hạnh Bắc, Huyện Đức Hòa, Tỉnh Long An, Việt Nam</v>
      </c>
      <c r="L2" s="977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977"/>
      <c r="N2" s="977"/>
      <c r="O2" s="977"/>
    </row>
    <row r="3" spans="1:18" ht="15" customHeight="1">
      <c r="L3" s="977"/>
      <c r="M3" s="977"/>
      <c r="N3" s="977"/>
      <c r="O3" s="977"/>
    </row>
    <row r="5" spans="1:18" s="319" customFormat="1" ht="24" customHeight="1">
      <c r="A5" s="979" t="s">
        <v>272</v>
      </c>
      <c r="B5" s="979"/>
      <c r="C5" s="979"/>
      <c r="D5" s="979"/>
      <c r="E5" s="979"/>
      <c r="F5" s="979"/>
      <c r="G5" s="979"/>
      <c r="H5" s="979"/>
      <c r="I5" s="979"/>
      <c r="J5" s="979"/>
      <c r="K5" s="979"/>
      <c r="L5" s="979"/>
      <c r="M5" s="979"/>
      <c r="N5" s="979"/>
      <c r="O5" s="979"/>
      <c r="P5" s="378"/>
    </row>
    <row r="6" spans="1:18" s="319" customFormat="1" ht="21" customHeight="1">
      <c r="A6" s="980" t="s">
        <v>357</v>
      </c>
      <c r="B6" s="980"/>
      <c r="C6" s="980"/>
      <c r="D6" s="980"/>
      <c r="E6" s="980"/>
      <c r="F6" s="980"/>
      <c r="G6" s="980"/>
      <c r="H6" s="980"/>
      <c r="I6" s="980"/>
      <c r="J6" s="980"/>
      <c r="K6" s="980"/>
      <c r="L6" s="980"/>
      <c r="M6" s="980"/>
      <c r="N6" s="980"/>
      <c r="O6" s="980"/>
      <c r="P6" s="378"/>
    </row>
    <row r="7" spans="1:18" s="319" customFormat="1" ht="21" customHeight="1">
      <c r="A7" s="981" t="s">
        <v>314</v>
      </c>
      <c r="B7" s="981"/>
      <c r="C7" s="981"/>
      <c r="D7" s="981"/>
      <c r="E7" s="981"/>
      <c r="F7" s="981"/>
      <c r="G7" s="981"/>
      <c r="H7" s="981"/>
      <c r="I7" s="981"/>
      <c r="J7" s="981"/>
      <c r="K7" s="981"/>
      <c r="L7" s="981"/>
      <c r="M7" s="981"/>
      <c r="N7" s="981"/>
      <c r="O7" s="981"/>
      <c r="P7" s="378"/>
    </row>
    <row r="8" spans="1:18">
      <c r="D8" s="315"/>
    </row>
    <row r="9" spans="1:18" s="320" customFormat="1" ht="24" customHeight="1">
      <c r="A9" s="982" t="s">
        <v>225</v>
      </c>
      <c r="B9" s="985" t="s">
        <v>273</v>
      </c>
      <c r="C9" s="986"/>
      <c r="D9" s="986"/>
      <c r="E9" s="986"/>
      <c r="F9" s="986"/>
      <c r="G9" s="986"/>
      <c r="H9" s="987"/>
      <c r="I9" s="985" t="s">
        <v>274</v>
      </c>
      <c r="J9" s="986"/>
      <c r="K9" s="986"/>
      <c r="L9" s="987"/>
      <c r="M9" s="988" t="s">
        <v>275</v>
      </c>
      <c r="N9" s="988"/>
      <c r="O9" s="988"/>
      <c r="P9" s="379"/>
    </row>
    <row r="10" spans="1:18" s="320" customFormat="1" ht="24" customHeight="1">
      <c r="A10" s="983"/>
      <c r="B10" s="985" t="s">
        <v>276</v>
      </c>
      <c r="C10" s="987"/>
      <c r="D10" s="982" t="s">
        <v>277</v>
      </c>
      <c r="E10" s="982" t="s">
        <v>278</v>
      </c>
      <c r="F10" s="982" t="s">
        <v>279</v>
      </c>
      <c r="G10" s="982" t="s">
        <v>280</v>
      </c>
      <c r="H10" s="982" t="s">
        <v>281</v>
      </c>
      <c r="I10" s="985" t="s">
        <v>282</v>
      </c>
      <c r="J10" s="987"/>
      <c r="K10" s="989" t="s">
        <v>283</v>
      </c>
      <c r="L10" s="982" t="s">
        <v>284</v>
      </c>
      <c r="M10" s="988" t="s">
        <v>276</v>
      </c>
      <c r="N10" s="988"/>
      <c r="O10" s="988" t="s">
        <v>285</v>
      </c>
      <c r="P10" s="379"/>
    </row>
    <row r="11" spans="1:18" s="320" customFormat="1" ht="55.5" customHeight="1">
      <c r="A11" s="984"/>
      <c r="B11" s="321" t="s">
        <v>286</v>
      </c>
      <c r="C11" s="321" t="s">
        <v>226</v>
      </c>
      <c r="D11" s="984"/>
      <c r="E11" s="984"/>
      <c r="F11" s="984"/>
      <c r="G11" s="984"/>
      <c r="H11" s="984"/>
      <c r="I11" s="321" t="s">
        <v>287</v>
      </c>
      <c r="J11" s="321" t="s">
        <v>288</v>
      </c>
      <c r="K11" s="990"/>
      <c r="L11" s="984"/>
      <c r="M11" s="321" t="s">
        <v>15</v>
      </c>
      <c r="N11" s="321" t="s">
        <v>226</v>
      </c>
      <c r="O11" s="988"/>
      <c r="P11" s="379"/>
    </row>
    <row r="12" spans="1:18" s="324" customFormat="1" ht="13.5">
      <c r="A12" s="322" t="s">
        <v>2</v>
      </c>
      <c r="B12" s="322" t="s">
        <v>3</v>
      </c>
      <c r="C12" s="322" t="s">
        <v>4</v>
      </c>
      <c r="D12" s="322" t="s">
        <v>5</v>
      </c>
      <c r="E12" s="322" t="s">
        <v>6</v>
      </c>
      <c r="F12" s="322" t="s">
        <v>127</v>
      </c>
      <c r="G12" s="322" t="s">
        <v>289</v>
      </c>
      <c r="H12" s="322">
        <v>1</v>
      </c>
      <c r="I12" s="322">
        <v>2</v>
      </c>
      <c r="J12" s="322">
        <v>3</v>
      </c>
      <c r="K12" s="323"/>
      <c r="L12" s="322">
        <v>4</v>
      </c>
      <c r="M12" s="322" t="s">
        <v>290</v>
      </c>
      <c r="N12" s="322" t="s">
        <v>291</v>
      </c>
      <c r="O12" s="322" t="s">
        <v>292</v>
      </c>
      <c r="P12" s="380"/>
    </row>
    <row r="13" spans="1:18" s="324" customFormat="1" ht="21.75" customHeight="1">
      <c r="A13" s="344" t="s">
        <v>290</v>
      </c>
      <c r="B13" s="346" t="s">
        <v>313</v>
      </c>
      <c r="C13" s="344"/>
      <c r="D13" s="344"/>
      <c r="E13" s="344"/>
      <c r="F13" s="344"/>
      <c r="G13" s="381"/>
      <c r="H13" s="351"/>
      <c r="I13" s="351"/>
      <c r="J13" s="351"/>
      <c r="K13" s="351"/>
      <c r="L13" s="5"/>
      <c r="M13" s="344"/>
      <c r="N13" s="344"/>
      <c r="O13" s="107"/>
      <c r="P13" s="380" t="str">
        <f>IF(D13='THE-TS'!$D$11,"x","")</f>
        <v/>
      </c>
    </row>
    <row r="14" spans="1:18" ht="21.75" customHeight="1">
      <c r="A14" s="345">
        <v>1</v>
      </c>
      <c r="B14" s="354" t="s">
        <v>324</v>
      </c>
      <c r="C14" s="325">
        <v>42563</v>
      </c>
      <c r="D14" s="129" t="s">
        <v>346</v>
      </c>
      <c r="E14" s="284" t="s">
        <v>293</v>
      </c>
      <c r="F14" s="354" t="s">
        <v>635</v>
      </c>
      <c r="G14" s="381" t="s">
        <v>631</v>
      </c>
      <c r="H14" s="140">
        <v>15000000</v>
      </c>
      <c r="I14" s="140">
        <v>5</v>
      </c>
      <c r="J14" s="5">
        <v>1500000</v>
      </c>
      <c r="K14" s="5"/>
      <c r="L14" s="5">
        <f t="shared" ref="L14:L17" si="0">K14+J14</f>
        <v>1500000</v>
      </c>
      <c r="M14" s="341"/>
      <c r="N14" s="284"/>
      <c r="O14" s="107"/>
      <c r="P14" s="380" t="str">
        <f>IF(D14='THE-TS'!$D$11,"x","")</f>
        <v>x</v>
      </c>
      <c r="Q14" s="165"/>
      <c r="R14" s="165"/>
    </row>
    <row r="15" spans="1:18" ht="21.75" customHeight="1">
      <c r="A15" s="345">
        <v>2</v>
      </c>
      <c r="B15" s="354" t="s">
        <v>324</v>
      </c>
      <c r="C15" s="325">
        <v>42563</v>
      </c>
      <c r="D15" s="129" t="s">
        <v>347</v>
      </c>
      <c r="E15" s="284" t="s">
        <v>293</v>
      </c>
      <c r="F15" s="354" t="s">
        <v>635</v>
      </c>
      <c r="G15" s="381" t="s">
        <v>632</v>
      </c>
      <c r="H15" s="140">
        <v>25000000</v>
      </c>
      <c r="I15" s="140">
        <v>5</v>
      </c>
      <c r="J15" s="5">
        <v>2500000</v>
      </c>
      <c r="K15" s="5"/>
      <c r="L15" s="5">
        <f t="shared" si="0"/>
        <v>2500000</v>
      </c>
      <c r="M15" s="341"/>
      <c r="N15" s="284"/>
      <c r="O15" s="107"/>
      <c r="P15" s="380" t="str">
        <f>IF(D15='THE-TS'!$D$11,"x","")</f>
        <v/>
      </c>
      <c r="Q15" s="165"/>
      <c r="R15" s="165"/>
    </row>
    <row r="16" spans="1:18" ht="21.75" customHeight="1">
      <c r="A16" s="345">
        <v>3</v>
      </c>
      <c r="B16" s="354" t="s">
        <v>324</v>
      </c>
      <c r="C16" s="325">
        <v>42563</v>
      </c>
      <c r="D16" s="129" t="s">
        <v>348</v>
      </c>
      <c r="E16" s="284" t="s">
        <v>293</v>
      </c>
      <c r="F16" s="354" t="s">
        <v>635</v>
      </c>
      <c r="G16" s="381" t="s">
        <v>633</v>
      </c>
      <c r="H16" s="140">
        <v>300000000</v>
      </c>
      <c r="I16" s="140">
        <v>15</v>
      </c>
      <c r="J16" s="5">
        <v>10000000</v>
      </c>
      <c r="K16" s="5"/>
      <c r="L16" s="5">
        <f t="shared" si="0"/>
        <v>10000000</v>
      </c>
      <c r="M16" s="341"/>
      <c r="N16" s="107"/>
      <c r="O16" s="107"/>
      <c r="P16" s="380" t="str">
        <f>IF(D16='THE-TS'!$D$11,"x","")</f>
        <v/>
      </c>
      <c r="Q16" s="165"/>
      <c r="R16" s="165"/>
    </row>
    <row r="17" spans="1:18" ht="21.75" customHeight="1">
      <c r="A17" s="345">
        <v>4</v>
      </c>
      <c r="B17" s="354" t="s">
        <v>324</v>
      </c>
      <c r="C17" s="325">
        <v>42563</v>
      </c>
      <c r="D17" s="349" t="s">
        <v>629</v>
      </c>
      <c r="E17" s="284" t="s">
        <v>293</v>
      </c>
      <c r="F17" s="354" t="s">
        <v>635</v>
      </c>
      <c r="G17" s="381" t="s">
        <v>634</v>
      </c>
      <c r="H17" s="352">
        <v>500000000</v>
      </c>
      <c r="I17" s="140">
        <v>20</v>
      </c>
      <c r="J17" s="168">
        <v>12500000</v>
      </c>
      <c r="K17" s="168"/>
      <c r="L17" s="5">
        <f t="shared" si="0"/>
        <v>12500000</v>
      </c>
      <c r="M17" s="583"/>
      <c r="N17" s="584"/>
      <c r="O17" s="584"/>
      <c r="P17" s="380"/>
      <c r="Q17" s="165"/>
      <c r="R17" s="165"/>
    </row>
    <row r="18" spans="1:18" ht="21.75" customHeight="1">
      <c r="A18" s="326"/>
      <c r="B18" s="347"/>
      <c r="C18" s="348"/>
      <c r="D18" s="349"/>
      <c r="E18" s="327"/>
      <c r="F18" s="348"/>
      <c r="G18" s="347"/>
      <c r="H18" s="352"/>
      <c r="I18" s="352"/>
      <c r="J18" s="168"/>
      <c r="K18" s="168"/>
      <c r="L18" s="168"/>
      <c r="M18" s="327"/>
      <c r="N18" s="327"/>
      <c r="O18" s="327"/>
      <c r="P18" s="380" t="str">
        <f>IF(D18='THE-TS'!$D$11,"x","")</f>
        <v/>
      </c>
      <c r="Q18" s="165"/>
      <c r="R18" s="342"/>
    </row>
    <row r="19" spans="1:18" s="330" customFormat="1" ht="21.75" customHeight="1">
      <c r="A19" s="328"/>
      <c r="B19" s="329"/>
      <c r="C19" s="328"/>
      <c r="D19" s="328" t="s">
        <v>294</v>
      </c>
      <c r="E19" s="328" t="s">
        <v>19</v>
      </c>
      <c r="F19" s="328" t="s">
        <v>19</v>
      </c>
      <c r="G19" s="328" t="s">
        <v>19</v>
      </c>
      <c r="H19" s="353">
        <f>SUM(H14:H18)</f>
        <v>840000000</v>
      </c>
      <c r="I19" s="353"/>
      <c r="J19" s="353">
        <f>SUM(J14:J18)</f>
        <v>26500000</v>
      </c>
      <c r="K19" s="353">
        <f t="shared" ref="K19:L19" si="1">SUM(K14:K18)</f>
        <v>0</v>
      </c>
      <c r="L19" s="353">
        <f t="shared" si="1"/>
        <v>26500000</v>
      </c>
      <c r="M19" s="385" t="s">
        <v>19</v>
      </c>
      <c r="N19" s="385" t="s">
        <v>19</v>
      </c>
      <c r="O19" s="385" t="s">
        <v>19</v>
      </c>
      <c r="P19" s="380" t="str">
        <f>IF(D19='THE-TS'!$D$11,"x","")</f>
        <v/>
      </c>
      <c r="Q19" s="165"/>
    </row>
    <row r="20" spans="1:18" ht="6.75" customHeight="1">
      <c r="A20" s="285"/>
      <c r="B20" s="285"/>
      <c r="C20" s="331"/>
      <c r="D20" s="285"/>
      <c r="E20" s="331"/>
      <c r="F20" s="331"/>
      <c r="G20" s="331"/>
      <c r="H20" s="285"/>
      <c r="I20" s="285"/>
      <c r="J20" s="285"/>
      <c r="K20" s="332"/>
      <c r="L20" s="285"/>
      <c r="M20" s="285"/>
      <c r="N20" s="285"/>
      <c r="O20" s="285"/>
      <c r="P20" s="380" t="str">
        <f>IF(D20='THE-TS'!$D$11,"x","")</f>
        <v/>
      </c>
    </row>
    <row r="21" spans="1:18" ht="13.5" customHeight="1">
      <c r="A21" s="285"/>
      <c r="B21" s="285"/>
      <c r="C21" s="331"/>
      <c r="D21" s="285" t="s">
        <v>295</v>
      </c>
      <c r="E21" s="285"/>
      <c r="F21" s="331"/>
      <c r="G21" s="285"/>
      <c r="H21" s="316"/>
      <c r="I21" s="316"/>
      <c r="J21" s="386"/>
      <c r="L21" s="316"/>
      <c r="M21" s="285"/>
      <c r="N21" s="285"/>
      <c r="O21" s="285"/>
      <c r="P21" s="380" t="str">
        <f>IF(D21='THE-TS'!$D$11,"x","")</f>
        <v/>
      </c>
    </row>
    <row r="22" spans="1:18" ht="13.5" customHeight="1">
      <c r="A22" s="285"/>
      <c r="B22" s="285"/>
      <c r="C22" s="331"/>
      <c r="D22" s="285" t="s">
        <v>637</v>
      </c>
      <c r="E22" s="285"/>
      <c r="F22" s="331"/>
      <c r="G22" s="285"/>
      <c r="H22" s="342"/>
      <c r="I22" s="285"/>
      <c r="J22" s="350"/>
      <c r="K22" s="332"/>
      <c r="L22" s="285"/>
      <c r="M22" s="285"/>
      <c r="N22" s="285"/>
      <c r="O22" s="285"/>
      <c r="P22" s="380" t="str">
        <f>IF(D22='THE-TS'!$D$11,"x","")</f>
        <v/>
      </c>
    </row>
    <row r="23" spans="1:18" ht="13.5" customHeight="1">
      <c r="K23" s="333"/>
      <c r="L23" s="318" t="s">
        <v>636</v>
      </c>
      <c r="P23" s="380" t="str">
        <f>IF(D23='THE-TS'!$D$11,"x","")</f>
        <v/>
      </c>
    </row>
    <row r="24" spans="1:18" ht="13.5" customHeight="1">
      <c r="B24" s="315"/>
      <c r="D24" s="315" t="s">
        <v>11</v>
      </c>
      <c r="F24" s="315" t="s">
        <v>296</v>
      </c>
      <c r="I24" s="334"/>
      <c r="K24" s="331"/>
      <c r="L24" s="331" t="s">
        <v>105</v>
      </c>
      <c r="P24" s="380" t="str">
        <f>IF(D24='THE-TS'!$D$11,"x","")</f>
        <v/>
      </c>
    </row>
    <row r="25" spans="1:18" ht="13.5" customHeight="1">
      <c r="B25" s="315"/>
      <c r="D25" s="315"/>
      <c r="P25" s="380" t="str">
        <f>IF(D25='THE-TS'!$D$11,"x","")</f>
        <v/>
      </c>
    </row>
    <row r="26" spans="1:18" ht="13.5" customHeight="1">
      <c r="H26" s="335"/>
      <c r="J26" s="335"/>
      <c r="L26" s="335"/>
      <c r="P26" s="380" t="str">
        <f>IF(D26='THE-TS'!$D$11,"x","")</f>
        <v/>
      </c>
    </row>
    <row r="27" spans="1:18" ht="13.5" customHeight="1">
      <c r="H27" s="336"/>
      <c r="P27" s="380" t="str">
        <f>IF(D27='THE-TS'!$D$11,"x","")</f>
        <v/>
      </c>
    </row>
    <row r="28" spans="1:18" ht="13.5" customHeight="1">
      <c r="H28" s="336"/>
      <c r="J28" s="335"/>
      <c r="P28" s="380" t="str">
        <f>IF(D28='THE-TS'!$D$11,"x","")</f>
        <v/>
      </c>
    </row>
    <row r="29" spans="1:18" ht="13.5" customHeight="1">
      <c r="H29" s="336"/>
      <c r="P29" s="380" t="str">
        <f>IF(D29='THE-TS'!$D$11,"x","")</f>
        <v/>
      </c>
    </row>
    <row r="30" spans="1:18" ht="13.5" customHeight="1">
      <c r="H30" s="336"/>
      <c r="P30" s="380" t="str">
        <f>IF(D30='THE-TS'!$D$11,"x","")</f>
        <v/>
      </c>
    </row>
    <row r="31" spans="1:18" s="337" customFormat="1" ht="13.5" customHeight="1">
      <c r="C31" s="338"/>
      <c r="D31" s="338"/>
      <c r="F31" s="338"/>
      <c r="H31" s="339"/>
      <c r="K31" s="340"/>
      <c r="P31" s="380"/>
    </row>
    <row r="32" spans="1:18" ht="13.5">
      <c r="P32" s="380" t="str">
        <f>IF(D32='THE-TS'!$D$11,"x","")</f>
        <v/>
      </c>
    </row>
    <row r="33" spans="8:16" ht="13.5" customHeight="1">
      <c r="H33" s="336"/>
      <c r="P33" s="380" t="str">
        <f>IF(D33='THE-TS'!$D$11,"x","")</f>
        <v/>
      </c>
    </row>
    <row r="34" spans="8:16" ht="13.5">
      <c r="P34" s="380" t="str">
        <f>IF(D34='THE-TS'!$D$11,"x","")</f>
        <v/>
      </c>
    </row>
  </sheetData>
  <mergeCells count="20"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L2:O3"/>
    <mergeCell ref="L1:O1"/>
    <mergeCell ref="A5:O5"/>
    <mergeCell ref="A6:O6"/>
    <mergeCell ref="A7:O7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52"/>
  <sheetViews>
    <sheetView tabSelected="1" topLeftCell="A5" workbookViewId="0">
      <selection activeCell="D25" sqref="D25"/>
    </sheetView>
  </sheetViews>
  <sheetFormatPr defaultRowHeight="12.75"/>
  <cols>
    <col min="1" max="1" width="5" style="356" customWidth="1"/>
    <col min="2" max="2" width="10.140625" style="356" customWidth="1"/>
    <col min="3" max="3" width="11.5703125" style="356" customWidth="1"/>
    <col min="4" max="4" width="28.7109375" style="356" customWidth="1"/>
    <col min="5" max="5" width="13.28515625" style="356" customWidth="1"/>
    <col min="6" max="6" width="9.140625" style="356"/>
    <col min="7" max="7" width="14" style="356" customWidth="1"/>
    <col min="8" max="8" width="14.7109375" style="356" customWidth="1"/>
    <col min="9" max="9" width="9" style="356" customWidth="1"/>
    <col min="10" max="10" width="9.140625" style="356"/>
    <col min="11" max="11" width="13.85546875" style="356" customWidth="1"/>
    <col min="12" max="16384" width="9.140625" style="356"/>
  </cols>
  <sheetData>
    <row r="1" spans="1:11" hidden="1"/>
    <row r="2" spans="1:11">
      <c r="A2" s="418" t="str">
        <f>TH!A1</f>
        <v>Đơn vị: CÔNG TY TNHH BAO BÌ GIẤY KIM DUNG PHÁT</v>
      </c>
      <c r="B2" s="355"/>
      <c r="C2" s="355"/>
      <c r="D2" s="355"/>
      <c r="E2" s="317"/>
      <c r="F2" s="978" t="s">
        <v>297</v>
      </c>
      <c r="G2" s="978"/>
      <c r="H2" s="978"/>
    </row>
    <row r="3" spans="1:11">
      <c r="A3" s="371" t="str">
        <f>TH!A2</f>
        <v>Địa chỉ: Ấp Rừng Sến, xã Mỹ Hạnh Bắc, Huyện Đức Hòa, Tỉnh Long An, Việt Nam</v>
      </c>
      <c r="B3" s="355"/>
      <c r="C3" s="355"/>
      <c r="D3" s="355"/>
      <c r="E3" s="318"/>
      <c r="F3" s="977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3" s="977"/>
      <c r="H3" s="977"/>
    </row>
    <row r="4" spans="1:11">
      <c r="A4" s="315"/>
      <c r="B4" s="315"/>
      <c r="C4" s="318"/>
      <c r="D4" s="318"/>
      <c r="E4" s="318"/>
      <c r="F4" s="977"/>
      <c r="G4" s="977"/>
      <c r="H4" s="977"/>
    </row>
    <row r="5" spans="1:11">
      <c r="A5" s="315"/>
      <c r="B5" s="315"/>
      <c r="C5" s="318"/>
      <c r="D5" s="318"/>
      <c r="E5" s="318"/>
      <c r="F5" s="318"/>
      <c r="G5" s="318"/>
      <c r="H5" s="318"/>
    </row>
    <row r="6" spans="1:11" ht="23.25" customHeight="1" thickBot="1">
      <c r="A6" s="1007" t="s">
        <v>298</v>
      </c>
      <c r="B6" s="1007"/>
      <c r="C6" s="1007"/>
      <c r="D6" s="1007"/>
      <c r="E6" s="1007"/>
      <c r="F6" s="1007"/>
      <c r="G6" s="1007"/>
      <c r="H6" s="1007"/>
    </row>
    <row r="7" spans="1:11" ht="17.25" customHeight="1" thickBot="1">
      <c r="A7" s="1006" t="str">
        <f ca="1" xml:space="preserve"> IF(ROWS($1:1)&gt;COUNT(Dong3),"","Số: "&amp;OFFSET('SO-TS'!$G$1,SMALL(Dong3,ROWS($1:1)),))</f>
        <v>Số: SX01/16</v>
      </c>
      <c r="B7" s="1006"/>
      <c r="C7" s="1006"/>
      <c r="D7" s="1006"/>
      <c r="E7" s="1006"/>
      <c r="F7" s="1006"/>
      <c r="G7" s="1006"/>
      <c r="H7" s="1006"/>
      <c r="J7" s="372" t="s">
        <v>315</v>
      </c>
      <c r="K7" s="373" t="s">
        <v>320</v>
      </c>
    </row>
    <row r="8" spans="1:11" ht="17.25" customHeight="1">
      <c r="A8" s="1008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1008"/>
      <c r="C8" s="1008"/>
      <c r="D8" s="1008"/>
      <c r="E8" s="1008"/>
      <c r="F8" s="1008"/>
      <c r="G8" s="1008"/>
      <c r="H8" s="1008"/>
    </row>
    <row r="9" spans="1:11" ht="12" customHeight="1">
      <c r="A9" s="315"/>
      <c r="B9" s="315"/>
      <c r="C9" s="315"/>
      <c r="D9" s="315"/>
      <c r="E9" s="315"/>
      <c r="F9" s="315"/>
      <c r="G9" s="318"/>
      <c r="H9" s="318"/>
    </row>
    <row r="10" spans="1:11" ht="15" customHeight="1">
      <c r="A10" s="314" t="str">
        <f ca="1">"Căn cứ vào biên bản giao nhận TSCĐ "&amp;"  "&amp;A7&amp;"  "&amp;A8</f>
        <v>Căn cứ vào biên bản giao nhận TSCĐ   Số: SX01/16  Ngày   12   tháng   7  năm   2016</v>
      </c>
      <c r="B10" s="314"/>
      <c r="C10" s="314"/>
      <c r="D10" s="314"/>
      <c r="E10" s="314"/>
      <c r="F10" s="314"/>
      <c r="G10" s="314"/>
      <c r="H10" s="314"/>
    </row>
    <row r="11" spans="1:11" ht="15" customHeight="1">
      <c r="A11" s="314" t="s">
        <v>316</v>
      </c>
      <c r="B11" s="314"/>
      <c r="C11" s="314"/>
      <c r="D11" s="314" t="s">
        <v>346</v>
      </c>
      <c r="E11" s="314" t="str">
        <f ca="1" xml:space="preserve"> IF(ROWS($1:1)&gt;COUNT(Dong3),"","Số hiệu TSCĐ:   "&amp;OFFSET('SO-TS'!$G$1,SMALL(Dong3,ROWS($1:1)),))</f>
        <v>Số hiệu TSCĐ:   SX01/16</v>
      </c>
      <c r="F11" s="314"/>
      <c r="H11" s="314"/>
    </row>
    <row r="12" spans="1:11" ht="15" customHeight="1">
      <c r="A12" s="314" t="str">
        <f ca="1" xml:space="preserve"> IF(ROWS($1:1)&gt;COUNT(Dong3),"","Nước sản xuất:   "&amp;OFFSET('SO-TS'!$E$1,SMALL(Dong3,ROWS($1:1)),))</f>
        <v>Nước sản xuất:   Việt Nam</v>
      </c>
      <c r="B12" s="314"/>
      <c r="C12" s="314"/>
      <c r="D12" s="314"/>
      <c r="E12" s="314" t="s">
        <v>317</v>
      </c>
      <c r="F12" s="314"/>
      <c r="G12" s="314"/>
      <c r="H12" s="314"/>
    </row>
    <row r="13" spans="1:11" ht="15" customHeight="1">
      <c r="A13" s="314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314"/>
      <c r="C13" s="314"/>
      <c r="D13" s="314"/>
      <c r="E13" s="314" t="str">
        <f ca="1" xml:space="preserve"> IF(ROWS($1:1)&gt;COUNT(Dong3),"","Tháng, năm đưa vào sử dụng:    "&amp;OFFSET('SO-TS'!$F$1,SMALL(Dong3,ROWS($1:1)),))</f>
        <v>Tháng, năm đưa vào sử dụng:    07/2016</v>
      </c>
      <c r="F13" s="314"/>
      <c r="G13" s="314"/>
      <c r="H13" s="314"/>
    </row>
    <row r="14" spans="1:11" ht="15" customHeight="1">
      <c r="A14" s="314" t="s">
        <v>299</v>
      </c>
      <c r="B14" s="314"/>
      <c r="C14" s="314"/>
      <c r="D14" s="314"/>
      <c r="E14" s="314"/>
      <c r="F14" s="314"/>
      <c r="G14" s="314"/>
      <c r="H14" s="314"/>
    </row>
    <row r="15" spans="1:11" ht="15" customHeight="1">
      <c r="A15" s="314" t="s">
        <v>319</v>
      </c>
      <c r="B15" s="314"/>
      <c r="C15" s="314"/>
      <c r="D15" s="314"/>
      <c r="E15" s="314"/>
      <c r="F15" s="314"/>
      <c r="G15" s="314"/>
      <c r="H15" s="314"/>
    </row>
    <row r="16" spans="1:11" ht="15" customHeight="1">
      <c r="A16" s="374" t="s">
        <v>318</v>
      </c>
      <c r="B16" s="374"/>
      <c r="C16" s="374"/>
      <c r="D16" s="374"/>
      <c r="E16" s="374"/>
      <c r="F16" s="374"/>
      <c r="G16" s="374"/>
      <c r="H16" s="374"/>
    </row>
    <row r="17" spans="1:8" s="368" customFormat="1" ht="18" customHeight="1">
      <c r="A17" s="993" t="s">
        <v>121</v>
      </c>
      <c r="B17" s="994"/>
      <c r="C17" s="997" t="s">
        <v>300</v>
      </c>
      <c r="D17" s="998"/>
      <c r="E17" s="999"/>
      <c r="F17" s="1000" t="s">
        <v>301</v>
      </c>
      <c r="G17" s="1001"/>
      <c r="H17" s="1002"/>
    </row>
    <row r="18" spans="1:8" s="368" customFormat="1" ht="28.5" customHeight="1">
      <c r="A18" s="995"/>
      <c r="B18" s="996"/>
      <c r="C18" s="343" t="s">
        <v>302</v>
      </c>
      <c r="D18" s="343" t="s">
        <v>0</v>
      </c>
      <c r="E18" s="343" t="s">
        <v>303</v>
      </c>
      <c r="F18" s="343" t="s">
        <v>304</v>
      </c>
      <c r="G18" s="343" t="s">
        <v>305</v>
      </c>
      <c r="H18" s="343" t="s">
        <v>306</v>
      </c>
    </row>
    <row r="19" spans="1:8" s="370" customFormat="1">
      <c r="A19" s="1003" t="s">
        <v>2</v>
      </c>
      <c r="B19" s="1003"/>
      <c r="C19" s="369" t="s">
        <v>3</v>
      </c>
      <c r="D19" s="369" t="s">
        <v>4</v>
      </c>
      <c r="E19" s="369">
        <v>1</v>
      </c>
      <c r="F19" s="369">
        <v>2</v>
      </c>
      <c r="G19" s="369">
        <v>3</v>
      </c>
      <c r="H19" s="369">
        <v>4</v>
      </c>
    </row>
    <row r="20" spans="1:8" ht="17.25" customHeight="1">
      <c r="A20" s="301">
        <f ca="1">IF(B20&lt;&gt;"",ROW()-19,"")</f>
        <v>1</v>
      </c>
      <c r="B20" s="357" t="str">
        <f ca="1" xml:space="preserve"> IF(ROWS($1:1)&gt;COUNT(Dong3),"",OFFSET('SO-TS'!G$1,SMALL(Dong3,ROWS($1:1)),))</f>
        <v>SX01/16</v>
      </c>
      <c r="C20" s="357" t="str">
        <f ca="1" xml:space="preserve"> IF(ROWS($1:1)&gt;COUNT(Dong3),"",OFFSET('SO-TS'!F$1,SMALL(Dong3,ROWS($1:1)),))</f>
        <v>07/2016</v>
      </c>
      <c r="D20" s="382" t="str">
        <f ca="1" xml:space="preserve"> IF(ROWS($1:1)&gt;COUNT(Dong3),"",OFFSET('SO-TS'!D$1,SMALL(Dong3,ROWS($1:1)),))</f>
        <v>Máy chap khe khổ 2m</v>
      </c>
      <c r="E20" s="383">
        <f ca="1" xml:space="preserve"> IF(ROWS($1:1)&gt;COUNT(Dong3),"",OFFSET('SO-TS'!H$1,SMALL(Dong3,ROWS($1:1)),))</f>
        <v>15000000</v>
      </c>
      <c r="F20" s="384" t="str">
        <f ca="1" xml:space="preserve"> IF(ROWS($1:1)&gt;COUNT(Dong3),"",RIGHT(OFFSET('SO-TS'!F$1,SMALL(Dong3,ROWS($1:1)),),4))</f>
        <v>2016</v>
      </c>
      <c r="G20" s="502">
        <f ca="1">IF(F20="",0,ROUND(IF(OR(ROWS($1:$1)&gt;COUNT(Dong3),(ROW()-19)&gt;OFFSET('SO-TS'!I$1,SMALL(Dong3,ROWS($1:$1)),)),0,IF(VALUE(LEFT(C20,2))&gt;0,$E$29/(OFFSET('SO-TS'!I$1,SMALL(Dong3,ROWS($1:$1)),))/12*(13-VALUE(LEFT(C20,2))),$E$29/(OFFSET('SO-TS'!I$1,SMALL(Dong3,ROWS($1:$1)),)))),0))</f>
        <v>1500000</v>
      </c>
      <c r="H20" s="502">
        <f ca="1">G20</f>
        <v>1500000</v>
      </c>
    </row>
    <row r="21" spans="1:8" ht="17.25" customHeight="1">
      <c r="A21" s="301" t="str">
        <f t="shared" ref="A21:A27" ca="1" si="0">IF(B21&lt;&gt;"",ROW()-19,"")</f>
        <v/>
      </c>
      <c r="B21" s="357" t="str">
        <f ca="1" xml:space="preserve"> IF(ROWS($1:2)&gt;COUNT(Dong3),"",OFFSET('SO-TS'!G$1,SMALL(Dong3,ROWS($1:2)),))</f>
        <v/>
      </c>
      <c r="C21" s="357" t="str">
        <f ca="1" xml:space="preserve"> IF(ROWS($1:2)&gt;COUNT(Dong3),"",OFFSET('SO-TS'!F$1,SMALL(Dong3,ROWS($1:2)),))</f>
        <v/>
      </c>
      <c r="D21" s="382" t="str">
        <f ca="1" xml:space="preserve"> IF(ROWS($1:2)&gt;COUNT(Dong3),"",OFFSET('SO-TS'!D$1,SMALL(Dong3,ROWS($1:2)),))</f>
        <v/>
      </c>
      <c r="E21" s="383" t="str">
        <f ca="1" xml:space="preserve"> IF(ROWS($1:2)&gt;COUNT(Dong3),"",OFFSET('SO-TS'!H$1,SMALL(Dong3,ROWS($1:2)),))</f>
        <v/>
      </c>
      <c r="F21" s="384" t="str">
        <f ca="1">IF(OR(F20="",AND((ROW()-19)&gt;OFFSET('SO-TS'!I$1,SMALL(Dong3,ROWS(1:1)),)+1),$E$29-H20&lt;=0),"",IF(VALUE(F20)&gt;=VALUE(YEAR(TH!$C$10)),"",F20+1))</f>
        <v/>
      </c>
      <c r="G21" s="502">
        <f ca="1">IF(F21="",0,ROUND(IF(OR(ROWS($1:$1)&gt;COUNT(Dong3),(ROW()-19)&gt;OFFSET('SO-TS'!I$1,SMALL(Dong3,ROWS($1:$1)),)+1),0,IF($E$29-H20&lt;($E$29/(OFFSET('SO-TS'!I$1,SMALL(Dong3,ROWS($1:$1)),))+12),$E$29-H20,$E$29/(OFFSET('SO-TS'!I$1,SMALL(Dong3,ROWS($1:$1)),)))),0))</f>
        <v>0</v>
      </c>
      <c r="H21" s="501">
        <f ca="1">IF(G21&lt;&gt;0,H20+G21,0)</f>
        <v>0</v>
      </c>
    </row>
    <row r="22" spans="1:8" ht="17.25" customHeight="1">
      <c r="A22" s="301" t="str">
        <f t="shared" ca="1" si="0"/>
        <v/>
      </c>
      <c r="B22" s="357" t="str">
        <f ca="1" xml:space="preserve"> IF(ROWS($1:3)&gt;COUNT(Dong3),"",OFFSET('SO-TS'!G$1,SMALL(Dong3,ROWS($1:3)),))</f>
        <v/>
      </c>
      <c r="C22" s="357" t="str">
        <f ca="1" xml:space="preserve"> IF(ROWS($1:3)&gt;COUNT(Dong3),"",OFFSET('SO-TS'!F$1,SMALL(Dong3,ROWS($1:3)),))</f>
        <v/>
      </c>
      <c r="D22" s="382" t="str">
        <f ca="1" xml:space="preserve"> IF(ROWS($1:3)&gt;COUNT(Dong3),"",OFFSET('SO-TS'!D$1,SMALL(Dong3,ROWS($1:3)),))</f>
        <v/>
      </c>
      <c r="E22" s="383" t="str">
        <f ca="1" xml:space="preserve"> IF(ROWS($1:3)&gt;COUNT(Dong3),"",OFFSET('SO-TS'!H$1,SMALL(Dong3,ROWS($1:3)),))</f>
        <v/>
      </c>
      <c r="F22" s="384" t="str">
        <f ca="1">IF(OR(F21="",AND((ROW()-19)&gt;OFFSET('SO-TS'!I$1,SMALL(Dong3,ROWS(2:2)),)+1),$E$29-H21&lt;=0),"",IF(VALUE(F21)&gt;=VALUE(YEAR(TH!$C$10)),"",F21+1))</f>
        <v/>
      </c>
      <c r="G22" s="502">
        <f ca="1">IF(F22="",0,ROUND(IF(OR(ROWS($1:$1)&gt;COUNT(Dong3),(ROW()-19)&gt;OFFSET('SO-TS'!I$1,SMALL(Dong3,ROWS($1:$1)),)+1),0,IF($E$29-H21&lt;($E$29/(OFFSET('SO-TS'!I$1,SMALL(Dong3,ROWS($1:$1)),))+12),$E$29-H21,$E$29/(OFFSET('SO-TS'!I$1,SMALL(Dong3,ROWS($1:$1)),)))),0))</f>
        <v>0</v>
      </c>
      <c r="H22" s="501">
        <f t="shared" ref="H22:H27" ca="1" si="1">IF(G22&lt;&gt;0,H21+G22,0)</f>
        <v>0</v>
      </c>
    </row>
    <row r="23" spans="1:8" ht="17.25" customHeight="1">
      <c r="A23" s="301" t="str">
        <f t="shared" ca="1" si="0"/>
        <v/>
      </c>
      <c r="B23" s="357" t="str">
        <f ca="1" xml:space="preserve"> IF(ROWS($1:4)&gt;COUNT(Dong3),"",OFFSET('SO-TS'!G$1,SMALL(Dong3,ROWS($1:4)),))</f>
        <v/>
      </c>
      <c r="C23" s="357" t="str">
        <f ca="1" xml:space="preserve"> IF(ROWS($1:4)&gt;COUNT(Dong3),"",OFFSET('SO-TS'!F$1,SMALL(Dong3,ROWS($1:4)),))</f>
        <v/>
      </c>
      <c r="D23" s="382" t="str">
        <f ca="1" xml:space="preserve"> IF(ROWS($1:4)&gt;COUNT(Dong3),"",OFFSET('SO-TS'!D$1,SMALL(Dong3,ROWS($1:4)),))</f>
        <v/>
      </c>
      <c r="E23" s="383" t="str">
        <f ca="1" xml:space="preserve"> IF(ROWS($1:4)&gt;COUNT(Dong3),"",OFFSET('SO-TS'!H$1,SMALL(Dong3,ROWS($1:4)),))</f>
        <v/>
      </c>
      <c r="F23" s="384" t="str">
        <f ca="1">IF(OR(F22="",AND((ROW()-19)&gt;OFFSET('SO-TS'!I$1,SMALL(Dong3,ROWS(3:3)),)+1),$E$29-H22&lt;=0),"",IF(VALUE(F22)&gt;=VALUE(YEAR(TH!$C$10)),"",F22+1))</f>
        <v/>
      </c>
      <c r="G23" s="502">
        <f ca="1">IF(F23="",0,ROUND(IF(OR(ROWS($1:$1)&gt;COUNT(Dong3),(ROW()-19)&gt;OFFSET('SO-TS'!I$1,SMALL(Dong3,ROWS($1:$1)),)+1),0,IF($E$29-H22&lt;($E$29/(OFFSET('SO-TS'!I$1,SMALL(Dong3,ROWS($1:$1)),))+12),$E$29-H22,$E$29/(OFFSET('SO-TS'!I$1,SMALL(Dong3,ROWS($1:$1)),)))),0))</f>
        <v>0</v>
      </c>
      <c r="H23" s="501">
        <f t="shared" ca="1" si="1"/>
        <v>0</v>
      </c>
    </row>
    <row r="24" spans="1:8" ht="17.25" customHeight="1">
      <c r="A24" s="301" t="str">
        <f t="shared" ca="1" si="0"/>
        <v/>
      </c>
      <c r="B24" s="357" t="str">
        <f ca="1" xml:space="preserve"> IF(ROWS($1:5)&gt;COUNT(Dong3),"",OFFSET('SO-TS'!G$1,SMALL(Dong3,ROWS($1:5)),))</f>
        <v/>
      </c>
      <c r="C24" s="357" t="str">
        <f ca="1" xml:space="preserve"> IF(ROWS($1:5)&gt;COUNT(Dong3),"",OFFSET('SO-TS'!F$1,SMALL(Dong3,ROWS($1:5)),))</f>
        <v/>
      </c>
      <c r="D24" s="382" t="str">
        <f ca="1" xml:space="preserve"> IF(ROWS($1:5)&gt;COUNT(Dong3),"",OFFSET('SO-TS'!D$1,SMALL(Dong3,ROWS($1:5)),))</f>
        <v/>
      </c>
      <c r="E24" s="383" t="str">
        <f ca="1" xml:space="preserve"> IF(ROWS($1:5)&gt;COUNT(Dong3),"",OFFSET('SO-TS'!H$1,SMALL(Dong3,ROWS($1:5)),))</f>
        <v/>
      </c>
      <c r="F24" s="384" t="str">
        <f ca="1">IF(OR(F23="",AND((ROW()-19)&gt;OFFSET('SO-TS'!I$1,SMALL(Dong3,ROWS(4:4)),)+1),$E$29-H23&lt;=0),"",IF(VALUE(F23)&gt;=VALUE(YEAR(TH!$C$10)),"",F23+1))</f>
        <v/>
      </c>
      <c r="G24" s="502">
        <f ca="1">IF(F24="",0,ROUND(IF(OR(ROWS($1:$1)&gt;COUNT(Dong3),(ROW()-19)&gt;OFFSET('SO-TS'!I$1,SMALL(Dong3,ROWS($1:$1)),)+1),0,IF($E$29-H23&lt;($E$29/(OFFSET('SO-TS'!I$1,SMALL(Dong3,ROWS($1:$1)),))+12),$E$29-H23,$E$29/(OFFSET('SO-TS'!I$1,SMALL(Dong3,ROWS($1:$1)),)))),0))</f>
        <v>0</v>
      </c>
      <c r="H24" s="501">
        <f t="shared" ca="1" si="1"/>
        <v>0</v>
      </c>
    </row>
    <row r="25" spans="1:8" ht="17.25" customHeight="1">
      <c r="A25" s="301" t="str">
        <f t="shared" si="0"/>
        <v/>
      </c>
      <c r="B25" s="808"/>
      <c r="C25" s="808"/>
      <c r="D25" s="809"/>
      <c r="E25" s="141"/>
      <c r="F25" s="384" t="str">
        <f ca="1">IF(OR(F24="",AND((ROW()-19)&gt;OFFSET('SO-TS'!I$1,SMALL(Dong3,ROWS(5:5)),)+1),$E$29-H24&lt;=0),"",IF(VALUE(F24)&gt;=VALUE(YEAR(TH!$C$10)),"",F24+1))</f>
        <v/>
      </c>
      <c r="G25" s="502">
        <f ca="1">IF(F25="",0,ROUND(IF(OR(ROWS($1:$1)&gt;COUNT(Dong3),(ROW()-19)&gt;OFFSET('SO-TS'!I$1,SMALL(Dong3,ROWS($1:$1)),)+1),0,IF($E$29-H24&lt;($E$29/(OFFSET('SO-TS'!I$1,SMALL(Dong3,ROWS($1:$1)),))+12),$E$29-H24,$E$29/(OFFSET('SO-TS'!I$1,SMALL(Dong3,ROWS($1:$1)),)))),0))</f>
        <v>0</v>
      </c>
      <c r="H25" s="501">
        <f t="shared" ca="1" si="1"/>
        <v>0</v>
      </c>
    </row>
    <row r="26" spans="1:8" ht="17.25" customHeight="1">
      <c r="A26" s="301" t="str">
        <f t="shared" si="0"/>
        <v/>
      </c>
      <c r="B26" s="808"/>
      <c r="C26" s="808"/>
      <c r="D26" s="809"/>
      <c r="E26" s="141"/>
      <c r="F26" s="384" t="str">
        <f ca="1">IF(OR(F25="",AND((ROW()-19)&gt;OFFSET('SO-TS'!I$1,SMALL(Dong3,ROWS(6:6)),)+1),$E$29-H25&lt;=0),"",IF(VALUE(F25)&gt;=VALUE(YEAR(TH!$C$10)),"",F25+1))</f>
        <v/>
      </c>
      <c r="G26" s="502">
        <f ca="1">IF(F26="",0,ROUND(IF(OR(ROWS($1:$1)&gt;COUNT(Dong3),(ROW()-19)&gt;OFFSET('SO-TS'!I$1,SMALL(Dong3,ROWS($1:$1)),)+1),0,IF($E$29-H25&lt;($E$29/(OFFSET('SO-TS'!I$1,SMALL(Dong3,ROWS($1:$1)),))+12),$E$29-H25,$E$29/(OFFSET('SO-TS'!I$1,SMALL(Dong3,ROWS($1:$1)),)))),0))</f>
        <v>0</v>
      </c>
      <c r="H26" s="501">
        <f t="shared" ca="1" si="1"/>
        <v>0</v>
      </c>
    </row>
    <row r="27" spans="1:8" ht="17.25" customHeight="1">
      <c r="A27" s="301" t="str">
        <f t="shared" si="0"/>
        <v/>
      </c>
      <c r="B27" s="808"/>
      <c r="C27" s="808"/>
      <c r="D27" s="809"/>
      <c r="E27" s="141"/>
      <c r="F27" s="384" t="str">
        <f ca="1">IF(OR(F26="",AND((ROW()-19)&gt;OFFSET('SO-TS'!I$1,SMALL(Dong3,ROWS(7:7)),)+1),$E$29-H26&lt;=0),"",IF(VALUE(F26)&gt;=VALUE(YEAR(TH!$C$10)),"",F26+1))</f>
        <v/>
      </c>
      <c r="G27" s="502">
        <f ca="1">IF(F27="",0,ROUND(IF(OR(ROWS($1:$1)&gt;COUNT(Dong3),(ROW()-19)&gt;OFFSET('SO-TS'!I$1,SMALL(Dong3,ROWS($1:$1)),)+1),0,IF($E$29-H26&lt;($E$29/(OFFSET('SO-TS'!I$1,SMALL(Dong3,ROWS($1:$1)),))+12),$E$29-H26,$E$29/(OFFSET('SO-TS'!I$1,SMALL(Dong3,ROWS($1:$1)),)))),0))</f>
        <v>0</v>
      </c>
      <c r="H27" s="501">
        <f t="shared" ca="1" si="1"/>
        <v>0</v>
      </c>
    </row>
    <row r="28" spans="1:8" ht="17.25" customHeight="1">
      <c r="A28" s="810" t="str">
        <f t="shared" ref="A28" si="2">IF(B28&lt;&gt;"",ROW()-19,"")</f>
        <v/>
      </c>
      <c r="B28" s="811"/>
      <c r="C28" s="812"/>
      <c r="D28" s="812"/>
      <c r="E28" s="813"/>
      <c r="F28" s="814"/>
      <c r="G28" s="813"/>
      <c r="H28" s="813"/>
    </row>
    <row r="29" spans="1:8" ht="17.25" customHeight="1">
      <c r="A29" s="328"/>
      <c r="B29" s="328" t="s">
        <v>307</v>
      </c>
      <c r="C29" s="358"/>
      <c r="D29" s="358"/>
      <c r="E29" s="385">
        <f ca="1">SUM(E20:E28)</f>
        <v>15000000</v>
      </c>
      <c r="F29" s="358"/>
      <c r="G29" s="385">
        <f ca="1">SUM(G20:G28)</f>
        <v>1500000</v>
      </c>
      <c r="H29" s="385"/>
    </row>
    <row r="30" spans="1:8" ht="17.25" customHeight="1">
      <c r="A30" s="359"/>
      <c r="B30" s="359"/>
      <c r="C30" s="360"/>
      <c r="D30" s="360"/>
      <c r="E30" s="360"/>
      <c r="F30" s="360"/>
      <c r="G30" s="361"/>
      <c r="H30" s="361"/>
    </row>
    <row r="31" spans="1:8" ht="17.25" customHeight="1">
      <c r="A31" s="359"/>
      <c r="B31" s="359"/>
      <c r="C31" s="360"/>
      <c r="D31" s="360"/>
      <c r="E31" s="360"/>
      <c r="F31" s="360"/>
      <c r="G31" s="361"/>
      <c r="H31" s="361"/>
    </row>
    <row r="32" spans="1:8" ht="17.25" customHeight="1">
      <c r="A32" s="1004" t="s">
        <v>308</v>
      </c>
      <c r="B32" s="1004"/>
      <c r="C32" s="1004"/>
      <c r="D32" s="1004"/>
      <c r="E32" s="1004"/>
      <c r="F32" s="1004"/>
      <c r="G32" s="1004"/>
      <c r="H32" s="1004"/>
    </row>
    <row r="33" spans="1:8" ht="27" customHeight="1">
      <c r="A33" s="328" t="s">
        <v>34</v>
      </c>
      <c r="B33" s="985" t="s">
        <v>309</v>
      </c>
      <c r="C33" s="987"/>
      <c r="D33" s="358" t="s">
        <v>186</v>
      </c>
      <c r="E33" s="358" t="s">
        <v>310</v>
      </c>
      <c r="F33" s="358" t="s">
        <v>311</v>
      </c>
      <c r="G33" s="361"/>
      <c r="H33" s="361"/>
    </row>
    <row r="34" spans="1:8" ht="17.25" customHeight="1">
      <c r="A34" s="328" t="s">
        <v>2</v>
      </c>
      <c r="B34" s="328" t="s">
        <v>3</v>
      </c>
      <c r="C34" s="358"/>
      <c r="D34" s="358" t="s">
        <v>4</v>
      </c>
      <c r="E34" s="358">
        <v>1</v>
      </c>
      <c r="F34" s="358">
        <v>2</v>
      </c>
      <c r="G34" s="361"/>
      <c r="H34" s="361"/>
    </row>
    <row r="35" spans="1:8" ht="17.25" customHeight="1">
      <c r="A35" s="362"/>
      <c r="B35" s="362"/>
      <c r="C35" s="363"/>
      <c r="D35" s="363"/>
      <c r="E35" s="363"/>
      <c r="F35" s="363"/>
      <c r="G35" s="361"/>
      <c r="H35" s="361"/>
    </row>
    <row r="36" spans="1:8" ht="17.25" customHeight="1">
      <c r="A36" s="364"/>
      <c r="B36" s="364"/>
      <c r="C36" s="365"/>
      <c r="D36" s="365"/>
      <c r="E36" s="365"/>
      <c r="F36" s="365"/>
      <c r="G36" s="361"/>
      <c r="H36" s="361"/>
    </row>
    <row r="37" spans="1:8" ht="17.25" customHeight="1">
      <c r="A37" s="364"/>
      <c r="B37" s="364"/>
      <c r="C37" s="365"/>
      <c r="D37" s="365"/>
      <c r="E37" s="365"/>
      <c r="F37" s="365"/>
      <c r="G37" s="361"/>
      <c r="H37" s="361"/>
    </row>
    <row r="38" spans="1:8" ht="17.25" customHeight="1">
      <c r="A38" s="364"/>
      <c r="B38" s="364"/>
      <c r="C38" s="365"/>
      <c r="D38" s="365"/>
      <c r="E38" s="365"/>
      <c r="F38" s="365"/>
      <c r="G38" s="361"/>
      <c r="H38" s="361"/>
    </row>
    <row r="39" spans="1:8" ht="17.25" customHeight="1">
      <c r="A39" s="366"/>
      <c r="B39" s="366"/>
      <c r="C39" s="367"/>
      <c r="D39" s="367"/>
      <c r="E39" s="367"/>
      <c r="F39" s="367"/>
      <c r="G39" s="361"/>
      <c r="H39" s="361"/>
    </row>
    <row r="40" spans="1:8">
      <c r="A40" s="359"/>
      <c r="B40" s="359"/>
      <c r="C40" s="360"/>
      <c r="D40" s="360"/>
      <c r="E40" s="360"/>
      <c r="F40" s="360"/>
      <c r="G40" s="361"/>
      <c r="H40" s="361"/>
    </row>
    <row r="41" spans="1:8">
      <c r="A41" s="1005" t="str">
        <f ca="1" xml:space="preserve"> IF(ROWS($1:1)&gt;COUNT(Dong3),"","Ghi giảm TSCĐ chứng từ số:  "&amp;OFFSET('SO-TS'!$M$1,SMALL(Dong3,ROWS($1:1)),))</f>
        <v xml:space="preserve">Ghi giảm TSCĐ chứng từ số:  </v>
      </c>
      <c r="B41" s="1005"/>
      <c r="C41" s="1005"/>
      <c r="D41" s="1005"/>
      <c r="E41" s="1005"/>
      <c r="F41" s="1005"/>
      <c r="G41" s="1005"/>
      <c r="H41" s="1005"/>
    </row>
    <row r="42" spans="1:8">
      <c r="A42" s="1005" t="str">
        <f ca="1" xml:space="preserve"> IF(ROWS($1:1)&gt;COUNT(Dong3),"","Lý do giảm:   "&amp;OFFSET('SO-TS'!$O$1,SMALL(Dong3,ROWS($1:1)),))</f>
        <v xml:space="preserve">Lý do giảm:   </v>
      </c>
      <c r="B42" s="1005"/>
      <c r="C42" s="1005"/>
      <c r="D42" s="1005"/>
      <c r="E42" s="1005"/>
      <c r="F42" s="1005"/>
      <c r="G42" s="1005"/>
      <c r="H42" s="1005"/>
    </row>
    <row r="43" spans="1:8">
      <c r="A43" s="338"/>
      <c r="B43" s="338"/>
      <c r="C43" s="333"/>
      <c r="D43" s="333"/>
      <c r="E43" s="992" t="s">
        <v>350</v>
      </c>
      <c r="F43" s="992"/>
      <c r="G43" s="992"/>
      <c r="H43" s="992"/>
    </row>
    <row r="44" spans="1:8">
      <c r="A44" s="1006" t="s">
        <v>312</v>
      </c>
      <c r="B44" s="1006"/>
      <c r="C44" s="1006" t="s">
        <v>12</v>
      </c>
      <c r="D44" s="1006"/>
      <c r="E44" s="978" t="s">
        <v>105</v>
      </c>
      <c r="F44" s="978"/>
      <c r="G44" s="978"/>
      <c r="H44" s="978"/>
    </row>
    <row r="45" spans="1:8">
      <c r="A45" s="315"/>
      <c r="B45" s="315"/>
      <c r="C45" s="318"/>
      <c r="D45" s="318"/>
      <c r="E45" s="318"/>
      <c r="F45" s="318"/>
      <c r="G45" s="318"/>
      <c r="H45" s="318"/>
    </row>
    <row r="46" spans="1:8">
      <c r="A46" s="315"/>
      <c r="B46" s="315"/>
      <c r="C46" s="318"/>
      <c r="D46" s="318"/>
      <c r="E46" s="318"/>
      <c r="F46" s="318"/>
      <c r="G46" s="318"/>
      <c r="H46" s="318"/>
    </row>
    <row r="47" spans="1:8">
      <c r="A47" s="315"/>
      <c r="B47" s="315"/>
      <c r="C47" s="318"/>
      <c r="D47" s="318"/>
      <c r="E47" s="318"/>
      <c r="F47" s="318"/>
      <c r="G47" s="318"/>
      <c r="H47" s="318"/>
    </row>
    <row r="48" spans="1:8">
      <c r="A48" s="315"/>
      <c r="B48" s="315"/>
      <c r="C48" s="318"/>
      <c r="D48" s="318"/>
      <c r="E48" s="318"/>
      <c r="F48" s="318"/>
      <c r="G48" s="318"/>
      <c r="H48" s="318"/>
    </row>
    <row r="49" spans="1:8">
      <c r="A49" s="315"/>
      <c r="B49" s="315"/>
      <c r="C49" s="318"/>
      <c r="D49" s="318"/>
      <c r="E49" s="318"/>
      <c r="F49" s="318"/>
      <c r="G49" s="318"/>
      <c r="H49" s="318"/>
    </row>
    <row r="50" spans="1:8">
      <c r="A50" s="315"/>
      <c r="B50" s="315"/>
      <c r="C50" s="318"/>
      <c r="D50" s="318"/>
      <c r="E50" s="318"/>
      <c r="F50" s="318"/>
      <c r="G50" s="318"/>
      <c r="H50" s="318"/>
    </row>
    <row r="51" spans="1:8">
      <c r="A51" s="315"/>
      <c r="B51" s="315"/>
      <c r="C51" s="318"/>
      <c r="D51" s="318"/>
      <c r="E51" s="318"/>
      <c r="F51" s="318"/>
      <c r="G51" s="318"/>
      <c r="H51" s="318"/>
    </row>
    <row r="52" spans="1:8">
      <c r="A52" s="991" t="s">
        <v>146</v>
      </c>
      <c r="B52" s="991"/>
      <c r="C52" s="333"/>
      <c r="D52" s="333"/>
      <c r="E52" s="992" t="s">
        <v>99</v>
      </c>
      <c r="F52" s="992"/>
      <c r="G52" s="992"/>
      <c r="H52" s="992"/>
    </row>
  </sheetData>
  <dataConsolidate/>
  <mergeCells count="19">
    <mergeCell ref="F3:H4"/>
    <mergeCell ref="F2:H2"/>
    <mergeCell ref="A44:B44"/>
    <mergeCell ref="C44:D44"/>
    <mergeCell ref="E44:H44"/>
    <mergeCell ref="A6:H6"/>
    <mergeCell ref="A7:H7"/>
    <mergeCell ref="A8:H8"/>
    <mergeCell ref="A52:B52"/>
    <mergeCell ref="E52:H52"/>
    <mergeCell ref="E43:H43"/>
    <mergeCell ref="A17:B18"/>
    <mergeCell ref="C17:E17"/>
    <mergeCell ref="F17:H17"/>
    <mergeCell ref="A19:B19"/>
    <mergeCell ref="A32:H32"/>
    <mergeCell ref="B33:C33"/>
    <mergeCell ref="A41:H41"/>
    <mergeCell ref="A42:H42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48</vt:i4>
      </vt:variant>
    </vt:vector>
  </HeadingPairs>
  <TitlesOfParts>
    <vt:vector size="68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CDPS!Print_Area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2017-02-11T02:21:45Z</cp:lastPrinted>
  <dcterms:created xsi:type="dcterms:W3CDTF">1996-10-14T23:33:28Z</dcterms:created>
  <dcterms:modified xsi:type="dcterms:W3CDTF">2017-02-16T09:13:41Z</dcterms:modified>
</cp:coreProperties>
</file>