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NXT!$B$11:$M$114</definedName>
    <definedName name="_xlnm._FilterDatabase" localSheetId="1" hidden="1">TH!$A$9:$AD$960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'131'!$B$4:$B$27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'331'!$B$4:$B$12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OFFSET('SO-TS'!$P$14,,,COUNTA('SO-TS'!$P$14:$P$3883))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NXT!$A$12:$A$436</definedName>
    <definedName name="_xlnm.Print_Area" localSheetId="4">'111'!$A$1:$J$74</definedName>
    <definedName name="_xlnm.Print_Area" localSheetId="6">'112'!$A$1:$I$108</definedName>
    <definedName name="_xlnm.Print_Area" localSheetId="7">'131'!$A$1:$H$28</definedName>
    <definedName name="_xlnm.Print_Area" localSheetId="8">'131-CT'!$A$1:$J$46</definedName>
    <definedName name="_xlnm.Print_Area" localSheetId="16">'152-CT'!$B$2:$M$31</definedName>
    <definedName name="_xlnm.Print_Area" localSheetId="9">'331'!$A$1:$H$13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4525"/>
</workbook>
</file>

<file path=xl/calcChain.xml><?xml version="1.0" encoding="utf-8"?>
<calcChain xmlns="http://schemas.openxmlformats.org/spreadsheetml/2006/main">
  <c r="B94" i="55" l="1"/>
  <c r="A94" i="55" s="1"/>
  <c r="K186" i="34"/>
  <c r="K184" i="34"/>
  <c r="C372" i="34"/>
  <c r="K372" i="34"/>
  <c r="C373" i="34"/>
  <c r="C374" i="34"/>
  <c r="K374" i="34"/>
  <c r="C375" i="34"/>
  <c r="K375" i="34"/>
  <c r="C376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K360" i="34"/>
  <c r="K362" i="34"/>
  <c r="K364" i="34"/>
  <c r="K366" i="34"/>
  <c r="K368" i="34"/>
  <c r="K370" i="34"/>
  <c r="K389" i="34"/>
  <c r="K354" i="34"/>
  <c r="K356" i="34"/>
  <c r="K358" i="34"/>
  <c r="C388" i="34"/>
  <c r="C389" i="34"/>
  <c r="C390" i="34"/>
  <c r="C354" i="34"/>
  <c r="C355" i="34"/>
  <c r="C356" i="34"/>
  <c r="C357" i="34"/>
  <c r="C358" i="34"/>
  <c r="C359" i="34"/>
  <c r="C328" i="34"/>
  <c r="C329" i="34"/>
  <c r="K329" i="34"/>
  <c r="C330" i="34"/>
  <c r="K330" i="34"/>
  <c r="C331" i="34"/>
  <c r="K331" i="34"/>
  <c r="C332" i="34"/>
  <c r="K332" i="34"/>
  <c r="C333" i="34"/>
  <c r="K333" i="34"/>
  <c r="C334" i="34"/>
  <c r="K334" i="34"/>
  <c r="C335" i="34"/>
  <c r="K335" i="34"/>
  <c r="C336" i="34"/>
  <c r="C337" i="34"/>
  <c r="K337" i="34"/>
  <c r="C338" i="34"/>
  <c r="C339" i="34"/>
  <c r="K339" i="34"/>
  <c r="C340" i="34"/>
  <c r="K340" i="34"/>
  <c r="C341" i="34"/>
  <c r="K341" i="34"/>
  <c r="C342" i="34"/>
  <c r="K342" i="34"/>
  <c r="C343" i="34"/>
  <c r="K343" i="34"/>
  <c r="C344" i="34"/>
  <c r="C345" i="34"/>
  <c r="K345" i="34"/>
  <c r="C346" i="34"/>
  <c r="K346" i="34"/>
  <c r="C347" i="34"/>
  <c r="C348" i="34"/>
  <c r="K348" i="34"/>
  <c r="C349" i="34"/>
  <c r="K349" i="34"/>
  <c r="C350" i="34"/>
  <c r="C351" i="34"/>
  <c r="K351" i="34"/>
  <c r="C352" i="34"/>
  <c r="K352" i="34"/>
  <c r="C353" i="34"/>
  <c r="C384" i="34"/>
  <c r="K384" i="34"/>
  <c r="C385" i="34"/>
  <c r="C386" i="34"/>
  <c r="K386" i="34"/>
  <c r="C387" i="34"/>
  <c r="K387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K308" i="34"/>
  <c r="K309" i="34"/>
  <c r="K310" i="34"/>
  <c r="K311" i="34"/>
  <c r="K313" i="34"/>
  <c r="K315" i="34"/>
  <c r="K316" i="34"/>
  <c r="K318" i="34"/>
  <c r="K320" i="34"/>
  <c r="K321" i="34"/>
  <c r="K322" i="34"/>
  <c r="K324" i="34"/>
  <c r="K325" i="34"/>
  <c r="K326" i="34"/>
  <c r="K327" i="34"/>
  <c r="K292" i="34"/>
  <c r="K294" i="34"/>
  <c r="K295" i="34"/>
  <c r="K296" i="34"/>
  <c r="K297" i="34"/>
  <c r="K299" i="34"/>
  <c r="K300" i="34"/>
  <c r="K302" i="34"/>
  <c r="K303" i="34"/>
  <c r="K305" i="34"/>
  <c r="K306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K261" i="34"/>
  <c r="K263" i="34"/>
  <c r="K265" i="34"/>
  <c r="K266" i="34"/>
  <c r="K267" i="34"/>
  <c r="K268" i="34"/>
  <c r="K269" i="34"/>
  <c r="K271" i="34"/>
  <c r="K272" i="34"/>
  <c r="K273" i="34"/>
  <c r="K275" i="34"/>
  <c r="K276" i="34"/>
  <c r="K277" i="34"/>
  <c r="K279" i="34"/>
  <c r="K280" i="34"/>
  <c r="K282" i="34"/>
  <c r="K283" i="34"/>
  <c r="K284" i="34"/>
  <c r="K286" i="34"/>
  <c r="K287" i="34"/>
  <c r="K288" i="34"/>
  <c r="K289" i="34"/>
  <c r="K290" i="34"/>
  <c r="K291" i="34"/>
  <c r="C402" i="34"/>
  <c r="C256" i="34"/>
  <c r="C257" i="34"/>
  <c r="C258" i="34"/>
  <c r="C259" i="34"/>
  <c r="C260" i="34"/>
  <c r="C261" i="34"/>
  <c r="C399" i="34"/>
  <c r="C400" i="34"/>
  <c r="C401" i="34"/>
  <c r="K382" i="34"/>
  <c r="K391" i="34"/>
  <c r="K393" i="34"/>
  <c r="K395" i="34"/>
  <c r="K397" i="34"/>
  <c r="K399" i="34"/>
  <c r="K401" i="34"/>
  <c r="K256" i="34"/>
  <c r="K257" i="34"/>
  <c r="K258" i="34"/>
  <c r="K260" i="34"/>
  <c r="K378" i="34"/>
  <c r="K379" i="34"/>
  <c r="K381" i="34"/>
  <c r="K377" i="34"/>
  <c r="C378" i="34"/>
  <c r="C379" i="34"/>
  <c r="C380" i="34"/>
  <c r="C381" i="34"/>
  <c r="C382" i="34"/>
  <c r="C383" i="34"/>
  <c r="C391" i="34"/>
  <c r="C392" i="34"/>
  <c r="C393" i="34"/>
  <c r="C394" i="34"/>
  <c r="C395" i="34"/>
  <c r="C396" i="34"/>
  <c r="C397" i="34"/>
  <c r="C398" i="34"/>
  <c r="B95" i="55" l="1"/>
  <c r="C377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34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B96" i="55" l="1"/>
  <c r="A95" i="55"/>
  <c r="C217" i="34"/>
  <c r="C216" i="34"/>
  <c r="C215" i="34"/>
  <c r="C214" i="34"/>
  <c r="C213" i="34"/>
  <c r="C212" i="34"/>
  <c r="K211" i="34"/>
  <c r="C211" i="34"/>
  <c r="C210" i="34"/>
  <c r="K209" i="34"/>
  <c r="C209" i="34"/>
  <c r="C208" i="34"/>
  <c r="K207" i="34"/>
  <c r="C207" i="34"/>
  <c r="C206" i="34"/>
  <c r="C205" i="34"/>
  <c r="C204" i="34"/>
  <c r="C203" i="34"/>
  <c r="C202" i="34"/>
  <c r="C201" i="34"/>
  <c r="K200" i="34"/>
  <c r="C200" i="34"/>
  <c r="K197" i="34"/>
  <c r="C196" i="34"/>
  <c r="C195" i="34"/>
  <c r="C194" i="34"/>
  <c r="C193" i="34"/>
  <c r="C192" i="34"/>
  <c r="C191" i="34"/>
  <c r="K190" i="34"/>
  <c r="C190" i="34"/>
  <c r="K189" i="34"/>
  <c r="C189" i="34"/>
  <c r="C188" i="34"/>
  <c r="C187" i="34"/>
  <c r="C186" i="34"/>
  <c r="K185" i="34"/>
  <c r="C185" i="34"/>
  <c r="C184" i="34"/>
  <c r="K183" i="34"/>
  <c r="C183" i="34"/>
  <c r="K182" i="34"/>
  <c r="C182" i="34"/>
  <c r="K181" i="34"/>
  <c r="C181" i="34"/>
  <c r="C180" i="34"/>
  <c r="C179" i="34"/>
  <c r="C178" i="34"/>
  <c r="C177" i="34"/>
  <c r="C176" i="34"/>
  <c r="C175" i="34"/>
  <c r="C174" i="34"/>
  <c r="C173" i="34"/>
  <c r="A96" i="55" l="1"/>
  <c r="B97" i="55"/>
  <c r="C172" i="34"/>
  <c r="C171" i="34"/>
  <c r="C170" i="34"/>
  <c r="C169" i="34"/>
  <c r="C168" i="34"/>
  <c r="C167" i="34"/>
  <c r="C166" i="34"/>
  <c r="C165" i="34"/>
  <c r="C164" i="34"/>
  <c r="C163" i="34"/>
  <c r="C162" i="34"/>
  <c r="C161" i="34"/>
  <c r="C160" i="34"/>
  <c r="C159" i="34"/>
  <c r="C158" i="34"/>
  <c r="C157" i="34"/>
  <c r="C156" i="34"/>
  <c r="C155" i="34"/>
  <c r="C154" i="34"/>
  <c r="C153" i="34"/>
  <c r="C152" i="34"/>
  <c r="C151" i="34"/>
  <c r="C150" i="34"/>
  <c r="C149" i="34"/>
  <c r="C148" i="34"/>
  <c r="C147" i="34"/>
  <c r="C146" i="34"/>
  <c r="C145" i="34"/>
  <c r="C144" i="34"/>
  <c r="C143" i="34"/>
  <c r="C142" i="34"/>
  <c r="C141" i="34"/>
  <c r="C140" i="34"/>
  <c r="C139" i="34"/>
  <c r="C138" i="34"/>
  <c r="C137" i="34"/>
  <c r="C136" i="34"/>
  <c r="C135" i="34"/>
  <c r="C134" i="34"/>
  <c r="C133" i="34"/>
  <c r="C132" i="34"/>
  <c r="C131" i="34"/>
  <c r="C130" i="34"/>
  <c r="C129" i="34"/>
  <c r="C128" i="34"/>
  <c r="C127" i="34"/>
  <c r="C126" i="34"/>
  <c r="C125" i="34"/>
  <c r="C124" i="34"/>
  <c r="C123" i="34"/>
  <c r="C122" i="34"/>
  <c r="C121" i="34"/>
  <c r="C120" i="34"/>
  <c r="C119" i="34"/>
  <c r="C118" i="34"/>
  <c r="C117" i="34"/>
  <c r="C116" i="34"/>
  <c r="C115" i="34"/>
  <c r="C114" i="34"/>
  <c r="C113" i="34"/>
  <c r="C112" i="34"/>
  <c r="C111" i="34"/>
  <c r="C110" i="34"/>
  <c r="C109" i="34"/>
  <c r="C108" i="34"/>
  <c r="C107" i="34"/>
  <c r="C106" i="34"/>
  <c r="C105" i="34"/>
  <c r="C104" i="34"/>
  <c r="C103" i="34"/>
  <c r="C102" i="34"/>
  <c r="C101" i="34"/>
  <c r="C100" i="34"/>
  <c r="C99" i="34"/>
  <c r="C98" i="34"/>
  <c r="C97" i="34"/>
  <c r="C96" i="34"/>
  <c r="C95" i="34"/>
  <c r="C94" i="34"/>
  <c r="C93" i="34"/>
  <c r="C92" i="34"/>
  <c r="C91" i="34"/>
  <c r="C90" i="34"/>
  <c r="C89" i="34"/>
  <c r="C88" i="34"/>
  <c r="C87" i="34"/>
  <c r="C86" i="34"/>
  <c r="C85" i="34"/>
  <c r="C84" i="34"/>
  <c r="C83" i="34"/>
  <c r="C82" i="34"/>
  <c r="C81" i="34"/>
  <c r="C80" i="34"/>
  <c r="C79" i="34"/>
  <c r="C78" i="34"/>
  <c r="C77" i="34"/>
  <c r="C76" i="34"/>
  <c r="C75" i="34"/>
  <c r="C74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B98" i="55" l="1"/>
  <c r="A98" i="55" s="1"/>
  <c r="A97" i="55"/>
  <c r="D28" i="70"/>
  <c r="C28" i="70"/>
  <c r="B101" i="55" l="1"/>
  <c r="A101" i="55" s="1"/>
  <c r="G70" i="55" a="1"/>
  <c r="G70" i="55" s="1"/>
  <c r="I70" i="55" a="1"/>
  <c r="I70" i="55" s="1"/>
  <c r="G42" i="55" a="1"/>
  <c r="G42" i="55" s="1"/>
  <c r="I42" i="55" a="1"/>
  <c r="I42" i="55" s="1"/>
  <c r="G63" i="55" a="1"/>
  <c r="G63" i="55" s="1"/>
  <c r="I63" i="55" a="1"/>
  <c r="I63" i="55" s="1"/>
  <c r="G40" i="55" a="1"/>
  <c r="G40" i="55" s="1"/>
  <c r="I40" i="55" a="1"/>
  <c r="I40" i="55" s="1"/>
  <c r="G51" i="55" a="1"/>
  <c r="G51" i="55" s="1"/>
  <c r="I51" i="55" a="1"/>
  <c r="I51" i="55" s="1"/>
  <c r="G67" i="55" a="1"/>
  <c r="G67" i="55" s="1"/>
  <c r="I67" i="55" a="1"/>
  <c r="I67" i="55" s="1"/>
  <c r="G65" i="55" a="1"/>
  <c r="G65" i="55" s="1"/>
  <c r="I65" i="55" a="1"/>
  <c r="I65" i="55" s="1"/>
  <c r="G36" i="55" a="1"/>
  <c r="G36" i="55" s="1"/>
  <c r="I36" i="55" a="1"/>
  <c r="I36" i="55" s="1"/>
  <c r="G58" i="55" a="1"/>
  <c r="G58" i="55" s="1"/>
  <c r="I58" i="55" a="1"/>
  <c r="I58" i="55" s="1"/>
  <c r="G72" i="55" a="1"/>
  <c r="G72" i="55" s="1"/>
  <c r="I72" i="55" a="1"/>
  <c r="I72" i="55" s="1"/>
  <c r="G92" i="55" a="1"/>
  <c r="G92" i="55" s="1"/>
  <c r="I92" i="55" a="1"/>
  <c r="I92" i="55" s="1"/>
  <c r="G71" i="55" a="1"/>
  <c r="G71" i="55" s="1"/>
  <c r="I71" i="55" a="1"/>
  <c r="I71" i="55" s="1"/>
  <c r="G56" i="55" a="1"/>
  <c r="G56" i="55" s="1"/>
  <c r="I56" i="55" a="1"/>
  <c r="I56" i="55" s="1"/>
  <c r="G38" i="55" a="1"/>
  <c r="G38" i="55" s="1"/>
  <c r="I38" i="55" a="1"/>
  <c r="I38" i="55" s="1"/>
  <c r="G43" i="55" a="1"/>
  <c r="G43" i="55" s="1"/>
  <c r="I43" i="55" a="1"/>
  <c r="I43" i="55" s="1"/>
  <c r="G50" i="55" a="1"/>
  <c r="G50" i="55" s="1"/>
  <c r="I50" i="55" a="1"/>
  <c r="I50" i="55" s="1"/>
  <c r="G78" i="55" a="1"/>
  <c r="G78" i="55" s="1"/>
  <c r="I78" i="55" a="1"/>
  <c r="I78" i="55" s="1"/>
  <c r="G60" i="55" a="1"/>
  <c r="G60" i="55" s="1"/>
  <c r="I60" i="55" a="1"/>
  <c r="I60" i="55" s="1"/>
  <c r="G82" i="55" a="1"/>
  <c r="G82" i="55" s="1"/>
  <c r="I82" i="55" a="1"/>
  <c r="I82" i="55" s="1"/>
  <c r="G24" i="55" a="1"/>
  <c r="G24" i="55" s="1"/>
  <c r="I24" i="55" a="1"/>
  <c r="I24" i="55" s="1"/>
  <c r="G37" i="55" a="1"/>
  <c r="G37" i="55" s="1"/>
  <c r="I37" i="55" a="1"/>
  <c r="I37" i="55" s="1"/>
  <c r="G73" i="55" a="1"/>
  <c r="G73" i="55" s="1"/>
  <c r="I73" i="55" a="1"/>
  <c r="I73" i="55" s="1"/>
  <c r="G54" i="55" a="1"/>
  <c r="G54" i="55" s="1"/>
  <c r="I54" i="55" a="1"/>
  <c r="I54" i="55" s="1"/>
  <c r="G83" i="55" a="1"/>
  <c r="G83" i="55" s="1"/>
  <c r="I83" i="55" a="1"/>
  <c r="I83" i="55" s="1"/>
  <c r="G25" i="55" a="1"/>
  <c r="G25" i="55" s="1"/>
  <c r="I25" i="55" a="1"/>
  <c r="I25" i="55" s="1"/>
  <c r="G99" i="55" a="1"/>
  <c r="G99" i="55" s="1"/>
  <c r="I99" i="55" a="1"/>
  <c r="I99" i="55" s="1"/>
  <c r="G39" i="55" a="1"/>
  <c r="G39" i="55" s="1"/>
  <c r="I39" i="55" a="1"/>
  <c r="I39" i="55" s="1"/>
  <c r="G47" i="55" a="1"/>
  <c r="G47" i="55" s="1"/>
  <c r="I47" i="55" a="1"/>
  <c r="I47" i="55" s="1"/>
  <c r="G44" i="55" a="1"/>
  <c r="G44" i="55" s="1"/>
  <c r="I44" i="55" a="1"/>
  <c r="I44" i="55" s="1"/>
  <c r="G61" i="55" a="1"/>
  <c r="G61" i="55" s="1"/>
  <c r="I61" i="55" a="1"/>
  <c r="I61" i="55" s="1"/>
  <c r="G32" i="55" a="1"/>
  <c r="G32" i="55" s="1"/>
  <c r="I32" i="55" a="1"/>
  <c r="I32" i="55" s="1"/>
  <c r="G86" i="55" a="1"/>
  <c r="G86" i="55" s="1"/>
  <c r="I86" i="55" a="1"/>
  <c r="I86" i="55" s="1"/>
  <c r="G74" i="55" a="1"/>
  <c r="G74" i="55" s="1"/>
  <c r="I74" i="55" a="1"/>
  <c r="I74" i="55" s="1"/>
  <c r="G88" i="55" a="1"/>
  <c r="G88" i="55" s="1"/>
  <c r="I88" i="55" a="1"/>
  <c r="I88" i="55" s="1"/>
  <c r="G89" i="55" a="1"/>
  <c r="G89" i="55" s="1"/>
  <c r="I89" i="55" a="1"/>
  <c r="I89" i="55" s="1"/>
  <c r="G97" i="55" a="1"/>
  <c r="G97" i="55" s="1"/>
  <c r="I97" i="55" a="1"/>
  <c r="I97" i="55" s="1"/>
  <c r="G100" i="55" a="1"/>
  <c r="G100" i="55" s="1"/>
  <c r="I100" i="55" a="1"/>
  <c r="I100" i="55" s="1"/>
  <c r="G66" i="55" a="1"/>
  <c r="G66" i="55" s="1"/>
  <c r="I66" i="55" a="1"/>
  <c r="I66" i="55" s="1"/>
  <c r="G98" i="55" a="1"/>
  <c r="G98" i="55" s="1"/>
  <c r="I98" i="55" a="1"/>
  <c r="I98" i="55" s="1"/>
  <c r="G90" i="55" a="1"/>
  <c r="G90" i="55" s="1"/>
  <c r="I90" i="55" a="1"/>
  <c r="I90" i="55" s="1"/>
  <c r="G18" i="55" a="1"/>
  <c r="G18" i="55" s="1"/>
  <c r="I18" i="55" a="1"/>
  <c r="I18" i="55" s="1"/>
  <c r="G84" i="55" a="1"/>
  <c r="G84" i="55" s="1"/>
  <c r="I84" i="55" a="1"/>
  <c r="I84" i="55" s="1"/>
  <c r="G30" i="55" a="1"/>
  <c r="G30" i="55" s="1"/>
  <c r="I30" i="55" a="1"/>
  <c r="I30" i="55" s="1"/>
  <c r="G64" i="55" a="1"/>
  <c r="G64" i="55" s="1"/>
  <c r="I64" i="55" a="1"/>
  <c r="I64" i="55" s="1"/>
  <c r="G87" i="55" a="1"/>
  <c r="G87" i="55" s="1"/>
  <c r="I87" i="55" a="1"/>
  <c r="I87" i="55" s="1"/>
  <c r="G46" i="55" a="1"/>
  <c r="G46" i="55" s="1"/>
  <c r="I46" i="55" a="1"/>
  <c r="I46" i="55" s="1"/>
  <c r="G34" i="55" a="1"/>
  <c r="G34" i="55" s="1"/>
  <c r="I34" i="55" a="1"/>
  <c r="I34" i="55" s="1"/>
  <c r="G75" i="55" a="1"/>
  <c r="G75" i="55" s="1"/>
  <c r="I75" i="55" a="1"/>
  <c r="I75" i="55" s="1"/>
  <c r="G27" i="55" a="1"/>
  <c r="G27" i="55" s="1"/>
  <c r="I27" i="55" a="1"/>
  <c r="I27" i="55" s="1"/>
  <c r="G80" i="55" a="1"/>
  <c r="G80" i="55" s="1"/>
  <c r="I80" i="55" a="1"/>
  <c r="I80" i="55" s="1"/>
  <c r="G94" i="55" a="1"/>
  <c r="G94" i="55" s="1"/>
  <c r="I94" i="55" a="1"/>
  <c r="I94" i="55" s="1"/>
  <c r="G96" i="55" a="1"/>
  <c r="G96" i="55" s="1"/>
  <c r="I96" i="55" a="1"/>
  <c r="I96" i="55" s="1"/>
  <c r="G23" i="55" a="1"/>
  <c r="G23" i="55" s="1"/>
  <c r="I23" i="55" a="1"/>
  <c r="I23" i="55" s="1"/>
  <c r="G52" i="55" a="1"/>
  <c r="G52" i="55" s="1"/>
  <c r="I52" i="55" a="1"/>
  <c r="I52" i="55" s="1"/>
  <c r="G95" i="55" a="1"/>
  <c r="G95" i="55" s="1"/>
  <c r="I95" i="55" a="1"/>
  <c r="I95" i="55" s="1"/>
  <c r="G93" i="55" a="1"/>
  <c r="G93" i="55" s="1"/>
  <c r="I93" i="55" a="1"/>
  <c r="I93" i="55" s="1"/>
  <c r="G59" i="55" a="1"/>
  <c r="G59" i="55" s="1"/>
  <c r="I59" i="55" a="1"/>
  <c r="I59" i="55" s="1"/>
  <c r="G77" i="55" a="1"/>
  <c r="G77" i="55" s="1"/>
  <c r="I77" i="55" a="1"/>
  <c r="I77" i="55" s="1"/>
  <c r="G29" i="55" a="1"/>
  <c r="G29" i="55" s="1"/>
  <c r="I29" i="55" a="1"/>
  <c r="I29" i="55" s="1"/>
  <c r="G26" i="55" a="1"/>
  <c r="G26" i="55" s="1"/>
  <c r="I26" i="55" a="1"/>
  <c r="I26" i="55" s="1"/>
  <c r="G19" i="55" a="1"/>
  <c r="G19" i="55" s="1"/>
  <c r="I19" i="55" a="1"/>
  <c r="I19" i="55" s="1"/>
  <c r="G81" i="55" a="1"/>
  <c r="G81" i="55" s="1"/>
  <c r="I81" i="55" a="1"/>
  <c r="I81" i="55" s="1"/>
  <c r="G91" i="55" a="1"/>
  <c r="G91" i="55" s="1"/>
  <c r="I91" i="55" a="1"/>
  <c r="I91" i="55" s="1"/>
  <c r="G57" i="55" a="1"/>
  <c r="G57" i="55" s="1"/>
  <c r="I57" i="55" a="1"/>
  <c r="I57" i="55" s="1"/>
  <c r="G33" i="55" a="1"/>
  <c r="G33" i="55" s="1"/>
  <c r="I33" i="55" a="1"/>
  <c r="I33" i="55" s="1"/>
  <c r="G35" i="55" a="1"/>
  <c r="G35" i="55" s="1"/>
  <c r="I35" i="55" a="1"/>
  <c r="I35" i="55" s="1"/>
  <c r="G69" i="55" a="1"/>
  <c r="G69" i="55" s="1"/>
  <c r="I69" i="55" a="1"/>
  <c r="I69" i="55" s="1"/>
  <c r="G41" i="55" a="1"/>
  <c r="G41" i="55" s="1"/>
  <c r="I41" i="55" a="1"/>
  <c r="I41" i="55" s="1"/>
  <c r="G22" i="55" a="1"/>
  <c r="G22" i="55" s="1"/>
  <c r="I22" i="55" a="1"/>
  <c r="I22" i="55" s="1"/>
  <c r="G68" i="55" a="1"/>
  <c r="G68" i="55" s="1"/>
  <c r="I68" i="55" a="1"/>
  <c r="I68" i="55" s="1"/>
  <c r="G21" i="55" a="1"/>
  <c r="G21" i="55" s="1"/>
  <c r="I21" i="55" a="1"/>
  <c r="I21" i="55" s="1"/>
  <c r="B14" i="55"/>
  <c r="A14" i="55" s="1"/>
  <c r="G14" i="55" a="1"/>
  <c r="G14" i="55" s="1"/>
  <c r="I14" i="55" a="1"/>
  <c r="I14" i="55" s="1"/>
  <c r="A9" i="12"/>
  <c r="A10" i="12"/>
  <c r="A11" i="12"/>
  <c r="A12" i="12"/>
  <c r="C13" i="12"/>
  <c r="K56" i="55" l="1"/>
  <c r="K38" i="55"/>
  <c r="K83" i="55"/>
  <c r="K63" i="55"/>
  <c r="K71" i="55"/>
  <c r="K92" i="55"/>
  <c r="K42" i="55"/>
  <c r="K65" i="55"/>
  <c r="K58" i="55"/>
  <c r="K40" i="55"/>
  <c r="K60" i="55"/>
  <c r="K50" i="55"/>
  <c r="K43" i="55"/>
  <c r="K67" i="55"/>
  <c r="K70" i="55"/>
  <c r="K72" i="55"/>
  <c r="K36" i="55"/>
  <c r="K82" i="55"/>
  <c r="K78" i="55"/>
  <c r="K51" i="55"/>
  <c r="K61" i="55"/>
  <c r="K47" i="55"/>
  <c r="K44" i="55"/>
  <c r="K89" i="55"/>
  <c r="K74" i="55"/>
  <c r="K24" i="55"/>
  <c r="K32" i="55"/>
  <c r="K66" i="55"/>
  <c r="K95" i="55"/>
  <c r="K86" i="55"/>
  <c r="K99" i="55"/>
  <c r="K73" i="55"/>
  <c r="K37" i="55"/>
  <c r="K100" i="55"/>
  <c r="K88" i="55"/>
  <c r="K25" i="55"/>
  <c r="K80" i="55"/>
  <c r="K27" i="55"/>
  <c r="K46" i="55"/>
  <c r="K30" i="55"/>
  <c r="K96" i="55"/>
  <c r="K94" i="55"/>
  <c r="K75" i="55"/>
  <c r="K34" i="55"/>
  <c r="K87" i="55"/>
  <c r="K64" i="55"/>
  <c r="K84" i="55"/>
  <c r="K18" i="55"/>
  <c r="K90" i="55"/>
  <c r="K98" i="55"/>
  <c r="K39" i="55"/>
  <c r="K97" i="55"/>
  <c r="K54" i="55"/>
  <c r="K23" i="55"/>
  <c r="K41" i="55"/>
  <c r="K33" i="55"/>
  <c r="K81" i="55"/>
  <c r="K22" i="55"/>
  <c r="K68" i="55"/>
  <c r="K35" i="55"/>
  <c r="K26" i="55"/>
  <c r="K29" i="55"/>
  <c r="K77" i="55"/>
  <c r="K93" i="55"/>
  <c r="K69" i="55"/>
  <c r="K91" i="55"/>
  <c r="K19" i="55"/>
  <c r="K59" i="55"/>
  <c r="K52" i="55"/>
  <c r="K57" i="55"/>
  <c r="K21" i="55"/>
  <c r="K14" i="55"/>
  <c r="C41" i="15"/>
  <c r="C42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U31" i="34"/>
  <c r="W31" i="34"/>
  <c r="Y31" i="34"/>
  <c r="Z31" i="34"/>
  <c r="N32" i="34"/>
  <c r="U32" i="34"/>
  <c r="W32" i="34"/>
  <c r="Y32" i="34"/>
  <c r="Z32" i="34"/>
  <c r="N33" i="34"/>
  <c r="U33" i="34"/>
  <c r="W33" i="34"/>
  <c r="Y33" i="34"/>
  <c r="Z33" i="34"/>
  <c r="N34" i="34"/>
  <c r="U34" i="34"/>
  <c r="W34" i="34"/>
  <c r="Y34" i="34"/>
  <c r="Z34" i="34"/>
  <c r="N35" i="34"/>
  <c r="U35" i="34"/>
  <c r="W35" i="34"/>
  <c r="Y35" i="34"/>
  <c r="Z35" i="34"/>
  <c r="N36" i="34"/>
  <c r="U36" i="34"/>
  <c r="W36" i="34"/>
  <c r="Y36" i="34"/>
  <c r="Z36" i="34"/>
  <c r="N37" i="34"/>
  <c r="U37" i="34"/>
  <c r="W37" i="34"/>
  <c r="Y37" i="34"/>
  <c r="Z37" i="34"/>
  <c r="N38" i="34"/>
  <c r="U38" i="34"/>
  <c r="W38" i="34"/>
  <c r="Y38" i="34"/>
  <c r="Z38" i="34"/>
  <c r="N39" i="34"/>
  <c r="U39" i="34"/>
  <c r="W39" i="34"/>
  <c r="Y39" i="34"/>
  <c r="Z39" i="34"/>
  <c r="N40" i="34"/>
  <c r="U40" i="34"/>
  <c r="W40" i="34"/>
  <c r="Y40" i="34"/>
  <c r="Z40" i="34"/>
  <c r="N41" i="34"/>
  <c r="U41" i="34"/>
  <c r="W41" i="34"/>
  <c r="Y41" i="34"/>
  <c r="Z41" i="34"/>
  <c r="N42" i="34"/>
  <c r="U42" i="34"/>
  <c r="W42" i="34"/>
  <c r="Y42" i="34"/>
  <c r="Z42" i="34"/>
  <c r="N43" i="34"/>
  <c r="U43" i="34"/>
  <c r="W43" i="34"/>
  <c r="Y43" i="34"/>
  <c r="Z43" i="34"/>
  <c r="N44" i="34"/>
  <c r="U44" i="34"/>
  <c r="W44" i="34"/>
  <c r="Y44" i="34"/>
  <c r="Z44" i="34"/>
  <c r="N45" i="34"/>
  <c r="U45" i="34"/>
  <c r="W45" i="34"/>
  <c r="Y45" i="34"/>
  <c r="Z45" i="34"/>
  <c r="N46" i="34"/>
  <c r="U46" i="34"/>
  <c r="W46" i="34"/>
  <c r="Y46" i="34"/>
  <c r="Z46" i="34"/>
  <c r="N47" i="34"/>
  <c r="U47" i="34"/>
  <c r="W47" i="34"/>
  <c r="Y47" i="34"/>
  <c r="Z47" i="34"/>
  <c r="N48" i="34"/>
  <c r="U48" i="34"/>
  <c r="W48" i="34"/>
  <c r="Y48" i="34"/>
  <c r="Z48" i="34"/>
  <c r="N49" i="34"/>
  <c r="U49" i="34"/>
  <c r="W49" i="34"/>
  <c r="Y49" i="34"/>
  <c r="Z49" i="34"/>
  <c r="N50" i="34"/>
  <c r="U50" i="34"/>
  <c r="W50" i="34"/>
  <c r="Y50" i="34"/>
  <c r="Z50" i="34"/>
  <c r="N51" i="34"/>
  <c r="U51" i="34"/>
  <c r="W51" i="34"/>
  <c r="Y51" i="34"/>
  <c r="Z51" i="34"/>
  <c r="N52" i="34"/>
  <c r="U52" i="34"/>
  <c r="W52" i="34"/>
  <c r="Y52" i="34"/>
  <c r="Z52" i="34"/>
  <c r="N53" i="34"/>
  <c r="U53" i="34"/>
  <c r="W53" i="34"/>
  <c r="Y53" i="34"/>
  <c r="Z53" i="34"/>
  <c r="N54" i="34"/>
  <c r="U54" i="34"/>
  <c r="W54" i="34"/>
  <c r="Y54" i="34"/>
  <c r="Z54" i="34"/>
  <c r="N55" i="34"/>
  <c r="U55" i="34"/>
  <c r="W55" i="34"/>
  <c r="Y55" i="34"/>
  <c r="Z55" i="34"/>
  <c r="N56" i="34"/>
  <c r="U56" i="34"/>
  <c r="W56" i="34"/>
  <c r="Y56" i="34"/>
  <c r="Z56" i="34"/>
  <c r="N57" i="34"/>
  <c r="U57" i="34"/>
  <c r="W57" i="34"/>
  <c r="Y57" i="34"/>
  <c r="Z57" i="34"/>
  <c r="N58" i="34"/>
  <c r="U58" i="34"/>
  <c r="W58" i="34"/>
  <c r="Y58" i="34"/>
  <c r="Z58" i="34"/>
  <c r="N59" i="34"/>
  <c r="U59" i="34"/>
  <c r="W59" i="34"/>
  <c r="Y59" i="34"/>
  <c r="Z59" i="34"/>
  <c r="N60" i="34"/>
  <c r="U60" i="34"/>
  <c r="W60" i="34"/>
  <c r="Y60" i="34"/>
  <c r="Z60" i="34"/>
  <c r="N61" i="34"/>
  <c r="U61" i="34"/>
  <c r="W61" i="34"/>
  <c r="Y61" i="34"/>
  <c r="Z61" i="34"/>
  <c r="N62" i="34"/>
  <c r="U62" i="34"/>
  <c r="W62" i="34"/>
  <c r="Y62" i="34"/>
  <c r="Z62" i="34"/>
  <c r="N63" i="34"/>
  <c r="U63" i="34"/>
  <c r="W63" i="34"/>
  <c r="Y63" i="34"/>
  <c r="Z63" i="34"/>
  <c r="N64" i="34"/>
  <c r="U64" i="34"/>
  <c r="W64" i="34"/>
  <c r="Y64" i="34"/>
  <c r="Z64" i="34"/>
  <c r="N65" i="34"/>
  <c r="U65" i="34"/>
  <c r="W65" i="34"/>
  <c r="Y65" i="34"/>
  <c r="Z65" i="34"/>
  <c r="N66" i="34"/>
  <c r="U66" i="34"/>
  <c r="W66" i="34"/>
  <c r="Y66" i="34"/>
  <c r="Z66" i="34"/>
  <c r="N67" i="34"/>
  <c r="U67" i="34"/>
  <c r="W67" i="34"/>
  <c r="Y67" i="34"/>
  <c r="Z67" i="34"/>
  <c r="N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U71" i="34"/>
  <c r="W71" i="34"/>
  <c r="Y71" i="34"/>
  <c r="Z71" i="34"/>
  <c r="N72" i="34"/>
  <c r="U72" i="34"/>
  <c r="W72" i="34"/>
  <c r="Y72" i="34"/>
  <c r="Z72" i="34"/>
  <c r="N73" i="34"/>
  <c r="U73" i="34"/>
  <c r="W73" i="34"/>
  <c r="Y73" i="34"/>
  <c r="Z73" i="34"/>
  <c r="N74" i="34"/>
  <c r="U74" i="34"/>
  <c r="W74" i="34"/>
  <c r="Y74" i="34"/>
  <c r="Z74" i="34"/>
  <c r="N75" i="34"/>
  <c r="U75" i="34"/>
  <c r="W75" i="34"/>
  <c r="Y75" i="34"/>
  <c r="Z75" i="34"/>
  <c r="N76" i="34"/>
  <c r="U76" i="34"/>
  <c r="W76" i="34"/>
  <c r="Y76" i="34"/>
  <c r="Z76" i="34"/>
  <c r="N77" i="34"/>
  <c r="U77" i="34"/>
  <c r="W77" i="34"/>
  <c r="Y77" i="34"/>
  <c r="Z77" i="34"/>
  <c r="N78" i="34"/>
  <c r="U78" i="34"/>
  <c r="W78" i="34"/>
  <c r="Y78" i="34"/>
  <c r="Z78" i="34"/>
  <c r="N79" i="34"/>
  <c r="U79" i="34"/>
  <c r="W79" i="34"/>
  <c r="Y79" i="34"/>
  <c r="Z79" i="34"/>
  <c r="N80" i="34"/>
  <c r="U80" i="34"/>
  <c r="W80" i="34"/>
  <c r="Y80" i="34"/>
  <c r="Z80" i="34"/>
  <c r="N81" i="34"/>
  <c r="U81" i="34"/>
  <c r="W81" i="34"/>
  <c r="Y81" i="34"/>
  <c r="Z81" i="34"/>
  <c r="N82" i="34"/>
  <c r="U82" i="34"/>
  <c r="W82" i="34"/>
  <c r="Y82" i="34"/>
  <c r="Z82" i="34"/>
  <c r="N83" i="34"/>
  <c r="U83" i="34"/>
  <c r="W83" i="34"/>
  <c r="Y83" i="34"/>
  <c r="Z83" i="34"/>
  <c r="N84" i="34"/>
  <c r="U84" i="34"/>
  <c r="W84" i="34"/>
  <c r="Y84" i="34"/>
  <c r="Z84" i="34"/>
  <c r="N85" i="34"/>
  <c r="U85" i="34"/>
  <c r="W85" i="34"/>
  <c r="Y85" i="34"/>
  <c r="Z85" i="34"/>
  <c r="N86" i="34"/>
  <c r="U86" i="34"/>
  <c r="W86" i="34"/>
  <c r="Y86" i="34"/>
  <c r="Z86" i="34"/>
  <c r="N87" i="34"/>
  <c r="U87" i="34"/>
  <c r="W87" i="34"/>
  <c r="Y87" i="34"/>
  <c r="Z87" i="34"/>
  <c r="N88" i="34"/>
  <c r="U88" i="34"/>
  <c r="W88" i="34"/>
  <c r="Y88" i="34"/>
  <c r="Z88" i="34"/>
  <c r="N89" i="34"/>
  <c r="U89" i="34"/>
  <c r="W89" i="34"/>
  <c r="Y89" i="34"/>
  <c r="Z89" i="34"/>
  <c r="N90" i="34"/>
  <c r="U90" i="34"/>
  <c r="W90" i="34"/>
  <c r="Y90" i="34"/>
  <c r="Z90" i="34"/>
  <c r="N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U100" i="34"/>
  <c r="W100" i="34"/>
  <c r="Y100" i="34"/>
  <c r="Z100" i="34"/>
  <c r="N101" i="34"/>
  <c r="U101" i="34"/>
  <c r="W101" i="34"/>
  <c r="Y101" i="34"/>
  <c r="Z101" i="34"/>
  <c r="N102" i="34"/>
  <c r="U102" i="34"/>
  <c r="W102" i="34"/>
  <c r="Y102" i="34"/>
  <c r="Z102" i="34"/>
  <c r="N103" i="34"/>
  <c r="U103" i="34"/>
  <c r="W103" i="34"/>
  <c r="Y103" i="34"/>
  <c r="Z103" i="34"/>
  <c r="N104" i="34"/>
  <c r="U104" i="34"/>
  <c r="W104" i="34"/>
  <c r="Y104" i="34"/>
  <c r="Z104" i="34"/>
  <c r="N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U109" i="34"/>
  <c r="W109" i="34"/>
  <c r="Y109" i="34"/>
  <c r="Z109" i="34"/>
  <c r="N110" i="34"/>
  <c r="U110" i="34"/>
  <c r="W110" i="34"/>
  <c r="Y110" i="34"/>
  <c r="Z110" i="34"/>
  <c r="N111" i="34"/>
  <c r="U111" i="34"/>
  <c r="W111" i="34"/>
  <c r="Y111" i="34"/>
  <c r="Z111" i="34"/>
  <c r="N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U115" i="34"/>
  <c r="W115" i="34"/>
  <c r="Y115" i="34"/>
  <c r="Z115" i="34"/>
  <c r="N116" i="34"/>
  <c r="U116" i="34"/>
  <c r="W116" i="34"/>
  <c r="Y116" i="34"/>
  <c r="Z116" i="34"/>
  <c r="N117" i="34"/>
  <c r="U117" i="34"/>
  <c r="W117" i="34"/>
  <c r="Y117" i="34"/>
  <c r="Z117" i="34"/>
  <c r="N118" i="34"/>
  <c r="U118" i="34"/>
  <c r="W118" i="34"/>
  <c r="Y118" i="34"/>
  <c r="Z118" i="34"/>
  <c r="N119" i="34"/>
  <c r="U119" i="34"/>
  <c r="W119" i="34"/>
  <c r="Y119" i="34"/>
  <c r="Z119" i="34"/>
  <c r="N120" i="34"/>
  <c r="U120" i="34"/>
  <c r="W120" i="34"/>
  <c r="Y120" i="34"/>
  <c r="Z120" i="34"/>
  <c r="N121" i="34"/>
  <c r="U121" i="34"/>
  <c r="W121" i="34"/>
  <c r="Y121" i="34"/>
  <c r="Z121" i="34"/>
  <c r="N122" i="34"/>
  <c r="U122" i="34"/>
  <c r="W122" i="34"/>
  <c r="Y122" i="34"/>
  <c r="Z122" i="34"/>
  <c r="N123" i="34"/>
  <c r="U123" i="34"/>
  <c r="W123" i="34"/>
  <c r="Y123" i="34"/>
  <c r="Z123" i="34"/>
  <c r="N124" i="34"/>
  <c r="U124" i="34"/>
  <c r="W124" i="34"/>
  <c r="Y124" i="34"/>
  <c r="Z124" i="34"/>
  <c r="N125" i="34"/>
  <c r="U125" i="34"/>
  <c r="W125" i="34"/>
  <c r="Y125" i="34"/>
  <c r="Z125" i="34"/>
  <c r="N126" i="34"/>
  <c r="U126" i="34"/>
  <c r="W126" i="34"/>
  <c r="Y126" i="34"/>
  <c r="Z126" i="34"/>
  <c r="N127" i="34"/>
  <c r="U127" i="34"/>
  <c r="W127" i="34"/>
  <c r="Y127" i="34"/>
  <c r="Z127" i="34"/>
  <c r="N128" i="34"/>
  <c r="U128" i="34"/>
  <c r="W128" i="34"/>
  <c r="Y128" i="34"/>
  <c r="Z128" i="34"/>
  <c r="N129" i="34"/>
  <c r="U129" i="34"/>
  <c r="W129" i="34"/>
  <c r="Y129" i="34"/>
  <c r="Z129" i="34"/>
  <c r="N130" i="34"/>
  <c r="U130" i="34"/>
  <c r="W130" i="34"/>
  <c r="Y130" i="34"/>
  <c r="Z130" i="34"/>
  <c r="N131" i="34"/>
  <c r="U131" i="34"/>
  <c r="W131" i="34"/>
  <c r="Y131" i="34"/>
  <c r="Z131" i="34"/>
  <c r="N132" i="34"/>
  <c r="U132" i="34"/>
  <c r="W132" i="34"/>
  <c r="Y132" i="34"/>
  <c r="Z132" i="34"/>
  <c r="N133" i="34"/>
  <c r="U133" i="34"/>
  <c r="W133" i="34"/>
  <c r="Y133" i="34"/>
  <c r="Z133" i="34"/>
  <c r="N134" i="34"/>
  <c r="U134" i="34"/>
  <c r="W134" i="34"/>
  <c r="Y134" i="34"/>
  <c r="Z134" i="34"/>
  <c r="N135" i="34"/>
  <c r="U135" i="34"/>
  <c r="W135" i="34"/>
  <c r="Y135" i="34"/>
  <c r="Z135" i="34"/>
  <c r="N136" i="34"/>
  <c r="U136" i="34"/>
  <c r="W136" i="34"/>
  <c r="Y136" i="34"/>
  <c r="Z136" i="34"/>
  <c r="N137" i="34"/>
  <c r="U137" i="34"/>
  <c r="W137" i="34"/>
  <c r="Y137" i="34"/>
  <c r="Z137" i="34"/>
  <c r="N138" i="34"/>
  <c r="U138" i="34"/>
  <c r="W138" i="34"/>
  <c r="Y138" i="34"/>
  <c r="Z138" i="34"/>
  <c r="N139" i="34"/>
  <c r="U139" i="34"/>
  <c r="W139" i="34"/>
  <c r="Y139" i="34"/>
  <c r="Z139" i="34"/>
  <c r="N140" i="34"/>
  <c r="U140" i="34"/>
  <c r="W140" i="34"/>
  <c r="Y140" i="34"/>
  <c r="Z140" i="34"/>
  <c r="N141" i="34"/>
  <c r="U141" i="34"/>
  <c r="W141" i="34"/>
  <c r="Y141" i="34"/>
  <c r="Z141" i="34"/>
  <c r="N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U159" i="34"/>
  <c r="W159" i="34"/>
  <c r="Y159" i="34"/>
  <c r="Z159" i="34"/>
  <c r="N160" i="34"/>
  <c r="U160" i="34"/>
  <c r="W160" i="34"/>
  <c r="Y160" i="34"/>
  <c r="Z160" i="34"/>
  <c r="N161" i="34"/>
  <c r="U161" i="34"/>
  <c r="W161" i="34"/>
  <c r="Y161" i="34"/>
  <c r="Z161" i="34"/>
  <c r="N162" i="34"/>
  <c r="U162" i="34"/>
  <c r="W162" i="34"/>
  <c r="Y162" i="34"/>
  <c r="Z162" i="34"/>
  <c r="N163" i="34"/>
  <c r="U163" i="34"/>
  <c r="W163" i="34"/>
  <c r="Y163" i="34"/>
  <c r="Z163" i="34"/>
  <c r="N164" i="34"/>
  <c r="U164" i="34"/>
  <c r="W164" i="34"/>
  <c r="Y164" i="34"/>
  <c r="Z164" i="34"/>
  <c r="N165" i="34"/>
  <c r="U165" i="34"/>
  <c r="W165" i="34"/>
  <c r="Y165" i="34"/>
  <c r="Z165" i="34"/>
  <c r="N166" i="34"/>
  <c r="U166" i="34"/>
  <c r="W166" i="34"/>
  <c r="Y166" i="34"/>
  <c r="Z166" i="34"/>
  <c r="N167" i="34"/>
  <c r="U167" i="34"/>
  <c r="W167" i="34"/>
  <c r="Y167" i="34"/>
  <c r="Z167" i="34"/>
  <c r="N168" i="34"/>
  <c r="U168" i="34"/>
  <c r="W168" i="34"/>
  <c r="Y168" i="34"/>
  <c r="Z168" i="34"/>
  <c r="N169" i="34"/>
  <c r="U169" i="34"/>
  <c r="W169" i="34"/>
  <c r="Y169" i="34"/>
  <c r="Z169" i="34"/>
  <c r="N170" i="34"/>
  <c r="U170" i="34"/>
  <c r="W170" i="34"/>
  <c r="Y170" i="34"/>
  <c r="Z170" i="34"/>
  <c r="N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R380" i="34"/>
  <c r="S380" i="34"/>
  <c r="T380" i="34"/>
  <c r="U380" i="34"/>
  <c r="W380" i="34"/>
  <c r="Y380" i="34"/>
  <c r="Z380" i="34"/>
  <c r="N381" i="34"/>
  <c r="R381" i="34"/>
  <c r="S381" i="34"/>
  <c r="T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R397" i="34"/>
  <c r="S397" i="34"/>
  <c r="T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R258" i="34"/>
  <c r="S258" i="34"/>
  <c r="T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U272" i="34"/>
  <c r="W272" i="34"/>
  <c r="Y272" i="34"/>
  <c r="Z272" i="34"/>
  <c r="N273" i="34"/>
  <c r="U273" i="34"/>
  <c r="W273" i="34"/>
  <c r="Y273" i="34"/>
  <c r="Z273" i="34"/>
  <c r="N274" i="34"/>
  <c r="U274" i="34"/>
  <c r="W274" i="34"/>
  <c r="Y274" i="34"/>
  <c r="Z274" i="34"/>
  <c r="N275" i="34"/>
  <c r="U275" i="34"/>
  <c r="W275" i="34"/>
  <c r="Y275" i="34"/>
  <c r="Z275" i="34"/>
  <c r="N276" i="34"/>
  <c r="U276" i="34"/>
  <c r="W276" i="34"/>
  <c r="Y276" i="34"/>
  <c r="Z276" i="34"/>
  <c r="N277" i="34"/>
  <c r="U277" i="34"/>
  <c r="W277" i="34"/>
  <c r="Y277" i="34"/>
  <c r="Z277" i="34"/>
  <c r="N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U281" i="34"/>
  <c r="W281" i="34"/>
  <c r="Y281" i="34"/>
  <c r="Z281" i="34"/>
  <c r="N282" i="34"/>
  <c r="U282" i="34"/>
  <c r="W282" i="34"/>
  <c r="Y282" i="34"/>
  <c r="Z282" i="34"/>
  <c r="N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R291" i="34"/>
  <c r="S291" i="34"/>
  <c r="T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R297" i="34"/>
  <c r="S297" i="34"/>
  <c r="T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U306" i="34"/>
  <c r="W306" i="34"/>
  <c r="Y306" i="34"/>
  <c r="Z306" i="34"/>
  <c r="N307" i="34"/>
  <c r="U307" i="34"/>
  <c r="W307" i="34"/>
  <c r="Y307" i="34"/>
  <c r="Z307" i="34"/>
  <c r="N308" i="34"/>
  <c r="U308" i="34"/>
  <c r="W308" i="34"/>
  <c r="Y308" i="34"/>
  <c r="Z308" i="34"/>
  <c r="N309" i="34"/>
  <c r="U309" i="34"/>
  <c r="W309" i="34"/>
  <c r="Y309" i="34"/>
  <c r="Z309" i="34"/>
  <c r="N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R318" i="34"/>
  <c r="S318" i="34"/>
  <c r="T318" i="34"/>
  <c r="U318" i="34"/>
  <c r="W318" i="34"/>
  <c r="Y318" i="34"/>
  <c r="Z318" i="34"/>
  <c r="N319" i="34"/>
  <c r="R319" i="34"/>
  <c r="S319" i="34"/>
  <c r="T319" i="34"/>
  <c r="U319" i="34"/>
  <c r="W319" i="34"/>
  <c r="Y319" i="34"/>
  <c r="Z319" i="34"/>
  <c r="N320" i="34"/>
  <c r="R320" i="34"/>
  <c r="S320" i="34"/>
  <c r="T320" i="34"/>
  <c r="U320" i="34"/>
  <c r="W320" i="34"/>
  <c r="Y320" i="34"/>
  <c r="Z320" i="34"/>
  <c r="N321" i="34"/>
  <c r="R321" i="34"/>
  <c r="S321" i="34"/>
  <c r="T321" i="34"/>
  <c r="U321" i="34"/>
  <c r="W321" i="34"/>
  <c r="Y321" i="34"/>
  <c r="Z321" i="34"/>
  <c r="N322" i="34"/>
  <c r="R322" i="34"/>
  <c r="S322" i="34"/>
  <c r="T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R325" i="34"/>
  <c r="S325" i="34"/>
  <c r="T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R330" i="34"/>
  <c r="S330" i="34"/>
  <c r="T330" i="34"/>
  <c r="U330" i="34"/>
  <c r="W330" i="34"/>
  <c r="Y330" i="34"/>
  <c r="Z330" i="34"/>
  <c r="N331" i="34"/>
  <c r="R331" i="34"/>
  <c r="S331" i="34"/>
  <c r="T331" i="34"/>
  <c r="U331" i="34"/>
  <c r="W331" i="34"/>
  <c r="Y331" i="34"/>
  <c r="Z331" i="34"/>
  <c r="N332" i="34"/>
  <c r="R332" i="34"/>
  <c r="S332" i="34"/>
  <c r="T332" i="34"/>
  <c r="U332" i="34"/>
  <c r="W332" i="34"/>
  <c r="Y332" i="34"/>
  <c r="Z332" i="34"/>
  <c r="N333" i="34"/>
  <c r="R333" i="34"/>
  <c r="S333" i="34"/>
  <c r="T333" i="34"/>
  <c r="U333" i="34"/>
  <c r="W333" i="34"/>
  <c r="Y333" i="34"/>
  <c r="Z333" i="34"/>
  <c r="N334" i="34"/>
  <c r="R334" i="34"/>
  <c r="S334" i="34"/>
  <c r="T334" i="34"/>
  <c r="U334" i="34"/>
  <c r="W334" i="34"/>
  <c r="Y334" i="34"/>
  <c r="Z334" i="34"/>
  <c r="N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U340" i="34"/>
  <c r="W340" i="34"/>
  <c r="Y340" i="34"/>
  <c r="Z340" i="34"/>
  <c r="N341" i="34"/>
  <c r="U341" i="34"/>
  <c r="W341" i="34"/>
  <c r="Y341" i="34"/>
  <c r="Z341" i="34"/>
  <c r="N342" i="34"/>
  <c r="U342" i="34"/>
  <c r="W342" i="34"/>
  <c r="Y342" i="34"/>
  <c r="Z342" i="34"/>
  <c r="N343" i="34"/>
  <c r="U343" i="34"/>
  <c r="W343" i="34"/>
  <c r="Y343" i="34"/>
  <c r="Z343" i="34"/>
  <c r="N344" i="34"/>
  <c r="U344" i="34"/>
  <c r="W344" i="34"/>
  <c r="Y344" i="34"/>
  <c r="Z344" i="34"/>
  <c r="N345" i="34"/>
  <c r="R345" i="34"/>
  <c r="S345" i="34"/>
  <c r="T345" i="34"/>
  <c r="U345" i="34"/>
  <c r="W345" i="34"/>
  <c r="Y345" i="34"/>
  <c r="Z345" i="34"/>
  <c r="N346" i="34"/>
  <c r="R346" i="34"/>
  <c r="S346" i="34"/>
  <c r="T346" i="34"/>
  <c r="U346" i="34"/>
  <c r="W346" i="34"/>
  <c r="Y346" i="34"/>
  <c r="Z346" i="34"/>
  <c r="N347" i="34"/>
  <c r="R347" i="34"/>
  <c r="S347" i="34"/>
  <c r="T347" i="34"/>
  <c r="U347" i="34"/>
  <c r="W347" i="34"/>
  <c r="Y347" i="34"/>
  <c r="Z347" i="34"/>
  <c r="N348" i="34"/>
  <c r="R348" i="34"/>
  <c r="S348" i="34"/>
  <c r="T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U350" i="34"/>
  <c r="W350" i="34"/>
  <c r="Y350" i="34"/>
  <c r="Z350" i="34"/>
  <c r="N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84" i="34"/>
  <c r="R384" i="34"/>
  <c r="S384" i="34"/>
  <c r="T384" i="34"/>
  <c r="U384" i="34"/>
  <c r="W384" i="34"/>
  <c r="Y384" i="34"/>
  <c r="Z384" i="34"/>
  <c r="N385" i="34"/>
  <c r="R385" i="34"/>
  <c r="S385" i="34"/>
  <c r="T385" i="34"/>
  <c r="U385" i="34"/>
  <c r="W385" i="34"/>
  <c r="Y385" i="34"/>
  <c r="Z385" i="34"/>
  <c r="N386" i="34"/>
  <c r="R386" i="34"/>
  <c r="S386" i="34"/>
  <c r="T386" i="34"/>
  <c r="U386" i="34"/>
  <c r="W386" i="34"/>
  <c r="Y386" i="34"/>
  <c r="Z386" i="34"/>
  <c r="N387" i="34"/>
  <c r="R387" i="34"/>
  <c r="S387" i="34"/>
  <c r="T387" i="34"/>
  <c r="U387" i="34"/>
  <c r="W387" i="34"/>
  <c r="Y387" i="34"/>
  <c r="Z387" i="34"/>
  <c r="N388" i="34"/>
  <c r="R388" i="34"/>
  <c r="S388" i="34"/>
  <c r="T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U390" i="34"/>
  <c r="W390" i="34"/>
  <c r="Y390" i="34"/>
  <c r="Z390" i="34"/>
  <c r="N354" i="34"/>
  <c r="U354" i="34"/>
  <c r="W354" i="34"/>
  <c r="Y354" i="34"/>
  <c r="Z354" i="34"/>
  <c r="N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R363" i="34"/>
  <c r="S363" i="34"/>
  <c r="T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R369" i="34"/>
  <c r="S369" i="34"/>
  <c r="T369" i="34"/>
  <c r="U369" i="34"/>
  <c r="W369" i="34"/>
  <c r="Y369" i="34"/>
  <c r="Z369" i="34"/>
  <c r="N370" i="34"/>
  <c r="R370" i="34"/>
  <c r="S370" i="34"/>
  <c r="T370" i="34"/>
  <c r="U370" i="34"/>
  <c r="W370" i="34"/>
  <c r="Y370" i="34"/>
  <c r="Z370" i="34"/>
  <c r="N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F102" i="55" l="1"/>
  <c r="E102" i="55"/>
  <c r="N9" i="15"/>
  <c r="M9" i="15"/>
  <c r="E51" i="73"/>
  <c r="B54" i="34" l="1"/>
  <c r="B51" i="34"/>
  <c r="A51" i="34" l="1"/>
  <c r="A54" i="34"/>
  <c r="A102" i="55"/>
  <c r="S10" i="34"/>
  <c r="G85" i="55" l="1" a="1"/>
  <c r="G85" i="55" s="1"/>
  <c r="I85" i="55" a="1"/>
  <c r="I85" i="55" s="1"/>
  <c r="I31" i="55" a="1"/>
  <c r="I31" i="55" s="1"/>
  <c r="I62" i="55" a="1"/>
  <c r="I62" i="55" s="1"/>
  <c r="G31" i="55" a="1"/>
  <c r="G31" i="55" s="1"/>
  <c r="G62" i="55" a="1"/>
  <c r="G62" i="55" s="1"/>
  <c r="I28" i="55" a="1"/>
  <c r="I28" i="55" s="1"/>
  <c r="G76" i="55" a="1"/>
  <c r="G76" i="55" s="1"/>
  <c r="G53" i="55" a="1"/>
  <c r="G53" i="55" s="1"/>
  <c r="I53" i="55" a="1"/>
  <c r="I53" i="55" s="1"/>
  <c r="G28" i="55" a="1"/>
  <c r="G28" i="55" s="1"/>
  <c r="I76" i="55" a="1"/>
  <c r="I76" i="55" s="1"/>
  <c r="G48" i="55" a="1"/>
  <c r="G48" i="55" s="1"/>
  <c r="G79" i="55" a="1"/>
  <c r="G79" i="55" s="1"/>
  <c r="I48" i="55" a="1"/>
  <c r="I48" i="55" s="1"/>
  <c r="I79" i="55" a="1"/>
  <c r="I79" i="55" s="1"/>
  <c r="G45" i="55" a="1"/>
  <c r="G45" i="55" s="1"/>
  <c r="G55" i="55" a="1"/>
  <c r="G55" i="55" s="1"/>
  <c r="G20" i="55" a="1"/>
  <c r="G20" i="55" s="1"/>
  <c r="G49" i="55" a="1"/>
  <c r="G49" i="55" s="1"/>
  <c r="I45" i="55" a="1"/>
  <c r="I45" i="55" s="1"/>
  <c r="I55" i="55" a="1"/>
  <c r="I55" i="55" s="1"/>
  <c r="I20" i="55" a="1"/>
  <c r="I20" i="55" s="1"/>
  <c r="I49" i="55" a="1"/>
  <c r="I49" i="55" s="1"/>
  <c r="B403" i="34"/>
  <c r="A403" i="34" s="1"/>
  <c r="B405" i="34"/>
  <c r="A405" i="34" s="1"/>
  <c r="B406" i="34"/>
  <c r="A406" i="34" s="1"/>
  <c r="B407" i="34"/>
  <c r="A407" i="34" s="1"/>
  <c r="B417" i="34"/>
  <c r="A417" i="34" s="1"/>
  <c r="B418" i="34"/>
  <c r="A418" i="34" s="1"/>
  <c r="B419" i="34"/>
  <c r="A419" i="34" s="1"/>
  <c r="B430" i="34"/>
  <c r="A430" i="34" s="1"/>
  <c r="B431" i="34"/>
  <c r="A431" i="34" s="1"/>
  <c r="B432" i="34"/>
  <c r="A432" i="34" s="1"/>
  <c r="B427" i="34"/>
  <c r="A427" i="34" s="1"/>
  <c r="B428" i="34"/>
  <c r="A428" i="34" s="1"/>
  <c r="B424" i="34"/>
  <c r="A424" i="34" s="1"/>
  <c r="B425" i="34"/>
  <c r="A425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K62" i="55" l="1"/>
  <c r="K31" i="55"/>
  <c r="K28" i="55"/>
  <c r="K85" i="55"/>
  <c r="K53" i="55"/>
  <c r="K48" i="55"/>
  <c r="K45" i="55"/>
  <c r="K76" i="55"/>
  <c r="K20" i="55"/>
  <c r="K49" i="55"/>
  <c r="K55" i="55"/>
  <c r="K79" i="55"/>
  <c r="A3" i="15"/>
  <c r="A2" i="15"/>
  <c r="N8" i="73"/>
  <c r="AA474" i="34" s="1"/>
  <c r="M8" i="73"/>
  <c r="A5" i="70"/>
  <c r="A2" i="73"/>
  <c r="A1" i="73"/>
  <c r="AA476" i="34" l="1"/>
  <c r="AA458" i="34"/>
  <c r="AA432" i="34"/>
  <c r="AA492" i="34"/>
  <c r="AA495" i="34"/>
  <c r="AA444" i="34"/>
  <c r="AA430" i="34"/>
  <c r="AA460" i="34"/>
  <c r="AA442" i="34"/>
  <c r="AA405" i="34"/>
  <c r="AA436" i="34"/>
  <c r="AA452" i="34"/>
  <c r="AA468" i="34"/>
  <c r="AA484" i="34"/>
  <c r="AA500" i="34"/>
  <c r="AA434" i="34"/>
  <c r="AA450" i="34"/>
  <c r="AA466" i="34"/>
  <c r="AA482" i="34"/>
  <c r="AA498" i="34"/>
  <c r="AA433" i="34"/>
  <c r="AA449" i="34"/>
  <c r="AA465" i="34"/>
  <c r="AA481" i="34"/>
  <c r="AA497" i="34"/>
  <c r="AA424" i="34"/>
  <c r="AA447" i="34"/>
  <c r="AA463" i="34"/>
  <c r="AA479" i="34"/>
  <c r="AA51" i="34"/>
  <c r="AA54" i="34"/>
  <c r="AA418" i="34"/>
  <c r="AA440" i="34"/>
  <c r="AA456" i="34"/>
  <c r="AA472" i="34"/>
  <c r="AA488" i="34"/>
  <c r="AA407" i="34"/>
  <c r="AA438" i="34"/>
  <c r="AA454" i="34"/>
  <c r="AA470" i="34"/>
  <c r="AA486" i="34"/>
  <c r="AA406" i="34"/>
  <c r="AA437" i="34"/>
  <c r="AA453" i="34"/>
  <c r="AA469" i="34"/>
  <c r="AA485" i="34"/>
  <c r="AA403" i="34"/>
  <c r="AA435" i="34"/>
  <c r="AA451" i="34"/>
  <c r="AA467" i="34"/>
  <c r="AA483" i="34"/>
  <c r="AA499" i="34"/>
  <c r="AA490" i="34"/>
  <c r="AA419" i="34"/>
  <c r="AA441" i="34"/>
  <c r="AA457" i="34"/>
  <c r="AA473" i="34"/>
  <c r="AA489" i="34"/>
  <c r="AA417" i="34"/>
  <c r="AA439" i="34"/>
  <c r="AA455" i="34"/>
  <c r="AA471" i="34"/>
  <c r="AA487" i="34"/>
  <c r="AA425" i="34"/>
  <c r="AA448" i="34"/>
  <c r="AA464" i="34"/>
  <c r="AA480" i="34"/>
  <c r="AA496" i="34"/>
  <c r="AA428" i="34"/>
  <c r="AA446" i="34"/>
  <c r="AA462" i="34"/>
  <c r="AA478" i="34"/>
  <c r="AA494" i="34"/>
  <c r="AA427" i="34"/>
  <c r="AA445" i="34"/>
  <c r="AA461" i="34"/>
  <c r="AA477" i="34"/>
  <c r="AA493" i="34"/>
  <c r="AA431" i="34"/>
  <c r="AA443" i="34"/>
  <c r="AA459" i="34"/>
  <c r="AA475" i="34"/>
  <c r="AA491" i="34"/>
  <c r="A3" i="68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B165" i="34"/>
  <c r="B164" i="34"/>
  <c r="B162" i="34"/>
  <c r="B161" i="34"/>
  <c r="B160" i="34"/>
  <c r="B159" i="34"/>
  <c r="B158" i="34"/>
  <c r="A158" i="34" s="1"/>
  <c r="B157" i="34"/>
  <c r="A157" i="34" s="1"/>
  <c r="B156" i="34"/>
  <c r="B271" i="34"/>
  <c r="A271" i="34" s="1"/>
  <c r="B268" i="34"/>
  <c r="A268" i="34" s="1"/>
  <c r="B193" i="34"/>
  <c r="A193" i="34" s="1"/>
  <c r="B192" i="34"/>
  <c r="A192" i="34" s="1"/>
  <c r="B184" i="34"/>
  <c r="A184" i="34" s="1"/>
  <c r="B183" i="34"/>
  <c r="A183" i="34" s="1"/>
  <c r="B151" i="34"/>
  <c r="B213" i="34"/>
  <c r="A213" i="34" s="1"/>
  <c r="B212" i="34"/>
  <c r="A212" i="34" s="1"/>
  <c r="B135" i="34"/>
  <c r="B134" i="34"/>
  <c r="B133" i="34"/>
  <c r="B130" i="34"/>
  <c r="B121" i="34"/>
  <c r="A25" i="70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A149" i="34" s="1"/>
  <c r="B150" i="34"/>
  <c r="A150" i="34" s="1"/>
  <c r="B269" i="34"/>
  <c r="A269" i="34" s="1"/>
  <c r="B270" i="34"/>
  <c r="A270" i="34" s="1"/>
  <c r="B163" i="34"/>
  <c r="B167" i="34"/>
  <c r="B168" i="34"/>
  <c r="B169" i="34"/>
  <c r="B170" i="34"/>
  <c r="B171" i="34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9" i="34"/>
  <c r="A199" i="34" s="1"/>
  <c r="B200" i="34"/>
  <c r="A200" i="34" s="1"/>
  <c r="B204" i="34"/>
  <c r="A204" i="34" s="1"/>
  <c r="B205" i="34"/>
  <c r="A205" i="34" s="1"/>
  <c r="B206" i="34"/>
  <c r="A206" i="34" s="1"/>
  <c r="B214" i="34"/>
  <c r="A214" i="34" s="1"/>
  <c r="B215" i="34"/>
  <c r="A215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39" i="34"/>
  <c r="A239" i="34" s="1"/>
  <c r="B240" i="34"/>
  <c r="A240" i="34" s="1"/>
  <c r="B241" i="34"/>
  <c r="A241" i="34" s="1"/>
  <c r="B242" i="34"/>
  <c r="A242" i="34" s="1"/>
  <c r="B279" i="34"/>
  <c r="A279" i="34" s="1"/>
  <c r="B280" i="34"/>
  <c r="A280" i="34" s="1"/>
  <c r="B284" i="34"/>
  <c r="A284" i="34" s="1"/>
  <c r="B285" i="34"/>
  <c r="A285" i="34" s="1"/>
  <c r="B290" i="34"/>
  <c r="A290" i="34" s="1"/>
  <c r="B291" i="34"/>
  <c r="A291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207" i="34"/>
  <c r="A207" i="34" s="1"/>
  <c r="B208" i="34"/>
  <c r="A208" i="34" s="1"/>
  <c r="B209" i="34"/>
  <c r="A209" i="34" s="1"/>
  <c r="B210" i="34"/>
  <c r="A210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2" i="34"/>
  <c r="A382" i="34" s="1"/>
  <c r="B383" i="34"/>
  <c r="A383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7" i="34"/>
  <c r="A397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65" i="34"/>
  <c r="A265" i="34" s="1"/>
  <c r="B266" i="34"/>
  <c r="A266" i="34" s="1"/>
  <c r="B267" i="34"/>
  <c r="A267" i="34" s="1"/>
  <c r="B286" i="34"/>
  <c r="A286" i="34" s="1"/>
  <c r="B287" i="34"/>
  <c r="A287" i="34" s="1"/>
  <c r="B288" i="34"/>
  <c r="A288" i="34" s="1"/>
  <c r="B292" i="34"/>
  <c r="A292" i="34" s="1"/>
  <c r="B293" i="34"/>
  <c r="A293" i="34" s="1"/>
  <c r="B297" i="34"/>
  <c r="A297" i="34" s="1"/>
  <c r="B298" i="34"/>
  <c r="A298" i="34" s="1"/>
  <c r="B294" i="34"/>
  <c r="A294" i="34" s="1"/>
  <c r="B295" i="34"/>
  <c r="A295" i="34" s="1"/>
  <c r="B304" i="34"/>
  <c r="A304" i="34" s="1"/>
  <c r="B305" i="34"/>
  <c r="A305" i="34" s="1"/>
  <c r="B330" i="34"/>
  <c r="A330" i="34" s="1"/>
  <c r="B331" i="34"/>
  <c r="A331" i="34" s="1"/>
  <c r="B322" i="34"/>
  <c r="A322" i="34" s="1"/>
  <c r="B323" i="34"/>
  <c r="A323" i="34" s="1"/>
  <c r="B324" i="34"/>
  <c r="A324" i="34" s="1"/>
  <c r="B318" i="34"/>
  <c r="A318" i="34" s="1"/>
  <c r="B319" i="34"/>
  <c r="A319" i="34" s="1"/>
  <c r="B320" i="34"/>
  <c r="A320" i="34" s="1"/>
  <c r="B321" i="34"/>
  <c r="A321" i="34" s="1"/>
  <c r="B316" i="34"/>
  <c r="A316" i="34" s="1"/>
  <c r="B317" i="34"/>
  <c r="A317" i="34" s="1"/>
  <c r="B309" i="34"/>
  <c r="A309" i="34" s="1"/>
  <c r="B310" i="34"/>
  <c r="A310" i="34" s="1"/>
  <c r="B384" i="34"/>
  <c r="A384" i="34" s="1"/>
  <c r="B385" i="34"/>
  <c r="A385" i="34" s="1"/>
  <c r="B386" i="34"/>
  <c r="A386" i="34" s="1"/>
  <c r="B352" i="34"/>
  <c r="A352" i="34" s="1"/>
  <c r="B353" i="34"/>
  <c r="A353" i="34" s="1"/>
  <c r="B347" i="34"/>
  <c r="A347" i="34" s="1"/>
  <c r="B348" i="34"/>
  <c r="A348" i="34" s="1"/>
  <c r="B345" i="34"/>
  <c r="A345" i="34" s="1"/>
  <c r="B346" i="34"/>
  <c r="A346" i="34" s="1"/>
  <c r="B336" i="34"/>
  <c r="A336" i="34" s="1"/>
  <c r="B337" i="34"/>
  <c r="A337" i="34" s="1"/>
  <c r="B338" i="34"/>
  <c r="A338" i="34" s="1"/>
  <c r="B332" i="34"/>
  <c r="A332" i="34" s="1"/>
  <c r="B333" i="34"/>
  <c r="A333" i="34" s="1"/>
  <c r="B387" i="34"/>
  <c r="A387" i="34" s="1"/>
  <c r="B339" i="34"/>
  <c r="A339" i="34" s="1"/>
  <c r="B349" i="34"/>
  <c r="A349" i="34" s="1"/>
  <c r="B325" i="34"/>
  <c r="A325" i="34" s="1"/>
  <c r="B334" i="34"/>
  <c r="A334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388" i="34"/>
  <c r="A388" i="34" s="1"/>
  <c r="B389" i="34"/>
  <c r="A389" i="34" s="1"/>
  <c r="B356" i="34"/>
  <c r="A356" i="34" s="1"/>
  <c r="B357" i="34"/>
  <c r="A357" i="34" s="1"/>
  <c r="B404" i="34"/>
  <c r="A404" i="34" s="1"/>
  <c r="B363" i="34"/>
  <c r="A363" i="34" s="1"/>
  <c r="B364" i="34"/>
  <c r="A364" i="34" s="1"/>
  <c r="B365" i="34"/>
  <c r="A365" i="34" s="1"/>
  <c r="B366" i="34"/>
  <c r="A366" i="34" s="1"/>
  <c r="B367" i="34"/>
  <c r="A367" i="34" s="1"/>
  <c r="B368" i="34"/>
  <c r="A368" i="34" s="1"/>
  <c r="B369" i="34"/>
  <c r="A369" i="34" s="1"/>
  <c r="B370" i="34"/>
  <c r="A370" i="34" s="1"/>
  <c r="B372" i="34"/>
  <c r="A372" i="34" s="1"/>
  <c r="B373" i="34"/>
  <c r="A373" i="34" s="1"/>
  <c r="B374" i="34"/>
  <c r="A374" i="34" s="1"/>
  <c r="B375" i="34"/>
  <c r="A375" i="34" s="1"/>
  <c r="B376" i="34"/>
  <c r="A376" i="34" s="1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171" i="34" l="1"/>
  <c r="A167" i="34"/>
  <c r="A137" i="34"/>
  <c r="A129" i="34"/>
  <c r="A118" i="34"/>
  <c r="A133" i="34"/>
  <c r="A156" i="34"/>
  <c r="A160" i="34"/>
  <c r="A165" i="34"/>
  <c r="A136" i="34"/>
  <c r="A128" i="34"/>
  <c r="A134" i="34"/>
  <c r="A151" i="34"/>
  <c r="A161" i="34"/>
  <c r="A166" i="34"/>
  <c r="A169" i="34"/>
  <c r="A139" i="34"/>
  <c r="A132" i="34"/>
  <c r="A127" i="34"/>
  <c r="A121" i="34"/>
  <c r="A135" i="34"/>
  <c r="A162" i="34"/>
  <c r="A170" i="34"/>
  <c r="A163" i="34"/>
  <c r="A168" i="34"/>
  <c r="A138" i="34"/>
  <c r="A131" i="34"/>
  <c r="A122" i="34"/>
  <c r="A130" i="34"/>
  <c r="A159" i="34"/>
  <c r="A164" i="3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72" i="34"/>
  <c r="O372" i="34"/>
  <c r="AA372" i="34"/>
  <c r="P372" i="34"/>
  <c r="O367" i="34"/>
  <c r="AA367" i="34"/>
  <c r="P367" i="34"/>
  <c r="Q367" i="34"/>
  <c r="Q389" i="34"/>
  <c r="O389" i="34"/>
  <c r="AA389" i="34"/>
  <c r="P389" i="34"/>
  <c r="O410" i="34"/>
  <c r="AA410" i="34"/>
  <c r="P410" i="34"/>
  <c r="Q410" i="34"/>
  <c r="Q333" i="34"/>
  <c r="O333" i="34"/>
  <c r="AA333" i="34"/>
  <c r="P333" i="34"/>
  <c r="O310" i="34"/>
  <c r="AA310" i="34"/>
  <c r="P310" i="34"/>
  <c r="Q310" i="34"/>
  <c r="Q297" i="34"/>
  <c r="O297" i="34"/>
  <c r="P297" i="34"/>
  <c r="AA297" i="34"/>
  <c r="O375" i="34"/>
  <c r="AA375" i="34"/>
  <c r="Q375" i="34"/>
  <c r="P375" i="34"/>
  <c r="Q370" i="34"/>
  <c r="O370" i="34"/>
  <c r="AA370" i="34"/>
  <c r="P370" i="34"/>
  <c r="Q366" i="34"/>
  <c r="O366" i="34"/>
  <c r="AA366" i="34"/>
  <c r="P366" i="34"/>
  <c r="Q404" i="34"/>
  <c r="O404" i="34"/>
  <c r="AA404" i="34"/>
  <c r="P404" i="34"/>
  <c r="O388" i="34"/>
  <c r="AA388" i="34"/>
  <c r="P388" i="34"/>
  <c r="Q388" i="34"/>
  <c r="O413" i="34"/>
  <c r="AA413" i="34"/>
  <c r="P413" i="34"/>
  <c r="Q413" i="34"/>
  <c r="O409" i="34"/>
  <c r="AA409" i="34"/>
  <c r="Q409" i="34"/>
  <c r="P409" i="34"/>
  <c r="O349" i="34"/>
  <c r="AA349" i="34"/>
  <c r="P349" i="34"/>
  <c r="Q349" i="34"/>
  <c r="O332" i="34"/>
  <c r="AA332" i="34"/>
  <c r="P332" i="34"/>
  <c r="Q332" i="34"/>
  <c r="O346" i="34"/>
  <c r="AA346" i="34"/>
  <c r="P346" i="34"/>
  <c r="Q346" i="34"/>
  <c r="Q347" i="34"/>
  <c r="O347" i="34"/>
  <c r="AA347" i="34"/>
  <c r="P347" i="34"/>
  <c r="O386" i="34"/>
  <c r="AA386" i="34"/>
  <c r="P386" i="34"/>
  <c r="Q386" i="34"/>
  <c r="Q309" i="34"/>
  <c r="O309" i="34"/>
  <c r="AA309" i="34"/>
  <c r="P309" i="34"/>
  <c r="O320" i="34"/>
  <c r="AA320" i="34"/>
  <c r="P320" i="34"/>
  <c r="Q320" i="34"/>
  <c r="O318" i="34"/>
  <c r="AA318" i="34"/>
  <c r="P318" i="34"/>
  <c r="Q318" i="34"/>
  <c r="Q331" i="34"/>
  <c r="O331" i="34"/>
  <c r="AA331" i="34"/>
  <c r="P331" i="34"/>
  <c r="Q295" i="34"/>
  <c r="O295" i="34"/>
  <c r="P295" i="34"/>
  <c r="AA295" i="34"/>
  <c r="Q293" i="34"/>
  <c r="P293" i="34"/>
  <c r="AA293" i="34"/>
  <c r="O293" i="34"/>
  <c r="Q286" i="34"/>
  <c r="O286" i="34"/>
  <c r="AA286" i="34"/>
  <c r="P286" i="34"/>
  <c r="O248" i="34"/>
  <c r="AA248" i="34"/>
  <c r="P248" i="34"/>
  <c r="Q248" i="34"/>
  <c r="O244" i="34"/>
  <c r="AA244" i="34"/>
  <c r="P244" i="34"/>
  <c r="Q244" i="34"/>
  <c r="Q262" i="34"/>
  <c r="O262" i="34"/>
  <c r="AA262" i="34"/>
  <c r="P262" i="34"/>
  <c r="Q258" i="34"/>
  <c r="O258" i="34"/>
  <c r="AA258" i="34"/>
  <c r="P258" i="34"/>
  <c r="Q401" i="34"/>
  <c r="O401" i="34"/>
  <c r="AA401" i="34"/>
  <c r="P401" i="34"/>
  <c r="Q397" i="34"/>
  <c r="O397" i="34"/>
  <c r="AA397" i="34"/>
  <c r="P397" i="34"/>
  <c r="Q393" i="34"/>
  <c r="O393" i="34"/>
  <c r="AA393" i="34"/>
  <c r="P393" i="34"/>
  <c r="Q382" i="34"/>
  <c r="O382" i="34"/>
  <c r="AA382" i="34"/>
  <c r="P382" i="34"/>
  <c r="Q378" i="34"/>
  <c r="O378" i="34"/>
  <c r="AA378" i="34"/>
  <c r="P378" i="34"/>
  <c r="Q253" i="34"/>
  <c r="O253" i="34"/>
  <c r="AA253" i="34"/>
  <c r="P253" i="34"/>
  <c r="O238" i="34"/>
  <c r="AA238" i="34"/>
  <c r="P238" i="34"/>
  <c r="Q238" i="34"/>
  <c r="O234" i="34"/>
  <c r="AA234" i="34"/>
  <c r="P234" i="34"/>
  <c r="Q234" i="34"/>
  <c r="O230" i="34"/>
  <c r="AA230" i="34"/>
  <c r="P230" i="34"/>
  <c r="Q230" i="34"/>
  <c r="O207" i="34"/>
  <c r="AA207" i="34"/>
  <c r="P207" i="34"/>
  <c r="Q207" i="34"/>
  <c r="O195" i="34"/>
  <c r="AA195" i="34"/>
  <c r="P195" i="34"/>
  <c r="Q195" i="34"/>
  <c r="O285" i="34"/>
  <c r="AA285" i="34"/>
  <c r="P285" i="34"/>
  <c r="Q285" i="34"/>
  <c r="O242" i="34"/>
  <c r="AA242" i="34"/>
  <c r="P242" i="34"/>
  <c r="Q242" i="34"/>
  <c r="O226" i="34"/>
  <c r="AA226" i="34"/>
  <c r="P226" i="34"/>
  <c r="Q226" i="34"/>
  <c r="Q222" i="34"/>
  <c r="P222" i="34"/>
  <c r="AA222" i="34"/>
  <c r="O222" i="34"/>
  <c r="Q214" i="34"/>
  <c r="O214" i="34"/>
  <c r="AA214" i="34"/>
  <c r="P214" i="34"/>
  <c r="Q200" i="34"/>
  <c r="O200" i="34"/>
  <c r="AA200" i="34"/>
  <c r="P200" i="34"/>
  <c r="O189" i="34"/>
  <c r="AA189" i="34"/>
  <c r="P189" i="34"/>
  <c r="Q189" i="34"/>
  <c r="O185" i="34"/>
  <c r="AA185" i="34"/>
  <c r="P185" i="34"/>
  <c r="Q185" i="34"/>
  <c r="O179" i="34"/>
  <c r="AA179" i="34"/>
  <c r="P179" i="34"/>
  <c r="Q179" i="34"/>
  <c r="O175" i="34"/>
  <c r="AA175" i="34"/>
  <c r="P175" i="34"/>
  <c r="Q175" i="34"/>
  <c r="Q170" i="34"/>
  <c r="O170" i="34"/>
  <c r="AA170" i="34"/>
  <c r="P170" i="34"/>
  <c r="O163" i="34"/>
  <c r="AA163" i="34"/>
  <c r="Q163" i="34"/>
  <c r="P163" i="34"/>
  <c r="Q149" i="34"/>
  <c r="O149" i="34"/>
  <c r="AA149" i="34"/>
  <c r="P149" i="34"/>
  <c r="O136" i="34"/>
  <c r="AA136" i="34"/>
  <c r="P136" i="34"/>
  <c r="Q136" i="34"/>
  <c r="O128" i="34"/>
  <c r="AA128" i="34"/>
  <c r="P128" i="34"/>
  <c r="Q128" i="34"/>
  <c r="O134" i="34"/>
  <c r="AA134" i="34"/>
  <c r="P134" i="34"/>
  <c r="Q134" i="34"/>
  <c r="Q151" i="34"/>
  <c r="O151" i="34"/>
  <c r="AA151" i="34"/>
  <c r="P151" i="34"/>
  <c r="O193" i="34"/>
  <c r="AA193" i="34"/>
  <c r="P193" i="34"/>
  <c r="Q193" i="34"/>
  <c r="Q157" i="34"/>
  <c r="O157" i="34"/>
  <c r="AA157" i="34"/>
  <c r="P157" i="34"/>
  <c r="Q161" i="34"/>
  <c r="O161" i="34"/>
  <c r="AA161" i="34"/>
  <c r="P161" i="34"/>
  <c r="O165" i="34"/>
  <c r="AA165" i="34"/>
  <c r="Q165" i="34"/>
  <c r="P165" i="34"/>
  <c r="Q374" i="34"/>
  <c r="O374" i="34"/>
  <c r="AA374" i="34"/>
  <c r="P374" i="34"/>
  <c r="O369" i="34"/>
  <c r="AA369" i="34"/>
  <c r="P369" i="34"/>
  <c r="Q369" i="34"/>
  <c r="O365" i="34"/>
  <c r="AA365" i="34"/>
  <c r="P365" i="34"/>
  <c r="Q365" i="34"/>
  <c r="O357" i="34"/>
  <c r="AA357" i="34"/>
  <c r="P357" i="34"/>
  <c r="Q357" i="34"/>
  <c r="Q416" i="34"/>
  <c r="O416" i="34"/>
  <c r="AA416" i="34"/>
  <c r="P416" i="34"/>
  <c r="Q412" i="34"/>
  <c r="O412" i="34"/>
  <c r="AA412" i="34"/>
  <c r="P412" i="34"/>
  <c r="Q408" i="34"/>
  <c r="O408" i="34"/>
  <c r="AA408" i="34"/>
  <c r="P408" i="34"/>
  <c r="Q339" i="34"/>
  <c r="O339" i="34"/>
  <c r="AA339" i="34"/>
  <c r="P339" i="34"/>
  <c r="O338" i="34"/>
  <c r="AA338" i="34"/>
  <c r="P338" i="34"/>
  <c r="Q338" i="34"/>
  <c r="Q345" i="34"/>
  <c r="O345" i="34"/>
  <c r="AA345" i="34"/>
  <c r="P345" i="34"/>
  <c r="Q353" i="34"/>
  <c r="O353" i="34"/>
  <c r="AA353" i="34"/>
  <c r="P353" i="34"/>
  <c r="Q385" i="34"/>
  <c r="O385" i="34"/>
  <c r="AA385" i="34"/>
  <c r="P385" i="34"/>
  <c r="Q317" i="34"/>
  <c r="O317" i="34"/>
  <c r="AA317" i="34"/>
  <c r="P317" i="34"/>
  <c r="Q319" i="34"/>
  <c r="O319" i="34"/>
  <c r="AA319" i="34"/>
  <c r="P319" i="34"/>
  <c r="O324" i="34"/>
  <c r="AA324" i="34"/>
  <c r="P324" i="34"/>
  <c r="Q324" i="34"/>
  <c r="O330" i="34"/>
  <c r="AA330" i="34"/>
  <c r="P330" i="34"/>
  <c r="Q330" i="34"/>
  <c r="O294" i="34"/>
  <c r="AA294" i="34"/>
  <c r="P294" i="34"/>
  <c r="Q294" i="34"/>
  <c r="Q292" i="34"/>
  <c r="O292" i="34"/>
  <c r="AA292" i="34"/>
  <c r="P292" i="34"/>
  <c r="O267" i="34"/>
  <c r="AA267" i="34"/>
  <c r="P267" i="34"/>
  <c r="Q267" i="34"/>
  <c r="Q247" i="34"/>
  <c r="O247" i="34"/>
  <c r="AA247" i="34"/>
  <c r="P247" i="34"/>
  <c r="Q243" i="34"/>
  <c r="O243" i="34"/>
  <c r="AA243" i="34"/>
  <c r="P243" i="34"/>
  <c r="O261" i="34"/>
  <c r="AA261" i="34"/>
  <c r="P261" i="34"/>
  <c r="Q261" i="34"/>
  <c r="O257" i="34"/>
  <c r="AA257" i="34"/>
  <c r="P257" i="34"/>
  <c r="Q257" i="34"/>
  <c r="O400" i="34"/>
  <c r="AA400" i="34"/>
  <c r="P400" i="34"/>
  <c r="Q400" i="34"/>
  <c r="O396" i="34"/>
  <c r="AA396" i="34"/>
  <c r="P396" i="34"/>
  <c r="Q396" i="34"/>
  <c r="O392" i="34"/>
  <c r="AA392" i="34"/>
  <c r="P392" i="34"/>
  <c r="Q392" i="34"/>
  <c r="O381" i="34"/>
  <c r="AA381" i="34"/>
  <c r="P381" i="34"/>
  <c r="Q381" i="34"/>
  <c r="O377" i="34"/>
  <c r="AA377" i="34"/>
  <c r="P377" i="34"/>
  <c r="Q377" i="34"/>
  <c r="O252" i="34"/>
  <c r="AA252" i="34"/>
  <c r="P252" i="34"/>
  <c r="Q252" i="34"/>
  <c r="Q237" i="34"/>
  <c r="O237" i="34"/>
  <c r="AA237" i="34"/>
  <c r="P237" i="34"/>
  <c r="Q233" i="34"/>
  <c r="O233" i="34"/>
  <c r="AA233" i="34"/>
  <c r="P233" i="34"/>
  <c r="Q210" i="34"/>
  <c r="O210" i="34"/>
  <c r="AA210" i="34"/>
  <c r="P210" i="34"/>
  <c r="Q198" i="34"/>
  <c r="O198" i="34"/>
  <c r="AA198" i="34"/>
  <c r="P198" i="34"/>
  <c r="Q194" i="34"/>
  <c r="O194" i="34"/>
  <c r="AA194" i="34"/>
  <c r="P194" i="34"/>
  <c r="Q284" i="34"/>
  <c r="O284" i="34"/>
  <c r="AA284" i="34"/>
  <c r="P284" i="34"/>
  <c r="Q241" i="34"/>
  <c r="O241" i="34"/>
  <c r="AA241" i="34"/>
  <c r="P241" i="34"/>
  <c r="Q225" i="34"/>
  <c r="O225" i="34"/>
  <c r="AA225" i="34"/>
  <c r="P225" i="34"/>
  <c r="O221" i="34"/>
  <c r="AA221" i="34"/>
  <c r="P221" i="34"/>
  <c r="Q221" i="34"/>
  <c r="Q206" i="34"/>
  <c r="O206" i="34"/>
  <c r="AA206" i="34"/>
  <c r="P206" i="34"/>
  <c r="O199" i="34"/>
  <c r="AA199" i="34"/>
  <c r="P199" i="34"/>
  <c r="Q199" i="34"/>
  <c r="Q188" i="34"/>
  <c r="O188" i="34"/>
  <c r="AA188" i="34"/>
  <c r="P188" i="34"/>
  <c r="Q182" i="34"/>
  <c r="O182" i="34"/>
  <c r="AA182" i="34"/>
  <c r="P182" i="34"/>
  <c r="Q178" i="34"/>
  <c r="O178" i="34"/>
  <c r="AA178" i="34"/>
  <c r="P178" i="34"/>
  <c r="Q174" i="34"/>
  <c r="O174" i="34"/>
  <c r="AA174" i="34"/>
  <c r="P174" i="34"/>
  <c r="Q169" i="34"/>
  <c r="AA169" i="34"/>
  <c r="O169" i="34"/>
  <c r="P169" i="34"/>
  <c r="Q270" i="34"/>
  <c r="O270" i="34"/>
  <c r="AA270" i="34"/>
  <c r="P270" i="34"/>
  <c r="Q139" i="34"/>
  <c r="O139" i="34"/>
  <c r="AA139" i="34"/>
  <c r="P139" i="34"/>
  <c r="O132" i="34"/>
  <c r="AA132" i="34"/>
  <c r="P132" i="34"/>
  <c r="Q132" i="34"/>
  <c r="Q127" i="34"/>
  <c r="O127" i="34"/>
  <c r="AA127" i="34"/>
  <c r="P127" i="34"/>
  <c r="Q121" i="34"/>
  <c r="O121" i="34"/>
  <c r="AA121" i="34"/>
  <c r="P121" i="34"/>
  <c r="Q135" i="34"/>
  <c r="O135" i="34"/>
  <c r="AA135" i="34"/>
  <c r="P135" i="34"/>
  <c r="O183" i="34"/>
  <c r="AA183" i="34"/>
  <c r="P183" i="34"/>
  <c r="Q183" i="34"/>
  <c r="Q268" i="34"/>
  <c r="O268" i="34"/>
  <c r="AA268" i="34"/>
  <c r="P268" i="34"/>
  <c r="O158" i="34"/>
  <c r="AA158" i="34"/>
  <c r="P158" i="34"/>
  <c r="Q158" i="34"/>
  <c r="O162" i="34"/>
  <c r="AA162" i="34"/>
  <c r="Q162" i="34"/>
  <c r="P162" i="34"/>
  <c r="Q166" i="34"/>
  <c r="O166" i="34"/>
  <c r="AA166" i="34"/>
  <c r="P166" i="34"/>
  <c r="O373" i="34"/>
  <c r="AA373" i="34"/>
  <c r="Q373" i="34"/>
  <c r="P373" i="34"/>
  <c r="Q368" i="34"/>
  <c r="O368" i="34"/>
  <c r="AA368" i="34"/>
  <c r="P368" i="34"/>
  <c r="Q364" i="34"/>
  <c r="O364" i="34"/>
  <c r="AA364" i="34"/>
  <c r="P364" i="34"/>
  <c r="Q356" i="34"/>
  <c r="O356" i="34"/>
  <c r="AA356" i="34"/>
  <c r="P356" i="34"/>
  <c r="O415" i="34"/>
  <c r="AA415" i="34"/>
  <c r="P415" i="34"/>
  <c r="Q415" i="34"/>
  <c r="Q411" i="34"/>
  <c r="AA411" i="34"/>
  <c r="O411" i="34"/>
  <c r="P411" i="34"/>
  <c r="O334" i="34"/>
  <c r="AA334" i="34"/>
  <c r="P334" i="34"/>
  <c r="Q334" i="34"/>
  <c r="Q387" i="34"/>
  <c r="O387" i="34"/>
  <c r="AA387" i="34"/>
  <c r="P387" i="34"/>
  <c r="Q337" i="34"/>
  <c r="O337" i="34"/>
  <c r="AA337" i="34"/>
  <c r="P337" i="34"/>
  <c r="Q348" i="34"/>
  <c r="O348" i="34"/>
  <c r="AA348" i="34"/>
  <c r="P348" i="34"/>
  <c r="O384" i="34"/>
  <c r="AA384" i="34"/>
  <c r="P384" i="34"/>
  <c r="Q384" i="34"/>
  <c r="O316" i="34"/>
  <c r="AA316" i="34"/>
  <c r="P316" i="34"/>
  <c r="Q316" i="34"/>
  <c r="Q323" i="34"/>
  <c r="O323" i="34"/>
  <c r="AA323" i="34"/>
  <c r="P323" i="34"/>
  <c r="Q305" i="34"/>
  <c r="O305" i="34"/>
  <c r="AA305" i="34"/>
  <c r="P305" i="34"/>
  <c r="O298" i="34"/>
  <c r="AA298" i="34"/>
  <c r="P298" i="34"/>
  <c r="Q298" i="34"/>
  <c r="Q288" i="34"/>
  <c r="O288" i="34"/>
  <c r="AA288" i="34"/>
  <c r="P288" i="34"/>
  <c r="Q266" i="34"/>
  <c r="O266" i="34"/>
  <c r="AA266" i="34"/>
  <c r="P266" i="34"/>
  <c r="O246" i="34"/>
  <c r="AA246" i="34"/>
  <c r="P246" i="34"/>
  <c r="Q246" i="34"/>
  <c r="Q264" i="34"/>
  <c r="O264" i="34"/>
  <c r="AA264" i="34"/>
  <c r="P264" i="34"/>
  <c r="Q260" i="34"/>
  <c r="O260" i="34"/>
  <c r="AA260" i="34"/>
  <c r="P260" i="34"/>
  <c r="Q256" i="34"/>
  <c r="O256" i="34"/>
  <c r="AA256" i="34"/>
  <c r="P256" i="34"/>
  <c r="Q399" i="34"/>
  <c r="O399" i="34"/>
  <c r="AA399" i="34"/>
  <c r="P399" i="34"/>
  <c r="Q395" i="34"/>
  <c r="O395" i="34"/>
  <c r="AA395" i="34"/>
  <c r="P395" i="34"/>
  <c r="Q391" i="34"/>
  <c r="O391" i="34"/>
  <c r="AA391" i="34"/>
  <c r="P391" i="34"/>
  <c r="Q380" i="34"/>
  <c r="O380" i="34"/>
  <c r="AA380" i="34"/>
  <c r="P380" i="34"/>
  <c r="Q255" i="34"/>
  <c r="O255" i="34"/>
  <c r="AA255" i="34"/>
  <c r="P255" i="34"/>
  <c r="Q251" i="34"/>
  <c r="O251" i="34"/>
  <c r="AA251" i="34"/>
  <c r="P251" i="34"/>
  <c r="O236" i="34"/>
  <c r="AA236" i="34"/>
  <c r="P236" i="34"/>
  <c r="Q236" i="34"/>
  <c r="O232" i="34"/>
  <c r="AA232" i="34"/>
  <c r="P232" i="34"/>
  <c r="Q232" i="34"/>
  <c r="O209" i="34"/>
  <c r="AA209" i="34"/>
  <c r="P209" i="34"/>
  <c r="Q209" i="34"/>
  <c r="O197" i="34"/>
  <c r="AA197" i="34"/>
  <c r="P197" i="34"/>
  <c r="Q197" i="34"/>
  <c r="O291" i="34"/>
  <c r="AA291" i="34"/>
  <c r="Q291" i="34"/>
  <c r="P291" i="34"/>
  <c r="Q280" i="34"/>
  <c r="O280" i="34"/>
  <c r="AA280" i="34"/>
  <c r="P280" i="34"/>
  <c r="O240" i="34"/>
  <c r="AA240" i="34"/>
  <c r="P240" i="34"/>
  <c r="Q240" i="34"/>
  <c r="O224" i="34"/>
  <c r="AA224" i="34"/>
  <c r="P224" i="34"/>
  <c r="Q224" i="34"/>
  <c r="Q220" i="34"/>
  <c r="O220" i="34"/>
  <c r="AA220" i="34"/>
  <c r="P220" i="34"/>
  <c r="O205" i="34"/>
  <c r="AA205" i="34"/>
  <c r="P205" i="34"/>
  <c r="Q205" i="34"/>
  <c r="O191" i="34"/>
  <c r="AA191" i="34"/>
  <c r="P191" i="34"/>
  <c r="Q191" i="34"/>
  <c r="O187" i="34"/>
  <c r="AA187" i="34"/>
  <c r="P187" i="34"/>
  <c r="Q187" i="34"/>
  <c r="O181" i="34"/>
  <c r="AA181" i="34"/>
  <c r="P181" i="34"/>
  <c r="Q181" i="34"/>
  <c r="O177" i="34"/>
  <c r="AA177" i="34"/>
  <c r="P177" i="34"/>
  <c r="Q177" i="34"/>
  <c r="O173" i="34"/>
  <c r="AA173" i="34"/>
  <c r="P173" i="34"/>
  <c r="Q173" i="34"/>
  <c r="O168" i="34"/>
  <c r="AA168" i="34"/>
  <c r="P168" i="34"/>
  <c r="Q168" i="34"/>
  <c r="O269" i="34"/>
  <c r="AA269" i="34"/>
  <c r="P269" i="34"/>
  <c r="Q269" i="34"/>
  <c r="O138" i="34"/>
  <c r="AA138" i="34"/>
  <c r="P138" i="34"/>
  <c r="Q138" i="34"/>
  <c r="Q131" i="34"/>
  <c r="O131" i="34"/>
  <c r="AA131" i="34"/>
  <c r="P131" i="34"/>
  <c r="O122" i="34"/>
  <c r="AA122" i="34"/>
  <c r="P122" i="34"/>
  <c r="Q122" i="34"/>
  <c r="O130" i="34"/>
  <c r="AA130" i="34"/>
  <c r="P130" i="34"/>
  <c r="Q130" i="34"/>
  <c r="Q212" i="34"/>
  <c r="O212" i="34"/>
  <c r="AA212" i="34"/>
  <c r="P212" i="34"/>
  <c r="Q184" i="34"/>
  <c r="O184" i="34"/>
  <c r="AA184" i="34"/>
  <c r="P184" i="34"/>
  <c r="O271" i="34"/>
  <c r="AA271" i="34"/>
  <c r="P271" i="34"/>
  <c r="Q271" i="34"/>
  <c r="Q159" i="34"/>
  <c r="O159" i="34"/>
  <c r="AA159" i="34"/>
  <c r="P159" i="34"/>
  <c r="Q376" i="34"/>
  <c r="O376" i="34"/>
  <c r="AA376" i="34"/>
  <c r="P376" i="34"/>
  <c r="O363" i="34"/>
  <c r="AA363" i="34"/>
  <c r="P363" i="34"/>
  <c r="Q363" i="34"/>
  <c r="Q414" i="34"/>
  <c r="O414" i="34"/>
  <c r="AA414" i="34"/>
  <c r="P414" i="34"/>
  <c r="Q325" i="34"/>
  <c r="O325" i="34"/>
  <c r="AA325" i="34"/>
  <c r="P325" i="34"/>
  <c r="O336" i="34"/>
  <c r="AA336" i="34"/>
  <c r="P336" i="34"/>
  <c r="Q336" i="34"/>
  <c r="Q352" i="34"/>
  <c r="O352" i="34"/>
  <c r="AA352" i="34"/>
  <c r="P352" i="34"/>
  <c r="Q321" i="34"/>
  <c r="O321" i="34"/>
  <c r="AA321" i="34"/>
  <c r="P321" i="34"/>
  <c r="O322" i="34"/>
  <c r="AA322" i="34"/>
  <c r="P322" i="34"/>
  <c r="Q322" i="34"/>
  <c r="O304" i="34"/>
  <c r="AA304" i="34"/>
  <c r="P304" i="34"/>
  <c r="Q304" i="34"/>
  <c r="O287" i="34"/>
  <c r="AA287" i="34"/>
  <c r="P287" i="34"/>
  <c r="Q287" i="34"/>
  <c r="O265" i="34"/>
  <c r="AA265" i="34"/>
  <c r="P265" i="34"/>
  <c r="Q265" i="34"/>
  <c r="Q245" i="34"/>
  <c r="O245" i="34"/>
  <c r="AA245" i="34"/>
  <c r="P245" i="34"/>
  <c r="O263" i="34"/>
  <c r="AA263" i="34"/>
  <c r="P263" i="34"/>
  <c r="Q263" i="34"/>
  <c r="O259" i="34"/>
  <c r="AA259" i="34"/>
  <c r="P259" i="34"/>
  <c r="Q259" i="34"/>
  <c r="O402" i="34"/>
  <c r="AA402" i="34"/>
  <c r="P402" i="34"/>
  <c r="Q402" i="34"/>
  <c r="O398" i="34"/>
  <c r="AA398" i="34"/>
  <c r="P398" i="34"/>
  <c r="Q398" i="34"/>
  <c r="O394" i="34"/>
  <c r="AA394" i="34"/>
  <c r="P394" i="34"/>
  <c r="Q394" i="34"/>
  <c r="O383" i="34"/>
  <c r="AA383" i="34"/>
  <c r="P383" i="34"/>
  <c r="Q383" i="34"/>
  <c r="O379" i="34"/>
  <c r="AA379" i="34"/>
  <c r="P379" i="34"/>
  <c r="Q379" i="34"/>
  <c r="O254" i="34"/>
  <c r="AA254" i="34"/>
  <c r="P254" i="34"/>
  <c r="Q254" i="34"/>
  <c r="O250" i="34"/>
  <c r="AA250" i="34"/>
  <c r="P250" i="34"/>
  <c r="Q250" i="34"/>
  <c r="Q235" i="34"/>
  <c r="O235" i="34"/>
  <c r="AA235" i="34"/>
  <c r="P235" i="34"/>
  <c r="Q231" i="34"/>
  <c r="O231" i="34"/>
  <c r="AA231" i="34"/>
  <c r="P231" i="34"/>
  <c r="Q208" i="34"/>
  <c r="O208" i="34"/>
  <c r="AA208" i="34"/>
  <c r="P208" i="34"/>
  <c r="Q196" i="34"/>
  <c r="O196" i="34"/>
  <c r="AA196" i="34"/>
  <c r="P196" i="34"/>
  <c r="Q290" i="34"/>
  <c r="O290" i="34"/>
  <c r="AA290" i="34"/>
  <c r="P290" i="34"/>
  <c r="O279" i="34"/>
  <c r="AA279" i="34"/>
  <c r="P279" i="34"/>
  <c r="Q279" i="34"/>
  <c r="Q239" i="34"/>
  <c r="O239" i="34"/>
  <c r="AA239" i="34"/>
  <c r="P239" i="34"/>
  <c r="O223" i="34"/>
  <c r="Q223" i="34"/>
  <c r="AA223" i="34"/>
  <c r="P223" i="34"/>
  <c r="O215" i="34"/>
  <c r="AA215" i="34"/>
  <c r="Q215" i="34"/>
  <c r="P215" i="34"/>
  <c r="Q204" i="34"/>
  <c r="O204" i="34"/>
  <c r="AA204" i="34"/>
  <c r="P204" i="34"/>
  <c r="Q190" i="34"/>
  <c r="O190" i="34"/>
  <c r="AA190" i="34"/>
  <c r="P190" i="34"/>
  <c r="Q186" i="34"/>
  <c r="O186" i="34"/>
  <c r="AA186" i="34"/>
  <c r="P186" i="34"/>
  <c r="Q180" i="34"/>
  <c r="O180" i="34"/>
  <c r="AA180" i="34"/>
  <c r="P180" i="34"/>
  <c r="Q176" i="34"/>
  <c r="O176" i="34"/>
  <c r="AA176" i="34"/>
  <c r="P176" i="34"/>
  <c r="O171" i="34"/>
  <c r="AA171" i="34"/>
  <c r="P171" i="34"/>
  <c r="Q171" i="34"/>
  <c r="Q167" i="34"/>
  <c r="O167" i="34"/>
  <c r="P167" i="34"/>
  <c r="AA167" i="34"/>
  <c r="O150" i="34"/>
  <c r="AA150" i="34"/>
  <c r="P150" i="34"/>
  <c r="Q150" i="34"/>
  <c r="Q137" i="34"/>
  <c r="O137" i="34"/>
  <c r="AA137" i="34"/>
  <c r="P137" i="34"/>
  <c r="Q129" i="34"/>
  <c r="O129" i="34"/>
  <c r="AA129" i="34"/>
  <c r="P129" i="34"/>
  <c r="O118" i="34"/>
  <c r="AA118" i="34"/>
  <c r="Q118" i="34"/>
  <c r="P118" i="34"/>
  <c r="Q133" i="34"/>
  <c r="O133" i="34"/>
  <c r="AA133" i="34"/>
  <c r="P133" i="34"/>
  <c r="O213" i="34"/>
  <c r="AA213" i="34"/>
  <c r="Q213" i="34"/>
  <c r="P213" i="34"/>
  <c r="Q192" i="34"/>
  <c r="O192" i="34"/>
  <c r="AA192" i="34"/>
  <c r="P192" i="34"/>
  <c r="O156" i="34"/>
  <c r="AA156" i="34"/>
  <c r="P156" i="34"/>
  <c r="Q156" i="34"/>
  <c r="O160" i="34"/>
  <c r="AA160" i="34"/>
  <c r="P160" i="34"/>
  <c r="Q160" i="34"/>
  <c r="Q164" i="34"/>
  <c r="O164" i="34"/>
  <c r="AA164" i="34"/>
  <c r="P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7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A103" i="34" s="1"/>
  <c r="B104" i="34"/>
  <c r="B105" i="34"/>
  <c r="B106" i="34"/>
  <c r="A106" i="34" s="1"/>
  <c r="B107" i="34"/>
  <c r="A107" i="34" s="1"/>
  <c r="B115" i="34"/>
  <c r="B116" i="34"/>
  <c r="B117" i="34"/>
  <c r="A102" i="34" l="1"/>
  <c r="A105" i="34"/>
  <c r="A101" i="34"/>
  <c r="A117" i="34"/>
  <c r="A116" i="34"/>
  <c r="A115" i="34"/>
  <c r="A104" i="34"/>
  <c r="A100" i="34"/>
  <c r="O116" i="34"/>
  <c r="AA116" i="34"/>
  <c r="P116" i="34"/>
  <c r="Q116" i="34"/>
  <c r="P115" i="34"/>
  <c r="Q115" i="34"/>
  <c r="AA115" i="34"/>
  <c r="O115" i="34"/>
  <c r="P100" i="34"/>
  <c r="Q100" i="34"/>
  <c r="O100" i="34"/>
  <c r="AA100" i="34"/>
  <c r="O107" i="34"/>
  <c r="AA107" i="34"/>
  <c r="P107" i="34"/>
  <c r="Q107" i="34"/>
  <c r="O103" i="34"/>
  <c r="AA103" i="34"/>
  <c r="P103" i="34"/>
  <c r="Q103" i="34"/>
  <c r="O105" i="34"/>
  <c r="AA105" i="34"/>
  <c r="P105" i="34"/>
  <c r="Q105" i="34"/>
  <c r="O101" i="34"/>
  <c r="AA101" i="34"/>
  <c r="P101" i="34"/>
  <c r="Q101" i="34"/>
  <c r="P104" i="34"/>
  <c r="Q104" i="34"/>
  <c r="O104" i="34"/>
  <c r="AA104" i="34"/>
  <c r="Q117" i="34"/>
  <c r="AA117" i="34"/>
  <c r="O117" i="34"/>
  <c r="P117" i="34"/>
  <c r="P106" i="34"/>
  <c r="Q106" i="34"/>
  <c r="O106" i="34"/>
  <c r="AA106" i="34"/>
  <c r="P102" i="34"/>
  <c r="Q102" i="34"/>
  <c r="O102" i="34"/>
  <c r="AA102" i="34"/>
  <c r="B85" i="34"/>
  <c r="B86" i="34"/>
  <c r="B87" i="34"/>
  <c r="B88" i="34"/>
  <c r="B89" i="34"/>
  <c r="B96" i="34"/>
  <c r="A96" i="34" s="1"/>
  <c r="B97" i="34"/>
  <c r="A97" i="34" s="1"/>
  <c r="B98" i="34"/>
  <c r="A98" i="34" s="1"/>
  <c r="B99" i="34"/>
  <c r="A99" i="34" s="1"/>
  <c r="B76" i="34"/>
  <c r="B77" i="34"/>
  <c r="B78" i="34"/>
  <c r="B79" i="34"/>
  <c r="A79" i="34" s="1"/>
  <c r="B80" i="34"/>
  <c r="B81" i="34"/>
  <c r="B82" i="34"/>
  <c r="B83" i="34"/>
  <c r="A83" i="34" s="1"/>
  <c r="B84" i="34"/>
  <c r="B75" i="34"/>
  <c r="B42" i="34"/>
  <c r="B74" i="34"/>
  <c r="B91" i="34"/>
  <c r="B90" i="34"/>
  <c r="B145" i="34"/>
  <c r="A145" i="34" s="1"/>
  <c r="B144" i="34"/>
  <c r="A144" i="34" s="1"/>
  <c r="B143" i="34"/>
  <c r="A143" i="34" s="1"/>
  <c r="B142" i="34"/>
  <c r="B141" i="34"/>
  <c r="B125" i="34"/>
  <c r="B120" i="34"/>
  <c r="B119" i="34"/>
  <c r="B112" i="34"/>
  <c r="B41" i="34"/>
  <c r="B35" i="34"/>
  <c r="B36" i="34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B32" i="34"/>
  <c r="B123" i="34"/>
  <c r="B124" i="34"/>
  <c r="B68" i="34"/>
  <c r="B69" i="34"/>
  <c r="A69" i="34" s="1"/>
  <c r="B108" i="34"/>
  <c r="A108" i="34" s="1"/>
  <c r="B109" i="34"/>
  <c r="B110" i="34"/>
  <c r="A110" i="34" s="1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62" i="34"/>
  <c r="A362" i="34" s="1"/>
  <c r="B421" i="34"/>
  <c r="A421" i="34" s="1"/>
  <c r="B423" i="34"/>
  <c r="A423" i="34" s="1"/>
  <c r="B24" i="34"/>
  <c r="A24" i="34" s="1"/>
  <c r="B25" i="34"/>
  <c r="A25" i="34" s="1"/>
  <c r="B66" i="34"/>
  <c r="B67" i="34"/>
  <c r="B71" i="34"/>
  <c r="B72" i="34"/>
  <c r="B62" i="34"/>
  <c r="B63" i="34"/>
  <c r="B64" i="34"/>
  <c r="B343" i="34"/>
  <c r="A343" i="34" s="1"/>
  <c r="B344" i="34"/>
  <c r="A344" i="34" s="1"/>
  <c r="B355" i="34"/>
  <c r="A355" i="34" s="1"/>
  <c r="B360" i="34"/>
  <c r="A360" i="34" s="1"/>
  <c r="B361" i="34"/>
  <c r="A361" i="34" s="1"/>
  <c r="B302" i="34"/>
  <c r="A302" i="34" s="1"/>
  <c r="B308" i="34"/>
  <c r="A308" i="34" s="1"/>
  <c r="B312" i="34"/>
  <c r="A312" i="34" s="1"/>
  <c r="B313" i="34"/>
  <c r="A313" i="34" s="1"/>
  <c r="B314" i="34"/>
  <c r="A314" i="34" s="1"/>
  <c r="B315" i="34"/>
  <c r="A315" i="34" s="1"/>
  <c r="B328" i="34"/>
  <c r="A328" i="34" s="1"/>
  <c r="B329" i="34"/>
  <c r="A329" i="34" s="1"/>
  <c r="B340" i="34"/>
  <c r="A340" i="34" s="1"/>
  <c r="B342" i="34"/>
  <c r="A342" i="34" s="1"/>
  <c r="A34" i="34" l="1"/>
  <c r="A46" i="34"/>
  <c r="A55" i="34"/>
  <c r="A49" i="34"/>
  <c r="A60" i="34"/>
  <c r="A109" i="34"/>
  <c r="A124" i="34"/>
  <c r="A112" i="34"/>
  <c r="A141" i="34"/>
  <c r="A42" i="34"/>
  <c r="A82" i="34"/>
  <c r="A78" i="34"/>
  <c r="A88" i="34"/>
  <c r="A56" i="34"/>
  <c r="A64" i="34"/>
  <c r="A40" i="34"/>
  <c r="A63" i="34"/>
  <c r="A67" i="34"/>
  <c r="A39" i="34"/>
  <c r="A33" i="34"/>
  <c r="A45" i="34"/>
  <c r="A53" i="34"/>
  <c r="A59" i="34"/>
  <c r="A65" i="34"/>
  <c r="A123" i="34"/>
  <c r="A36" i="34"/>
  <c r="A119" i="34"/>
  <c r="A142" i="34"/>
  <c r="A90" i="34"/>
  <c r="A75" i="34"/>
  <c r="A81" i="34"/>
  <c r="A77" i="34"/>
  <c r="A87" i="34"/>
  <c r="A37" i="34"/>
  <c r="A50" i="34"/>
  <c r="A71" i="34"/>
  <c r="A62" i="34"/>
  <c r="A66" i="34"/>
  <c r="A38" i="34"/>
  <c r="A48" i="34"/>
  <c r="A44" i="34"/>
  <c r="A52" i="34"/>
  <c r="A58" i="34"/>
  <c r="A111" i="34"/>
  <c r="A32" i="34"/>
  <c r="A35" i="34"/>
  <c r="A120" i="34"/>
  <c r="A91" i="34"/>
  <c r="A84" i="34"/>
  <c r="A80" i="34"/>
  <c r="A76" i="34"/>
  <c r="A86" i="34"/>
  <c r="A72" i="34"/>
  <c r="A47" i="34"/>
  <c r="A61" i="34"/>
  <c r="A68" i="34"/>
  <c r="A31" i="34"/>
  <c r="A41" i="34"/>
  <c r="A125" i="34"/>
  <c r="A74" i="34"/>
  <c r="A89" i="34"/>
  <c r="A85" i="34"/>
  <c r="O312" i="34"/>
  <c r="AA312" i="34"/>
  <c r="P312" i="34"/>
  <c r="Q312" i="34"/>
  <c r="P24" i="34"/>
  <c r="Q24" i="34"/>
  <c r="O24" i="34"/>
  <c r="AA24" i="34"/>
  <c r="O55" i="34"/>
  <c r="AA55" i="34"/>
  <c r="P55" i="34"/>
  <c r="Q55" i="34"/>
  <c r="O109" i="34"/>
  <c r="AA109" i="34"/>
  <c r="P109" i="34"/>
  <c r="Q109" i="34"/>
  <c r="P112" i="34"/>
  <c r="Q112" i="34"/>
  <c r="O112" i="34"/>
  <c r="AA112" i="34"/>
  <c r="P42" i="34"/>
  <c r="Q42" i="34"/>
  <c r="O42" i="34"/>
  <c r="AA42" i="34"/>
  <c r="O342" i="34"/>
  <c r="AA342" i="34"/>
  <c r="P342" i="34"/>
  <c r="Q342" i="34"/>
  <c r="O340" i="34"/>
  <c r="AA340" i="34"/>
  <c r="P340" i="34"/>
  <c r="Q340" i="34"/>
  <c r="O314" i="34"/>
  <c r="AA314" i="34"/>
  <c r="P314" i="34"/>
  <c r="Q314" i="34"/>
  <c r="O344" i="34"/>
  <c r="AA344" i="34"/>
  <c r="P344" i="34"/>
  <c r="Q344" i="34"/>
  <c r="P66" i="34"/>
  <c r="Q66" i="34"/>
  <c r="O66" i="34"/>
  <c r="AA66" i="34"/>
  <c r="O421" i="34"/>
  <c r="AA421" i="34"/>
  <c r="P421" i="34"/>
  <c r="Q421" i="34"/>
  <c r="P48" i="34"/>
  <c r="Q48" i="34"/>
  <c r="O48" i="34"/>
  <c r="AA48" i="34"/>
  <c r="P52" i="34"/>
  <c r="Q52" i="34"/>
  <c r="O52" i="34"/>
  <c r="AA52" i="34"/>
  <c r="O111" i="34"/>
  <c r="AA111" i="34"/>
  <c r="P111" i="34"/>
  <c r="Q111" i="34"/>
  <c r="P32" i="34"/>
  <c r="Q32" i="34"/>
  <c r="O32" i="34"/>
  <c r="AA32" i="34"/>
  <c r="O35" i="34"/>
  <c r="AA35" i="34"/>
  <c r="P35" i="34"/>
  <c r="Q35" i="34"/>
  <c r="Q143" i="34"/>
  <c r="O143" i="34"/>
  <c r="AA143" i="34"/>
  <c r="P143" i="34"/>
  <c r="P84" i="34"/>
  <c r="Q84" i="34"/>
  <c r="O84" i="34"/>
  <c r="AA84" i="34"/>
  <c r="P76" i="34"/>
  <c r="Q76" i="34"/>
  <c r="O76" i="34"/>
  <c r="AA76" i="34"/>
  <c r="Q329" i="34"/>
  <c r="O329" i="34"/>
  <c r="AA329" i="34"/>
  <c r="P329" i="34"/>
  <c r="Q313" i="34"/>
  <c r="O313" i="34"/>
  <c r="AA313" i="34"/>
  <c r="P313" i="34"/>
  <c r="O361" i="34"/>
  <c r="AA361" i="34"/>
  <c r="P361" i="34"/>
  <c r="Q361" i="34"/>
  <c r="Q343" i="34"/>
  <c r="O343" i="34"/>
  <c r="AA343" i="34"/>
  <c r="P343" i="34"/>
  <c r="P72" i="34"/>
  <c r="Q72" i="34"/>
  <c r="O72" i="34"/>
  <c r="AA72" i="34"/>
  <c r="O25" i="34"/>
  <c r="AA25" i="34"/>
  <c r="P25" i="34"/>
  <c r="Q25" i="34"/>
  <c r="Q362" i="34"/>
  <c r="O362" i="34"/>
  <c r="AA362" i="34"/>
  <c r="P362" i="34"/>
  <c r="O37" i="34"/>
  <c r="AA37" i="34"/>
  <c r="P37" i="34"/>
  <c r="Q37" i="34"/>
  <c r="O47" i="34"/>
  <c r="AA47" i="34"/>
  <c r="P47" i="34"/>
  <c r="Q47" i="34"/>
  <c r="P56" i="34"/>
  <c r="Q56" i="34"/>
  <c r="O56" i="34"/>
  <c r="AA56" i="34"/>
  <c r="P50" i="34"/>
  <c r="Q50" i="34"/>
  <c r="O50" i="34"/>
  <c r="AA50" i="34"/>
  <c r="O61" i="34"/>
  <c r="AA61" i="34"/>
  <c r="P61" i="34"/>
  <c r="Q61" i="34"/>
  <c r="P110" i="34"/>
  <c r="Q110" i="34"/>
  <c r="O110" i="34"/>
  <c r="AA110" i="34"/>
  <c r="P68" i="34"/>
  <c r="Q68" i="34"/>
  <c r="O68" i="34"/>
  <c r="AA68" i="34"/>
  <c r="O31" i="34"/>
  <c r="AA31" i="34"/>
  <c r="P31" i="34"/>
  <c r="Q31" i="34"/>
  <c r="O27" i="34"/>
  <c r="AA27" i="34"/>
  <c r="P27" i="34"/>
  <c r="Q27" i="34"/>
  <c r="O41" i="34"/>
  <c r="AA41" i="34"/>
  <c r="P41" i="34"/>
  <c r="Q41" i="34"/>
  <c r="Q125" i="34"/>
  <c r="O125" i="34"/>
  <c r="AA125" i="34"/>
  <c r="P125" i="34"/>
  <c r="O144" i="34"/>
  <c r="AA144" i="34"/>
  <c r="P144" i="34"/>
  <c r="Q144" i="34"/>
  <c r="P74" i="34"/>
  <c r="Q74" i="34"/>
  <c r="O74" i="34"/>
  <c r="AA74" i="34"/>
  <c r="O83" i="34"/>
  <c r="AA83" i="34"/>
  <c r="P83" i="34"/>
  <c r="Q83" i="34"/>
  <c r="O79" i="34"/>
  <c r="AA79" i="34"/>
  <c r="P79" i="34"/>
  <c r="Q79" i="34"/>
  <c r="O99" i="34"/>
  <c r="AA99" i="34"/>
  <c r="P99" i="34"/>
  <c r="Q99" i="34"/>
  <c r="O89" i="34"/>
  <c r="AA89" i="34"/>
  <c r="P89" i="34"/>
  <c r="Q89" i="34"/>
  <c r="O85" i="34"/>
  <c r="AA85" i="34"/>
  <c r="P85" i="34"/>
  <c r="Q85" i="34"/>
  <c r="P64" i="34"/>
  <c r="Q64" i="34"/>
  <c r="O64" i="34"/>
  <c r="AA64" i="34"/>
  <c r="P46" i="34"/>
  <c r="Q46" i="34"/>
  <c r="O46" i="34"/>
  <c r="AA46" i="34"/>
  <c r="O124" i="34"/>
  <c r="AA124" i="34"/>
  <c r="P124" i="34"/>
  <c r="Q124" i="34"/>
  <c r="Q141" i="34"/>
  <c r="O141" i="34"/>
  <c r="AA141" i="34"/>
  <c r="P141" i="34"/>
  <c r="P82" i="34"/>
  <c r="Q82" i="34"/>
  <c r="O82" i="34"/>
  <c r="AA82" i="34"/>
  <c r="P98" i="34"/>
  <c r="Q98" i="34"/>
  <c r="O98" i="34"/>
  <c r="AA98" i="34"/>
  <c r="P88" i="34"/>
  <c r="Q88" i="34"/>
  <c r="O88" i="34"/>
  <c r="AA88" i="34"/>
  <c r="Q360" i="34"/>
  <c r="O360" i="34"/>
  <c r="AA360" i="34"/>
  <c r="P360" i="34"/>
  <c r="P40" i="34"/>
  <c r="Q40" i="34"/>
  <c r="O40" i="34"/>
  <c r="AA40" i="34"/>
  <c r="O49" i="34"/>
  <c r="AA49" i="34"/>
  <c r="P49" i="34"/>
  <c r="Q49" i="34"/>
  <c r="P30" i="34"/>
  <c r="Q30" i="34"/>
  <c r="O30" i="34"/>
  <c r="AA30" i="34"/>
  <c r="Q145" i="34"/>
  <c r="O145" i="34"/>
  <c r="AA145" i="34"/>
  <c r="P145" i="34"/>
  <c r="Q315" i="34"/>
  <c r="O315" i="34"/>
  <c r="AA315" i="34"/>
  <c r="P315" i="34"/>
  <c r="O355" i="34"/>
  <c r="AA355" i="34"/>
  <c r="P355" i="34"/>
  <c r="Q355" i="34"/>
  <c r="O63" i="34"/>
  <c r="AA63" i="34"/>
  <c r="Q63" i="34"/>
  <c r="P63" i="34"/>
  <c r="O67" i="34"/>
  <c r="AA67" i="34"/>
  <c r="P67" i="34"/>
  <c r="Q67" i="34"/>
  <c r="O423" i="34"/>
  <c r="AA423" i="34"/>
  <c r="P423" i="34"/>
  <c r="Q423" i="34"/>
  <c r="O39" i="34"/>
  <c r="AA39" i="34"/>
  <c r="P39" i="34"/>
  <c r="Q39" i="34"/>
  <c r="O33" i="34"/>
  <c r="AA33" i="34"/>
  <c r="P33" i="34"/>
  <c r="Q33" i="34"/>
  <c r="O45" i="34"/>
  <c r="AA45" i="34"/>
  <c r="P45" i="34"/>
  <c r="Q45" i="34"/>
  <c r="O53" i="34"/>
  <c r="AA53" i="34"/>
  <c r="P53" i="34"/>
  <c r="Q53" i="34"/>
  <c r="O59" i="34"/>
  <c r="AA59" i="34"/>
  <c r="P59" i="34"/>
  <c r="Q59" i="34"/>
  <c r="O65" i="34"/>
  <c r="AA65" i="34"/>
  <c r="Q65" i="34"/>
  <c r="P65" i="34"/>
  <c r="P108" i="34"/>
  <c r="Q108" i="34"/>
  <c r="O108" i="34"/>
  <c r="AA108" i="34"/>
  <c r="Q123" i="34"/>
  <c r="O123" i="34"/>
  <c r="AA123" i="34"/>
  <c r="P123" i="34"/>
  <c r="O29" i="34"/>
  <c r="AA29" i="34"/>
  <c r="P29" i="34"/>
  <c r="Q29" i="34"/>
  <c r="P36" i="34"/>
  <c r="Q36" i="34"/>
  <c r="O36" i="34"/>
  <c r="AA36" i="34"/>
  <c r="Q119" i="34"/>
  <c r="P119" i="34"/>
  <c r="AA119" i="34"/>
  <c r="O119" i="34"/>
  <c r="O142" i="34"/>
  <c r="AA142" i="34"/>
  <c r="P142" i="34"/>
  <c r="Q142" i="34"/>
  <c r="P90" i="34"/>
  <c r="Q90" i="34"/>
  <c r="O90" i="34"/>
  <c r="AA90" i="34"/>
  <c r="O75" i="34"/>
  <c r="AA75" i="34"/>
  <c r="P75" i="34"/>
  <c r="Q75" i="34"/>
  <c r="O81" i="34"/>
  <c r="AA81" i="34"/>
  <c r="P81" i="34"/>
  <c r="Q81" i="34"/>
  <c r="O77" i="34"/>
  <c r="AA77" i="34"/>
  <c r="P77" i="34"/>
  <c r="Q77" i="34"/>
  <c r="O97" i="34"/>
  <c r="AA97" i="34"/>
  <c r="P97" i="34"/>
  <c r="Q97" i="34"/>
  <c r="O87" i="34"/>
  <c r="AA87" i="34"/>
  <c r="P87" i="34"/>
  <c r="Q87" i="34"/>
  <c r="O328" i="34"/>
  <c r="AA328" i="34"/>
  <c r="P328" i="34"/>
  <c r="Q328" i="34"/>
  <c r="O71" i="34"/>
  <c r="AA71" i="34"/>
  <c r="P71" i="34"/>
  <c r="Q71" i="34"/>
  <c r="P34" i="34"/>
  <c r="Q34" i="34"/>
  <c r="O34" i="34"/>
  <c r="AA34" i="34"/>
  <c r="P60" i="34"/>
  <c r="Q60" i="34"/>
  <c r="O60" i="34"/>
  <c r="AA60" i="34"/>
  <c r="P26" i="34"/>
  <c r="Q26" i="34"/>
  <c r="O26" i="34"/>
  <c r="AA26" i="34"/>
  <c r="P78" i="34"/>
  <c r="Q78" i="34"/>
  <c r="O78" i="34"/>
  <c r="AA78" i="34"/>
  <c r="O308" i="34"/>
  <c r="AA308" i="34"/>
  <c r="P308" i="34"/>
  <c r="Q308" i="34"/>
  <c r="O302" i="34"/>
  <c r="AA302" i="34"/>
  <c r="P302" i="34"/>
  <c r="Q302" i="34"/>
  <c r="P62" i="34"/>
  <c r="Q62" i="34"/>
  <c r="O62" i="34"/>
  <c r="AA62" i="34"/>
  <c r="P38" i="34"/>
  <c r="Q38" i="34"/>
  <c r="O38" i="34"/>
  <c r="AA38" i="34"/>
  <c r="P44" i="34"/>
  <c r="Q44" i="34"/>
  <c r="O44" i="34"/>
  <c r="AA44" i="34"/>
  <c r="P58" i="34"/>
  <c r="Q58" i="34"/>
  <c r="O58" i="34"/>
  <c r="AA58" i="34"/>
  <c r="O69" i="34"/>
  <c r="AA69" i="34"/>
  <c r="P69" i="34"/>
  <c r="Q69" i="34"/>
  <c r="P28" i="34"/>
  <c r="Q28" i="34"/>
  <c r="O28" i="34"/>
  <c r="AA28" i="34"/>
  <c r="O120" i="34"/>
  <c r="AA120" i="34"/>
  <c r="P120" i="34"/>
  <c r="Q120" i="34"/>
  <c r="O91" i="34"/>
  <c r="AA91" i="34"/>
  <c r="P91" i="34"/>
  <c r="Q91" i="34"/>
  <c r="P80" i="34"/>
  <c r="Q80" i="34"/>
  <c r="O80" i="34"/>
  <c r="AA80" i="34"/>
  <c r="P96" i="34"/>
  <c r="Q96" i="34"/>
  <c r="O96" i="34"/>
  <c r="AA96" i="34"/>
  <c r="P86" i="34"/>
  <c r="Q86" i="34"/>
  <c r="O86" i="34"/>
  <c r="AA86" i="34"/>
  <c r="B282" i="34"/>
  <c r="A282" i="34" s="1"/>
  <c r="B283" i="34"/>
  <c r="A283" i="34" s="1"/>
  <c r="B299" i="34"/>
  <c r="A299" i="34" s="1"/>
  <c r="B301" i="34"/>
  <c r="A301" i="34" s="1"/>
  <c r="B277" i="34"/>
  <c r="A277" i="34" s="1"/>
  <c r="B276" i="34"/>
  <c r="A276" i="34" s="1"/>
  <c r="B274" i="34"/>
  <c r="A274" i="34" s="1"/>
  <c r="B229" i="34"/>
  <c r="A229" i="34" s="1"/>
  <c r="B219" i="34"/>
  <c r="A219" i="34" s="1"/>
  <c r="B218" i="34"/>
  <c r="A218" i="34" s="1"/>
  <c r="B217" i="34"/>
  <c r="A217" i="34" s="1"/>
  <c r="B203" i="34"/>
  <c r="A203" i="34" s="1"/>
  <c r="B202" i="34"/>
  <c r="A202" i="34" s="1"/>
  <c r="B155" i="34"/>
  <c r="A155" i="34" s="1"/>
  <c r="B154" i="34"/>
  <c r="A154" i="34" s="1"/>
  <c r="B148" i="34"/>
  <c r="A148" i="34" s="1"/>
  <c r="B147" i="34"/>
  <c r="A147" i="34" s="1"/>
  <c r="B146" i="34"/>
  <c r="A146" i="34" s="1"/>
  <c r="B113" i="34"/>
  <c r="A113" i="34" s="1"/>
  <c r="B95" i="34"/>
  <c r="A95" i="34" s="1"/>
  <c r="B94" i="34"/>
  <c r="A94" i="34" s="1"/>
  <c r="B93" i="34"/>
  <c r="A93" i="34" s="1"/>
  <c r="B92" i="34"/>
  <c r="A92" i="34" s="1"/>
  <c r="B57" i="34"/>
  <c r="A57" i="34" s="1"/>
  <c r="B306" i="34"/>
  <c r="A306" i="34" s="1"/>
  <c r="B307" i="34"/>
  <c r="A307" i="34" s="1"/>
  <c r="B326" i="34"/>
  <c r="A326" i="34" s="1"/>
  <c r="B327" i="34"/>
  <c r="A327" i="34" s="1"/>
  <c r="B335" i="34"/>
  <c r="A335" i="34" s="1"/>
  <c r="B341" i="34"/>
  <c r="A341" i="34" s="1"/>
  <c r="B350" i="34"/>
  <c r="A350" i="34" s="1"/>
  <c r="B390" i="34"/>
  <c r="A390" i="34" s="1"/>
  <c r="B354" i="34"/>
  <c r="A354" i="34" s="1"/>
  <c r="B358" i="34"/>
  <c r="A358" i="34" s="1"/>
  <c r="B359" i="34"/>
  <c r="A359" i="34" s="1"/>
  <c r="B371" i="34"/>
  <c r="A371" i="34" s="1"/>
  <c r="B420" i="34"/>
  <c r="A420" i="34" s="1"/>
  <c r="B422" i="34"/>
  <c r="A422" i="34" s="1"/>
  <c r="B429" i="34"/>
  <c r="A429" i="34" s="1"/>
  <c r="B303" i="34"/>
  <c r="A303" i="34" s="1"/>
  <c r="Q422" i="34" l="1"/>
  <c r="O422" i="34"/>
  <c r="AA422" i="34"/>
  <c r="P422" i="34"/>
  <c r="O93" i="34"/>
  <c r="AA93" i="34"/>
  <c r="P93" i="34"/>
  <c r="Q93" i="34"/>
  <c r="Q155" i="34"/>
  <c r="O155" i="34"/>
  <c r="AA155" i="34"/>
  <c r="P155" i="34"/>
  <c r="O283" i="34"/>
  <c r="AA283" i="34"/>
  <c r="P283" i="34"/>
  <c r="Q283" i="34"/>
  <c r="Q354" i="34"/>
  <c r="O354" i="34"/>
  <c r="AA354" i="34"/>
  <c r="P354" i="34"/>
  <c r="O306" i="34"/>
  <c r="AA306" i="34"/>
  <c r="P306" i="34"/>
  <c r="Q306" i="34"/>
  <c r="Q147" i="34"/>
  <c r="O147" i="34"/>
  <c r="AA147" i="34"/>
  <c r="P147" i="34"/>
  <c r="O219" i="34"/>
  <c r="AA219" i="34"/>
  <c r="Q219" i="34"/>
  <c r="P219" i="34"/>
  <c r="Q282" i="34"/>
  <c r="O282" i="34"/>
  <c r="AA282" i="34"/>
  <c r="P282" i="34"/>
  <c r="Q303" i="34"/>
  <c r="AA303" i="34"/>
  <c r="O303" i="34"/>
  <c r="P303" i="34"/>
  <c r="O390" i="34"/>
  <c r="AA390" i="34"/>
  <c r="P390" i="34"/>
  <c r="Q390" i="34"/>
  <c r="O57" i="34"/>
  <c r="AA57" i="34"/>
  <c r="P57" i="34"/>
  <c r="Q57" i="34"/>
  <c r="O148" i="34"/>
  <c r="AA148" i="34"/>
  <c r="P148" i="34"/>
  <c r="Q148" i="34"/>
  <c r="O203" i="34"/>
  <c r="AA203" i="34"/>
  <c r="P203" i="34"/>
  <c r="Q203" i="34"/>
  <c r="O429" i="34"/>
  <c r="AA429" i="34"/>
  <c r="P429" i="34"/>
  <c r="Q429" i="34"/>
  <c r="O359" i="34"/>
  <c r="AA359" i="34"/>
  <c r="P359" i="34"/>
  <c r="Q359" i="34"/>
  <c r="Q350" i="34"/>
  <c r="O350" i="34"/>
  <c r="AA350" i="34"/>
  <c r="P350" i="34"/>
  <c r="O326" i="34"/>
  <c r="AA326" i="34"/>
  <c r="P326" i="34"/>
  <c r="Q326" i="34"/>
  <c r="P92" i="34"/>
  <c r="Q92" i="34"/>
  <c r="O92" i="34"/>
  <c r="AA92" i="34"/>
  <c r="P113" i="34"/>
  <c r="Q113" i="34"/>
  <c r="AA113" i="34"/>
  <c r="O113" i="34"/>
  <c r="O154" i="34"/>
  <c r="AA154" i="34"/>
  <c r="P154" i="34"/>
  <c r="Q154" i="34"/>
  <c r="O217" i="34"/>
  <c r="AA217" i="34"/>
  <c r="Q217" i="34"/>
  <c r="P217" i="34"/>
  <c r="Q274" i="34"/>
  <c r="O274" i="34"/>
  <c r="AA274" i="34"/>
  <c r="P274" i="34"/>
  <c r="Q299" i="34"/>
  <c r="AA299" i="34"/>
  <c r="O299" i="34"/>
  <c r="P299" i="34"/>
  <c r="Q358" i="34"/>
  <c r="O358" i="34"/>
  <c r="AA358" i="34"/>
  <c r="P358" i="34"/>
  <c r="Q218" i="34"/>
  <c r="O218" i="34"/>
  <c r="AA218" i="34"/>
  <c r="P218" i="34"/>
  <c r="Q307" i="34"/>
  <c r="O307" i="34"/>
  <c r="AA307" i="34"/>
  <c r="P307" i="34"/>
  <c r="Q202" i="34"/>
  <c r="O202" i="34"/>
  <c r="AA202" i="34"/>
  <c r="P202" i="34"/>
  <c r="Q341" i="34"/>
  <c r="O341" i="34"/>
  <c r="AA341" i="34"/>
  <c r="P341" i="34"/>
  <c r="O146" i="34"/>
  <c r="AA146" i="34"/>
  <c r="P146" i="34"/>
  <c r="Q146" i="34"/>
  <c r="Q276" i="34"/>
  <c r="O276" i="34"/>
  <c r="AA276" i="34"/>
  <c r="P276" i="34"/>
  <c r="Q420" i="34"/>
  <c r="O420" i="34"/>
  <c r="AA420" i="34"/>
  <c r="P420" i="34"/>
  <c r="Q335" i="34"/>
  <c r="O335" i="34"/>
  <c r="AA335" i="34"/>
  <c r="P335" i="34"/>
  <c r="P94" i="34"/>
  <c r="Q94" i="34"/>
  <c r="O94" i="34"/>
  <c r="AA94" i="34"/>
  <c r="O277" i="34"/>
  <c r="AA277" i="34"/>
  <c r="P277" i="34"/>
  <c r="Q277" i="34"/>
  <c r="O371" i="34"/>
  <c r="AA371" i="34"/>
  <c r="P371" i="34"/>
  <c r="Q371" i="34"/>
  <c r="Q327" i="34"/>
  <c r="O327" i="34"/>
  <c r="AA327" i="34"/>
  <c r="P327" i="34"/>
  <c r="O95" i="34"/>
  <c r="AA95" i="34"/>
  <c r="P95" i="34"/>
  <c r="Q95" i="34"/>
  <c r="Q229" i="34"/>
  <c r="O229" i="34"/>
  <c r="AA229" i="34"/>
  <c r="P229" i="34"/>
  <c r="Q301" i="34"/>
  <c r="AA301" i="34"/>
  <c r="O301" i="34"/>
  <c r="P301" i="34"/>
  <c r="A14" i="71"/>
  <c r="A36" i="71" s="1"/>
  <c r="B311" i="34"/>
  <c r="A311" i="34" s="1"/>
  <c r="A19" i="71"/>
  <c r="B275" i="34"/>
  <c r="A275" i="34" s="1"/>
  <c r="A20" i="71"/>
  <c r="B300" i="34"/>
  <c r="A300" i="34" s="1"/>
  <c r="A17" i="71"/>
  <c r="B114" i="34"/>
  <c r="A114" i="34" s="1"/>
  <c r="A18" i="71"/>
  <c r="B228" i="34"/>
  <c r="A228" i="34" s="1"/>
  <c r="A16" i="71"/>
  <c r="B426" i="34"/>
  <c r="A426" i="34" s="1"/>
  <c r="A15" i="71"/>
  <c r="B351" i="34"/>
  <c r="A351" i="34" s="1"/>
  <c r="T10" i="34"/>
  <c r="Q426" i="34" l="1"/>
  <c r="O426" i="34"/>
  <c r="AA426" i="34"/>
  <c r="P426" i="34"/>
  <c r="P114" i="34"/>
  <c r="O114" i="34"/>
  <c r="AA114" i="34"/>
  <c r="Q114" i="34"/>
  <c r="O275" i="34"/>
  <c r="AA275" i="34"/>
  <c r="P275" i="34"/>
  <c r="Q275" i="34"/>
  <c r="O351" i="34"/>
  <c r="AA351" i="34"/>
  <c r="P351" i="34"/>
  <c r="Q351" i="34"/>
  <c r="O228" i="34"/>
  <c r="AA228" i="34"/>
  <c r="P228" i="34"/>
  <c r="Q228" i="34"/>
  <c r="O300" i="34"/>
  <c r="AA300" i="34"/>
  <c r="P300" i="34"/>
  <c r="Q300" i="34"/>
  <c r="Q311" i="34"/>
  <c r="O311" i="34"/>
  <c r="AA311" i="34"/>
  <c r="P311" i="34"/>
  <c r="R10" i="34"/>
  <c r="B296" i="34" l="1"/>
  <c r="A296" i="34" s="1"/>
  <c r="E6" i="43"/>
  <c r="O8" i="43"/>
  <c r="N8" i="43"/>
  <c r="O296" i="34" l="1"/>
  <c r="AA296" i="34"/>
  <c r="P296" i="34"/>
  <c r="Q296" i="34"/>
  <c r="D13" i="15"/>
  <c r="C13" i="15"/>
  <c r="B70" i="34"/>
  <c r="A70" i="34" s="1"/>
  <c r="B126" i="34"/>
  <c r="A126" i="34" s="1"/>
  <c r="B140" i="34"/>
  <c r="A140" i="34" s="1"/>
  <c r="B152" i="34"/>
  <c r="A152" i="34" s="1"/>
  <c r="B153" i="34"/>
  <c r="A153" i="34" s="1"/>
  <c r="B172" i="34"/>
  <c r="A172" i="34" s="1"/>
  <c r="B201" i="34"/>
  <c r="A201" i="34" s="1"/>
  <c r="B211" i="34"/>
  <c r="A211" i="34" s="1"/>
  <c r="B216" i="34"/>
  <c r="A216" i="34" s="1"/>
  <c r="B227" i="34"/>
  <c r="A227" i="34" s="1"/>
  <c r="B249" i="34"/>
  <c r="A249" i="34" s="1"/>
  <c r="B272" i="34"/>
  <c r="A272" i="34" s="1"/>
  <c r="B273" i="34"/>
  <c r="A273" i="34" s="1"/>
  <c r="B278" i="34"/>
  <c r="A278" i="34" s="1"/>
  <c r="B281" i="34"/>
  <c r="A281" i="34" s="1"/>
  <c r="B289" i="34"/>
  <c r="A289" i="34" s="1"/>
  <c r="B43" i="34"/>
  <c r="A43" i="34" s="1"/>
  <c r="Q216" i="34" l="1"/>
  <c r="O216" i="34"/>
  <c r="AA216" i="34"/>
  <c r="P216" i="34"/>
  <c r="O289" i="34"/>
  <c r="AA289" i="34"/>
  <c r="Q289" i="34"/>
  <c r="P289" i="34"/>
  <c r="Q272" i="34"/>
  <c r="O272" i="34"/>
  <c r="AA272" i="34"/>
  <c r="P272" i="34"/>
  <c r="O152" i="34"/>
  <c r="AA152" i="34"/>
  <c r="P152" i="34"/>
  <c r="Q152" i="34"/>
  <c r="O281" i="34"/>
  <c r="AA281" i="34"/>
  <c r="P281" i="34"/>
  <c r="Q281" i="34"/>
  <c r="Q249" i="34"/>
  <c r="O249" i="34"/>
  <c r="AA249" i="34"/>
  <c r="P249" i="34"/>
  <c r="O201" i="34"/>
  <c r="AA201" i="34"/>
  <c r="P201" i="34"/>
  <c r="Q201" i="34"/>
  <c r="O140" i="34"/>
  <c r="AA140" i="34"/>
  <c r="P140" i="34"/>
  <c r="Q140" i="34"/>
  <c r="Q278" i="34"/>
  <c r="O278" i="34"/>
  <c r="AA278" i="34"/>
  <c r="P278" i="34"/>
  <c r="Q227" i="34"/>
  <c r="O227" i="34"/>
  <c r="AA227" i="34"/>
  <c r="P227" i="34"/>
  <c r="Q172" i="34"/>
  <c r="O172" i="34"/>
  <c r="AA172" i="34"/>
  <c r="P172" i="34"/>
  <c r="O126" i="34"/>
  <c r="AA126" i="34"/>
  <c r="P126" i="34"/>
  <c r="Q126" i="34"/>
  <c r="P70" i="34"/>
  <c r="Q70" i="34"/>
  <c r="O70" i="34"/>
  <c r="AA70" i="34"/>
  <c r="O273" i="34"/>
  <c r="AA273" i="34"/>
  <c r="P273" i="34"/>
  <c r="Q273" i="34"/>
  <c r="O43" i="34"/>
  <c r="AA43" i="34"/>
  <c r="P43" i="34"/>
  <c r="Q43" i="34"/>
  <c r="Q153" i="34"/>
  <c r="O153" i="34"/>
  <c r="AA153" i="34"/>
  <c r="P153" i="34"/>
  <c r="O211" i="34"/>
  <c r="AA211" i="34"/>
  <c r="Q211" i="34"/>
  <c r="P211" i="34"/>
  <c r="B73" i="34"/>
  <c r="A73" i="34" s="1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A808" i="34" s="1"/>
  <c r="B835" i="34"/>
  <c r="A835" i="34" s="1"/>
  <c r="B816" i="34"/>
  <c r="A816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3" i="34"/>
  <c r="A823" i="34" s="1"/>
  <c r="B821" i="34"/>
  <c r="A821" i="34" s="1"/>
  <c r="B814" i="34"/>
  <c r="A814" i="34" s="1"/>
  <c r="B812" i="34"/>
  <c r="A812" i="34" s="1"/>
  <c r="B810" i="34"/>
  <c r="A810" i="34" s="1"/>
  <c r="B811" i="34"/>
  <c r="A811" i="34" s="1"/>
  <c r="B809" i="34"/>
  <c r="A809" i="34" s="1"/>
  <c r="O811" i="34" l="1"/>
  <c r="AA811" i="34"/>
  <c r="P811" i="34"/>
  <c r="Q811" i="34"/>
  <c r="O821" i="34"/>
  <c r="AA821" i="34"/>
  <c r="P821" i="34"/>
  <c r="Q821" i="34"/>
  <c r="O827" i="34"/>
  <c r="AA827" i="34"/>
  <c r="P827" i="34"/>
  <c r="Q827" i="34"/>
  <c r="O835" i="34"/>
  <c r="AA835" i="34"/>
  <c r="P835" i="34"/>
  <c r="Q835" i="34"/>
  <c r="Q810" i="34"/>
  <c r="O810" i="34"/>
  <c r="AA810" i="34"/>
  <c r="P810" i="34"/>
  <c r="O823" i="34"/>
  <c r="AA823" i="34"/>
  <c r="P823" i="34"/>
  <c r="Q823" i="34"/>
  <c r="Q828" i="34"/>
  <c r="O828" i="34"/>
  <c r="AA828" i="34"/>
  <c r="P828" i="34"/>
  <c r="Q832" i="34"/>
  <c r="O832" i="34"/>
  <c r="AA832" i="34"/>
  <c r="P832" i="34"/>
  <c r="Q808" i="34"/>
  <c r="O808" i="34"/>
  <c r="AA808" i="34"/>
  <c r="P808" i="34"/>
  <c r="O825" i="34"/>
  <c r="AA825" i="34"/>
  <c r="P825" i="34"/>
  <c r="Q825" i="34"/>
  <c r="Q812" i="34"/>
  <c r="O812" i="34"/>
  <c r="AA812" i="34"/>
  <c r="P812" i="34"/>
  <c r="O833" i="34"/>
  <c r="AA833" i="34"/>
  <c r="P833" i="34"/>
  <c r="Q833" i="34"/>
  <c r="Q814" i="34"/>
  <c r="O814" i="34"/>
  <c r="AA814" i="34"/>
  <c r="P814" i="34"/>
  <c r="Q816" i="34"/>
  <c r="O816" i="34"/>
  <c r="AA816" i="34"/>
  <c r="P816" i="34"/>
  <c r="O829" i="34"/>
  <c r="AA829" i="34"/>
  <c r="P829" i="34"/>
  <c r="Q829" i="34"/>
  <c r="O809" i="34"/>
  <c r="AA809" i="34"/>
  <c r="P809" i="34"/>
  <c r="Q809" i="34"/>
  <c r="Q826" i="34"/>
  <c r="O826" i="34"/>
  <c r="AA826" i="34"/>
  <c r="P826" i="34"/>
  <c r="Q830" i="34"/>
  <c r="O830" i="34"/>
  <c r="AA830" i="34"/>
  <c r="P830" i="34"/>
  <c r="O831" i="34"/>
  <c r="AA831" i="34"/>
  <c r="P831" i="34"/>
  <c r="Q831" i="34"/>
  <c r="O73" i="34"/>
  <c r="AA73" i="34"/>
  <c r="P73" i="34"/>
  <c r="Q73" i="34"/>
  <c r="H25" i="72"/>
  <c r="A24" i="72"/>
  <c r="B510" i="34"/>
  <c r="A510" i="34" s="1"/>
  <c r="B515" i="34"/>
  <c r="A515" i="34" s="1"/>
  <c r="B513" i="34"/>
  <c r="A513" i="34" s="1"/>
  <c r="B511" i="34"/>
  <c r="A511" i="34" s="1"/>
  <c r="B566" i="34"/>
  <c r="A566" i="34" s="1"/>
  <c r="B567" i="34"/>
  <c r="A567" i="34" s="1"/>
  <c r="B562" i="34"/>
  <c r="A562" i="34" s="1"/>
  <c r="B563" i="34"/>
  <c r="A563" i="34" s="1"/>
  <c r="B564" i="34"/>
  <c r="A564" i="34" s="1"/>
  <c r="B565" i="34"/>
  <c r="A565" i="34" s="1"/>
  <c r="B662" i="34"/>
  <c r="A662" i="34" s="1"/>
  <c r="B803" i="34"/>
  <c r="A803" i="34" s="1"/>
  <c r="B804" i="34"/>
  <c r="A804" i="34" s="1"/>
  <c r="B805" i="34"/>
  <c r="A805" i="34" s="1"/>
  <c r="B806" i="34"/>
  <c r="A806" i="34" s="1"/>
  <c r="B802" i="34"/>
  <c r="A802" i="34" s="1"/>
  <c r="C23" i="34"/>
  <c r="B23" i="34" s="1"/>
  <c r="A23" i="34" s="1"/>
  <c r="C22" i="34"/>
  <c r="B22" i="34" s="1"/>
  <c r="C21" i="34"/>
  <c r="B21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773" i="34"/>
  <c r="A773" i="34" s="1"/>
  <c r="B772" i="34"/>
  <c r="A772" i="34" s="1"/>
  <c r="B771" i="34"/>
  <c r="A771" i="34" s="1"/>
  <c r="B770" i="34"/>
  <c r="A770" i="34" s="1"/>
  <c r="B769" i="34"/>
  <c r="A769" i="34" s="1"/>
  <c r="B768" i="34"/>
  <c r="A768" i="34" s="1"/>
  <c r="B767" i="34"/>
  <c r="A767" i="34" s="1"/>
  <c r="B766" i="34"/>
  <c r="A766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O757" i="34" l="1"/>
  <c r="AA757" i="34"/>
  <c r="P757" i="34"/>
  <c r="Q757" i="34"/>
  <c r="O765" i="34"/>
  <c r="AA765" i="34"/>
  <c r="P765" i="34"/>
  <c r="Q765" i="34"/>
  <c r="O773" i="34"/>
  <c r="AA773" i="34"/>
  <c r="P773" i="34"/>
  <c r="Q773" i="34"/>
  <c r="O777" i="34"/>
  <c r="AA777" i="34"/>
  <c r="P777" i="34"/>
  <c r="Q777" i="34"/>
  <c r="O785" i="34"/>
  <c r="AA785" i="34"/>
  <c r="P785" i="34"/>
  <c r="Q785" i="34"/>
  <c r="O793" i="34"/>
  <c r="AA793" i="34"/>
  <c r="P793" i="34"/>
  <c r="Q793" i="34"/>
  <c r="O801" i="34"/>
  <c r="AA801" i="34"/>
  <c r="P801" i="34"/>
  <c r="Q801" i="34"/>
  <c r="O803" i="34"/>
  <c r="AA803" i="34"/>
  <c r="P803" i="34"/>
  <c r="Q803" i="34"/>
  <c r="O511" i="34"/>
  <c r="AA511" i="34"/>
  <c r="P511" i="34"/>
  <c r="Q511" i="34"/>
  <c r="Q754" i="34"/>
  <c r="O754" i="34"/>
  <c r="AA754" i="34"/>
  <c r="P754" i="34"/>
  <c r="Q758" i="34"/>
  <c r="O758" i="34"/>
  <c r="AA758" i="34"/>
  <c r="P758" i="34"/>
  <c r="Q766" i="34"/>
  <c r="O766" i="34"/>
  <c r="AA766" i="34"/>
  <c r="P766" i="34"/>
  <c r="Q770" i="34"/>
  <c r="O770" i="34"/>
  <c r="AA770" i="34"/>
  <c r="P770" i="34"/>
  <c r="Q774" i="34"/>
  <c r="O774" i="34"/>
  <c r="AA774" i="34"/>
  <c r="P774" i="34"/>
  <c r="Q778" i="34"/>
  <c r="O778" i="34"/>
  <c r="AA778" i="34"/>
  <c r="P778" i="34"/>
  <c r="Q786" i="34"/>
  <c r="O786" i="34"/>
  <c r="AA786" i="34"/>
  <c r="P786" i="34"/>
  <c r="Q790" i="34"/>
  <c r="O790" i="34"/>
  <c r="AA790" i="34"/>
  <c r="P790" i="34"/>
  <c r="Q794" i="34"/>
  <c r="O794" i="34"/>
  <c r="AA794" i="34"/>
  <c r="P794" i="34"/>
  <c r="Q798" i="34"/>
  <c r="O798" i="34"/>
  <c r="AA798" i="34"/>
  <c r="P798" i="34"/>
  <c r="O751" i="34"/>
  <c r="AA751" i="34"/>
  <c r="P751" i="34"/>
  <c r="Q751" i="34"/>
  <c r="O755" i="34"/>
  <c r="AA755" i="34"/>
  <c r="P755" i="34"/>
  <c r="Q755" i="34"/>
  <c r="O759" i="34"/>
  <c r="AA759" i="34"/>
  <c r="P759" i="34"/>
  <c r="Q759" i="34"/>
  <c r="O763" i="34"/>
  <c r="AA763" i="34"/>
  <c r="P763" i="34"/>
  <c r="Q763" i="34"/>
  <c r="O767" i="34"/>
  <c r="AA767" i="34"/>
  <c r="P767" i="34"/>
  <c r="Q767" i="34"/>
  <c r="O771" i="34"/>
  <c r="AA771" i="34"/>
  <c r="P771" i="34"/>
  <c r="Q771" i="34"/>
  <c r="O775" i="34"/>
  <c r="AA775" i="34"/>
  <c r="P775" i="34"/>
  <c r="Q775" i="34"/>
  <c r="O779" i="34"/>
  <c r="AA779" i="34"/>
  <c r="P779" i="34"/>
  <c r="Q779" i="34"/>
  <c r="O783" i="34"/>
  <c r="AA783" i="34"/>
  <c r="P783" i="34"/>
  <c r="Q783" i="34"/>
  <c r="O787" i="34"/>
  <c r="AA787" i="34"/>
  <c r="P787" i="34"/>
  <c r="Q787" i="34"/>
  <c r="O791" i="34"/>
  <c r="AA791" i="34"/>
  <c r="P791" i="34"/>
  <c r="Q791" i="34"/>
  <c r="O795" i="34"/>
  <c r="AA795" i="34"/>
  <c r="P795" i="34"/>
  <c r="Q795" i="34"/>
  <c r="O799" i="34"/>
  <c r="AA799" i="34"/>
  <c r="P799" i="34"/>
  <c r="Q799" i="34"/>
  <c r="P22" i="34"/>
  <c r="Q22" i="34"/>
  <c r="O22" i="34"/>
  <c r="AA22" i="34"/>
  <c r="O805" i="34"/>
  <c r="AA805" i="34"/>
  <c r="P805" i="34"/>
  <c r="Q805" i="34"/>
  <c r="O565" i="34"/>
  <c r="AA565" i="34"/>
  <c r="Q565" i="34"/>
  <c r="P565" i="34"/>
  <c r="O567" i="34"/>
  <c r="P567" i="34"/>
  <c r="Q567" i="34"/>
  <c r="AA567" i="34"/>
  <c r="O515" i="34"/>
  <c r="AA515" i="34"/>
  <c r="P515" i="34"/>
  <c r="Q515" i="34"/>
  <c r="Q752" i="34"/>
  <c r="O752" i="34"/>
  <c r="AA752" i="34"/>
  <c r="P752" i="34"/>
  <c r="Q756" i="34"/>
  <c r="O756" i="34"/>
  <c r="AA756" i="34"/>
  <c r="P756" i="34"/>
  <c r="Q760" i="34"/>
  <c r="O760" i="34"/>
  <c r="AA760" i="34"/>
  <c r="P760" i="34"/>
  <c r="Q764" i="34"/>
  <c r="O764" i="34"/>
  <c r="AA764" i="34"/>
  <c r="P764" i="34"/>
  <c r="Q768" i="34"/>
  <c r="O768" i="34"/>
  <c r="AA768" i="34"/>
  <c r="P768" i="34"/>
  <c r="Q772" i="34"/>
  <c r="O772" i="34"/>
  <c r="AA772" i="34"/>
  <c r="P772" i="34"/>
  <c r="Q776" i="34"/>
  <c r="O776" i="34"/>
  <c r="AA776" i="34"/>
  <c r="P776" i="34"/>
  <c r="Q780" i="34"/>
  <c r="O780" i="34"/>
  <c r="AA780" i="34"/>
  <c r="P780" i="34"/>
  <c r="Q784" i="34"/>
  <c r="O784" i="34"/>
  <c r="AA784" i="34"/>
  <c r="P784" i="34"/>
  <c r="Q788" i="34"/>
  <c r="O788" i="34"/>
  <c r="AA788" i="34"/>
  <c r="P788" i="34"/>
  <c r="Q792" i="34"/>
  <c r="O792" i="34"/>
  <c r="AA792" i="34"/>
  <c r="P792" i="34"/>
  <c r="Q796" i="34"/>
  <c r="O796" i="34"/>
  <c r="AA796" i="34"/>
  <c r="P796" i="34"/>
  <c r="Q800" i="34"/>
  <c r="O800" i="34"/>
  <c r="AA800" i="34"/>
  <c r="P800" i="34"/>
  <c r="O23" i="34"/>
  <c r="AA23" i="34"/>
  <c r="P23" i="34"/>
  <c r="Q23" i="34"/>
  <c r="Q804" i="34"/>
  <c r="O804" i="34"/>
  <c r="AA804" i="34"/>
  <c r="P804" i="34"/>
  <c r="Q564" i="34"/>
  <c r="O564" i="34"/>
  <c r="AA564" i="34"/>
  <c r="P564" i="34"/>
  <c r="Q566" i="34"/>
  <c r="O566" i="34"/>
  <c r="P566" i="34"/>
  <c r="AA566" i="34"/>
  <c r="Q510" i="34"/>
  <c r="O510" i="34"/>
  <c r="AA510" i="34"/>
  <c r="P510" i="34"/>
  <c r="O753" i="34"/>
  <c r="AA753" i="34"/>
  <c r="P753" i="34"/>
  <c r="Q753" i="34"/>
  <c r="O761" i="34"/>
  <c r="AA761" i="34"/>
  <c r="P761" i="34"/>
  <c r="Q761" i="34"/>
  <c r="O769" i="34"/>
  <c r="AA769" i="34"/>
  <c r="P769" i="34"/>
  <c r="Q769" i="34"/>
  <c r="O781" i="34"/>
  <c r="AA781" i="34"/>
  <c r="P781" i="34"/>
  <c r="Q781" i="34"/>
  <c r="O789" i="34"/>
  <c r="AA789" i="34"/>
  <c r="P789" i="34"/>
  <c r="Q789" i="34"/>
  <c r="O797" i="34"/>
  <c r="AA797" i="34"/>
  <c r="P797" i="34"/>
  <c r="Q797" i="34"/>
  <c r="Q802" i="34"/>
  <c r="O802" i="34"/>
  <c r="AA802" i="34"/>
  <c r="P802" i="34"/>
  <c r="O563" i="34"/>
  <c r="AA563" i="34"/>
  <c r="Q563" i="34"/>
  <c r="P563" i="34"/>
  <c r="Q762" i="34"/>
  <c r="O762" i="34"/>
  <c r="AA762" i="34"/>
  <c r="P762" i="34"/>
  <c r="Q782" i="34"/>
  <c r="O782" i="34"/>
  <c r="AA782" i="34"/>
  <c r="P782" i="34"/>
  <c r="O21" i="34"/>
  <c r="AA21" i="34"/>
  <c r="P21" i="34"/>
  <c r="Q21" i="34"/>
  <c r="Q806" i="34"/>
  <c r="O806" i="34"/>
  <c r="AA806" i="34"/>
  <c r="P806" i="34"/>
  <c r="O662" i="34"/>
  <c r="AA662" i="34"/>
  <c r="P662" i="34"/>
  <c r="Q662" i="34"/>
  <c r="Q562" i="34"/>
  <c r="O562" i="34"/>
  <c r="AA562" i="34"/>
  <c r="P562" i="34"/>
  <c r="O513" i="34"/>
  <c r="AA513" i="34"/>
  <c r="P513" i="34"/>
  <c r="Q513" i="34"/>
  <c r="A70" i="60"/>
  <c r="D70" i="60"/>
  <c r="A71" i="60"/>
  <c r="D71" i="60"/>
  <c r="G71" i="60" s="1"/>
  <c r="B677" i="34"/>
  <c r="A677" i="34" s="1"/>
  <c r="B678" i="34"/>
  <c r="A678" i="34" s="1"/>
  <c r="B675" i="34"/>
  <c r="A675" i="34" s="1"/>
  <c r="B676" i="34"/>
  <c r="A676" i="34" s="1"/>
  <c r="P675" i="34" l="1"/>
  <c r="Q675" i="34"/>
  <c r="O675" i="34"/>
  <c r="AA675" i="34"/>
  <c r="O676" i="34"/>
  <c r="AA676" i="34"/>
  <c r="P676" i="34"/>
  <c r="Q676" i="34"/>
  <c r="O678" i="34"/>
  <c r="P678" i="34"/>
  <c r="Q678" i="34"/>
  <c r="AA678" i="34"/>
  <c r="P677" i="34"/>
  <c r="Q677" i="34"/>
  <c r="O677" i="34"/>
  <c r="AA677" i="34"/>
  <c r="A22" i="34"/>
  <c r="A21" i="34"/>
  <c r="G70" i="60"/>
  <c r="B747" i="34"/>
  <c r="A747" i="34" s="1"/>
  <c r="B749" i="34"/>
  <c r="A749" i="34" s="1"/>
  <c r="B746" i="34"/>
  <c r="A746" i="34" s="1"/>
  <c r="B748" i="34"/>
  <c r="A748" i="34" s="1"/>
  <c r="B750" i="34"/>
  <c r="A750" i="34" s="1"/>
  <c r="B731" i="34"/>
  <c r="A731" i="34" s="1"/>
  <c r="E68" i="60"/>
  <c r="D68" i="60"/>
  <c r="D69" i="60"/>
  <c r="N50" i="60"/>
  <c r="A50" i="60"/>
  <c r="D49" i="60"/>
  <c r="G49" i="60" s="1"/>
  <c r="Q748" i="34" l="1"/>
  <c r="O748" i="34"/>
  <c r="AA748" i="34"/>
  <c r="P748" i="34"/>
  <c r="Q746" i="34"/>
  <c r="O746" i="34"/>
  <c r="AA746" i="34"/>
  <c r="P746" i="34"/>
  <c r="O731" i="34"/>
  <c r="AA731" i="34"/>
  <c r="P731" i="34"/>
  <c r="Q731" i="34"/>
  <c r="O749" i="34"/>
  <c r="AA749" i="34"/>
  <c r="P749" i="34"/>
  <c r="Q749" i="34"/>
  <c r="Q750" i="34"/>
  <c r="O750" i="34"/>
  <c r="AA750" i="34"/>
  <c r="P750" i="34"/>
  <c r="O747" i="34"/>
  <c r="AA747" i="34"/>
  <c r="P747" i="34"/>
  <c r="Q747" i="34"/>
  <c r="G69" i="60"/>
  <c r="B501" i="34" l="1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2" i="34"/>
  <c r="A512" i="34" s="1"/>
  <c r="B514" i="34"/>
  <c r="A514" i="34" s="1"/>
  <c r="B516" i="34"/>
  <c r="A516" i="34" s="1"/>
  <c r="B517" i="34"/>
  <c r="A517" i="34" s="1"/>
  <c r="B518" i="34"/>
  <c r="A518" i="34" s="1"/>
  <c r="B519" i="34"/>
  <c r="A519" i="34" s="1"/>
  <c r="B521" i="34"/>
  <c r="A521" i="34" s="1"/>
  <c r="B522" i="34"/>
  <c r="A522" i="34" s="1"/>
  <c r="B523" i="34"/>
  <c r="A523" i="34" s="1"/>
  <c r="B524" i="34"/>
  <c r="A524" i="34" s="1"/>
  <c r="B525" i="34"/>
  <c r="A525" i="34" s="1"/>
  <c r="B520" i="34"/>
  <c r="A520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3" i="34"/>
  <c r="A533" i="34" s="1"/>
  <c r="B534" i="34"/>
  <c r="A534" i="34" s="1"/>
  <c r="B535" i="34"/>
  <c r="A535" i="34" s="1"/>
  <c r="B536" i="34"/>
  <c r="A536" i="34" s="1"/>
  <c r="B538" i="34"/>
  <c r="A538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37" i="34"/>
  <c r="A537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1" i="34"/>
  <c r="A551" i="34" s="1"/>
  <c r="B552" i="34"/>
  <c r="A552" i="34" s="1"/>
  <c r="B550" i="34"/>
  <c r="A550" i="34" s="1"/>
  <c r="B553" i="34"/>
  <c r="A553" i="34" s="1"/>
  <c r="B554" i="34"/>
  <c r="A554" i="34" s="1"/>
  <c r="B555" i="34"/>
  <c r="A555" i="34" s="1"/>
  <c r="B556" i="34"/>
  <c r="A556" i="34" s="1"/>
  <c r="B557" i="34"/>
  <c r="A557" i="34" s="1"/>
  <c r="B558" i="34"/>
  <c r="A558" i="34" s="1"/>
  <c r="B559" i="34"/>
  <c r="A559" i="34" s="1"/>
  <c r="B560" i="34"/>
  <c r="A560" i="34" s="1"/>
  <c r="B561" i="34"/>
  <c r="A561" i="34" s="1"/>
  <c r="B568" i="34"/>
  <c r="A568" i="34" s="1"/>
  <c r="B569" i="34"/>
  <c r="A569" i="34" s="1"/>
  <c r="B607" i="34"/>
  <c r="A607" i="34" s="1"/>
  <c r="B571" i="34"/>
  <c r="A571" i="34" s="1"/>
  <c r="B572" i="34"/>
  <c r="A572" i="34" s="1"/>
  <c r="B573" i="34"/>
  <c r="A573" i="34" s="1"/>
  <c r="B574" i="34"/>
  <c r="A574" i="34" s="1"/>
  <c r="B575" i="34"/>
  <c r="A575" i="34" s="1"/>
  <c r="B576" i="34"/>
  <c r="A576" i="34" s="1"/>
  <c r="B577" i="34"/>
  <c r="A577" i="34" s="1"/>
  <c r="B578" i="34"/>
  <c r="A578" i="34" s="1"/>
  <c r="B579" i="34"/>
  <c r="A579" i="34" s="1"/>
  <c r="B580" i="34"/>
  <c r="A580" i="34" s="1"/>
  <c r="B581" i="34"/>
  <c r="A581" i="34" s="1"/>
  <c r="B582" i="34"/>
  <c r="A582" i="34" s="1"/>
  <c r="B583" i="34"/>
  <c r="A583" i="34" s="1"/>
  <c r="B584" i="34"/>
  <c r="A584" i="34" s="1"/>
  <c r="B585" i="34"/>
  <c r="A585" i="34" s="1"/>
  <c r="B586" i="34"/>
  <c r="A586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596" i="34"/>
  <c r="A596" i="34" s="1"/>
  <c r="B597" i="34"/>
  <c r="A597" i="34" s="1"/>
  <c r="B598" i="34"/>
  <c r="A598" i="34" s="1"/>
  <c r="B599" i="34"/>
  <c r="A599" i="34" s="1"/>
  <c r="B600" i="34"/>
  <c r="A600" i="34" s="1"/>
  <c r="B601" i="34"/>
  <c r="A601" i="34" s="1"/>
  <c r="B602" i="34"/>
  <c r="A602" i="34" s="1"/>
  <c r="B603" i="34"/>
  <c r="A603" i="34" s="1"/>
  <c r="B604" i="34"/>
  <c r="A604" i="34" s="1"/>
  <c r="B605" i="34"/>
  <c r="A605" i="34" s="1"/>
  <c r="B606" i="34"/>
  <c r="A606" i="34" s="1"/>
  <c r="B608" i="34"/>
  <c r="A608" i="34" s="1"/>
  <c r="B609" i="34"/>
  <c r="A609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16" i="34"/>
  <c r="A616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27" i="34"/>
  <c r="A627" i="34" s="1"/>
  <c r="B628" i="34"/>
  <c r="A628" i="34" s="1"/>
  <c r="B629" i="34"/>
  <c r="A629" i="34" s="1"/>
  <c r="B630" i="34"/>
  <c r="A630" i="34" s="1"/>
  <c r="B631" i="34"/>
  <c r="A631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B659" i="34"/>
  <c r="A659" i="34" s="1"/>
  <c r="B660" i="34"/>
  <c r="A660" i="34" s="1"/>
  <c r="B661" i="34"/>
  <c r="A661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9" i="34"/>
  <c r="A679" i="34" s="1"/>
  <c r="B674" i="34"/>
  <c r="A674" i="34" s="1"/>
  <c r="B807" i="34"/>
  <c r="A807" i="34" s="1"/>
  <c r="B813" i="34"/>
  <c r="A813" i="34" s="1"/>
  <c r="B815" i="34"/>
  <c r="A815" i="34" s="1"/>
  <c r="O672" i="34" l="1"/>
  <c r="AA672" i="34"/>
  <c r="P672" i="34"/>
  <c r="Q672" i="34"/>
  <c r="P655" i="34"/>
  <c r="Q655" i="34"/>
  <c r="O655" i="34"/>
  <c r="AA655" i="34"/>
  <c r="P643" i="34"/>
  <c r="Q643" i="34"/>
  <c r="O643" i="34"/>
  <c r="AA643" i="34"/>
  <c r="O626" i="34"/>
  <c r="AA626" i="34"/>
  <c r="P626" i="34"/>
  <c r="Q626" i="34"/>
  <c r="O610" i="34"/>
  <c r="AA610" i="34"/>
  <c r="P610" i="34"/>
  <c r="Q610" i="34"/>
  <c r="P671" i="34"/>
  <c r="Q671" i="34"/>
  <c r="O671" i="34"/>
  <c r="AA671" i="34"/>
  <c r="O658" i="34"/>
  <c r="AA658" i="34"/>
  <c r="P658" i="34"/>
  <c r="Q658" i="34"/>
  <c r="O646" i="34"/>
  <c r="AA646" i="34"/>
  <c r="P646" i="34"/>
  <c r="Q646" i="34"/>
  <c r="P637" i="34"/>
  <c r="Q637" i="34"/>
  <c r="O637" i="34"/>
  <c r="AA637" i="34"/>
  <c r="P625" i="34"/>
  <c r="Q625" i="34"/>
  <c r="O625" i="34"/>
  <c r="AA625" i="34"/>
  <c r="P617" i="34"/>
  <c r="Q617" i="34"/>
  <c r="O617" i="34"/>
  <c r="AA617" i="34"/>
  <c r="O604" i="34"/>
  <c r="AA604" i="34"/>
  <c r="P604" i="34"/>
  <c r="Q604" i="34"/>
  <c r="O596" i="34"/>
  <c r="AA596" i="34"/>
  <c r="P596" i="34"/>
  <c r="Q596" i="34"/>
  <c r="O580" i="34"/>
  <c r="AA580" i="34"/>
  <c r="P580" i="34"/>
  <c r="Q580" i="34"/>
  <c r="Q554" i="34"/>
  <c r="O554" i="34"/>
  <c r="AA554" i="34"/>
  <c r="P554" i="34"/>
  <c r="P679" i="34"/>
  <c r="AA679" i="34"/>
  <c r="O679" i="34"/>
  <c r="Q679" i="34"/>
  <c r="O666" i="34"/>
  <c r="AA666" i="34"/>
  <c r="P666" i="34"/>
  <c r="Q666" i="34"/>
  <c r="P661" i="34"/>
  <c r="Q661" i="34"/>
  <c r="O661" i="34"/>
  <c r="AA661" i="34"/>
  <c r="P653" i="34"/>
  <c r="Q653" i="34"/>
  <c r="O653" i="34"/>
  <c r="AA653" i="34"/>
  <c r="P645" i="34"/>
  <c r="Q645" i="34"/>
  <c r="O645" i="34"/>
  <c r="AA645" i="34"/>
  <c r="O636" i="34"/>
  <c r="AA636" i="34"/>
  <c r="P636" i="34"/>
  <c r="Q636" i="34"/>
  <c r="O628" i="34"/>
  <c r="AA628" i="34"/>
  <c r="P628" i="34"/>
  <c r="Q628" i="34"/>
  <c r="O620" i="34"/>
  <c r="AA620" i="34"/>
  <c r="P620" i="34"/>
  <c r="Q620" i="34"/>
  <c r="O608" i="34"/>
  <c r="AA608" i="34"/>
  <c r="P608" i="34"/>
  <c r="Q608" i="34"/>
  <c r="O813" i="34"/>
  <c r="AA813" i="34"/>
  <c r="P813" i="34"/>
  <c r="Q813" i="34"/>
  <c r="P673" i="34"/>
  <c r="Q673" i="34"/>
  <c r="O673" i="34"/>
  <c r="AA673" i="34"/>
  <c r="P669" i="34"/>
  <c r="Q669" i="34"/>
  <c r="O669" i="34"/>
  <c r="AA669" i="34"/>
  <c r="P665" i="34"/>
  <c r="Q665" i="34"/>
  <c r="O665" i="34"/>
  <c r="AA665" i="34"/>
  <c r="O660" i="34"/>
  <c r="AA660" i="34"/>
  <c r="P660" i="34"/>
  <c r="Q660" i="34"/>
  <c r="O656" i="34"/>
  <c r="AA656" i="34"/>
  <c r="P656" i="34"/>
  <c r="Q656" i="34"/>
  <c r="O652" i="34"/>
  <c r="AA652" i="34"/>
  <c r="P652" i="34"/>
  <c r="Q652" i="34"/>
  <c r="O648" i="34"/>
  <c r="AA648" i="34"/>
  <c r="P648" i="34"/>
  <c r="Q648" i="34"/>
  <c r="O644" i="34"/>
  <c r="AA644" i="34"/>
  <c r="P644" i="34"/>
  <c r="Q644" i="34"/>
  <c r="O640" i="34"/>
  <c r="AA640" i="34"/>
  <c r="P640" i="34"/>
  <c r="Q640" i="34"/>
  <c r="P635" i="34"/>
  <c r="Q635" i="34"/>
  <c r="O635" i="34"/>
  <c r="AA635" i="34"/>
  <c r="P631" i="34"/>
  <c r="Q631" i="34"/>
  <c r="O631" i="34"/>
  <c r="AA631" i="34"/>
  <c r="P627" i="34"/>
  <c r="Q627" i="34"/>
  <c r="O627" i="34"/>
  <c r="AA627" i="34"/>
  <c r="P623" i="34"/>
  <c r="Q623" i="34"/>
  <c r="O623" i="34"/>
  <c r="AA623" i="34"/>
  <c r="P619" i="34"/>
  <c r="Q619" i="34"/>
  <c r="O619" i="34"/>
  <c r="AA619" i="34"/>
  <c r="P615" i="34"/>
  <c r="Q615" i="34"/>
  <c r="O615" i="34"/>
  <c r="AA615" i="34"/>
  <c r="P611" i="34"/>
  <c r="Q611" i="34"/>
  <c r="O611" i="34"/>
  <c r="AA611" i="34"/>
  <c r="O606" i="34"/>
  <c r="AA606" i="34"/>
  <c r="P606" i="34"/>
  <c r="Q606" i="34"/>
  <c r="O602" i="34"/>
  <c r="AA602" i="34"/>
  <c r="P602" i="34"/>
  <c r="Q602" i="34"/>
  <c r="O598" i="34"/>
  <c r="AA598" i="34"/>
  <c r="P598" i="34"/>
  <c r="Q598" i="34"/>
  <c r="O594" i="34"/>
  <c r="AA594" i="34"/>
  <c r="P594" i="34"/>
  <c r="Q594" i="34"/>
  <c r="O590" i="34"/>
  <c r="AA590" i="34"/>
  <c r="P590" i="34"/>
  <c r="Q590" i="34"/>
  <c r="O586" i="34"/>
  <c r="AA586" i="34"/>
  <c r="P586" i="34"/>
  <c r="Q586" i="34"/>
  <c r="O582" i="34"/>
  <c r="AA582" i="34"/>
  <c r="P582" i="34"/>
  <c r="Q582" i="34"/>
  <c r="O578" i="34"/>
  <c r="AA578" i="34"/>
  <c r="P578" i="34"/>
  <c r="Q578" i="34"/>
  <c r="O574" i="34"/>
  <c r="AA574" i="34"/>
  <c r="P574" i="34"/>
  <c r="Q574" i="34"/>
  <c r="P607" i="34"/>
  <c r="Q607" i="34"/>
  <c r="O607" i="34"/>
  <c r="AA607" i="34"/>
  <c r="Q560" i="34"/>
  <c r="O560" i="34"/>
  <c r="AA560" i="34"/>
  <c r="P560" i="34"/>
  <c r="Q556" i="34"/>
  <c r="O556" i="34"/>
  <c r="AA556" i="34"/>
  <c r="P556" i="34"/>
  <c r="Q550" i="34"/>
  <c r="O550" i="34"/>
  <c r="AA550" i="34"/>
  <c r="P550" i="34"/>
  <c r="Q548" i="34"/>
  <c r="O548" i="34"/>
  <c r="AA548" i="34"/>
  <c r="P548" i="34"/>
  <c r="O537" i="34"/>
  <c r="AA537" i="34"/>
  <c r="P537" i="34"/>
  <c r="Q537" i="34"/>
  <c r="O541" i="34"/>
  <c r="AA541" i="34"/>
  <c r="P541" i="34"/>
  <c r="Q541" i="34"/>
  <c r="Q536" i="34"/>
  <c r="O536" i="34"/>
  <c r="AA536" i="34"/>
  <c r="P536" i="34"/>
  <c r="Q532" i="34"/>
  <c r="O532" i="34"/>
  <c r="AA532" i="34"/>
  <c r="P532" i="34"/>
  <c r="Q528" i="34"/>
  <c r="O528" i="34"/>
  <c r="AA528" i="34"/>
  <c r="P528" i="34"/>
  <c r="O525" i="34"/>
  <c r="AA525" i="34"/>
  <c r="P525" i="34"/>
  <c r="Q525" i="34"/>
  <c r="O521" i="34"/>
  <c r="AA521" i="34"/>
  <c r="P521" i="34"/>
  <c r="Q521" i="34"/>
  <c r="Q516" i="34"/>
  <c r="O516" i="34"/>
  <c r="AA516" i="34"/>
  <c r="P516" i="34"/>
  <c r="Q508" i="34"/>
  <c r="O508" i="34"/>
  <c r="AA508" i="34"/>
  <c r="P508" i="34"/>
  <c r="Q504" i="34"/>
  <c r="O504" i="34"/>
  <c r="AA504" i="34"/>
  <c r="P504" i="34"/>
  <c r="O668" i="34"/>
  <c r="AA668" i="34"/>
  <c r="P668" i="34"/>
  <c r="Q668" i="34"/>
  <c r="O638" i="34"/>
  <c r="AA638" i="34"/>
  <c r="P638" i="34"/>
  <c r="Q638" i="34"/>
  <c r="O622" i="34"/>
  <c r="AA622" i="34"/>
  <c r="P622" i="34"/>
  <c r="Q622" i="34"/>
  <c r="O614" i="34"/>
  <c r="AA614" i="34"/>
  <c r="P614" i="34"/>
  <c r="Q614" i="34"/>
  <c r="P601" i="34"/>
  <c r="Q601" i="34"/>
  <c r="O601" i="34"/>
  <c r="AA601" i="34"/>
  <c r="P597" i="34"/>
  <c r="Q597" i="34"/>
  <c r="O597" i="34"/>
  <c r="AA597" i="34"/>
  <c r="P593" i="34"/>
  <c r="Q593" i="34"/>
  <c r="O593" i="34"/>
  <c r="AA593" i="34"/>
  <c r="P589" i="34"/>
  <c r="Q589" i="34"/>
  <c r="O589" i="34"/>
  <c r="AA589" i="34"/>
  <c r="P585" i="34"/>
  <c r="Q585" i="34"/>
  <c r="O585" i="34"/>
  <c r="AA585" i="34"/>
  <c r="P581" i="34"/>
  <c r="Q581" i="34"/>
  <c r="O581" i="34"/>
  <c r="AA581" i="34"/>
  <c r="P577" i="34"/>
  <c r="Q577" i="34"/>
  <c r="O577" i="34"/>
  <c r="AA577" i="34"/>
  <c r="P573" i="34"/>
  <c r="Q573" i="34"/>
  <c r="O573" i="34"/>
  <c r="AA573" i="34"/>
  <c r="P569" i="34"/>
  <c r="Q569" i="34"/>
  <c r="O569" i="34"/>
  <c r="AA569" i="34"/>
  <c r="O559" i="34"/>
  <c r="AA559" i="34"/>
  <c r="P559" i="34"/>
  <c r="Q559" i="34"/>
  <c r="O555" i="34"/>
  <c r="AA555" i="34"/>
  <c r="P555" i="34"/>
  <c r="Q555" i="34"/>
  <c r="Q552" i="34"/>
  <c r="O552" i="34"/>
  <c r="AA552" i="34"/>
  <c r="P552" i="34"/>
  <c r="O547" i="34"/>
  <c r="AA547" i="34"/>
  <c r="P547" i="34"/>
  <c r="Q547" i="34"/>
  <c r="Q544" i="34"/>
  <c r="O544" i="34"/>
  <c r="AA544" i="34"/>
  <c r="P544" i="34"/>
  <c r="Q540" i="34"/>
  <c r="O540" i="34"/>
  <c r="AA540" i="34"/>
  <c r="P540" i="34"/>
  <c r="O535" i="34"/>
  <c r="AA535" i="34"/>
  <c r="P535" i="34"/>
  <c r="Q535" i="34"/>
  <c r="O531" i="34"/>
  <c r="AA531" i="34"/>
  <c r="P531" i="34"/>
  <c r="Q531" i="34"/>
  <c r="O527" i="34"/>
  <c r="AA527" i="34"/>
  <c r="P527" i="34"/>
  <c r="Q527" i="34"/>
  <c r="Q524" i="34"/>
  <c r="O524" i="34"/>
  <c r="AA524" i="34"/>
  <c r="P524" i="34"/>
  <c r="O519" i="34"/>
  <c r="AA519" i="34"/>
  <c r="P519" i="34"/>
  <c r="Q519" i="34"/>
  <c r="Q514" i="34"/>
  <c r="O514" i="34"/>
  <c r="AA514" i="34"/>
  <c r="P514" i="34"/>
  <c r="O507" i="34"/>
  <c r="AA507" i="34"/>
  <c r="P507" i="34"/>
  <c r="Q507" i="34"/>
  <c r="O503" i="34"/>
  <c r="AA503" i="34"/>
  <c r="P503" i="34"/>
  <c r="Q503" i="34"/>
  <c r="O807" i="34"/>
  <c r="AA807" i="34"/>
  <c r="P807" i="34"/>
  <c r="Q807" i="34"/>
  <c r="P659" i="34"/>
  <c r="Q659" i="34"/>
  <c r="O659" i="34"/>
  <c r="AA659" i="34"/>
  <c r="P651" i="34"/>
  <c r="Q651" i="34"/>
  <c r="O651" i="34"/>
  <c r="AA651" i="34"/>
  <c r="O634" i="34"/>
  <c r="AA634" i="34"/>
  <c r="P634" i="34"/>
  <c r="Q634" i="34"/>
  <c r="O618" i="34"/>
  <c r="AA618" i="34"/>
  <c r="P618" i="34"/>
  <c r="Q618" i="34"/>
  <c r="O674" i="34"/>
  <c r="AA674" i="34"/>
  <c r="P674" i="34"/>
  <c r="Q674" i="34"/>
  <c r="P663" i="34"/>
  <c r="Q663" i="34"/>
  <c r="O663" i="34"/>
  <c r="AA663" i="34"/>
  <c r="O650" i="34"/>
  <c r="AA650" i="34"/>
  <c r="P650" i="34"/>
  <c r="Q650" i="34"/>
  <c r="P633" i="34"/>
  <c r="Q633" i="34"/>
  <c r="O633" i="34"/>
  <c r="AA633" i="34"/>
  <c r="P609" i="34"/>
  <c r="Q609" i="34"/>
  <c r="O609" i="34"/>
  <c r="AA609" i="34"/>
  <c r="O588" i="34"/>
  <c r="AA588" i="34"/>
  <c r="P588" i="34"/>
  <c r="Q588" i="34"/>
  <c r="O576" i="34"/>
  <c r="AA576" i="34"/>
  <c r="P576" i="34"/>
  <c r="Q576" i="34"/>
  <c r="O572" i="34"/>
  <c r="AA572" i="34"/>
  <c r="P572" i="34"/>
  <c r="Q572" i="34"/>
  <c r="Q558" i="34"/>
  <c r="O558" i="34"/>
  <c r="AA558" i="34"/>
  <c r="P558" i="34"/>
  <c r="O551" i="34"/>
  <c r="AA551" i="34"/>
  <c r="P551" i="34"/>
  <c r="Q551" i="34"/>
  <c r="Q546" i="34"/>
  <c r="O546" i="34"/>
  <c r="AA546" i="34"/>
  <c r="P546" i="34"/>
  <c r="O543" i="34"/>
  <c r="AA543" i="34"/>
  <c r="P543" i="34"/>
  <c r="Q543" i="34"/>
  <c r="O539" i="34"/>
  <c r="AA539" i="34"/>
  <c r="P539" i="34"/>
  <c r="Q539" i="34"/>
  <c r="Q534" i="34"/>
  <c r="O534" i="34"/>
  <c r="AA534" i="34"/>
  <c r="P534" i="34"/>
  <c r="Q530" i="34"/>
  <c r="O530" i="34"/>
  <c r="AA530" i="34"/>
  <c r="P530" i="34"/>
  <c r="Q526" i="34"/>
  <c r="O526" i="34"/>
  <c r="AA526" i="34"/>
  <c r="P526" i="34"/>
  <c r="O523" i="34"/>
  <c r="AA523" i="34"/>
  <c r="P523" i="34"/>
  <c r="Q523" i="34"/>
  <c r="Q518" i="34"/>
  <c r="O518" i="34"/>
  <c r="AA518" i="34"/>
  <c r="P518" i="34"/>
  <c r="Q512" i="34"/>
  <c r="O512" i="34"/>
  <c r="AA512" i="34"/>
  <c r="P512" i="34"/>
  <c r="Q506" i="34"/>
  <c r="O506" i="34"/>
  <c r="AA506" i="34"/>
  <c r="P506" i="34"/>
  <c r="Q502" i="34"/>
  <c r="O502" i="34"/>
  <c r="AA502" i="34"/>
  <c r="P502" i="34"/>
  <c r="O664" i="34"/>
  <c r="AA664" i="34"/>
  <c r="P664" i="34"/>
  <c r="Q664" i="34"/>
  <c r="P647" i="34"/>
  <c r="Q647" i="34"/>
  <c r="O647" i="34"/>
  <c r="AA647" i="34"/>
  <c r="O630" i="34"/>
  <c r="AA630" i="34"/>
  <c r="P630" i="34"/>
  <c r="Q630" i="34"/>
  <c r="P605" i="34"/>
  <c r="Q605" i="34"/>
  <c r="O605" i="34"/>
  <c r="AA605" i="34"/>
  <c r="P667" i="34"/>
  <c r="Q667" i="34"/>
  <c r="O667" i="34"/>
  <c r="AA667" i="34"/>
  <c r="O654" i="34"/>
  <c r="AA654" i="34"/>
  <c r="P654" i="34"/>
  <c r="Q654" i="34"/>
  <c r="O642" i="34"/>
  <c r="AA642" i="34"/>
  <c r="P642" i="34"/>
  <c r="Q642" i="34"/>
  <c r="P629" i="34"/>
  <c r="Q629" i="34"/>
  <c r="O629" i="34"/>
  <c r="AA629" i="34"/>
  <c r="P621" i="34"/>
  <c r="Q621" i="34"/>
  <c r="O621" i="34"/>
  <c r="AA621" i="34"/>
  <c r="P613" i="34"/>
  <c r="Q613" i="34"/>
  <c r="O613" i="34"/>
  <c r="AA613" i="34"/>
  <c r="O600" i="34"/>
  <c r="AA600" i="34"/>
  <c r="P600" i="34"/>
  <c r="Q600" i="34"/>
  <c r="O592" i="34"/>
  <c r="AA592" i="34"/>
  <c r="P592" i="34"/>
  <c r="Q592" i="34"/>
  <c r="O584" i="34"/>
  <c r="AA584" i="34"/>
  <c r="P584" i="34"/>
  <c r="Q584" i="34"/>
  <c r="O568" i="34"/>
  <c r="AA568" i="34"/>
  <c r="P568" i="34"/>
  <c r="Q568" i="34"/>
  <c r="O815" i="34"/>
  <c r="AA815" i="34"/>
  <c r="P815" i="34"/>
  <c r="Q815" i="34"/>
  <c r="O670" i="34"/>
  <c r="AA670" i="34"/>
  <c r="P670" i="34"/>
  <c r="Q670" i="34"/>
  <c r="P657" i="34"/>
  <c r="Q657" i="34"/>
  <c r="O657" i="34"/>
  <c r="AA657" i="34"/>
  <c r="P649" i="34"/>
  <c r="Q649" i="34"/>
  <c r="O649" i="34"/>
  <c r="AA649" i="34"/>
  <c r="P641" i="34"/>
  <c r="Q641" i="34"/>
  <c r="O641" i="34"/>
  <c r="AA641" i="34"/>
  <c r="O632" i="34"/>
  <c r="AA632" i="34"/>
  <c r="P632" i="34"/>
  <c r="Q632" i="34"/>
  <c r="O624" i="34"/>
  <c r="AA624" i="34"/>
  <c r="P624" i="34"/>
  <c r="Q624" i="34"/>
  <c r="O616" i="34"/>
  <c r="AA616" i="34"/>
  <c r="P616" i="34"/>
  <c r="Q616" i="34"/>
  <c r="O612" i="34"/>
  <c r="AA612" i="34"/>
  <c r="P612" i="34"/>
  <c r="Q612" i="34"/>
  <c r="P603" i="34"/>
  <c r="Q603" i="34"/>
  <c r="O603" i="34"/>
  <c r="AA603" i="34"/>
  <c r="P599" i="34"/>
  <c r="Q599" i="34"/>
  <c r="O599" i="34"/>
  <c r="AA599" i="34"/>
  <c r="P595" i="34"/>
  <c r="Q595" i="34"/>
  <c r="O595" i="34"/>
  <c r="AA595" i="34"/>
  <c r="P591" i="34"/>
  <c r="Q591" i="34"/>
  <c r="O591" i="34"/>
  <c r="AA591" i="34"/>
  <c r="P587" i="34"/>
  <c r="Q587" i="34"/>
  <c r="O587" i="34"/>
  <c r="AA587" i="34"/>
  <c r="P583" i="34"/>
  <c r="Q583" i="34"/>
  <c r="O583" i="34"/>
  <c r="AA583" i="34"/>
  <c r="P579" i="34"/>
  <c r="Q579" i="34"/>
  <c r="O579" i="34"/>
  <c r="AA579" i="34"/>
  <c r="P575" i="34"/>
  <c r="Q575" i="34"/>
  <c r="O575" i="34"/>
  <c r="AA575" i="34"/>
  <c r="P571" i="34"/>
  <c r="Q571" i="34"/>
  <c r="O571" i="34"/>
  <c r="AA571" i="34"/>
  <c r="O561" i="34"/>
  <c r="AA561" i="34"/>
  <c r="P561" i="34"/>
  <c r="Q561" i="34"/>
  <c r="O557" i="34"/>
  <c r="AA557" i="34"/>
  <c r="P557" i="34"/>
  <c r="Q557" i="34"/>
  <c r="O553" i="34"/>
  <c r="AA553" i="34"/>
  <c r="P553" i="34"/>
  <c r="Q553" i="34"/>
  <c r="O549" i="34"/>
  <c r="AA549" i="34"/>
  <c r="P549" i="34"/>
  <c r="Q549" i="34"/>
  <c r="O545" i="34"/>
  <c r="AA545" i="34"/>
  <c r="P545" i="34"/>
  <c r="Q545" i="34"/>
  <c r="Q542" i="34"/>
  <c r="O542" i="34"/>
  <c r="AA542" i="34"/>
  <c r="P542" i="34"/>
  <c r="Q538" i="34"/>
  <c r="O538" i="34"/>
  <c r="AA538" i="34"/>
  <c r="P538" i="34"/>
  <c r="O533" i="34"/>
  <c r="AA533" i="34"/>
  <c r="P533" i="34"/>
  <c r="Q533" i="34"/>
  <c r="O529" i="34"/>
  <c r="AA529" i="34"/>
  <c r="P529" i="34"/>
  <c r="Q529" i="34"/>
  <c r="Q520" i="34"/>
  <c r="O520" i="34"/>
  <c r="AA520" i="34"/>
  <c r="P520" i="34"/>
  <c r="Q522" i="34"/>
  <c r="O522" i="34"/>
  <c r="AA522" i="34"/>
  <c r="P522" i="34"/>
  <c r="O517" i="34"/>
  <c r="AA517" i="34"/>
  <c r="P517" i="34"/>
  <c r="Q517" i="34"/>
  <c r="O509" i="34"/>
  <c r="AA509" i="34"/>
  <c r="P509" i="34"/>
  <c r="Q509" i="34"/>
  <c r="O505" i="34"/>
  <c r="AA505" i="34"/>
  <c r="P505" i="34"/>
  <c r="Q505" i="34"/>
  <c r="O501" i="34"/>
  <c r="AA501" i="34"/>
  <c r="P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A639" i="34" s="1"/>
  <c r="B741" i="34"/>
  <c r="A741" i="34" s="1"/>
  <c r="B745" i="34"/>
  <c r="A745" i="34" s="1"/>
  <c r="B742" i="34"/>
  <c r="A742" i="34" s="1"/>
  <c r="B743" i="34"/>
  <c r="A743" i="34" s="1"/>
  <c r="B744" i="34"/>
  <c r="A744" i="34" s="1"/>
  <c r="O743" i="34" l="1"/>
  <c r="AA743" i="34"/>
  <c r="P743" i="34"/>
  <c r="Q743" i="34"/>
  <c r="P639" i="34"/>
  <c r="Q639" i="34"/>
  <c r="O639" i="34"/>
  <c r="AA639" i="34"/>
  <c r="Q742" i="34"/>
  <c r="O742" i="34"/>
  <c r="AA742" i="34"/>
  <c r="P742" i="34"/>
  <c r="O745" i="34"/>
  <c r="AA745" i="34"/>
  <c r="P745" i="34"/>
  <c r="Q745" i="34"/>
  <c r="Q744" i="34"/>
  <c r="O744" i="34"/>
  <c r="AA744" i="34"/>
  <c r="P744" i="34"/>
  <c r="O741" i="34"/>
  <c r="AA741" i="34"/>
  <c r="P741" i="34"/>
  <c r="Q741" i="34"/>
  <c r="B680" i="34"/>
  <c r="A680" i="34" s="1"/>
  <c r="B681" i="34"/>
  <c r="A681" i="34" s="1"/>
  <c r="B682" i="34"/>
  <c r="A682" i="34" s="1"/>
  <c r="B683" i="34"/>
  <c r="A683" i="34" s="1"/>
  <c r="B684" i="34"/>
  <c r="A684" i="34" s="1"/>
  <c r="B685" i="34"/>
  <c r="A685" i="34" s="1"/>
  <c r="B686" i="34"/>
  <c r="A686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703" i="34"/>
  <c r="A703" i="34" s="1"/>
  <c r="B704" i="34"/>
  <c r="A704" i="34" s="1"/>
  <c r="B705" i="34"/>
  <c r="A705" i="34" s="1"/>
  <c r="B706" i="34"/>
  <c r="A706" i="34" s="1"/>
  <c r="B707" i="34"/>
  <c r="A707" i="34" s="1"/>
  <c r="B708" i="34"/>
  <c r="A708" i="34" s="1"/>
  <c r="B709" i="34"/>
  <c r="A709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570" i="34"/>
  <c r="A570" i="34" s="1"/>
  <c r="B729" i="34"/>
  <c r="A729" i="34" s="1"/>
  <c r="B730" i="34"/>
  <c r="A730" i="34" s="1"/>
  <c r="B728" i="34"/>
  <c r="A728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7" i="34"/>
  <c r="A727" i="34" s="1"/>
  <c r="B817" i="34"/>
  <c r="A817" i="34" s="1"/>
  <c r="B818" i="34"/>
  <c r="A818" i="34" s="1"/>
  <c r="B819" i="34"/>
  <c r="A819" i="34" s="1"/>
  <c r="B820" i="34"/>
  <c r="A820" i="34" s="1"/>
  <c r="B822" i="34"/>
  <c r="A822" i="34" s="1"/>
  <c r="B824" i="34"/>
  <c r="A824" i="34" s="1"/>
  <c r="B834" i="34"/>
  <c r="A834" i="34" s="1"/>
  <c r="B836" i="34"/>
  <c r="A836" i="34" s="1"/>
  <c r="B837" i="34"/>
  <c r="A837" i="34" s="1"/>
  <c r="B838" i="34"/>
  <c r="A838" i="34" s="1"/>
  <c r="B839" i="34"/>
  <c r="A839" i="34" s="1"/>
  <c r="B840" i="34"/>
  <c r="A840" i="34" s="1"/>
  <c r="B841" i="34"/>
  <c r="A841" i="34" s="1"/>
  <c r="B842" i="34"/>
  <c r="A842" i="34" s="1"/>
  <c r="B843" i="34"/>
  <c r="A843" i="34" s="1"/>
  <c r="B844" i="34"/>
  <c r="A844" i="34" s="1"/>
  <c r="B845" i="34"/>
  <c r="A845" i="34" s="1"/>
  <c r="B846" i="34"/>
  <c r="A846" i="34" s="1"/>
  <c r="B847" i="34"/>
  <c r="A847" i="34" s="1"/>
  <c r="B848" i="34"/>
  <c r="A848" i="34" s="1"/>
  <c r="B849" i="34"/>
  <c r="A849" i="34" s="1"/>
  <c r="B850" i="34"/>
  <c r="A850" i="34" s="1"/>
  <c r="B851" i="34"/>
  <c r="A851" i="34" s="1"/>
  <c r="B852" i="34"/>
  <c r="A852" i="34" s="1"/>
  <c r="B853" i="34"/>
  <c r="A853" i="34" s="1"/>
  <c r="B854" i="34"/>
  <c r="A854" i="34" s="1"/>
  <c r="B855" i="34"/>
  <c r="A855" i="34" s="1"/>
  <c r="B856" i="34"/>
  <c r="A856" i="34" s="1"/>
  <c r="B857" i="34"/>
  <c r="A857" i="34" s="1"/>
  <c r="B858" i="34"/>
  <c r="A858" i="34" s="1"/>
  <c r="B859" i="34"/>
  <c r="A859" i="34" s="1"/>
  <c r="B860" i="34"/>
  <c r="A860" i="34" s="1"/>
  <c r="B861" i="34"/>
  <c r="A861" i="34" s="1"/>
  <c r="B862" i="34"/>
  <c r="A862" i="34" s="1"/>
  <c r="B863" i="34"/>
  <c r="A863" i="34" s="1"/>
  <c r="B864" i="34"/>
  <c r="A864" i="34" s="1"/>
  <c r="B865" i="34"/>
  <c r="A865" i="34" s="1"/>
  <c r="B866" i="34"/>
  <c r="A866" i="34" s="1"/>
  <c r="B867" i="34"/>
  <c r="A867" i="34" s="1"/>
  <c r="B868" i="34"/>
  <c r="A868" i="34" s="1"/>
  <c r="B869" i="34"/>
  <c r="A869" i="34" s="1"/>
  <c r="B870" i="34"/>
  <c r="A870" i="34" s="1"/>
  <c r="B871" i="34"/>
  <c r="A871" i="34" s="1"/>
  <c r="B872" i="34"/>
  <c r="A872" i="34" s="1"/>
  <c r="B873" i="34"/>
  <c r="A873" i="34" s="1"/>
  <c r="B874" i="34"/>
  <c r="A874" i="34" s="1"/>
  <c r="B875" i="34"/>
  <c r="A875" i="34" s="1"/>
  <c r="B876" i="34"/>
  <c r="A876" i="34" s="1"/>
  <c r="B877" i="34"/>
  <c r="A877" i="34" s="1"/>
  <c r="B878" i="34"/>
  <c r="A878" i="34" s="1"/>
  <c r="B879" i="34"/>
  <c r="A879" i="34" s="1"/>
  <c r="B880" i="34"/>
  <c r="A880" i="34" s="1"/>
  <c r="B881" i="34"/>
  <c r="A881" i="34" s="1"/>
  <c r="B882" i="34"/>
  <c r="A882" i="34" s="1"/>
  <c r="B883" i="34"/>
  <c r="A883" i="34" s="1"/>
  <c r="B884" i="34"/>
  <c r="A884" i="34" s="1"/>
  <c r="B885" i="34"/>
  <c r="A885" i="34" s="1"/>
  <c r="B886" i="34"/>
  <c r="A886" i="34" s="1"/>
  <c r="B887" i="34"/>
  <c r="A887" i="34" s="1"/>
  <c r="B888" i="34"/>
  <c r="A888" i="34" s="1"/>
  <c r="B889" i="34"/>
  <c r="A889" i="34" s="1"/>
  <c r="B890" i="34"/>
  <c r="A890" i="34" s="1"/>
  <c r="B891" i="34"/>
  <c r="A891" i="34" s="1"/>
  <c r="B892" i="34"/>
  <c r="A892" i="34" s="1"/>
  <c r="B893" i="34"/>
  <c r="A893" i="34" s="1"/>
  <c r="B894" i="34"/>
  <c r="A894" i="34" s="1"/>
  <c r="B895" i="34"/>
  <c r="A895" i="34" s="1"/>
  <c r="B896" i="34"/>
  <c r="A896" i="34" s="1"/>
  <c r="B897" i="34"/>
  <c r="A897" i="34" s="1"/>
  <c r="B898" i="34"/>
  <c r="A898" i="34" s="1"/>
  <c r="B899" i="34"/>
  <c r="A899" i="34" s="1"/>
  <c r="B900" i="34"/>
  <c r="A900" i="34" s="1"/>
  <c r="B901" i="34"/>
  <c r="A901" i="34" s="1"/>
  <c r="B902" i="34"/>
  <c r="A902" i="34" s="1"/>
  <c r="B903" i="34"/>
  <c r="A903" i="34" s="1"/>
  <c r="B904" i="34"/>
  <c r="A904" i="34" s="1"/>
  <c r="B905" i="34"/>
  <c r="A905" i="34" s="1"/>
  <c r="B906" i="34"/>
  <c r="A906" i="34" s="1"/>
  <c r="B907" i="34"/>
  <c r="A907" i="34" s="1"/>
  <c r="B908" i="34"/>
  <c r="A908" i="34" s="1"/>
  <c r="B909" i="34"/>
  <c r="A909" i="34" s="1"/>
  <c r="B910" i="34"/>
  <c r="A910" i="34" s="1"/>
  <c r="B911" i="34"/>
  <c r="A911" i="34" s="1"/>
  <c r="B912" i="34"/>
  <c r="A912" i="34" s="1"/>
  <c r="B913" i="34"/>
  <c r="A913" i="34" s="1"/>
  <c r="B914" i="34"/>
  <c r="A914" i="34" s="1"/>
  <c r="B915" i="34"/>
  <c r="A915" i="34" s="1"/>
  <c r="B916" i="34"/>
  <c r="A916" i="34" s="1"/>
  <c r="B917" i="34"/>
  <c r="A917" i="34" s="1"/>
  <c r="B918" i="34"/>
  <c r="A918" i="34" s="1"/>
  <c r="B919" i="34"/>
  <c r="A919" i="34" s="1"/>
  <c r="B920" i="34"/>
  <c r="A920" i="34" s="1"/>
  <c r="B921" i="34"/>
  <c r="A921" i="34" s="1"/>
  <c r="B922" i="34"/>
  <c r="A922" i="34" s="1"/>
  <c r="B923" i="34"/>
  <c r="A923" i="34" s="1"/>
  <c r="B924" i="34"/>
  <c r="A924" i="34" s="1"/>
  <c r="B925" i="34"/>
  <c r="A925" i="34" s="1"/>
  <c r="B926" i="34"/>
  <c r="A926" i="34" s="1"/>
  <c r="B927" i="34"/>
  <c r="A927" i="34" s="1"/>
  <c r="B928" i="34"/>
  <c r="A928" i="34" s="1"/>
  <c r="B929" i="34"/>
  <c r="A929" i="34" s="1"/>
  <c r="B930" i="34"/>
  <c r="A930" i="34" s="1"/>
  <c r="B931" i="34"/>
  <c r="A931" i="34" s="1"/>
  <c r="B932" i="34"/>
  <c r="A932" i="34" s="1"/>
  <c r="B933" i="34"/>
  <c r="A933" i="34" s="1"/>
  <c r="B934" i="34"/>
  <c r="A934" i="34" s="1"/>
  <c r="B935" i="34"/>
  <c r="A935" i="34" s="1"/>
  <c r="B936" i="34"/>
  <c r="A936" i="34" s="1"/>
  <c r="B937" i="34"/>
  <c r="A937" i="34" s="1"/>
  <c r="B938" i="34"/>
  <c r="A938" i="34" s="1"/>
  <c r="B939" i="34"/>
  <c r="A939" i="34" s="1"/>
  <c r="B940" i="34"/>
  <c r="A940" i="34" s="1"/>
  <c r="B941" i="34"/>
  <c r="A941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54" i="34"/>
  <c r="A954" i="34" s="1"/>
  <c r="B955" i="34"/>
  <c r="A955" i="34" s="1"/>
  <c r="B956" i="34"/>
  <c r="A956" i="34" s="1"/>
  <c r="B957" i="34"/>
  <c r="A957" i="34" s="1"/>
  <c r="B958" i="34"/>
  <c r="A958" i="34" s="1"/>
  <c r="B959" i="34"/>
  <c r="A959" i="34" s="1"/>
  <c r="B960" i="34"/>
  <c r="A960" i="34" s="1"/>
  <c r="P953" i="34" l="1"/>
  <c r="Q953" i="34"/>
  <c r="O953" i="34"/>
  <c r="AA953" i="34"/>
  <c r="P945" i="34"/>
  <c r="Q945" i="34"/>
  <c r="O945" i="34"/>
  <c r="AA945" i="34"/>
  <c r="P937" i="34"/>
  <c r="Q937" i="34"/>
  <c r="O937" i="34"/>
  <c r="AA937" i="34"/>
  <c r="P929" i="34"/>
  <c r="Q929" i="34"/>
  <c r="O929" i="34"/>
  <c r="AA929" i="34"/>
  <c r="P921" i="34"/>
  <c r="Q921" i="34"/>
  <c r="O921" i="34"/>
  <c r="AA921" i="34"/>
  <c r="P913" i="34"/>
  <c r="Q913" i="34"/>
  <c r="O913" i="34"/>
  <c r="AA913" i="34"/>
  <c r="O905" i="34"/>
  <c r="AA905" i="34"/>
  <c r="Q905" i="34"/>
  <c r="P905" i="34"/>
  <c r="O897" i="34"/>
  <c r="AA897" i="34"/>
  <c r="Q897" i="34"/>
  <c r="P897" i="34"/>
  <c r="O889" i="34"/>
  <c r="AA889" i="34"/>
  <c r="Q889" i="34"/>
  <c r="P889" i="34"/>
  <c r="O881" i="34"/>
  <c r="AA881" i="34"/>
  <c r="Q881" i="34"/>
  <c r="P881" i="34"/>
  <c r="O873" i="34"/>
  <c r="AA873" i="34"/>
  <c r="P873" i="34"/>
  <c r="Q873" i="34"/>
  <c r="O865" i="34"/>
  <c r="AA865" i="34"/>
  <c r="P865" i="34"/>
  <c r="Q865" i="34"/>
  <c r="O857" i="34"/>
  <c r="AA857" i="34"/>
  <c r="P857" i="34"/>
  <c r="Q857" i="34"/>
  <c r="O849" i="34"/>
  <c r="AA849" i="34"/>
  <c r="P849" i="34"/>
  <c r="Q849" i="34"/>
  <c r="O841" i="34"/>
  <c r="AA841" i="34"/>
  <c r="P841" i="34"/>
  <c r="Q841" i="34"/>
  <c r="Q822" i="34"/>
  <c r="O822" i="34"/>
  <c r="AA822" i="34"/>
  <c r="P822" i="34"/>
  <c r="Q724" i="34"/>
  <c r="O724" i="34"/>
  <c r="AA724" i="34"/>
  <c r="P724" i="34"/>
  <c r="Q716" i="34"/>
  <c r="O716" i="34"/>
  <c r="AA716" i="34"/>
  <c r="P716" i="34"/>
  <c r="Q712" i="34"/>
  <c r="O712" i="34"/>
  <c r="AA712" i="34"/>
  <c r="P712" i="34"/>
  <c r="Q704" i="34"/>
  <c r="O704" i="34"/>
  <c r="AA704" i="34"/>
  <c r="P704" i="34"/>
  <c r="Q696" i="34"/>
  <c r="O696" i="34"/>
  <c r="AA696" i="34"/>
  <c r="P696" i="34"/>
  <c r="Q688" i="34"/>
  <c r="O688" i="34"/>
  <c r="AA688" i="34"/>
  <c r="P688" i="34"/>
  <c r="O956" i="34"/>
  <c r="AA956" i="34"/>
  <c r="P956" i="34"/>
  <c r="Q956" i="34"/>
  <c r="O948" i="34"/>
  <c r="AA948" i="34"/>
  <c r="P948" i="34"/>
  <c r="Q948" i="34"/>
  <c r="O940" i="34"/>
  <c r="AA940" i="34"/>
  <c r="P940" i="34"/>
  <c r="Q940" i="34"/>
  <c r="O932" i="34"/>
  <c r="AA932" i="34"/>
  <c r="P932" i="34"/>
  <c r="Q932" i="34"/>
  <c r="O924" i="34"/>
  <c r="AA924" i="34"/>
  <c r="P924" i="34"/>
  <c r="Q924" i="34"/>
  <c r="O916" i="34"/>
  <c r="AA916" i="34"/>
  <c r="P916" i="34"/>
  <c r="Q916" i="34"/>
  <c r="O908" i="34"/>
  <c r="AA908" i="34"/>
  <c r="P908" i="34"/>
  <c r="Q908" i="34"/>
  <c r="Q896" i="34"/>
  <c r="AA896" i="34"/>
  <c r="O896" i="34"/>
  <c r="P896" i="34"/>
  <c r="Q888" i="34"/>
  <c r="O888" i="34"/>
  <c r="AA888" i="34"/>
  <c r="P888" i="34"/>
  <c r="Q880" i="34"/>
  <c r="O880" i="34"/>
  <c r="AA880" i="34"/>
  <c r="P880" i="34"/>
  <c r="Q872" i="34"/>
  <c r="O872" i="34"/>
  <c r="AA872" i="34"/>
  <c r="P872" i="34"/>
  <c r="Q864" i="34"/>
  <c r="O864" i="34"/>
  <c r="AA864" i="34"/>
  <c r="P864" i="34"/>
  <c r="Q856" i="34"/>
  <c r="O856" i="34"/>
  <c r="AA856" i="34"/>
  <c r="P856" i="34"/>
  <c r="Q848" i="34"/>
  <c r="O848" i="34"/>
  <c r="AA848" i="34"/>
  <c r="P848" i="34"/>
  <c r="Q840" i="34"/>
  <c r="O840" i="34"/>
  <c r="AA840" i="34"/>
  <c r="P840" i="34"/>
  <c r="Q820" i="34"/>
  <c r="O820" i="34"/>
  <c r="AA820" i="34"/>
  <c r="P820" i="34"/>
  <c r="O727" i="34"/>
  <c r="AA727" i="34"/>
  <c r="P727" i="34"/>
  <c r="Q727" i="34"/>
  <c r="O719" i="34"/>
  <c r="AA719" i="34"/>
  <c r="P719" i="34"/>
  <c r="Q719" i="34"/>
  <c r="O715" i="34"/>
  <c r="AA715" i="34"/>
  <c r="P715" i="34"/>
  <c r="Q715" i="34"/>
  <c r="O707" i="34"/>
  <c r="AA707" i="34"/>
  <c r="P707" i="34"/>
  <c r="Q707" i="34"/>
  <c r="O699" i="34"/>
  <c r="AA699" i="34"/>
  <c r="P699" i="34"/>
  <c r="Q699" i="34"/>
  <c r="O691" i="34"/>
  <c r="AA691" i="34"/>
  <c r="P691" i="34"/>
  <c r="Q691" i="34"/>
  <c r="P683" i="34"/>
  <c r="AA683" i="34"/>
  <c r="O683" i="34"/>
  <c r="Q683" i="34"/>
  <c r="P959" i="34"/>
  <c r="Q959" i="34"/>
  <c r="O959" i="34"/>
  <c r="AA959" i="34"/>
  <c r="P951" i="34"/>
  <c r="Q951" i="34"/>
  <c r="O951" i="34"/>
  <c r="AA951" i="34"/>
  <c r="O958" i="34"/>
  <c r="AA958" i="34"/>
  <c r="P958" i="34"/>
  <c r="Q958" i="34"/>
  <c r="O954" i="34"/>
  <c r="AA954" i="34"/>
  <c r="P954" i="34"/>
  <c r="Q954" i="34"/>
  <c r="O950" i="34"/>
  <c r="AA950" i="34"/>
  <c r="P950" i="34"/>
  <c r="Q950" i="34"/>
  <c r="O946" i="34"/>
  <c r="AA946" i="34"/>
  <c r="P946" i="34"/>
  <c r="Q946" i="34"/>
  <c r="O942" i="34"/>
  <c r="AA942" i="34"/>
  <c r="P942" i="34"/>
  <c r="Q942" i="34"/>
  <c r="O938" i="34"/>
  <c r="AA938" i="34"/>
  <c r="P938" i="34"/>
  <c r="Q938" i="34"/>
  <c r="O934" i="34"/>
  <c r="AA934" i="34"/>
  <c r="P934" i="34"/>
  <c r="Q934" i="34"/>
  <c r="O930" i="34"/>
  <c r="AA930" i="34"/>
  <c r="P930" i="34"/>
  <c r="Q930" i="34"/>
  <c r="O926" i="34"/>
  <c r="AA926" i="34"/>
  <c r="P926" i="34"/>
  <c r="Q926" i="34"/>
  <c r="O922" i="34"/>
  <c r="AA922" i="34"/>
  <c r="P922" i="34"/>
  <c r="Q922" i="34"/>
  <c r="O918" i="34"/>
  <c r="AA918" i="34"/>
  <c r="P918" i="34"/>
  <c r="Q918" i="34"/>
  <c r="O914" i="34"/>
  <c r="AA914" i="34"/>
  <c r="P914" i="34"/>
  <c r="Q914" i="34"/>
  <c r="O910" i="34"/>
  <c r="AA910" i="34"/>
  <c r="P910" i="34"/>
  <c r="Q910" i="34"/>
  <c r="Q906" i="34"/>
  <c r="P906" i="34"/>
  <c r="AA906" i="34"/>
  <c r="O906" i="34"/>
  <c r="Q902" i="34"/>
  <c r="AA902" i="34"/>
  <c r="O902" i="34"/>
  <c r="P902" i="34"/>
  <c r="Q898" i="34"/>
  <c r="P898" i="34"/>
  <c r="AA898" i="34"/>
  <c r="O898" i="34"/>
  <c r="Q894" i="34"/>
  <c r="AA894" i="34"/>
  <c r="O894" i="34"/>
  <c r="P894" i="34"/>
  <c r="Q890" i="34"/>
  <c r="O890" i="34"/>
  <c r="AA890" i="34"/>
  <c r="P890" i="34"/>
  <c r="Q886" i="34"/>
  <c r="O886" i="34"/>
  <c r="AA886" i="34"/>
  <c r="P886" i="34"/>
  <c r="Q882" i="34"/>
  <c r="O882" i="34"/>
  <c r="AA882" i="34"/>
  <c r="P882" i="34"/>
  <c r="Q878" i="34"/>
  <c r="O878" i="34"/>
  <c r="AA878" i="34"/>
  <c r="P878" i="34"/>
  <c r="Q874" i="34"/>
  <c r="O874" i="34"/>
  <c r="AA874" i="34"/>
  <c r="P874" i="34"/>
  <c r="Q870" i="34"/>
  <c r="O870" i="34"/>
  <c r="AA870" i="34"/>
  <c r="P870" i="34"/>
  <c r="Q866" i="34"/>
  <c r="O866" i="34"/>
  <c r="AA866" i="34"/>
  <c r="P866" i="34"/>
  <c r="Q862" i="34"/>
  <c r="O862" i="34"/>
  <c r="AA862" i="34"/>
  <c r="P862" i="34"/>
  <c r="Q858" i="34"/>
  <c r="O858" i="34"/>
  <c r="AA858" i="34"/>
  <c r="P858" i="34"/>
  <c r="Q854" i="34"/>
  <c r="O854" i="34"/>
  <c r="AA854" i="34"/>
  <c r="P854" i="34"/>
  <c r="Q850" i="34"/>
  <c r="O850" i="34"/>
  <c r="AA850" i="34"/>
  <c r="P850" i="34"/>
  <c r="Q846" i="34"/>
  <c r="O846" i="34"/>
  <c r="AA846" i="34"/>
  <c r="P846" i="34"/>
  <c r="Q842" i="34"/>
  <c r="O842" i="34"/>
  <c r="AA842" i="34"/>
  <c r="P842" i="34"/>
  <c r="Q838" i="34"/>
  <c r="O838" i="34"/>
  <c r="AA838" i="34"/>
  <c r="P838" i="34"/>
  <c r="Q824" i="34"/>
  <c r="O824" i="34"/>
  <c r="AA824" i="34"/>
  <c r="P824" i="34"/>
  <c r="Q818" i="34"/>
  <c r="O818" i="34"/>
  <c r="AA818" i="34"/>
  <c r="P818" i="34"/>
  <c r="O725" i="34"/>
  <c r="AA725" i="34"/>
  <c r="P725" i="34"/>
  <c r="Q725" i="34"/>
  <c r="O721" i="34"/>
  <c r="AA721" i="34"/>
  <c r="P721" i="34"/>
  <c r="Q721" i="34"/>
  <c r="O717" i="34"/>
  <c r="AA717" i="34"/>
  <c r="P717" i="34"/>
  <c r="Q717" i="34"/>
  <c r="O729" i="34"/>
  <c r="AA729" i="34"/>
  <c r="P729" i="34"/>
  <c r="Q729" i="34"/>
  <c r="O713" i="34"/>
  <c r="AA713" i="34"/>
  <c r="P713" i="34"/>
  <c r="Q713" i="34"/>
  <c r="O709" i="34"/>
  <c r="AA709" i="34"/>
  <c r="P709" i="34"/>
  <c r="Q709" i="34"/>
  <c r="O705" i="34"/>
  <c r="AA705" i="34"/>
  <c r="P705" i="34"/>
  <c r="Q705" i="34"/>
  <c r="O701" i="34"/>
  <c r="AA701" i="34"/>
  <c r="P701" i="34"/>
  <c r="Q701" i="34"/>
  <c r="O697" i="34"/>
  <c r="AA697" i="34"/>
  <c r="P697" i="34"/>
  <c r="Q697" i="34"/>
  <c r="O693" i="34"/>
  <c r="AA693" i="34"/>
  <c r="P693" i="34"/>
  <c r="Q693" i="34"/>
  <c r="O689" i="34"/>
  <c r="AA689" i="34"/>
  <c r="P689" i="34"/>
  <c r="Q689" i="34"/>
  <c r="O685" i="34"/>
  <c r="AA685" i="34"/>
  <c r="P685" i="34"/>
  <c r="Q685" i="34"/>
  <c r="P681" i="34"/>
  <c r="Q681" i="34"/>
  <c r="AA681" i="34"/>
  <c r="O681" i="34"/>
  <c r="P957" i="34"/>
  <c r="Q957" i="34"/>
  <c r="O957" i="34"/>
  <c r="AA957" i="34"/>
  <c r="P949" i="34"/>
  <c r="Q949" i="34"/>
  <c r="O949" i="34"/>
  <c r="AA949" i="34"/>
  <c r="P941" i="34"/>
  <c r="Q941" i="34"/>
  <c r="O941" i="34"/>
  <c r="AA941" i="34"/>
  <c r="P933" i="34"/>
  <c r="Q933" i="34"/>
  <c r="O933" i="34"/>
  <c r="AA933" i="34"/>
  <c r="P925" i="34"/>
  <c r="Q925" i="34"/>
  <c r="O925" i="34"/>
  <c r="AA925" i="34"/>
  <c r="P917" i="34"/>
  <c r="Q917" i="34"/>
  <c r="O917" i="34"/>
  <c r="AA917" i="34"/>
  <c r="P909" i="34"/>
  <c r="Q909" i="34"/>
  <c r="O909" i="34"/>
  <c r="AA909" i="34"/>
  <c r="O901" i="34"/>
  <c r="AA901" i="34"/>
  <c r="P901" i="34"/>
  <c r="Q901" i="34"/>
  <c r="O893" i="34"/>
  <c r="AA893" i="34"/>
  <c r="P893" i="34"/>
  <c r="Q893" i="34"/>
  <c r="O885" i="34"/>
  <c r="AA885" i="34"/>
  <c r="Q885" i="34"/>
  <c r="P885" i="34"/>
  <c r="O877" i="34"/>
  <c r="AA877" i="34"/>
  <c r="Q877" i="34"/>
  <c r="P877" i="34"/>
  <c r="O869" i="34"/>
  <c r="AA869" i="34"/>
  <c r="P869" i="34"/>
  <c r="Q869" i="34"/>
  <c r="O861" i="34"/>
  <c r="AA861" i="34"/>
  <c r="P861" i="34"/>
  <c r="Q861" i="34"/>
  <c r="O853" i="34"/>
  <c r="AA853" i="34"/>
  <c r="P853" i="34"/>
  <c r="Q853" i="34"/>
  <c r="O845" i="34"/>
  <c r="AA845" i="34"/>
  <c r="P845" i="34"/>
  <c r="Q845" i="34"/>
  <c r="O837" i="34"/>
  <c r="AA837" i="34"/>
  <c r="P837" i="34"/>
  <c r="Q837" i="34"/>
  <c r="O817" i="34"/>
  <c r="AA817" i="34"/>
  <c r="P817" i="34"/>
  <c r="Q817" i="34"/>
  <c r="Q720" i="34"/>
  <c r="O720" i="34"/>
  <c r="AA720" i="34"/>
  <c r="P720" i="34"/>
  <c r="O570" i="34"/>
  <c r="AA570" i="34"/>
  <c r="P570" i="34"/>
  <c r="Q570" i="34"/>
  <c r="Q708" i="34"/>
  <c r="O708" i="34"/>
  <c r="AA708" i="34"/>
  <c r="P708" i="34"/>
  <c r="Q700" i="34"/>
  <c r="O700" i="34"/>
  <c r="AA700" i="34"/>
  <c r="P700" i="34"/>
  <c r="Q692" i="34"/>
  <c r="O692" i="34"/>
  <c r="AA692" i="34"/>
  <c r="P692" i="34"/>
  <c r="Q684" i="34"/>
  <c r="O684" i="34"/>
  <c r="AA684" i="34"/>
  <c r="P684" i="34"/>
  <c r="Q680" i="34"/>
  <c r="AA680" i="34"/>
  <c r="O680" i="34"/>
  <c r="P680" i="34"/>
  <c r="O960" i="34"/>
  <c r="AA960" i="34"/>
  <c r="P960" i="34"/>
  <c r="Q960" i="34"/>
  <c r="O952" i="34"/>
  <c r="AA952" i="34"/>
  <c r="P952" i="34"/>
  <c r="Q952" i="34"/>
  <c r="O944" i="34"/>
  <c r="AA944" i="34"/>
  <c r="P944" i="34"/>
  <c r="Q944" i="34"/>
  <c r="O936" i="34"/>
  <c r="AA936" i="34"/>
  <c r="P936" i="34"/>
  <c r="Q936" i="34"/>
  <c r="O928" i="34"/>
  <c r="AA928" i="34"/>
  <c r="P928" i="34"/>
  <c r="Q928" i="34"/>
  <c r="O920" i="34"/>
  <c r="AA920" i="34"/>
  <c r="P920" i="34"/>
  <c r="Q920" i="34"/>
  <c r="O912" i="34"/>
  <c r="AA912" i="34"/>
  <c r="P912" i="34"/>
  <c r="Q912" i="34"/>
  <c r="Q904" i="34"/>
  <c r="AA904" i="34"/>
  <c r="O904" i="34"/>
  <c r="P904" i="34"/>
  <c r="Q900" i="34"/>
  <c r="O900" i="34"/>
  <c r="P900" i="34"/>
  <c r="AA900" i="34"/>
  <c r="Q892" i="34"/>
  <c r="O892" i="34"/>
  <c r="P892" i="34"/>
  <c r="AA892" i="34"/>
  <c r="Q884" i="34"/>
  <c r="O884" i="34"/>
  <c r="AA884" i="34"/>
  <c r="P884" i="34"/>
  <c r="Q876" i="34"/>
  <c r="O876" i="34"/>
  <c r="AA876" i="34"/>
  <c r="P876" i="34"/>
  <c r="Q868" i="34"/>
  <c r="O868" i="34"/>
  <c r="AA868" i="34"/>
  <c r="P868" i="34"/>
  <c r="Q860" i="34"/>
  <c r="O860" i="34"/>
  <c r="AA860" i="34"/>
  <c r="P860" i="34"/>
  <c r="Q852" i="34"/>
  <c r="O852" i="34"/>
  <c r="AA852" i="34"/>
  <c r="P852" i="34"/>
  <c r="Q844" i="34"/>
  <c r="O844" i="34"/>
  <c r="AA844" i="34"/>
  <c r="P844" i="34"/>
  <c r="Q836" i="34"/>
  <c r="O836" i="34"/>
  <c r="AA836" i="34"/>
  <c r="P836" i="34"/>
  <c r="O723" i="34"/>
  <c r="AA723" i="34"/>
  <c r="P723" i="34"/>
  <c r="Q723" i="34"/>
  <c r="Q728" i="34"/>
  <c r="O728" i="34"/>
  <c r="AA728" i="34"/>
  <c r="P728" i="34"/>
  <c r="O711" i="34"/>
  <c r="AA711" i="34"/>
  <c r="P711" i="34"/>
  <c r="Q711" i="34"/>
  <c r="O703" i="34"/>
  <c r="AA703" i="34"/>
  <c r="P703" i="34"/>
  <c r="Q703" i="34"/>
  <c r="O695" i="34"/>
  <c r="AA695" i="34"/>
  <c r="P695" i="34"/>
  <c r="Q695" i="34"/>
  <c r="O687" i="34"/>
  <c r="AA687" i="34"/>
  <c r="P687" i="34"/>
  <c r="Q687" i="34"/>
  <c r="P955" i="34"/>
  <c r="Q955" i="34"/>
  <c r="O955" i="34"/>
  <c r="AA955" i="34"/>
  <c r="P947" i="34"/>
  <c r="Q947" i="34"/>
  <c r="O947" i="34"/>
  <c r="AA947" i="34"/>
  <c r="P943" i="34"/>
  <c r="Q943" i="34"/>
  <c r="O943" i="34"/>
  <c r="AA943" i="34"/>
  <c r="P939" i="34"/>
  <c r="Q939" i="34"/>
  <c r="O939" i="34"/>
  <c r="AA939" i="34"/>
  <c r="P935" i="34"/>
  <c r="Q935" i="34"/>
  <c r="O935" i="34"/>
  <c r="AA935" i="34"/>
  <c r="P931" i="34"/>
  <c r="Q931" i="34"/>
  <c r="O931" i="34"/>
  <c r="AA931" i="34"/>
  <c r="P927" i="34"/>
  <c r="Q927" i="34"/>
  <c r="O927" i="34"/>
  <c r="AA927" i="34"/>
  <c r="P923" i="34"/>
  <c r="Q923" i="34"/>
  <c r="O923" i="34"/>
  <c r="AA923" i="34"/>
  <c r="P919" i="34"/>
  <c r="Q919" i="34"/>
  <c r="O919" i="34"/>
  <c r="AA919" i="34"/>
  <c r="P915" i="34"/>
  <c r="Q915" i="34"/>
  <c r="O915" i="34"/>
  <c r="AA915" i="34"/>
  <c r="P911" i="34"/>
  <c r="Q911" i="34"/>
  <c r="O911" i="34"/>
  <c r="AA911" i="34"/>
  <c r="O907" i="34"/>
  <c r="P907" i="34"/>
  <c r="Q907" i="34"/>
  <c r="AA907" i="34"/>
  <c r="O903" i="34"/>
  <c r="AA903" i="34"/>
  <c r="P903" i="34"/>
  <c r="Q903" i="34"/>
  <c r="O899" i="34"/>
  <c r="AA899" i="34"/>
  <c r="P899" i="34"/>
  <c r="Q899" i="34"/>
  <c r="O895" i="34"/>
  <c r="AA895" i="34"/>
  <c r="P895" i="34"/>
  <c r="Q895" i="34"/>
  <c r="O891" i="34"/>
  <c r="AA891" i="34"/>
  <c r="Q891" i="34"/>
  <c r="P891" i="34"/>
  <c r="O887" i="34"/>
  <c r="AA887" i="34"/>
  <c r="Q887" i="34"/>
  <c r="P887" i="34"/>
  <c r="O883" i="34"/>
  <c r="AA883" i="34"/>
  <c r="Q883" i="34"/>
  <c r="P883" i="34"/>
  <c r="O879" i="34"/>
  <c r="AA879" i="34"/>
  <c r="Q879" i="34"/>
  <c r="P879" i="34"/>
  <c r="O875" i="34"/>
  <c r="AA875" i="34"/>
  <c r="Q875" i="34"/>
  <c r="P875" i="34"/>
  <c r="O871" i="34"/>
  <c r="AA871" i="34"/>
  <c r="P871" i="34"/>
  <c r="Q871" i="34"/>
  <c r="O867" i="34"/>
  <c r="AA867" i="34"/>
  <c r="P867" i="34"/>
  <c r="Q867" i="34"/>
  <c r="O863" i="34"/>
  <c r="AA863" i="34"/>
  <c r="P863" i="34"/>
  <c r="Q863" i="34"/>
  <c r="O859" i="34"/>
  <c r="AA859" i="34"/>
  <c r="P859" i="34"/>
  <c r="Q859" i="34"/>
  <c r="O855" i="34"/>
  <c r="AA855" i="34"/>
  <c r="P855" i="34"/>
  <c r="Q855" i="34"/>
  <c r="O851" i="34"/>
  <c r="AA851" i="34"/>
  <c r="P851" i="34"/>
  <c r="Q851" i="34"/>
  <c r="O847" i="34"/>
  <c r="AA847" i="34"/>
  <c r="P847" i="34"/>
  <c r="Q847" i="34"/>
  <c r="O843" i="34"/>
  <c r="AA843" i="34"/>
  <c r="P843" i="34"/>
  <c r="Q843" i="34"/>
  <c r="O839" i="34"/>
  <c r="AA839" i="34"/>
  <c r="P839" i="34"/>
  <c r="Q839" i="34"/>
  <c r="Q834" i="34"/>
  <c r="O834" i="34"/>
  <c r="AA834" i="34"/>
  <c r="P834" i="34"/>
  <c r="O819" i="34"/>
  <c r="AA819" i="34"/>
  <c r="P819" i="34"/>
  <c r="Q819" i="34"/>
  <c r="Q726" i="34"/>
  <c r="O726" i="34"/>
  <c r="AA726" i="34"/>
  <c r="P726" i="34"/>
  <c r="Q722" i="34"/>
  <c r="O722" i="34"/>
  <c r="AA722" i="34"/>
  <c r="P722" i="34"/>
  <c r="Q718" i="34"/>
  <c r="O718" i="34"/>
  <c r="AA718" i="34"/>
  <c r="P718" i="34"/>
  <c r="Q730" i="34"/>
  <c r="O730" i="34"/>
  <c r="AA730" i="34"/>
  <c r="P730" i="34"/>
  <c r="Q714" i="34"/>
  <c r="O714" i="34"/>
  <c r="AA714" i="34"/>
  <c r="P714" i="34"/>
  <c r="Q710" i="34"/>
  <c r="O710" i="34"/>
  <c r="AA710" i="34"/>
  <c r="P710" i="34"/>
  <c r="Q706" i="34"/>
  <c r="O706" i="34"/>
  <c r="AA706" i="34"/>
  <c r="P706" i="34"/>
  <c r="Q702" i="34"/>
  <c r="O702" i="34"/>
  <c r="AA702" i="34"/>
  <c r="P702" i="34"/>
  <c r="Q698" i="34"/>
  <c r="O698" i="34"/>
  <c r="AA698" i="34"/>
  <c r="P698" i="34"/>
  <c r="Q694" i="34"/>
  <c r="O694" i="34"/>
  <c r="AA694" i="34"/>
  <c r="P694" i="34"/>
  <c r="Q690" i="34"/>
  <c r="O690" i="34"/>
  <c r="AA690" i="34"/>
  <c r="P690" i="34"/>
  <c r="Q686" i="34"/>
  <c r="O686" i="34"/>
  <c r="AA686" i="34"/>
  <c r="P686" i="34"/>
  <c r="O682" i="34"/>
  <c r="P682" i="34"/>
  <c r="Q682" i="34"/>
  <c r="AA682" i="34"/>
  <c r="I6" i="43"/>
  <c r="T914" i="34" l="1"/>
  <c r="R51" i="34"/>
  <c r="T51" i="34"/>
  <c r="S137" i="34"/>
  <c r="R156" i="34"/>
  <c r="S128" i="34"/>
  <c r="T166" i="34"/>
  <c r="S127" i="34"/>
  <c r="T170" i="34"/>
  <c r="S131" i="34"/>
  <c r="T164" i="34"/>
  <c r="T129" i="34"/>
  <c r="R160" i="34"/>
  <c r="T134" i="34"/>
  <c r="R169" i="34"/>
  <c r="R121" i="34"/>
  <c r="R163" i="34"/>
  <c r="R122" i="34"/>
  <c r="S171" i="34"/>
  <c r="S118" i="34"/>
  <c r="S165" i="34"/>
  <c r="T151" i="34"/>
  <c r="R139" i="34"/>
  <c r="R135" i="34"/>
  <c r="S168" i="34"/>
  <c r="R130" i="34"/>
  <c r="R105" i="34"/>
  <c r="T115" i="34"/>
  <c r="S105" i="34"/>
  <c r="R115" i="34"/>
  <c r="T105" i="34"/>
  <c r="S115" i="34"/>
  <c r="R46" i="34"/>
  <c r="S109" i="34"/>
  <c r="R42" i="34"/>
  <c r="R56" i="34"/>
  <c r="T67" i="34"/>
  <c r="R53" i="34"/>
  <c r="R36" i="34"/>
  <c r="R75" i="34"/>
  <c r="R37" i="34"/>
  <c r="T66" i="34"/>
  <c r="R52" i="34"/>
  <c r="R35" i="34"/>
  <c r="T80" i="34"/>
  <c r="R47" i="34"/>
  <c r="R41" i="34"/>
  <c r="S85" i="34"/>
  <c r="S49" i="34"/>
  <c r="S112" i="34"/>
  <c r="S78" i="34"/>
  <c r="S40" i="34"/>
  <c r="S33" i="34"/>
  <c r="R65" i="34"/>
  <c r="S142" i="34"/>
  <c r="S77" i="34"/>
  <c r="S71" i="34"/>
  <c r="S48" i="34"/>
  <c r="S111" i="34"/>
  <c r="T91" i="34"/>
  <c r="T86" i="34"/>
  <c r="R68" i="34"/>
  <c r="S74" i="34"/>
  <c r="T46" i="34"/>
  <c r="R109" i="34"/>
  <c r="T42" i="34"/>
  <c r="T56" i="34"/>
  <c r="S67" i="34"/>
  <c r="T53" i="34"/>
  <c r="T36" i="34"/>
  <c r="T75" i="34"/>
  <c r="T37" i="34"/>
  <c r="S66" i="34"/>
  <c r="T52" i="34"/>
  <c r="T35" i="34"/>
  <c r="S80" i="34"/>
  <c r="T47" i="34"/>
  <c r="T41" i="34"/>
  <c r="R85" i="34"/>
  <c r="R54" i="34"/>
  <c r="T54" i="34"/>
  <c r="S129" i="34"/>
  <c r="T160" i="34"/>
  <c r="S134" i="34"/>
  <c r="T169" i="34"/>
  <c r="T121" i="34"/>
  <c r="T163" i="34"/>
  <c r="T122" i="34"/>
  <c r="R171" i="34"/>
  <c r="R118" i="34"/>
  <c r="R165" i="34"/>
  <c r="S151" i="34"/>
  <c r="T139" i="34"/>
  <c r="T135" i="34"/>
  <c r="R168" i="34"/>
  <c r="T130" i="34"/>
  <c r="S167" i="34"/>
  <c r="R133" i="34"/>
  <c r="R136" i="34"/>
  <c r="S161" i="34"/>
  <c r="R132" i="34"/>
  <c r="S162" i="34"/>
  <c r="R138" i="34"/>
  <c r="S159" i="34"/>
  <c r="S101" i="34"/>
  <c r="R104" i="34"/>
  <c r="T101" i="34"/>
  <c r="S104" i="34"/>
  <c r="R101" i="34"/>
  <c r="T104" i="34"/>
  <c r="R55" i="34"/>
  <c r="T124" i="34"/>
  <c r="T82" i="34"/>
  <c r="T64" i="34"/>
  <c r="R39" i="34"/>
  <c r="T59" i="34"/>
  <c r="T119" i="34"/>
  <c r="T81" i="34"/>
  <c r="R50" i="34"/>
  <c r="R38" i="34"/>
  <c r="T58" i="34"/>
  <c r="T120" i="34"/>
  <c r="R76" i="34"/>
  <c r="T61" i="34"/>
  <c r="T125" i="34"/>
  <c r="S34" i="34"/>
  <c r="R60" i="34"/>
  <c r="S141" i="34"/>
  <c r="T88" i="34"/>
  <c r="R63" i="34"/>
  <c r="S45" i="34"/>
  <c r="R123" i="34"/>
  <c r="T90" i="34"/>
  <c r="T87" i="34"/>
  <c r="R62" i="34"/>
  <c r="S44" i="34"/>
  <c r="S32" i="34"/>
  <c r="T84" i="34"/>
  <c r="S72" i="34"/>
  <c r="S31" i="34"/>
  <c r="T89" i="34"/>
  <c r="T55" i="34"/>
  <c r="S124" i="34"/>
  <c r="S82" i="34"/>
  <c r="S64" i="34"/>
  <c r="T39" i="34"/>
  <c r="S59" i="34"/>
  <c r="S119" i="34"/>
  <c r="S81" i="34"/>
  <c r="T50" i="34"/>
  <c r="T38" i="34"/>
  <c r="S58" i="34"/>
  <c r="S120" i="34"/>
  <c r="T76" i="34"/>
  <c r="S61" i="34"/>
  <c r="S125" i="34"/>
  <c r="S51" i="34"/>
  <c r="T171" i="34"/>
  <c r="T118" i="34"/>
  <c r="T165" i="34"/>
  <c r="R151" i="34"/>
  <c r="S139" i="34"/>
  <c r="S135" i="34"/>
  <c r="T168" i="34"/>
  <c r="S130" i="34"/>
  <c r="R167" i="34"/>
  <c r="T133" i="34"/>
  <c r="T136" i="34"/>
  <c r="R161" i="34"/>
  <c r="T132" i="34"/>
  <c r="R162" i="34"/>
  <c r="T138" i="34"/>
  <c r="R159" i="34"/>
  <c r="R137" i="34"/>
  <c r="T156" i="34"/>
  <c r="R128" i="34"/>
  <c r="S166" i="34"/>
  <c r="R127" i="34"/>
  <c r="S170" i="34"/>
  <c r="R131" i="34"/>
  <c r="S164" i="34"/>
  <c r="T117" i="34"/>
  <c r="S100" i="34"/>
  <c r="R117" i="34"/>
  <c r="T100" i="34"/>
  <c r="S117" i="34"/>
  <c r="R100" i="34"/>
  <c r="R49" i="34"/>
  <c r="R112" i="34"/>
  <c r="R78" i="34"/>
  <c r="R40" i="34"/>
  <c r="R33" i="34"/>
  <c r="T65" i="34"/>
  <c r="R142" i="34"/>
  <c r="R77" i="34"/>
  <c r="R71" i="34"/>
  <c r="R48" i="34"/>
  <c r="R111" i="34"/>
  <c r="S91" i="34"/>
  <c r="S86" i="34"/>
  <c r="T68" i="34"/>
  <c r="R74" i="34"/>
  <c r="S46" i="34"/>
  <c r="T109" i="34"/>
  <c r="S42" i="34"/>
  <c r="S56" i="34"/>
  <c r="R67" i="34"/>
  <c r="S53" i="34"/>
  <c r="S36" i="34"/>
  <c r="S75" i="34"/>
  <c r="S37" i="34"/>
  <c r="R66" i="34"/>
  <c r="S52" i="34"/>
  <c r="S35" i="34"/>
  <c r="R80" i="34"/>
  <c r="S47" i="34"/>
  <c r="S41" i="34"/>
  <c r="T85" i="34"/>
  <c r="T49" i="34"/>
  <c r="T112" i="34"/>
  <c r="T78" i="34"/>
  <c r="T40" i="34"/>
  <c r="T33" i="34"/>
  <c r="S65" i="34"/>
  <c r="T142" i="34"/>
  <c r="T77" i="34"/>
  <c r="T71" i="34"/>
  <c r="T48" i="34"/>
  <c r="T111" i="34"/>
  <c r="R91" i="34"/>
  <c r="R86" i="34"/>
  <c r="S68" i="34"/>
  <c r="T74" i="34"/>
  <c r="S54" i="34"/>
  <c r="T167" i="34"/>
  <c r="S133" i="34"/>
  <c r="S136" i="34"/>
  <c r="T161" i="34"/>
  <c r="S132" i="34"/>
  <c r="T162" i="34"/>
  <c r="S138" i="34"/>
  <c r="T159" i="34"/>
  <c r="T137" i="34"/>
  <c r="S156" i="34"/>
  <c r="T128" i="34"/>
  <c r="R166" i="34"/>
  <c r="T127" i="34"/>
  <c r="R170" i="34"/>
  <c r="T131" i="34"/>
  <c r="R164" i="34"/>
  <c r="R129" i="34"/>
  <c r="S160" i="34"/>
  <c r="R134" i="34"/>
  <c r="S169" i="34"/>
  <c r="S121" i="34"/>
  <c r="S163" i="34"/>
  <c r="S122" i="34"/>
  <c r="S102" i="34"/>
  <c r="T116" i="34"/>
  <c r="T102" i="34"/>
  <c r="R116" i="34"/>
  <c r="R102" i="34"/>
  <c r="S116" i="34"/>
  <c r="R34" i="34"/>
  <c r="T60" i="34"/>
  <c r="R141" i="34"/>
  <c r="S88" i="34"/>
  <c r="T63" i="34"/>
  <c r="R45" i="34"/>
  <c r="T123" i="34"/>
  <c r="S90" i="34"/>
  <c r="S87" i="34"/>
  <c r="T62" i="34"/>
  <c r="R44" i="34"/>
  <c r="R32" i="34"/>
  <c r="S84" i="34"/>
  <c r="R72" i="34"/>
  <c r="R31" i="34"/>
  <c r="S89" i="34"/>
  <c r="S55" i="34"/>
  <c r="R124" i="34"/>
  <c r="R82" i="34"/>
  <c r="R64" i="34"/>
  <c r="S39" i="34"/>
  <c r="R59" i="34"/>
  <c r="R119" i="34"/>
  <c r="R81" i="34"/>
  <c r="S50" i="34"/>
  <c r="S38" i="34"/>
  <c r="R58" i="34"/>
  <c r="R120" i="34"/>
  <c r="S76" i="34"/>
  <c r="R61" i="34"/>
  <c r="R125" i="34"/>
  <c r="T34" i="34"/>
  <c r="S60" i="34"/>
  <c r="T141" i="34"/>
  <c r="R88" i="34"/>
  <c r="S63" i="34"/>
  <c r="T45" i="34"/>
  <c r="S123" i="34"/>
  <c r="R90" i="34"/>
  <c r="R87" i="34"/>
  <c r="S62" i="34"/>
  <c r="T44" i="34"/>
  <c r="T32" i="34"/>
  <c r="R84" i="34"/>
  <c r="T72" i="34"/>
  <c r="T31" i="34"/>
  <c r="R89" i="34"/>
  <c r="T690" i="34"/>
  <c r="S718" i="34"/>
  <c r="R839" i="34"/>
  <c r="T851" i="34"/>
  <c r="S859" i="34"/>
  <c r="R863" i="34"/>
  <c r="T891" i="34"/>
  <c r="S903" i="34"/>
  <c r="R691" i="34"/>
  <c r="T840" i="34"/>
  <c r="S844" i="34"/>
  <c r="R848" i="34"/>
  <c r="T860" i="34"/>
  <c r="S864" i="34"/>
  <c r="R872" i="34"/>
  <c r="T900" i="34"/>
  <c r="S904" i="34"/>
  <c r="R680" i="34"/>
  <c r="T708" i="34"/>
  <c r="S716" i="34"/>
  <c r="R822" i="34"/>
  <c r="T841" i="34"/>
  <c r="S849" i="34"/>
  <c r="R853" i="34"/>
  <c r="T861" i="34"/>
  <c r="S865" i="34"/>
  <c r="R873" i="34"/>
  <c r="T893" i="34"/>
  <c r="S897" i="34"/>
  <c r="R901" i="34"/>
  <c r="T697" i="34"/>
  <c r="S713" i="34"/>
  <c r="R717" i="34"/>
  <c r="T838" i="34"/>
  <c r="S850" i="34"/>
  <c r="R854" i="34"/>
  <c r="T862" i="34"/>
  <c r="S866" i="34"/>
  <c r="R874" i="34"/>
  <c r="T894" i="34"/>
  <c r="S902" i="34"/>
  <c r="R906" i="34"/>
  <c r="S690" i="34"/>
  <c r="R718" i="34"/>
  <c r="T847" i="34"/>
  <c r="S851" i="34"/>
  <c r="R859" i="34"/>
  <c r="T871" i="34"/>
  <c r="S891" i="34"/>
  <c r="R903" i="34"/>
  <c r="T727" i="34"/>
  <c r="S840" i="34"/>
  <c r="R844" i="34"/>
  <c r="T852" i="34"/>
  <c r="S860" i="34"/>
  <c r="R864" i="34"/>
  <c r="T892" i="34"/>
  <c r="S900" i="34"/>
  <c r="R904" i="34"/>
  <c r="T692" i="34"/>
  <c r="S708" i="34"/>
  <c r="R716" i="34"/>
  <c r="T837" i="34"/>
  <c r="S841" i="34"/>
  <c r="R849" i="34"/>
  <c r="T857" i="34"/>
  <c r="S861" i="34"/>
  <c r="R865" i="34"/>
  <c r="T877" i="34"/>
  <c r="S893" i="34"/>
  <c r="R897" i="34"/>
  <c r="T905" i="34"/>
  <c r="S697" i="34"/>
  <c r="R713" i="34"/>
  <c r="T824" i="34"/>
  <c r="S838" i="34"/>
  <c r="R850" i="34"/>
  <c r="T858" i="34"/>
  <c r="S862" i="34"/>
  <c r="R866" i="34"/>
  <c r="T878" i="34"/>
  <c r="S894" i="34"/>
  <c r="R902" i="34"/>
  <c r="R914" i="34"/>
  <c r="R690" i="34"/>
  <c r="T839" i="34"/>
  <c r="S847" i="34"/>
  <c r="R851" i="34"/>
  <c r="T863" i="34"/>
  <c r="S871" i="34"/>
  <c r="R891" i="34"/>
  <c r="T691" i="34"/>
  <c r="S727" i="34"/>
  <c r="R840" i="34"/>
  <c r="T848" i="34"/>
  <c r="S852" i="34"/>
  <c r="R860" i="34"/>
  <c r="T872" i="34"/>
  <c r="S892" i="34"/>
  <c r="R900" i="34"/>
  <c r="T680" i="34"/>
  <c r="S692" i="34"/>
  <c r="R708" i="34"/>
  <c r="T822" i="34"/>
  <c r="S837" i="34"/>
  <c r="R841" i="34"/>
  <c r="T853" i="34"/>
  <c r="S857" i="34"/>
  <c r="R861" i="34"/>
  <c r="T873" i="34"/>
  <c r="S877" i="34"/>
  <c r="R893" i="34"/>
  <c r="T901" i="34"/>
  <c r="S905" i="34"/>
  <c r="R697" i="34"/>
  <c r="T717" i="34"/>
  <c r="S824" i="34"/>
  <c r="R838" i="34"/>
  <c r="T854" i="34"/>
  <c r="S858" i="34"/>
  <c r="R862" i="34"/>
  <c r="T874" i="34"/>
  <c r="S878" i="34"/>
  <c r="R894" i="34"/>
  <c r="T906" i="34"/>
  <c r="R468" i="34"/>
  <c r="S428" i="34"/>
  <c r="T431" i="34"/>
  <c r="T472" i="34"/>
  <c r="S407" i="34"/>
  <c r="S433" i="34"/>
  <c r="S498" i="34"/>
  <c r="T499" i="34"/>
  <c r="R472" i="34"/>
  <c r="S430" i="34"/>
  <c r="T469" i="34"/>
  <c r="T215" i="34"/>
  <c r="R293" i="34"/>
  <c r="S157" i="34"/>
  <c r="T309" i="34"/>
  <c r="T379" i="34"/>
  <c r="R295" i="34"/>
  <c r="S149" i="34"/>
  <c r="T310" i="34"/>
  <c r="T294" i="34"/>
  <c r="R292" i="34"/>
  <c r="S214" i="34"/>
  <c r="R408" i="34"/>
  <c r="R379" i="34"/>
  <c r="S292" i="34"/>
  <c r="T214" i="34"/>
  <c r="R310" i="34"/>
  <c r="R107" i="34"/>
  <c r="T103" i="34"/>
  <c r="S106" i="34"/>
  <c r="R26" i="34"/>
  <c r="S143" i="34"/>
  <c r="T27" i="34"/>
  <c r="S30" i="34"/>
  <c r="T145" i="34"/>
  <c r="R24" i="34"/>
  <c r="S83" i="34"/>
  <c r="S97" i="34"/>
  <c r="T28" i="34"/>
  <c r="R27" i="34"/>
  <c r="R108" i="34"/>
  <c r="S98" i="34"/>
  <c r="T24" i="34"/>
  <c r="R79" i="34"/>
  <c r="R110" i="34"/>
  <c r="S472" i="34"/>
  <c r="T430" i="34"/>
  <c r="R433" i="34"/>
  <c r="R498" i="34"/>
  <c r="S499" i="34"/>
  <c r="T427" i="34"/>
  <c r="T470" i="34"/>
  <c r="R431" i="34"/>
  <c r="S432" i="34"/>
  <c r="R407" i="34"/>
  <c r="R427" i="34"/>
  <c r="R150" i="34"/>
  <c r="S195" i="34"/>
  <c r="T221" i="34"/>
  <c r="R220" i="34"/>
  <c r="R190" i="34"/>
  <c r="S293" i="34"/>
  <c r="T157" i="34"/>
  <c r="R251" i="34"/>
  <c r="R215" i="34"/>
  <c r="S295" i="34"/>
  <c r="T149" i="34"/>
  <c r="R309" i="34"/>
  <c r="S215" i="34"/>
  <c r="T295" i="34"/>
  <c r="R157" i="34"/>
  <c r="S309" i="34"/>
  <c r="S103" i="34"/>
  <c r="T107" i="34"/>
  <c r="R30" i="34"/>
  <c r="S145" i="34"/>
  <c r="T96" i="34"/>
  <c r="R83" i="34"/>
  <c r="T108" i="34"/>
  <c r="S69" i="34"/>
  <c r="S25" i="34"/>
  <c r="T79" i="34"/>
  <c r="T26" i="34"/>
  <c r="R96" i="34"/>
  <c r="S144" i="34"/>
  <c r="S29" i="34"/>
  <c r="R69" i="34"/>
  <c r="S99" i="34"/>
  <c r="T432" i="34"/>
  <c r="R499" i="34"/>
  <c r="S427" i="34"/>
  <c r="S470" i="34"/>
  <c r="T471" i="34"/>
  <c r="T468" i="34"/>
  <c r="R430" i="34"/>
  <c r="S469" i="34"/>
  <c r="T498" i="34"/>
  <c r="R471" i="34"/>
  <c r="R294" i="34"/>
  <c r="S213" i="34"/>
  <c r="T222" i="34"/>
  <c r="S408" i="34"/>
  <c r="S212" i="34"/>
  <c r="S150" i="34"/>
  <c r="T195" i="34"/>
  <c r="R158" i="34"/>
  <c r="S220" i="34"/>
  <c r="S190" i="34"/>
  <c r="T293" i="34"/>
  <c r="R221" i="34"/>
  <c r="S251" i="34"/>
  <c r="T190" i="34"/>
  <c r="R195" i="34"/>
  <c r="S221" i="34"/>
  <c r="T251" i="34"/>
  <c r="T106" i="34"/>
  <c r="R106" i="34"/>
  <c r="S108" i="34"/>
  <c r="T98" i="34"/>
  <c r="R25" i="34"/>
  <c r="S79" i="34"/>
  <c r="R97" i="34"/>
  <c r="S28" i="34"/>
  <c r="T110" i="34"/>
  <c r="T30" i="34"/>
  <c r="R98" i="34"/>
  <c r="S24" i="34"/>
  <c r="T83" i="34"/>
  <c r="T97" i="34"/>
  <c r="R143" i="34"/>
  <c r="S27" i="34"/>
  <c r="R470" i="34"/>
  <c r="S471" i="34"/>
  <c r="S468" i="34"/>
  <c r="T428" i="34"/>
  <c r="R469" i="34"/>
  <c r="R432" i="34"/>
  <c r="T407" i="34"/>
  <c r="T433" i="34"/>
  <c r="R428" i="34"/>
  <c r="S431" i="34"/>
  <c r="S379" i="34"/>
  <c r="T292" i="34"/>
  <c r="R149" i="34"/>
  <c r="S310" i="34"/>
  <c r="S294" i="34"/>
  <c r="T213" i="34"/>
  <c r="R214" i="34"/>
  <c r="T408" i="34"/>
  <c r="T212" i="34"/>
  <c r="T150" i="34"/>
  <c r="R222" i="34"/>
  <c r="S158" i="34"/>
  <c r="T220" i="34"/>
  <c r="R213" i="34"/>
  <c r="S222" i="34"/>
  <c r="T158" i="34"/>
  <c r="R212" i="34"/>
  <c r="S107" i="34"/>
  <c r="R103" i="34"/>
  <c r="T29" i="34"/>
  <c r="R28" i="34"/>
  <c r="S110" i="34"/>
  <c r="T99" i="34"/>
  <c r="S26" i="34"/>
  <c r="T143" i="34"/>
  <c r="R144" i="34"/>
  <c r="R29" i="34"/>
  <c r="T69" i="34"/>
  <c r="T25" i="34"/>
  <c r="R99" i="34"/>
  <c r="R145" i="34"/>
  <c r="S96" i="34"/>
  <c r="T144" i="34"/>
  <c r="R811" i="34"/>
  <c r="S821" i="34"/>
  <c r="T827" i="34"/>
  <c r="R808" i="34"/>
  <c r="T812" i="34"/>
  <c r="T825" i="34"/>
  <c r="R809" i="34"/>
  <c r="S814" i="34"/>
  <c r="T826" i="34"/>
  <c r="S811" i="34"/>
  <c r="T821" i="34"/>
  <c r="R823" i="34"/>
  <c r="T808" i="34"/>
  <c r="S812" i="34"/>
  <c r="R810" i="34"/>
  <c r="S809" i="34"/>
  <c r="T814" i="34"/>
  <c r="T811" i="34"/>
  <c r="R827" i="34"/>
  <c r="S823" i="34"/>
  <c r="S808" i="34"/>
  <c r="R825" i="34"/>
  <c r="S810" i="34"/>
  <c r="T809" i="34"/>
  <c r="R826" i="34"/>
  <c r="R821" i="34"/>
  <c r="S827" i="34"/>
  <c r="T823" i="34"/>
  <c r="R812" i="34"/>
  <c r="S825" i="34"/>
  <c r="T810" i="34"/>
  <c r="R814" i="34"/>
  <c r="S826" i="34"/>
  <c r="R785" i="34"/>
  <c r="T760" i="34"/>
  <c r="T772" i="34"/>
  <c r="R784" i="34"/>
  <c r="S788" i="34"/>
  <c r="T800" i="34"/>
  <c r="R510" i="34"/>
  <c r="S789" i="34"/>
  <c r="T797" i="34"/>
  <c r="R802" i="34"/>
  <c r="S803" i="34"/>
  <c r="T511" i="34"/>
  <c r="R782" i="34"/>
  <c r="T786" i="34"/>
  <c r="S790" i="34"/>
  <c r="R798" i="34"/>
  <c r="S662" i="34"/>
  <c r="T773" i="34"/>
  <c r="R751" i="34"/>
  <c r="S771" i="34"/>
  <c r="T775" i="34"/>
  <c r="R787" i="34"/>
  <c r="S791" i="34"/>
  <c r="T799" i="34"/>
  <c r="S785" i="34"/>
  <c r="S760" i="34"/>
  <c r="R776" i="34"/>
  <c r="S784" i="34"/>
  <c r="T788" i="34"/>
  <c r="R804" i="34"/>
  <c r="S510" i="34"/>
  <c r="T789" i="34"/>
  <c r="R801" i="34"/>
  <c r="T802" i="34"/>
  <c r="T803" i="34"/>
  <c r="R777" i="34"/>
  <c r="T782" i="34"/>
  <c r="S786" i="34"/>
  <c r="R794" i="34"/>
  <c r="T798" i="34"/>
  <c r="T662" i="34"/>
  <c r="R774" i="34"/>
  <c r="S751" i="34"/>
  <c r="T771" i="34"/>
  <c r="R783" i="34"/>
  <c r="S787" i="34"/>
  <c r="T791" i="34"/>
  <c r="T785" i="34"/>
  <c r="R772" i="34"/>
  <c r="S776" i="34"/>
  <c r="T784" i="34"/>
  <c r="R800" i="34"/>
  <c r="S804" i="34"/>
  <c r="T510" i="34"/>
  <c r="R797" i="34"/>
  <c r="S801" i="34"/>
  <c r="S802" i="34"/>
  <c r="R511" i="34"/>
  <c r="S777" i="34"/>
  <c r="S782" i="34"/>
  <c r="R790" i="34"/>
  <c r="S794" i="34"/>
  <c r="S798" i="34"/>
  <c r="R773" i="34"/>
  <c r="T774" i="34"/>
  <c r="T751" i="34"/>
  <c r="R775" i="34"/>
  <c r="S783" i="34"/>
  <c r="T787" i="34"/>
  <c r="R799" i="34"/>
  <c r="R760" i="34"/>
  <c r="S772" i="34"/>
  <c r="T776" i="34"/>
  <c r="R788" i="34"/>
  <c r="S800" i="34"/>
  <c r="T804" i="34"/>
  <c r="R789" i="34"/>
  <c r="S797" i="34"/>
  <c r="T801" i="34"/>
  <c r="R803" i="34"/>
  <c r="S511" i="34"/>
  <c r="T777" i="34"/>
  <c r="R786" i="34"/>
  <c r="T790" i="34"/>
  <c r="T794" i="34"/>
  <c r="R662" i="34"/>
  <c r="S773" i="34"/>
  <c r="S774" i="34"/>
  <c r="R771" i="34"/>
  <c r="S775" i="34"/>
  <c r="T783" i="34"/>
  <c r="R791" i="34"/>
  <c r="S799" i="34"/>
  <c r="R675" i="34"/>
  <c r="S678" i="34"/>
  <c r="S675" i="34"/>
  <c r="T678" i="34"/>
  <c r="T675" i="34"/>
  <c r="R678" i="34"/>
  <c r="R749" i="34"/>
  <c r="S750" i="34"/>
  <c r="T747" i="34"/>
  <c r="T748" i="34"/>
  <c r="S749" i="34"/>
  <c r="T750" i="34"/>
  <c r="R748" i="34"/>
  <c r="T749" i="34"/>
  <c r="R747" i="34"/>
  <c r="R750" i="34"/>
  <c r="S747" i="34"/>
  <c r="S748" i="34"/>
  <c r="R648" i="34"/>
  <c r="S640" i="34"/>
  <c r="T623" i="34"/>
  <c r="R611" i="34"/>
  <c r="S590" i="34"/>
  <c r="T607" i="34"/>
  <c r="R550" i="34"/>
  <c r="S508" i="34"/>
  <c r="T643" i="34"/>
  <c r="R610" i="34"/>
  <c r="S601" i="34"/>
  <c r="S593" i="34"/>
  <c r="R577" i="34"/>
  <c r="T573" i="34"/>
  <c r="T559" i="34"/>
  <c r="R519" i="34"/>
  <c r="S807" i="34"/>
  <c r="T674" i="34"/>
  <c r="R654" i="34"/>
  <c r="S642" i="34"/>
  <c r="T621" i="34"/>
  <c r="R609" i="34"/>
  <c r="S592" i="34"/>
  <c r="T588" i="34"/>
  <c r="R530" i="34"/>
  <c r="S518" i="34"/>
  <c r="T813" i="34"/>
  <c r="R679" i="34"/>
  <c r="S661" i="34"/>
  <c r="T641" i="34"/>
  <c r="R624" i="34"/>
  <c r="S620" i="34"/>
  <c r="T612" i="34"/>
  <c r="R591" i="34"/>
  <c r="S587" i="34"/>
  <c r="S557" i="34"/>
  <c r="R545" i="34"/>
  <c r="S509" i="34"/>
  <c r="T505" i="34"/>
  <c r="S648" i="34"/>
  <c r="T640" i="34"/>
  <c r="R619" i="34"/>
  <c r="S611" i="34"/>
  <c r="T590" i="34"/>
  <c r="R560" i="34"/>
  <c r="T550" i="34"/>
  <c r="T508" i="34"/>
  <c r="R622" i="34"/>
  <c r="S610" i="34"/>
  <c r="T601" i="34"/>
  <c r="R589" i="34"/>
  <c r="S577" i="34"/>
  <c r="S573" i="34"/>
  <c r="R524" i="34"/>
  <c r="S519" i="34"/>
  <c r="T807" i="34"/>
  <c r="R663" i="34"/>
  <c r="S654" i="34"/>
  <c r="T642" i="34"/>
  <c r="R613" i="34"/>
  <c r="S609" i="34"/>
  <c r="T592" i="34"/>
  <c r="R558" i="34"/>
  <c r="T530" i="34"/>
  <c r="T518" i="34"/>
  <c r="R815" i="34"/>
  <c r="S679" i="34"/>
  <c r="T661" i="34"/>
  <c r="R632" i="34"/>
  <c r="S624" i="34"/>
  <c r="T620" i="34"/>
  <c r="R608" i="34"/>
  <c r="S591" i="34"/>
  <c r="T587" i="34"/>
  <c r="R549" i="34"/>
  <c r="T545" i="34"/>
  <c r="T509" i="34"/>
  <c r="T648" i="34"/>
  <c r="R623" i="34"/>
  <c r="S619" i="34"/>
  <c r="T611" i="34"/>
  <c r="R607" i="34"/>
  <c r="S560" i="34"/>
  <c r="S550" i="34"/>
  <c r="R643" i="34"/>
  <c r="S622" i="34"/>
  <c r="T610" i="34"/>
  <c r="R593" i="34"/>
  <c r="T589" i="34"/>
  <c r="T577" i="34"/>
  <c r="R559" i="34"/>
  <c r="S524" i="34"/>
  <c r="T519" i="34"/>
  <c r="R674" i="34"/>
  <c r="S663" i="34"/>
  <c r="T654" i="34"/>
  <c r="R621" i="34"/>
  <c r="S613" i="34"/>
  <c r="T609" i="34"/>
  <c r="R588" i="34"/>
  <c r="S558" i="34"/>
  <c r="S530" i="34"/>
  <c r="R813" i="34"/>
  <c r="S815" i="34"/>
  <c r="T679" i="34"/>
  <c r="R641" i="34"/>
  <c r="S632" i="34"/>
  <c r="T624" i="34"/>
  <c r="R612" i="34"/>
  <c r="S608" i="34"/>
  <c r="T591" i="34"/>
  <c r="R557" i="34"/>
  <c r="T549" i="34"/>
  <c r="S545" i="34"/>
  <c r="R505" i="34"/>
  <c r="R640" i="34"/>
  <c r="S623" i="34"/>
  <c r="T619" i="34"/>
  <c r="R590" i="34"/>
  <c r="S607" i="34"/>
  <c r="T560" i="34"/>
  <c r="R508" i="34"/>
  <c r="S643" i="34"/>
  <c r="T622" i="34"/>
  <c r="R601" i="34"/>
  <c r="T593" i="34"/>
  <c r="S589" i="34"/>
  <c r="R573" i="34"/>
  <c r="S559" i="34"/>
  <c r="T524" i="34"/>
  <c r="R807" i="34"/>
  <c r="S674" i="34"/>
  <c r="T663" i="34"/>
  <c r="R642" i="34"/>
  <c r="S621" i="34"/>
  <c r="T613" i="34"/>
  <c r="R592" i="34"/>
  <c r="S588" i="34"/>
  <c r="T558" i="34"/>
  <c r="R518" i="34"/>
  <c r="S813" i="34"/>
  <c r="T815" i="34"/>
  <c r="R661" i="34"/>
  <c r="S641" i="34"/>
  <c r="T632" i="34"/>
  <c r="R620" i="34"/>
  <c r="S612" i="34"/>
  <c r="T608" i="34"/>
  <c r="R587" i="34"/>
  <c r="T557" i="34"/>
  <c r="S549" i="34"/>
  <c r="R509" i="34"/>
  <c r="S505" i="34"/>
  <c r="T718" i="34"/>
  <c r="S839" i="34"/>
  <c r="R847" i="34"/>
  <c r="T859" i="34"/>
  <c r="S863" i="34"/>
  <c r="R871" i="34"/>
  <c r="T903" i="34"/>
  <c r="S691" i="34"/>
  <c r="R727" i="34"/>
  <c r="T844" i="34"/>
  <c r="S848" i="34"/>
  <c r="R852" i="34"/>
  <c r="T864" i="34"/>
  <c r="S872" i="34"/>
  <c r="R892" i="34"/>
  <c r="T904" i="34"/>
  <c r="S680" i="34"/>
  <c r="R692" i="34"/>
  <c r="T716" i="34"/>
  <c r="S822" i="34"/>
  <c r="R837" i="34"/>
  <c r="T849" i="34"/>
  <c r="S853" i="34"/>
  <c r="R857" i="34"/>
  <c r="T865" i="34"/>
  <c r="S873" i="34"/>
  <c r="R877" i="34"/>
  <c r="T897" i="34"/>
  <c r="S901" i="34"/>
  <c r="R905" i="34"/>
  <c r="T713" i="34"/>
  <c r="S717" i="34"/>
  <c r="R824" i="34"/>
  <c r="T850" i="34"/>
  <c r="S854" i="34"/>
  <c r="R858" i="34"/>
  <c r="T866" i="34"/>
  <c r="S874" i="34"/>
  <c r="R878" i="34"/>
  <c r="T902" i="34"/>
  <c r="S906" i="34"/>
  <c r="S914" i="34"/>
  <c r="T312" i="34"/>
  <c r="T344" i="34"/>
  <c r="R362" i="34"/>
  <c r="R302" i="34"/>
  <c r="S340" i="34"/>
  <c r="T361" i="34"/>
  <c r="S355" i="34"/>
  <c r="R312" i="34"/>
  <c r="R344" i="34"/>
  <c r="S361" i="34"/>
  <c r="T315" i="34"/>
  <c r="R421" i="34"/>
  <c r="T343" i="34"/>
  <c r="R308" i="34"/>
  <c r="T306" i="34"/>
  <c r="R57" i="34"/>
  <c r="T359" i="34"/>
  <c r="T154" i="34"/>
  <c r="T277" i="34"/>
  <c r="R422" i="34"/>
  <c r="R354" i="34"/>
  <c r="R282" i="34"/>
  <c r="S148" i="34"/>
  <c r="R350" i="34"/>
  <c r="S154" i="34"/>
  <c r="R358" i="34"/>
  <c r="R341" i="34"/>
  <c r="R335" i="34"/>
  <c r="S371" i="34"/>
  <c r="S301" i="34"/>
  <c r="R283" i="34"/>
  <c r="T219" i="34"/>
  <c r="S57" i="34"/>
  <c r="R359" i="34"/>
  <c r="R154" i="34"/>
  <c r="T358" i="34"/>
  <c r="T202" i="34"/>
  <c r="T420" i="34"/>
  <c r="T327" i="34"/>
  <c r="S422" i="34"/>
  <c r="S282" i="34"/>
  <c r="S358" i="34"/>
  <c r="S276" i="34"/>
  <c r="S327" i="34"/>
  <c r="T351" i="34"/>
  <c r="R426" i="34"/>
  <c r="S228" i="34"/>
  <c r="R275" i="34"/>
  <c r="S426" i="34"/>
  <c r="S296" i="34"/>
  <c r="T342" i="34"/>
  <c r="S329" i="34"/>
  <c r="T355" i="34"/>
  <c r="S308" i="34"/>
  <c r="S314" i="34"/>
  <c r="T362" i="34"/>
  <c r="S328" i="34"/>
  <c r="R342" i="34"/>
  <c r="S421" i="34"/>
  <c r="R343" i="34"/>
  <c r="R355" i="34"/>
  <c r="T329" i="34"/>
  <c r="S360" i="34"/>
  <c r="S302" i="34"/>
  <c r="R219" i="34"/>
  <c r="T148" i="34"/>
  <c r="T326" i="34"/>
  <c r="R217" i="34"/>
  <c r="T371" i="34"/>
  <c r="T93" i="34"/>
  <c r="S306" i="34"/>
  <c r="S303" i="34"/>
  <c r="S203" i="34"/>
  <c r="S326" i="34"/>
  <c r="S217" i="34"/>
  <c r="T218" i="34"/>
  <c r="S146" i="34"/>
  <c r="T94" i="34"/>
  <c r="R327" i="34"/>
  <c r="T422" i="34"/>
  <c r="T354" i="34"/>
  <c r="T282" i="34"/>
  <c r="R148" i="34"/>
  <c r="T350" i="34"/>
  <c r="T217" i="34"/>
  <c r="S218" i="34"/>
  <c r="T341" i="34"/>
  <c r="T335" i="34"/>
  <c r="S95" i="34"/>
  <c r="S155" i="34"/>
  <c r="S350" i="34"/>
  <c r="S307" i="34"/>
  <c r="S420" i="34"/>
  <c r="S229" i="34"/>
  <c r="T228" i="34"/>
  <c r="T114" i="34"/>
  <c r="R311" i="34"/>
  <c r="R351" i="34"/>
  <c r="R300" i="34"/>
  <c r="R296" i="34"/>
  <c r="T340" i="34"/>
  <c r="S313" i="34"/>
  <c r="R423" i="34"/>
  <c r="S312" i="34"/>
  <c r="S344" i="34"/>
  <c r="R360" i="34"/>
  <c r="T308" i="34"/>
  <c r="R340" i="34"/>
  <c r="R329" i="34"/>
  <c r="S362" i="34"/>
  <c r="T423" i="34"/>
  <c r="T313" i="34"/>
  <c r="S315" i="34"/>
  <c r="R93" i="34"/>
  <c r="T303" i="34"/>
  <c r="T203" i="34"/>
  <c r="R113" i="34"/>
  <c r="T299" i="34"/>
  <c r="R95" i="34"/>
  <c r="R155" i="34"/>
  <c r="R147" i="34"/>
  <c r="S390" i="34"/>
  <c r="S429" i="34"/>
  <c r="T92" i="34"/>
  <c r="R274" i="34"/>
  <c r="R307" i="34"/>
  <c r="R276" i="34"/>
  <c r="S94" i="34"/>
  <c r="T95" i="34"/>
  <c r="S93" i="34"/>
  <c r="R306" i="34"/>
  <c r="R303" i="34"/>
  <c r="R203" i="34"/>
  <c r="R326" i="34"/>
  <c r="T274" i="34"/>
  <c r="R218" i="34"/>
  <c r="R146" i="34"/>
  <c r="R277" i="34"/>
  <c r="T229" i="34"/>
  <c r="S354" i="34"/>
  <c r="R92" i="34"/>
  <c r="S202" i="34"/>
  <c r="S335" i="34"/>
  <c r="S114" i="34"/>
  <c r="T300" i="34"/>
  <c r="S275" i="34"/>
  <c r="T426" i="34"/>
  <c r="R228" i="34"/>
  <c r="S311" i="34"/>
  <c r="T296" i="34"/>
  <c r="T314" i="34"/>
  <c r="S343" i="34"/>
  <c r="T328" i="34"/>
  <c r="S342" i="34"/>
  <c r="T421" i="34"/>
  <c r="R315" i="34"/>
  <c r="T302" i="34"/>
  <c r="R314" i="34"/>
  <c r="R313" i="34"/>
  <c r="T360" i="34"/>
  <c r="R328" i="34"/>
  <c r="R361" i="34"/>
  <c r="S423" i="34"/>
  <c r="T283" i="34"/>
  <c r="T390" i="34"/>
  <c r="T429" i="34"/>
  <c r="S113" i="34"/>
  <c r="T146" i="34"/>
  <c r="T301" i="34"/>
  <c r="S283" i="34"/>
  <c r="S219" i="34"/>
  <c r="T57" i="34"/>
  <c r="S359" i="34"/>
  <c r="S92" i="34"/>
  <c r="S299" i="34"/>
  <c r="R202" i="34"/>
  <c r="R420" i="34"/>
  <c r="S277" i="34"/>
  <c r="R229" i="34"/>
  <c r="T155" i="34"/>
  <c r="T147" i="34"/>
  <c r="R390" i="34"/>
  <c r="R429" i="34"/>
  <c r="T113" i="34"/>
  <c r="R299" i="34"/>
  <c r="T307" i="34"/>
  <c r="T276" i="34"/>
  <c r="R371" i="34"/>
  <c r="R301" i="34"/>
  <c r="S147" i="34"/>
  <c r="S274" i="34"/>
  <c r="S341" i="34"/>
  <c r="R94" i="34"/>
  <c r="T275" i="34"/>
  <c r="S300" i="34"/>
  <c r="S351" i="34"/>
  <c r="R114" i="34"/>
  <c r="T311" i="34"/>
  <c r="T152" i="34"/>
  <c r="T281" i="34"/>
  <c r="T201" i="34"/>
  <c r="T140" i="34"/>
  <c r="T126" i="34"/>
  <c r="T273" i="34"/>
  <c r="R43" i="34"/>
  <c r="R211" i="34"/>
  <c r="T216" i="34"/>
  <c r="S289" i="34"/>
  <c r="R289" i="34"/>
  <c r="R272" i="34"/>
  <c r="S152" i="34"/>
  <c r="S281" i="34"/>
  <c r="R249" i="34"/>
  <c r="S201" i="34"/>
  <c r="S140" i="34"/>
  <c r="R278" i="34"/>
  <c r="R227" i="34"/>
  <c r="R172" i="34"/>
  <c r="S126" i="34"/>
  <c r="T70" i="34"/>
  <c r="S70" i="34"/>
  <c r="S273" i="34"/>
  <c r="T43" i="34"/>
  <c r="R153" i="34"/>
  <c r="S211" i="34"/>
  <c r="S216" i="34"/>
  <c r="R216" i="34"/>
  <c r="T289" i="34"/>
  <c r="T272" i="34"/>
  <c r="R152" i="34"/>
  <c r="R281" i="34"/>
  <c r="T249" i="34"/>
  <c r="R201" i="34"/>
  <c r="R140" i="34"/>
  <c r="T278" i="34"/>
  <c r="T227" i="34"/>
  <c r="T172" i="34"/>
  <c r="R126" i="34"/>
  <c r="R273" i="34"/>
  <c r="S43" i="34"/>
  <c r="T153" i="34"/>
  <c r="T211" i="34"/>
  <c r="S153" i="34"/>
  <c r="S272" i="34"/>
  <c r="S249" i="34"/>
  <c r="S278" i="34"/>
  <c r="S227" i="34"/>
  <c r="S172" i="34"/>
  <c r="R70" i="34"/>
  <c r="T73" i="34"/>
  <c r="S73" i="34"/>
  <c r="R73" i="34"/>
  <c r="A5" i="12"/>
  <c r="A6" i="12"/>
  <c r="A7" i="12"/>
  <c r="A8" i="12"/>
  <c r="A4" i="12"/>
  <c r="B738" i="34" l="1"/>
  <c r="A738" i="34" s="1"/>
  <c r="B733" i="34"/>
  <c r="A733" i="34" s="1"/>
  <c r="B732" i="34"/>
  <c r="A732" i="34" s="1"/>
  <c r="B736" i="34"/>
  <c r="A736" i="34" s="1"/>
  <c r="B740" i="34"/>
  <c r="A740" i="34" s="1"/>
  <c r="B739" i="34"/>
  <c r="A739" i="34" s="1"/>
  <c r="B735" i="34"/>
  <c r="A735" i="34" s="1"/>
  <c r="B734" i="34"/>
  <c r="A734" i="34" s="1"/>
  <c r="B737" i="34"/>
  <c r="A737" i="34" s="1"/>
  <c r="F114" i="55"/>
  <c r="F103" i="55"/>
  <c r="G104" i="55" a="1"/>
  <c r="G104" i="55" s="1"/>
  <c r="G105" i="55" a="1"/>
  <c r="G105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R735" i="34" l="1"/>
  <c r="S735" i="34"/>
  <c r="T735" i="34"/>
  <c r="R734" i="34"/>
  <c r="S734" i="34"/>
  <c r="T734" i="34"/>
  <c r="Q734" i="34"/>
  <c r="O734" i="34"/>
  <c r="AA734" i="34"/>
  <c r="P734" i="34"/>
  <c r="Q736" i="34"/>
  <c r="O736" i="34"/>
  <c r="AA736" i="34"/>
  <c r="P736" i="34"/>
  <c r="O735" i="34"/>
  <c r="AA735" i="34"/>
  <c r="P735" i="34"/>
  <c r="Q735" i="34"/>
  <c r="Q732" i="34"/>
  <c r="O732" i="34"/>
  <c r="AA732" i="34"/>
  <c r="P732" i="34"/>
  <c r="O739" i="34"/>
  <c r="AA739" i="34"/>
  <c r="P739" i="34"/>
  <c r="Q739" i="34"/>
  <c r="O733" i="34"/>
  <c r="AA733" i="34"/>
  <c r="P733" i="34"/>
  <c r="Q733" i="34"/>
  <c r="O737" i="34"/>
  <c r="AA737" i="34"/>
  <c r="P737" i="34"/>
  <c r="Q737" i="34"/>
  <c r="Q740" i="34"/>
  <c r="O740" i="34"/>
  <c r="AA740" i="34"/>
  <c r="P740" i="34"/>
  <c r="Q738" i="34"/>
  <c r="O738" i="34"/>
  <c r="AA738" i="34"/>
  <c r="P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3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114" i="55"/>
  <c r="F113" i="55"/>
  <c r="E114" i="55" s="1"/>
  <c r="E113" i="55"/>
  <c r="A113" i="55"/>
  <c r="B112" i="55"/>
  <c r="A112" i="55" s="1"/>
  <c r="I111" i="55" a="1"/>
  <c r="I111" i="55" s="1"/>
  <c r="G111" i="55" a="1"/>
  <c r="G111" i="55" s="1"/>
  <c r="I110" i="55" a="1"/>
  <c r="I110" i="55" s="1"/>
  <c r="G110" i="55" a="1"/>
  <c r="G110" i="55" s="1"/>
  <c r="I109" i="55" a="1"/>
  <c r="I109" i="55" s="1"/>
  <c r="G109" i="55" a="1"/>
  <c r="G109" i="55" s="1"/>
  <c r="I108" i="55" a="1"/>
  <c r="I108" i="55" s="1"/>
  <c r="G108" i="55" a="1"/>
  <c r="G108" i="55" s="1"/>
  <c r="I107" i="55" a="1"/>
  <c r="I107" i="55" s="1"/>
  <c r="G107" i="55" a="1"/>
  <c r="G107" i="55" s="1"/>
  <c r="I106" i="55" a="1"/>
  <c r="I106" i="55" s="1"/>
  <c r="G106" i="55" a="1"/>
  <c r="G106" i="55" s="1"/>
  <c r="I105" i="55" a="1"/>
  <c r="I105" i="55" s="1"/>
  <c r="I104" i="55" a="1"/>
  <c r="I104" i="55" s="1"/>
  <c r="B104" i="55"/>
  <c r="B105" i="55" s="1"/>
  <c r="E103" i="55"/>
  <c r="G102" i="55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C12" i="61"/>
  <c r="H12" i="61"/>
  <c r="D19" i="57" l="1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376" i="34"/>
  <c r="X389" i="34"/>
  <c r="X333" i="34"/>
  <c r="X310" i="34"/>
  <c r="X304" i="34"/>
  <c r="X245" i="34"/>
  <c r="X398" i="34"/>
  <c r="X254" i="34"/>
  <c r="X208" i="34"/>
  <c r="X239" i="34"/>
  <c r="X190" i="34"/>
  <c r="X171" i="34"/>
  <c r="X129" i="34"/>
  <c r="X192" i="34"/>
  <c r="X375" i="34"/>
  <c r="X388" i="34"/>
  <c r="X332" i="34"/>
  <c r="X309" i="34"/>
  <c r="X295" i="34"/>
  <c r="X244" i="34"/>
  <c r="X397" i="34"/>
  <c r="X253" i="34"/>
  <c r="X207" i="34"/>
  <c r="X226" i="34"/>
  <c r="X189" i="34"/>
  <c r="X170" i="34"/>
  <c r="X128" i="34"/>
  <c r="X157" i="34"/>
  <c r="X369" i="34"/>
  <c r="X412" i="34"/>
  <c r="X345" i="34"/>
  <c r="X319" i="34"/>
  <c r="X292" i="34"/>
  <c r="X261" i="34"/>
  <c r="X392" i="34"/>
  <c r="X237" i="34"/>
  <c r="X194" i="34"/>
  <c r="X221" i="34"/>
  <c r="X182" i="34"/>
  <c r="X270" i="34"/>
  <c r="X121" i="34"/>
  <c r="X158" i="34"/>
  <c r="X364" i="34"/>
  <c r="X334" i="34"/>
  <c r="X323" i="34"/>
  <c r="X266" i="34"/>
  <c r="X256" i="34"/>
  <c r="X380" i="34"/>
  <c r="X232" i="34"/>
  <c r="X280" i="34"/>
  <c r="X205" i="34"/>
  <c r="X177" i="34"/>
  <c r="X138" i="34"/>
  <c r="X212" i="34"/>
  <c r="X164" i="34"/>
  <c r="X372" i="34"/>
  <c r="X414" i="34"/>
  <c r="X336" i="34"/>
  <c r="X321" i="34"/>
  <c r="X297" i="34"/>
  <c r="X263" i="34"/>
  <c r="X394" i="34"/>
  <c r="X250" i="34"/>
  <c r="X196" i="34"/>
  <c r="X223" i="34"/>
  <c r="X186" i="34"/>
  <c r="X167" i="34"/>
  <c r="X118" i="34"/>
  <c r="X156" i="34"/>
  <c r="X370" i="34"/>
  <c r="X413" i="34"/>
  <c r="X346" i="34"/>
  <c r="X320" i="34"/>
  <c r="X293" i="34"/>
  <c r="X262" i="34"/>
  <c r="X393" i="34"/>
  <c r="X238" i="34"/>
  <c r="X195" i="34"/>
  <c r="X222" i="34"/>
  <c r="X185" i="34"/>
  <c r="X163" i="34"/>
  <c r="X134" i="34"/>
  <c r="X161" i="34"/>
  <c r="X365" i="34"/>
  <c r="X408" i="34"/>
  <c r="X353" i="34"/>
  <c r="X324" i="34"/>
  <c r="X267" i="34"/>
  <c r="X257" i="34"/>
  <c r="X381" i="34"/>
  <c r="X233" i="34"/>
  <c r="X284" i="34"/>
  <c r="X206" i="34"/>
  <c r="X178" i="34"/>
  <c r="X139" i="34"/>
  <c r="X135" i="34"/>
  <c r="X162" i="34"/>
  <c r="X356" i="34"/>
  <c r="X387" i="34"/>
  <c r="X384" i="34"/>
  <c r="X305" i="34"/>
  <c r="X246" i="34"/>
  <c r="X399" i="34"/>
  <c r="X255" i="34"/>
  <c r="X209" i="34"/>
  <c r="X240" i="34"/>
  <c r="X191" i="34"/>
  <c r="X173" i="34"/>
  <c r="X131" i="34"/>
  <c r="X184" i="34"/>
  <c r="X367" i="34"/>
  <c r="X410" i="34"/>
  <c r="X287" i="34"/>
  <c r="X259" i="34"/>
  <c r="X383" i="34"/>
  <c r="X235" i="34"/>
  <c r="X290" i="34"/>
  <c r="X215" i="34"/>
  <c r="X180" i="34"/>
  <c r="X150" i="34"/>
  <c r="X133" i="34"/>
  <c r="X160" i="34"/>
  <c r="X366" i="34"/>
  <c r="X409" i="34"/>
  <c r="X347" i="34"/>
  <c r="X318" i="34"/>
  <c r="X286" i="34"/>
  <c r="X258" i="34"/>
  <c r="X382" i="34"/>
  <c r="X234" i="34"/>
  <c r="X285" i="34"/>
  <c r="X214" i="34"/>
  <c r="X179" i="34"/>
  <c r="X149" i="34"/>
  <c r="X151" i="34"/>
  <c r="X166" i="34"/>
  <c r="X357" i="34"/>
  <c r="X339" i="34"/>
  <c r="X385" i="34"/>
  <c r="X330" i="34"/>
  <c r="X247" i="34"/>
  <c r="X400" i="34"/>
  <c r="X377" i="34"/>
  <c r="X210" i="34"/>
  <c r="X241" i="34"/>
  <c r="X199" i="34"/>
  <c r="X174" i="34"/>
  <c r="X132" i="34"/>
  <c r="X183" i="34"/>
  <c r="X373" i="34"/>
  <c r="X415" i="34"/>
  <c r="X337" i="34"/>
  <c r="X316" i="34"/>
  <c r="X298" i="34"/>
  <c r="X264" i="34"/>
  <c r="X395" i="34"/>
  <c r="X251" i="34"/>
  <c r="X197" i="34"/>
  <c r="X224" i="34"/>
  <c r="X187" i="34"/>
  <c r="X168" i="34"/>
  <c r="X122" i="34"/>
  <c r="X271" i="34"/>
  <c r="X363" i="34"/>
  <c r="X325" i="34"/>
  <c r="X352" i="34"/>
  <c r="X322" i="34"/>
  <c r="X265" i="34"/>
  <c r="X402" i="34"/>
  <c r="X379" i="34"/>
  <c r="X231" i="34"/>
  <c r="X279" i="34"/>
  <c r="X204" i="34"/>
  <c r="X176" i="34"/>
  <c r="X137" i="34"/>
  <c r="X213" i="34"/>
  <c r="X165" i="34"/>
  <c r="X404" i="34"/>
  <c r="X349" i="34"/>
  <c r="X386" i="34"/>
  <c r="X331" i="34"/>
  <c r="X248" i="34"/>
  <c r="X401" i="34"/>
  <c r="X378" i="34"/>
  <c r="X230" i="34"/>
  <c r="X242" i="34"/>
  <c r="X200" i="34"/>
  <c r="X175" i="34"/>
  <c r="X136" i="34"/>
  <c r="X193" i="34"/>
  <c r="X374" i="34"/>
  <c r="X416" i="34"/>
  <c r="X338" i="34"/>
  <c r="X317" i="34"/>
  <c r="X294" i="34"/>
  <c r="X243" i="34"/>
  <c r="X396" i="34"/>
  <c r="X252" i="34"/>
  <c r="X198" i="34"/>
  <c r="X225" i="34"/>
  <c r="X188" i="34"/>
  <c r="X169" i="34"/>
  <c r="X127" i="34"/>
  <c r="X268" i="34"/>
  <c r="X368" i="34"/>
  <c r="X411" i="34"/>
  <c r="X348" i="34"/>
  <c r="X288" i="34"/>
  <c r="X260" i="34"/>
  <c r="X391" i="34"/>
  <c r="X236" i="34"/>
  <c r="X291" i="34"/>
  <c r="X220" i="34"/>
  <c r="X181" i="34"/>
  <c r="X269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40" i="34"/>
  <c r="X62" i="34"/>
  <c r="X48" i="34"/>
  <c r="X111" i="34"/>
  <c r="X35" i="34"/>
  <c r="X84" i="34"/>
  <c r="X86" i="34"/>
  <c r="X343" i="34"/>
  <c r="X37" i="34"/>
  <c r="X61" i="34"/>
  <c r="X27" i="34"/>
  <c r="X74" i="34"/>
  <c r="X89" i="34"/>
  <c r="X360" i="34"/>
  <c r="X40" i="34"/>
  <c r="X49" i="34"/>
  <c r="X30" i="34"/>
  <c r="X145" i="34"/>
  <c r="X98" i="34"/>
  <c r="X308" i="34"/>
  <c r="X423" i="34"/>
  <c r="X53" i="34"/>
  <c r="X123" i="34"/>
  <c r="X142" i="34"/>
  <c r="X77" i="34"/>
  <c r="X314" i="34"/>
  <c r="X66" i="34"/>
  <c r="X44" i="34"/>
  <c r="X69" i="34"/>
  <c r="X120" i="34"/>
  <c r="X80" i="34"/>
  <c r="X329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55" i="34"/>
  <c r="X39" i="34"/>
  <c r="X59" i="34"/>
  <c r="X29" i="34"/>
  <c r="X90" i="34"/>
  <c r="X97" i="34"/>
  <c r="X302" i="34"/>
  <c r="X421" i="34"/>
  <c r="X52" i="34"/>
  <c r="X32" i="34"/>
  <c r="X143" i="34"/>
  <c r="X76" i="34"/>
  <c r="X313" i="34"/>
  <c r="X25" i="34"/>
  <c r="X56" i="34"/>
  <c r="X68" i="34"/>
  <c r="X125" i="34"/>
  <c r="X79" i="34"/>
  <c r="X328" i="34"/>
  <c r="X71" i="34"/>
  <c r="X46" i="34"/>
  <c r="X109" i="34"/>
  <c r="X112" i="34"/>
  <c r="X82" i="34"/>
  <c r="X342" i="34"/>
  <c r="X63" i="34"/>
  <c r="X33" i="34"/>
  <c r="X65" i="34"/>
  <c r="X36" i="34"/>
  <c r="X75" i="34"/>
  <c r="X87" i="34"/>
  <c r="X344" i="34"/>
  <c r="X38" i="34"/>
  <c r="X58" i="34"/>
  <c r="X28" i="34"/>
  <c r="X91" i="34"/>
  <c r="X96" i="34"/>
  <c r="X361" i="34"/>
  <c r="X362" i="34"/>
  <c r="X50" i="34"/>
  <c r="X31" i="34"/>
  <c r="X144" i="34"/>
  <c r="X99" i="34"/>
  <c r="X312" i="34"/>
  <c r="X24" i="34"/>
  <c r="X55" i="34"/>
  <c r="X124" i="34"/>
  <c r="X141" i="34"/>
  <c r="X78" i="34"/>
  <c r="X315" i="34"/>
  <c r="X67" i="34"/>
  <c r="X45" i="34"/>
  <c r="X108" i="34"/>
  <c r="X119" i="34"/>
  <c r="X81" i="34"/>
  <c r="X303" i="34"/>
  <c r="X57" i="34"/>
  <c r="X229" i="34"/>
  <c r="X350" i="34"/>
  <c r="X154" i="34"/>
  <c r="X422" i="34"/>
  <c r="X93" i="34"/>
  <c r="X276" i="34"/>
  <c r="X335" i="34"/>
  <c r="X202" i="34"/>
  <c r="X371" i="34"/>
  <c r="X95" i="34"/>
  <c r="X301" i="34"/>
  <c r="X326" i="34"/>
  <c r="X217" i="34"/>
  <c r="X358" i="34"/>
  <c r="X146" i="34"/>
  <c r="X283" i="34"/>
  <c r="X306" i="34"/>
  <c r="X219" i="34"/>
  <c r="X390" i="34"/>
  <c r="X148" i="34"/>
  <c r="X429" i="34"/>
  <c r="X92" i="34"/>
  <c r="X274" i="34"/>
  <c r="X341" i="34"/>
  <c r="X155" i="34"/>
  <c r="X420" i="34"/>
  <c r="X94" i="34"/>
  <c r="X277" i="34"/>
  <c r="X327" i="34"/>
  <c r="X203" i="34"/>
  <c r="X359" i="34"/>
  <c r="X113" i="34"/>
  <c r="X299" i="34"/>
  <c r="X307" i="34"/>
  <c r="X218" i="34"/>
  <c r="X354" i="34"/>
  <c r="X147" i="34"/>
  <c r="X282" i="34"/>
  <c r="X426" i="34"/>
  <c r="X228" i="34"/>
  <c r="X114" i="34"/>
  <c r="X300" i="34"/>
  <c r="X275" i="34"/>
  <c r="X311" i="34"/>
  <c r="X351" i="34"/>
  <c r="X296" i="34"/>
  <c r="X43" i="34"/>
  <c r="X272" i="34"/>
  <c r="X281" i="34"/>
  <c r="X273" i="34"/>
  <c r="X126" i="34"/>
  <c r="X216" i="34"/>
  <c r="X211" i="34"/>
  <c r="X249" i="34"/>
  <c r="X278" i="34"/>
  <c r="X153" i="34"/>
  <c r="X152" i="34"/>
  <c r="X201" i="34"/>
  <c r="X227" i="34"/>
  <c r="X70" i="34"/>
  <c r="X289" i="34"/>
  <c r="X140" i="34"/>
  <c r="X172" i="34"/>
  <c r="X73" i="34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378" i="34"/>
  <c r="V380" i="34"/>
  <c r="V382" i="34"/>
  <c r="V391" i="34"/>
  <c r="V393" i="34"/>
  <c r="V395" i="34"/>
  <c r="V397" i="34"/>
  <c r="V399" i="34"/>
  <c r="V401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377" i="34"/>
  <c r="V379" i="34"/>
  <c r="V381" i="34"/>
  <c r="V383" i="34"/>
  <c r="V392" i="34"/>
  <c r="V394" i="34"/>
  <c r="V396" i="34"/>
  <c r="V398" i="34"/>
  <c r="V400" i="34"/>
  <c r="V402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304" i="34"/>
  <c r="V292" i="34"/>
  <c r="V293" i="34"/>
  <c r="V305" i="34"/>
  <c r="V307" i="34"/>
  <c r="V309" i="34"/>
  <c r="V311" i="34"/>
  <c r="V313" i="34"/>
  <c r="V315" i="34"/>
  <c r="V317" i="34"/>
  <c r="V319" i="34"/>
  <c r="V321" i="34"/>
  <c r="V323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8" i="34"/>
  <c r="V350" i="34"/>
  <c r="V352" i="34"/>
  <c r="V353" i="34"/>
  <c r="V385" i="34"/>
  <c r="V387" i="34"/>
  <c r="V389" i="34"/>
  <c r="V354" i="34"/>
  <c r="V356" i="34"/>
  <c r="V358" i="34"/>
  <c r="V360" i="34"/>
  <c r="V362" i="34"/>
  <c r="V364" i="34"/>
  <c r="V366" i="34"/>
  <c r="V368" i="34"/>
  <c r="V370" i="34"/>
  <c r="V291" i="34"/>
  <c r="V294" i="34"/>
  <c r="V295" i="34"/>
  <c r="V296" i="34"/>
  <c r="V297" i="34"/>
  <c r="V290" i="34"/>
  <c r="V298" i="34"/>
  <c r="V299" i="34"/>
  <c r="V300" i="34"/>
  <c r="V301" i="34"/>
  <c r="V302" i="34"/>
  <c r="V303" i="34"/>
  <c r="V306" i="34"/>
  <c r="V308" i="34"/>
  <c r="V310" i="34"/>
  <c r="V312" i="34"/>
  <c r="V314" i="34"/>
  <c r="V316" i="34"/>
  <c r="V318" i="34"/>
  <c r="V320" i="34"/>
  <c r="V32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9" i="34"/>
  <c r="V351" i="34"/>
  <c r="V384" i="34"/>
  <c r="V386" i="34"/>
  <c r="V388" i="34"/>
  <c r="V390" i="34"/>
  <c r="V355" i="34"/>
  <c r="V357" i="34"/>
  <c r="V359" i="34"/>
  <c r="V361" i="34"/>
  <c r="V363" i="34"/>
  <c r="V365" i="34"/>
  <c r="V367" i="34"/>
  <c r="V369" i="34"/>
  <c r="V371" i="34"/>
  <c r="V373" i="34"/>
  <c r="V375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72" i="34"/>
  <c r="V374" i="34"/>
  <c r="V376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102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105" i="55"/>
  <c r="B106" i="55"/>
  <c r="A104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113" i="55"/>
  <c r="V10" i="34"/>
  <c r="K111" i="55"/>
  <c r="K106" i="55"/>
  <c r="K110" i="55"/>
  <c r="K107" i="55"/>
  <c r="K10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109" i="55"/>
  <c r="K104" i="55"/>
  <c r="G113" i="55"/>
  <c r="G16" i="55"/>
  <c r="K12" i="55"/>
  <c r="K105" i="55"/>
  <c r="H13" i="61"/>
  <c r="H14" i="61" s="1"/>
  <c r="C13" i="61"/>
  <c r="C14" i="61" s="1"/>
  <c r="F12" i="61"/>
  <c r="G12" i="61"/>
  <c r="E12" i="61"/>
  <c r="D12" i="61"/>
  <c r="G17" i="56" l="1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02" i="55"/>
  <c r="I16" i="73"/>
  <c r="H16" i="73"/>
  <c r="I13" i="73"/>
  <c r="H13" i="73"/>
  <c r="I15" i="73"/>
  <c r="H15" i="73"/>
  <c r="I14" i="73"/>
  <c r="H14" i="73"/>
  <c r="I10" i="73"/>
  <c r="H10" i="73"/>
  <c r="K971" i="34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107" i="55"/>
  <c r="A106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113" i="55"/>
  <c r="K24" i="57"/>
  <c r="J17" i="57"/>
  <c r="H23" i="57"/>
  <c r="H16" i="57"/>
  <c r="H18" i="57"/>
  <c r="B13" i="61"/>
  <c r="N70" i="60" l="1"/>
  <c r="P70" i="60" s="1"/>
  <c r="F26" i="70" a="1"/>
  <c r="F26" i="70" s="1"/>
  <c r="E26" i="70" a="1"/>
  <c r="E26" i="70" s="1"/>
  <c r="J41" i="55" a="1"/>
  <c r="J41" i="55" s="1"/>
  <c r="J19" i="55" a="1"/>
  <c r="J19" i="55" s="1"/>
  <c r="J75" i="55" a="1"/>
  <c r="J75" i="55" s="1"/>
  <c r="J68" i="55" a="1"/>
  <c r="J68" i="55" s="1"/>
  <c r="J57" i="55" a="1"/>
  <c r="J57" i="55" s="1"/>
  <c r="J26" i="55" a="1"/>
  <c r="J26" i="55" s="1"/>
  <c r="J52" i="55" a="1"/>
  <c r="J52" i="55" s="1"/>
  <c r="J94" i="55" a="1"/>
  <c r="J94" i="55" s="1"/>
  <c r="H21" i="55" a="1"/>
  <c r="H21" i="55" s="1"/>
  <c r="H93" i="55" a="1"/>
  <c r="H93" i="55" s="1"/>
  <c r="H22" i="55" a="1"/>
  <c r="H22" i="55" s="1"/>
  <c r="H41" i="55" a="1"/>
  <c r="H41" i="55" s="1"/>
  <c r="L41" i="55" s="1"/>
  <c r="J93" i="55" a="1"/>
  <c r="J93" i="55" s="1"/>
  <c r="J23" i="55" a="1"/>
  <c r="J23" i="55" s="1"/>
  <c r="J18" i="55" a="1"/>
  <c r="J18" i="55" s="1"/>
  <c r="J88" i="55" a="1"/>
  <c r="J88" i="55" s="1"/>
  <c r="J47" i="55" a="1"/>
  <c r="J47" i="55" s="1"/>
  <c r="H24" i="55" a="1"/>
  <c r="H24" i="55" s="1"/>
  <c r="J72" i="55" a="1"/>
  <c r="J72" i="55" s="1"/>
  <c r="J40" i="55" a="1"/>
  <c r="J40" i="55" s="1"/>
  <c r="J82" i="55" a="1"/>
  <c r="J82" i="55" s="1"/>
  <c r="H74" i="55" a="1"/>
  <c r="H74" i="55" s="1"/>
  <c r="H39" i="55" a="1"/>
  <c r="H39" i="55" s="1"/>
  <c r="J89" i="55" a="1"/>
  <c r="J89" i="55" s="1"/>
  <c r="J54" i="55" a="1"/>
  <c r="J54" i="55" s="1"/>
  <c r="H78" i="55" a="1"/>
  <c r="H78" i="55" s="1"/>
  <c r="J24" i="55" a="1"/>
  <c r="J24" i="55" s="1"/>
  <c r="H72" i="55" a="1"/>
  <c r="H72" i="55" s="1"/>
  <c r="L72" i="55" s="1"/>
  <c r="H40" i="55" a="1"/>
  <c r="H40" i="55" s="1"/>
  <c r="H73" i="55" a="1"/>
  <c r="H73" i="55" s="1"/>
  <c r="J66" i="55" a="1"/>
  <c r="J66" i="55" s="1"/>
  <c r="J86" i="55" a="1"/>
  <c r="J86" i="55" s="1"/>
  <c r="J36" i="55" a="1"/>
  <c r="J36" i="55" s="1"/>
  <c r="H63" i="55" a="1"/>
  <c r="H63" i="55" s="1"/>
  <c r="H70" i="55" a="1"/>
  <c r="H70" i="55" s="1"/>
  <c r="H23" i="55" a="1"/>
  <c r="H23" i="55" s="1"/>
  <c r="L23" i="55" s="1"/>
  <c r="H66" i="55" a="1"/>
  <c r="H66" i="55" s="1"/>
  <c r="H100" i="55" a="1"/>
  <c r="H100" i="55" s="1"/>
  <c r="H25" i="55" a="1"/>
  <c r="H25" i="55" s="1"/>
  <c r="J30" i="55" a="1"/>
  <c r="J30" i="55" s="1"/>
  <c r="J32" i="55" a="1"/>
  <c r="J32" i="55" s="1"/>
  <c r="J99" i="55" a="1"/>
  <c r="J99" i="55" s="1"/>
  <c r="J37" i="55" a="1"/>
  <c r="J37" i="55" s="1"/>
  <c r="H19" i="55" a="1"/>
  <c r="H19" i="55" s="1"/>
  <c r="L19" i="55" s="1"/>
  <c r="H94" i="55" a="1"/>
  <c r="H94" i="55" s="1"/>
  <c r="L94" i="55" s="1"/>
  <c r="J69" i="55" a="1"/>
  <c r="J69" i="55" s="1"/>
  <c r="H77" i="55" a="1"/>
  <c r="H77" i="55" s="1"/>
  <c r="J22" i="55" a="1"/>
  <c r="J22" i="55" s="1"/>
  <c r="J81" i="55" a="1"/>
  <c r="J81" i="55" s="1"/>
  <c r="J77" i="55" a="1"/>
  <c r="J77" i="55" s="1"/>
  <c r="J27" i="55" a="1"/>
  <c r="J27" i="55" s="1"/>
  <c r="H87" i="55" a="1"/>
  <c r="H87" i="55" s="1"/>
  <c r="J90" i="55" a="1"/>
  <c r="J90" i="55" s="1"/>
  <c r="J74" i="55" a="1"/>
  <c r="J74" i="55" s="1"/>
  <c r="J39" i="55" a="1"/>
  <c r="J39" i="55" s="1"/>
  <c r="J58" i="55" a="1"/>
  <c r="J58" i="55" s="1"/>
  <c r="H38" i="55" a="1"/>
  <c r="H38" i="55" s="1"/>
  <c r="J73" i="55" a="1"/>
  <c r="J73" i="55" s="1"/>
  <c r="H60" i="55" a="1"/>
  <c r="H60" i="55" s="1"/>
  <c r="J42" i="55" a="1"/>
  <c r="J42" i="55" s="1"/>
  <c r="H65" i="55" a="1"/>
  <c r="H65" i="55" s="1"/>
  <c r="H27" i="55" a="1"/>
  <c r="H27" i="55" s="1"/>
  <c r="H44" i="55" a="1"/>
  <c r="H44" i="55" s="1"/>
  <c r="J100" i="55" a="1"/>
  <c r="J100" i="55" s="1"/>
  <c r="J25" i="55" a="1"/>
  <c r="J25" i="55" s="1"/>
  <c r="J50" i="55" a="1"/>
  <c r="J50" i="55" s="1"/>
  <c r="H71" i="55" a="1"/>
  <c r="H71" i="55" s="1"/>
  <c r="H67" i="55" a="1"/>
  <c r="H67" i="55" s="1"/>
  <c r="H68" i="55" a="1"/>
  <c r="H68" i="55" s="1"/>
  <c r="L68" i="55" s="1"/>
  <c r="J35" i="55" a="1"/>
  <c r="J35" i="55" s="1"/>
  <c r="J87" i="55" a="1"/>
  <c r="J87" i="55" s="1"/>
  <c r="H26" i="55" a="1"/>
  <c r="H26" i="55" s="1"/>
  <c r="L26" i="55" s="1"/>
  <c r="H52" i="55" a="1"/>
  <c r="H52" i="55" s="1"/>
  <c r="L52" i="55" s="1"/>
  <c r="H34" i="55" a="1"/>
  <c r="H34" i="55" s="1"/>
  <c r="J34" i="55" a="1"/>
  <c r="J34" i="55" s="1"/>
  <c r="H75" i="55" a="1"/>
  <c r="H75" i="55" s="1"/>
  <c r="L75" i="55" s="1"/>
  <c r="H91" i="55" a="1"/>
  <c r="H91" i="55" s="1"/>
  <c r="J91" i="55" a="1"/>
  <c r="J91" i="55" s="1"/>
  <c r="J29" i="55" a="1"/>
  <c r="J29" i="55" s="1"/>
  <c r="J80" i="55" a="1"/>
  <c r="J80" i="55" s="1"/>
  <c r="H81" i="55" a="1"/>
  <c r="H81" i="55" s="1"/>
  <c r="L81" i="55" s="1"/>
  <c r="H57" i="55" a="1"/>
  <c r="H57" i="55" s="1"/>
  <c r="H96" i="55" a="1"/>
  <c r="H96" i="55" s="1"/>
  <c r="H64" i="55" a="1"/>
  <c r="H64" i="55" s="1"/>
  <c r="H84" i="55" a="1"/>
  <c r="H84" i="55" s="1"/>
  <c r="H97" i="55" a="1"/>
  <c r="H97" i="55" s="1"/>
  <c r="H83" i="55" a="1"/>
  <c r="H83" i="55" s="1"/>
  <c r="H61" i="55" a="1"/>
  <c r="H61" i="55" s="1"/>
  <c r="J63" i="55" a="1"/>
  <c r="J63" i="55" s="1"/>
  <c r="J70" i="55" a="1"/>
  <c r="J70" i="55" s="1"/>
  <c r="H80" i="55" a="1"/>
  <c r="H80" i="55" s="1"/>
  <c r="H90" i="55" a="1"/>
  <c r="H90" i="55" s="1"/>
  <c r="J78" i="55" a="1"/>
  <c r="J78" i="55" s="1"/>
  <c r="J98" i="55" a="1"/>
  <c r="J98" i="55" s="1"/>
  <c r="J44" i="55" a="1"/>
  <c r="J44" i="55" s="1"/>
  <c r="H43" i="55" a="1"/>
  <c r="H43" i="55" s="1"/>
  <c r="J92" i="55" a="1"/>
  <c r="J92" i="55" s="1"/>
  <c r="J51" i="55" a="1"/>
  <c r="J51" i="55" s="1"/>
  <c r="H36" i="55" a="1"/>
  <c r="H36" i="55" s="1"/>
  <c r="H69" i="55" a="1"/>
  <c r="H69" i="55" s="1"/>
  <c r="L69" i="55" s="1"/>
  <c r="J95" i="55" a="1"/>
  <c r="J95" i="55" s="1"/>
  <c r="J96" i="55" a="1"/>
  <c r="J96" i="55" s="1"/>
  <c r="J64" i="55" a="1"/>
  <c r="J64" i="55" s="1"/>
  <c r="H30" i="55" a="1"/>
  <c r="H30" i="55" s="1"/>
  <c r="L30" i="55" s="1"/>
  <c r="J33" i="55" a="1"/>
  <c r="J33" i="55" s="1"/>
  <c r="H29" i="55" a="1"/>
  <c r="H29" i="55" s="1"/>
  <c r="H33" i="55" a="1"/>
  <c r="H33" i="55" s="1"/>
  <c r="H35" i="55" a="1"/>
  <c r="H35" i="55" s="1"/>
  <c r="H98" i="55" a="1"/>
  <c r="H98" i="55" s="1"/>
  <c r="H59" i="55" a="1"/>
  <c r="H59" i="55" s="1"/>
  <c r="J21" i="55" a="1"/>
  <c r="J21" i="55" s="1"/>
  <c r="J59" i="55" a="1"/>
  <c r="J59" i="55" s="1"/>
  <c r="J46" i="55" a="1"/>
  <c r="J46" i="55" s="1"/>
  <c r="H18" i="55" a="1"/>
  <c r="H18" i="55" s="1"/>
  <c r="L18" i="55" s="1"/>
  <c r="H95" i="55" a="1"/>
  <c r="H95" i="55" s="1"/>
  <c r="H88" i="55" a="1"/>
  <c r="H88" i="55" s="1"/>
  <c r="L88" i="55" s="1"/>
  <c r="H47" i="55" a="1"/>
  <c r="H47" i="55" s="1"/>
  <c r="L47" i="55" s="1"/>
  <c r="J97" i="55" a="1"/>
  <c r="J97" i="55" s="1"/>
  <c r="J83" i="55" a="1"/>
  <c r="J83" i="55" s="1"/>
  <c r="J56" i="55" a="1"/>
  <c r="J56" i="55" s="1"/>
  <c r="J43" i="55" a="1"/>
  <c r="J43" i="55" s="1"/>
  <c r="H92" i="55" a="1"/>
  <c r="H92" i="55" s="1"/>
  <c r="H51" i="55" a="1"/>
  <c r="H51" i="55" s="1"/>
  <c r="H89" i="55" a="1"/>
  <c r="H89" i="55" s="1"/>
  <c r="L89" i="55" s="1"/>
  <c r="H54" i="55" a="1"/>
  <c r="H54" i="55" s="1"/>
  <c r="L54" i="55" s="1"/>
  <c r="J84" i="55" a="1"/>
  <c r="J84" i="55" s="1"/>
  <c r="J61" i="55" a="1"/>
  <c r="J61" i="55" s="1"/>
  <c r="J65" i="55" a="1"/>
  <c r="J65" i="55" s="1"/>
  <c r="H56" i="55" a="1"/>
  <c r="H56" i="55" s="1"/>
  <c r="H86" i="55" a="1"/>
  <c r="H86" i="55" s="1"/>
  <c r="L86" i="55" s="1"/>
  <c r="H50" i="55" a="1"/>
  <c r="H50" i="55" s="1"/>
  <c r="L50" i="55" s="1"/>
  <c r="J71" i="55" a="1"/>
  <c r="J71" i="55" s="1"/>
  <c r="J67" i="55" a="1"/>
  <c r="J67" i="55" s="1"/>
  <c r="H58" i="55" a="1"/>
  <c r="H58" i="55" s="1"/>
  <c r="J38" i="55" a="1"/>
  <c r="J38" i="55" s="1"/>
  <c r="H46" i="55" a="1"/>
  <c r="H46" i="55" s="1"/>
  <c r="H32" i="55" a="1"/>
  <c r="H32" i="55" s="1"/>
  <c r="L32" i="55" s="1"/>
  <c r="H99" i="55" a="1"/>
  <c r="H99" i="55" s="1"/>
  <c r="L99" i="55" s="1"/>
  <c r="H37" i="55" a="1"/>
  <c r="H37" i="55" s="1"/>
  <c r="L37" i="55" s="1"/>
  <c r="H82" i="55" a="1"/>
  <c r="H82" i="55" s="1"/>
  <c r="L82" i="55" s="1"/>
  <c r="J60" i="55" a="1"/>
  <c r="J60" i="55" s="1"/>
  <c r="H42" i="55" a="1"/>
  <c r="H42" i="55" s="1"/>
  <c r="L42" i="55" s="1"/>
  <c r="J14" i="55" a="1"/>
  <c r="J14" i="55" s="1"/>
  <c r="H14" i="55" a="1"/>
  <c r="H14" i="55" s="1"/>
  <c r="F11" i="12" a="1"/>
  <c r="F11" i="12" s="1"/>
  <c r="E11" i="12" a="1"/>
  <c r="E11" i="12" s="1"/>
  <c r="E37" i="15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85" i="55" a="1"/>
  <c r="J85" i="55" s="1"/>
  <c r="H85" i="55" a="1"/>
  <c r="H85" i="55" s="1"/>
  <c r="H28" i="55" a="1"/>
  <c r="H28" i="55" s="1"/>
  <c r="J53" i="55" a="1"/>
  <c r="J53" i="55" s="1"/>
  <c r="J76" i="55" a="1"/>
  <c r="J76" i="55" s="1"/>
  <c r="H53" i="55" a="1"/>
  <c r="H53" i="55" s="1"/>
  <c r="J28" i="55" a="1"/>
  <c r="J28" i="55" s="1"/>
  <c r="H76" i="55" a="1"/>
  <c r="H76" i="55" s="1"/>
  <c r="J20" i="55" a="1"/>
  <c r="J20" i="55" s="1"/>
  <c r="H55" i="55" a="1"/>
  <c r="H55" i="55" s="1"/>
  <c r="J49" i="55" a="1"/>
  <c r="J49" i="55" s="1"/>
  <c r="H48" i="55" a="1"/>
  <c r="H48" i="55" s="1"/>
  <c r="H20" i="55" a="1"/>
  <c r="H20" i="55" s="1"/>
  <c r="J79" i="55" a="1"/>
  <c r="J79" i="55" s="1"/>
  <c r="J48" i="55" a="1"/>
  <c r="J48" i="55" s="1"/>
  <c r="J45" i="55" a="1"/>
  <c r="J45" i="55" s="1"/>
  <c r="H49" i="55" a="1"/>
  <c r="H49" i="55" s="1"/>
  <c r="H79" i="55" a="1"/>
  <c r="H79" i="55" s="1"/>
  <c r="H45" i="55" a="1"/>
  <c r="H45" i="55" s="1"/>
  <c r="J55" i="55" a="1"/>
  <c r="J55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31" i="55" a="1"/>
  <c r="H31" i="55" s="1"/>
  <c r="J31" i="55" a="1"/>
  <c r="J31" i="55" s="1"/>
  <c r="J62" i="55" a="1"/>
  <c r="J62" i="55" s="1"/>
  <c r="F10" i="15" a="1"/>
  <c r="F10" i="15" s="1"/>
  <c r="E10" i="15" a="1"/>
  <c r="E10" i="15" s="1"/>
  <c r="H62" i="55" a="1"/>
  <c r="H62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108" i="55"/>
  <c r="A107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35" i="55" l="1"/>
  <c r="L80" i="55"/>
  <c r="L27" i="55"/>
  <c r="L46" i="55"/>
  <c r="L98" i="55"/>
  <c r="L66" i="55"/>
  <c r="L57" i="55"/>
  <c r="L36" i="55"/>
  <c r="L90" i="55"/>
  <c r="L58" i="55"/>
  <c r="G26" i="70"/>
  <c r="L95" i="55"/>
  <c r="L51" i="55"/>
  <c r="L92" i="55"/>
  <c r="L29" i="55"/>
  <c r="L40" i="55"/>
  <c r="L56" i="55"/>
  <c r="H26" i="70"/>
  <c r="G37" i="15"/>
  <c r="L77" i="55"/>
  <c r="L97" i="55"/>
  <c r="L91" i="55"/>
  <c r="L71" i="55"/>
  <c r="L44" i="55"/>
  <c r="L25" i="55"/>
  <c r="L74" i="55"/>
  <c r="L84" i="55"/>
  <c r="L24" i="55"/>
  <c r="L93" i="55"/>
  <c r="L21" i="55"/>
  <c r="L43" i="55"/>
  <c r="L61" i="55"/>
  <c r="L83" i="55"/>
  <c r="L64" i="55"/>
  <c r="L38" i="55"/>
  <c r="L100" i="55"/>
  <c r="L70" i="55"/>
  <c r="L78" i="55"/>
  <c r="L45" i="55"/>
  <c r="L79" i="55"/>
  <c r="L59" i="55"/>
  <c r="L33" i="55"/>
  <c r="L96" i="55"/>
  <c r="L34" i="55"/>
  <c r="L67" i="55"/>
  <c r="L65" i="55"/>
  <c r="L60" i="55"/>
  <c r="L87" i="55"/>
  <c r="L63" i="55"/>
  <c r="L73" i="55"/>
  <c r="L39" i="55"/>
  <c r="L22" i="55"/>
  <c r="L14" i="55"/>
  <c r="L76" i="55"/>
  <c r="L85" i="55"/>
  <c r="G11" i="12"/>
  <c r="H11" i="12"/>
  <c r="H37" i="15"/>
  <c r="G10" i="12"/>
  <c r="L53" i="55"/>
  <c r="L28" i="55"/>
  <c r="L62" i="55"/>
  <c r="L20" i="55"/>
  <c r="L48" i="55"/>
  <c r="L49" i="55"/>
  <c r="L55" i="55"/>
  <c r="H9" i="12"/>
  <c r="G8" i="12"/>
  <c r="H10" i="12"/>
  <c r="H8" i="12"/>
  <c r="G9" i="12"/>
  <c r="L31" i="55"/>
  <c r="I16" i="71"/>
  <c r="J16" i="71"/>
  <c r="N90" i="60"/>
  <c r="J16" i="14"/>
  <c r="G72" i="60"/>
  <c r="N68" i="60"/>
  <c r="P68" i="60" s="1"/>
  <c r="G95" i="43"/>
  <c r="P87" i="60"/>
  <c r="B109" i="55"/>
  <c r="A108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110" i="55"/>
  <c r="A109" i="55"/>
  <c r="P47" i="60"/>
  <c r="N52" i="60"/>
  <c r="I61" i="42"/>
  <c r="I18" i="71" l="1"/>
  <c r="J18" i="71"/>
  <c r="J18" i="14"/>
  <c r="I18" i="14"/>
  <c r="B111" i="55"/>
  <c r="A111" i="55" s="1"/>
  <c r="A110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E22" i="70" a="1"/>
  <c r="E22" i="70" s="1"/>
  <c r="E5" i="70" a="1"/>
  <c r="E5" i="70" s="1"/>
  <c r="E24" i="70" a="1"/>
  <c r="E24" i="70" s="1"/>
  <c r="E7" i="70" a="1"/>
  <c r="E7" i="70" s="1"/>
  <c r="E9" i="70" a="1"/>
  <c r="E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108" i="55" a="1"/>
  <c r="H108" i="55" s="1"/>
  <c r="E14" i="15" a="1"/>
  <c r="E14" i="15" s="1"/>
  <c r="E30" i="70" s="1"/>
  <c r="E61" i="15" a="1"/>
  <c r="E61" i="15" s="1"/>
  <c r="H111" i="55" a="1"/>
  <c r="H111" i="55" s="1"/>
  <c r="E45" i="15" a="1"/>
  <c r="E45" i="15" s="1"/>
  <c r="H107" i="55" a="1"/>
  <c r="H107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104" i="55" a="1"/>
  <c r="J104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106" i="55" a="1"/>
  <c r="H106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114" i="55" s="1"/>
  <c r="F22" i="15" a="1"/>
  <c r="F22" i="15" s="1"/>
  <c r="G8" i="45" a="1"/>
  <c r="G8" i="45" s="1"/>
  <c r="F51" i="15" a="1"/>
  <c r="F51" i="1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109" i="55" a="1"/>
  <c r="H109" i="55" s="1"/>
  <c r="F25" i="15" a="1"/>
  <c r="F25" i="15" s="1"/>
  <c r="G10" i="45" a="1"/>
  <c r="G10" i="45" s="1"/>
  <c r="H110" i="55" a="1"/>
  <c r="H110" i="55" s="1"/>
  <c r="F29" i="15" a="1"/>
  <c r="F29" i="15" s="1"/>
  <c r="H13" i="45" a="1"/>
  <c r="H13" i="4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104" i="55" a="1"/>
  <c r="H104" i="55" s="1"/>
  <c r="E23" i="15" a="1"/>
  <c r="E23" i="15" s="1"/>
  <c r="F46" i="15" a="1"/>
  <c r="F46" i="15" s="1"/>
  <c r="H105" i="55" a="1"/>
  <c r="H105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0" i="70" s="1"/>
  <c r="J106" i="55" a="1"/>
  <c r="J106" i="55" s="1"/>
  <c r="H11" i="45" a="1"/>
  <c r="H11" i="45" s="1"/>
  <c r="J12" i="55" a="1"/>
  <c r="J12" i="55" s="1"/>
  <c r="F65" i="15" a="1"/>
  <c r="F65" i="15" s="1"/>
  <c r="F38" i="15" a="1"/>
  <c r="F38" i="15" s="1"/>
  <c r="E43" i="15" a="1"/>
  <c r="E43" i="15" s="1"/>
  <c r="E44" i="15" s="1"/>
  <c r="H4" i="45" a="1"/>
  <c r="H4" i="45" s="1"/>
  <c r="E53" i="15" a="1"/>
  <c r="E53" i="15" s="1"/>
  <c r="E46" i="15" a="1"/>
  <c r="E46" i="15" s="1"/>
  <c r="F34" i="15" a="1"/>
  <c r="F34" i="15" s="1"/>
  <c r="J110" i="55" a="1"/>
  <c r="J110" i="55" s="1"/>
  <c r="F62" i="15" a="1"/>
  <c r="F62" i="15" s="1"/>
  <c r="F24" i="15" a="1"/>
  <c r="F24" i="15" s="1"/>
  <c r="F60" i="15" a="1"/>
  <c r="F60" i="15" s="1"/>
  <c r="J108" i="55" a="1"/>
  <c r="J108" i="55" s="1"/>
  <c r="F12" i="15" a="1"/>
  <c r="F12" i="15" s="1"/>
  <c r="F13" i="15" s="1"/>
  <c r="J109" i="55" a="1"/>
  <c r="J109" i="55" s="1"/>
  <c r="F66" i="15" a="1"/>
  <c r="F66" i="15" s="1"/>
  <c r="H56" i="15"/>
  <c r="F61" i="15" a="1"/>
  <c r="F61" i="15" s="1"/>
  <c r="J13" i="55" a="1"/>
  <c r="J13" i="55" s="1"/>
  <c r="F67" i="15" a="1"/>
  <c r="F67" i="15" s="1"/>
  <c r="E51" i="15" a="1"/>
  <c r="E51" i="15" s="1"/>
  <c r="J107" i="55" a="1"/>
  <c r="J107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105" i="55" a="1"/>
  <c r="J105" i="55" s="1"/>
  <c r="E36" i="15" a="1"/>
  <c r="E36" i="15" s="1"/>
  <c r="E17" i="15" a="1"/>
  <c r="E17" i="15" s="1"/>
  <c r="F64" i="15" a="1"/>
  <c r="F64" i="15" s="1"/>
  <c r="E22" i="15" a="1"/>
  <c r="E22" i="15" s="1"/>
  <c r="J111" i="55" a="1"/>
  <c r="J111" i="55" s="1"/>
  <c r="G7" i="45" a="1"/>
  <c r="G7" i="45" s="1"/>
  <c r="H8" i="45" a="1"/>
  <c r="H8" i="45" s="1"/>
  <c r="C14" i="39"/>
  <c r="G22" i="70" l="1"/>
  <c r="F42" i="15"/>
  <c r="H15" i="70"/>
  <c r="G9" i="70"/>
  <c r="G21" i="70"/>
  <c r="E28" i="70"/>
  <c r="E32" i="70" s="1"/>
  <c r="F28" i="70"/>
  <c r="F32" i="70" s="1"/>
  <c r="H102" i="55"/>
  <c r="J102" i="55"/>
  <c r="J103" i="55"/>
  <c r="F21" i="15"/>
  <c r="H103" i="55"/>
  <c r="E21" i="15"/>
  <c r="H11" i="70"/>
  <c r="G13" i="70"/>
  <c r="H5" i="70"/>
  <c r="G25" i="70"/>
  <c r="H7" i="70"/>
  <c r="G55" i="15"/>
  <c r="G57" i="15" s="1"/>
  <c r="G17" i="70"/>
  <c r="G22" i="15"/>
  <c r="I67" i="15"/>
  <c r="H25" i="70"/>
  <c r="H23" i="70"/>
  <c r="H50" i="15"/>
  <c r="H18" i="70"/>
  <c r="H10" i="70"/>
  <c r="G12" i="70"/>
  <c r="H20" i="70"/>
  <c r="G16" i="70"/>
  <c r="H14" i="70"/>
  <c r="H6" i="70"/>
  <c r="G8" i="70"/>
  <c r="G24" i="70"/>
  <c r="I63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5" i="12"/>
  <c r="G4" i="70"/>
  <c r="H4" i="70"/>
  <c r="F57" i="15"/>
  <c r="H55" i="15"/>
  <c r="H57" i="15" s="1"/>
  <c r="I64" i="15"/>
  <c r="L12" i="55"/>
  <c r="E33" i="15"/>
  <c r="G12" i="15"/>
  <c r="G13" i="15" s="1"/>
  <c r="J13" i="15" s="1"/>
  <c r="H26" i="15"/>
  <c r="G39" i="15"/>
  <c r="I10" i="45"/>
  <c r="F59" i="15"/>
  <c r="G45" i="15"/>
  <c r="G14" i="15"/>
  <c r="L107" i="55"/>
  <c r="G47" i="15"/>
  <c r="H7" i="12"/>
  <c r="G29" i="15"/>
  <c r="G30" i="15" s="1"/>
  <c r="I9" i="45"/>
  <c r="J9" i="45"/>
  <c r="H20" i="15"/>
  <c r="I7" i="45"/>
  <c r="H45" i="15"/>
  <c r="H36" i="15"/>
  <c r="L109" i="55"/>
  <c r="H5" i="12"/>
  <c r="H39" i="15"/>
  <c r="J6" i="45"/>
  <c r="L13" i="55"/>
  <c r="G40" i="15"/>
  <c r="G41" i="15" s="1"/>
  <c r="G6" i="12"/>
  <c r="J8" i="45"/>
  <c r="G19" i="15"/>
  <c r="L103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108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105" i="55"/>
  <c r="H48" i="15"/>
  <c r="H40" i="15"/>
  <c r="H41" i="15" s="1"/>
  <c r="E41" i="15"/>
  <c r="E42" i="15" s="1"/>
  <c r="G5" i="12"/>
  <c r="L106" i="55"/>
  <c r="H10" i="15"/>
  <c r="H11" i="15" s="1"/>
  <c r="L110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114" i="55" s="1"/>
  <c r="H31" i="15"/>
  <c r="I11" i="45"/>
  <c r="G43" i="15"/>
  <c r="H14" i="15"/>
  <c r="H46" i="15"/>
  <c r="G23" i="15"/>
  <c r="H12" i="15"/>
  <c r="H13" i="15" s="1"/>
  <c r="H27" i="15"/>
  <c r="J17" i="55"/>
  <c r="I5" i="45"/>
  <c r="G53" i="15"/>
  <c r="L104" i="55"/>
  <c r="G46" i="15"/>
  <c r="E49" i="15"/>
  <c r="H53" i="15"/>
  <c r="E54" i="15"/>
  <c r="G54" i="15" s="1"/>
  <c r="H34" i="15"/>
  <c r="I65" i="15"/>
  <c r="H113" i="55"/>
  <c r="G114" i="55" s="1"/>
  <c r="G38" i="15"/>
  <c r="H38" i="15"/>
  <c r="G27" i="15"/>
  <c r="I60" i="15"/>
  <c r="H47" i="15"/>
  <c r="H44" i="15"/>
  <c r="J5" i="45"/>
  <c r="J4" i="45"/>
  <c r="F49" i="15"/>
  <c r="F35" i="15"/>
  <c r="H35" i="15" s="1"/>
  <c r="J114" i="55"/>
  <c r="H24" i="15"/>
  <c r="G34" i="15"/>
  <c r="E52" i="15"/>
  <c r="J113" i="55"/>
  <c r="I6" i="45"/>
  <c r="H51" i="15"/>
  <c r="J16" i="55"/>
  <c r="E18" i="15"/>
  <c r="G18" i="15" s="1"/>
  <c r="G17" i="15"/>
  <c r="H17" i="15"/>
  <c r="E13" i="12"/>
  <c r="G48" i="15"/>
  <c r="H22" i="15"/>
  <c r="J11" i="45"/>
  <c r="J7" i="45"/>
  <c r="H16" i="45"/>
  <c r="F13" i="12"/>
  <c r="E15" i="12"/>
  <c r="G36" i="15"/>
  <c r="H16" i="55"/>
  <c r="G17" i="55" s="1"/>
  <c r="G44" i="15"/>
  <c r="E57" i="15"/>
  <c r="G16" i="45"/>
  <c r="L111" i="55"/>
  <c r="I8" i="45"/>
  <c r="H42" i="15" l="1"/>
  <c r="G42" i="15"/>
  <c r="H28" i="70"/>
  <c r="G28" i="70"/>
  <c r="G103" i="55"/>
  <c r="I103" i="55"/>
  <c r="L102" i="55"/>
  <c r="K103" i="55" s="1"/>
  <c r="F17" i="12"/>
  <c r="H52" i="15"/>
  <c r="J17" i="45" s="1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113" i="55"/>
  <c r="K114" i="55" s="1"/>
  <c r="H49" i="15"/>
  <c r="I114" i="55"/>
  <c r="H18" i="15"/>
  <c r="L16" i="55"/>
  <c r="K17" i="55" s="1"/>
  <c r="G13" i="12"/>
  <c r="I16" i="45"/>
  <c r="J16" i="45"/>
  <c r="H13" i="12"/>
  <c r="E17" i="12"/>
  <c r="J18" i="45" l="1"/>
  <c r="H69" i="15"/>
  <c r="G69" i="15"/>
  <c r="E69" i="15"/>
  <c r="H71" i="15" l="1"/>
  <c r="B18" i="55" l="1"/>
  <c r="A18" i="55" l="1"/>
  <c r="B19" i="55" l="1"/>
  <c r="B20" i="55" s="1"/>
  <c r="A20" i="55" s="1"/>
  <c r="A19" i="55" l="1"/>
  <c r="B21" i="55" l="1"/>
  <c r="B22" i="55" s="1"/>
  <c r="A22" i="55" l="1"/>
  <c r="B23" i="55"/>
  <c r="A21" i="55"/>
  <c r="B24" i="55" l="1"/>
  <c r="A23" i="55"/>
  <c r="A24" i="55" l="1"/>
  <c r="B25" i="55"/>
  <c r="B26" i="55" l="1"/>
  <c r="A25" i="55"/>
  <c r="A26" i="55" l="1"/>
  <c r="B27" i="55"/>
  <c r="B28" i="55" l="1"/>
  <c r="A27" i="55"/>
  <c r="A28" i="55" l="1"/>
  <c r="B29" i="55"/>
  <c r="B30" i="55" l="1"/>
  <c r="A29" i="55"/>
  <c r="A30" i="55" l="1"/>
  <c r="B31" i="55"/>
  <c r="B32" i="55" s="1"/>
  <c r="A32" i="55" l="1"/>
  <c r="B33" i="55"/>
  <c r="A31" i="55"/>
  <c r="B34" i="55" l="1"/>
  <c r="A33" i="55"/>
  <c r="A34" i="55" l="1"/>
  <c r="B35" i="55"/>
  <c r="B36" i="55" l="1"/>
  <c r="A35" i="55"/>
  <c r="A36" i="55" l="1"/>
  <c r="B37" i="55"/>
  <c r="B38" i="55" l="1"/>
  <c r="A37" i="55"/>
  <c r="A38" i="55" l="1"/>
  <c r="B39" i="55"/>
  <c r="B40" i="55" l="1"/>
  <c r="A39" i="55"/>
  <c r="A40" i="55" l="1"/>
  <c r="B41" i="55"/>
  <c r="B42" i="55" l="1"/>
  <c r="A41" i="55"/>
  <c r="A42" i="55" l="1"/>
  <c r="B43" i="55"/>
  <c r="B44" i="55" s="1"/>
  <c r="A44" i="55" l="1"/>
  <c r="B45" i="55"/>
  <c r="A43" i="55"/>
  <c r="B46" i="55" l="1"/>
  <c r="A45" i="55"/>
  <c r="A46" i="55" l="1"/>
  <c r="B47" i="55"/>
  <c r="B48" i="55" l="1"/>
  <c r="A47" i="55"/>
  <c r="A48" i="55" l="1"/>
  <c r="B49" i="55"/>
  <c r="B50" i="55" l="1"/>
  <c r="A49" i="55"/>
  <c r="A50" i="55" l="1"/>
  <c r="B51" i="55"/>
  <c r="B52" i="55" l="1"/>
  <c r="A51" i="55"/>
  <c r="A52" i="55" l="1"/>
  <c r="B53" i="55"/>
  <c r="B54" i="55" l="1"/>
  <c r="A53" i="55"/>
  <c r="A54" i="55" l="1"/>
  <c r="B55" i="55"/>
  <c r="B56" i="55" l="1"/>
  <c r="B57" i="55" s="1"/>
  <c r="A55" i="55"/>
  <c r="A57" i="55" l="1"/>
  <c r="B58" i="55"/>
  <c r="A56" i="55"/>
  <c r="A58" i="55" l="1"/>
  <c r="B59" i="55"/>
  <c r="A59" i="55" l="1"/>
  <c r="B60" i="55"/>
  <c r="B61" i="55" l="1"/>
  <c r="A60" i="55"/>
  <c r="A61" i="55" l="1"/>
  <c r="B62" i="55"/>
  <c r="B63" i="55" l="1"/>
  <c r="A62" i="55"/>
  <c r="A63" i="55" l="1"/>
  <c r="B64" i="55"/>
  <c r="A64" i="55" l="1"/>
  <c r="B65" i="55"/>
  <c r="B66" i="55" l="1"/>
  <c r="A65" i="55"/>
  <c r="B67" i="55" l="1"/>
  <c r="B68" i="55" s="1"/>
  <c r="A66" i="55"/>
  <c r="A68" i="55" l="1"/>
  <c r="B69" i="55"/>
  <c r="A67" i="55"/>
  <c r="B70" i="55" l="1"/>
  <c r="A69" i="55"/>
  <c r="A70" i="55" l="1"/>
  <c r="B71" i="55"/>
  <c r="B72" i="55" l="1"/>
  <c r="A71" i="55"/>
  <c r="A72" i="55" l="1"/>
  <c r="B73" i="55"/>
  <c r="B74" i="55" l="1"/>
  <c r="A73" i="55"/>
  <c r="A74" i="55" l="1"/>
  <c r="B75" i="55"/>
  <c r="B76" i="55" l="1"/>
  <c r="A75" i="55"/>
  <c r="A76" i="55" l="1"/>
  <c r="B77" i="55"/>
  <c r="B78" i="55" l="1"/>
  <c r="A77" i="55"/>
  <c r="A78" i="55" l="1"/>
  <c r="B79" i="55"/>
  <c r="A79" i="55" l="1"/>
  <c r="B80" i="55"/>
  <c r="A80" i="55" l="1"/>
  <c r="B81" i="55"/>
  <c r="B82" i="55" l="1"/>
  <c r="A81" i="55"/>
  <c r="B83" i="55" l="1"/>
  <c r="A82" i="55"/>
  <c r="A83" i="55" l="1"/>
  <c r="B84" i="55"/>
  <c r="A84" i="55" l="1"/>
  <c r="B85" i="55"/>
  <c r="B86" i="55" l="1"/>
  <c r="A85" i="55"/>
  <c r="B87" i="55" l="1"/>
  <c r="A86" i="55"/>
  <c r="B88" i="55" l="1"/>
  <c r="A87" i="55"/>
  <c r="B89" i="55" l="1"/>
  <c r="A88" i="55"/>
  <c r="A89" i="55" l="1"/>
  <c r="B90" i="55"/>
  <c r="B91" i="55" l="1"/>
  <c r="A90" i="55"/>
  <c r="B99" i="55"/>
  <c r="B92" i="55" l="1"/>
  <c r="A91" i="55"/>
  <c r="A99" i="55"/>
  <c r="B100" i="55"/>
  <c r="A100" i="55" s="1"/>
  <c r="B93" i="55" l="1"/>
  <c r="A92" i="55"/>
  <c r="A93" i="55" l="1"/>
</calcChain>
</file>

<file path=xl/sharedStrings.xml><?xml version="1.0" encoding="utf-8"?>
<sst xmlns="http://schemas.openxmlformats.org/spreadsheetml/2006/main" count="3314" uniqueCount="757">
  <si>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</si>
  <si>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</si>
  <si>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</si>
  <si>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</si>
  <si>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</si>
  <si>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</si>
  <si>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</si>
  <si>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</si>
  <si>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</si>
  <si>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</si>
  <si>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</si>
  <si>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</si>
  <si>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</si>
  <si>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</si>
  <si>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</si>
  <si>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</si>
  <si>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</si>
  <si>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</si>
  <si>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</si>
  <si>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</si>
  <si>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</si>
  <si>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</si>
  <si>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</si>
  <si>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</si>
  <si>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</si>
  <si>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</si>
  <si>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</si>
  <si>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</si>
  <si>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</si>
  <si>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</si>
  <si>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</si>
  <si>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</si>
  <si>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</si>
  <si>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</si>
  <si>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</si>
  <si>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</si>
  <si>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</si>
  <si>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</si>
  <si>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</si>
  <si>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</si>
  <si>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</si>
  <si>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</si>
  <si>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</si>
  <si>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</si>
  <si>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</si>
  <si>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</si>
  <si>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</si>
  <si>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</si>
  <si>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</si>
  <si>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</si>
  <si>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</si>
  <si>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</si>
  <si>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</si>
  <si>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</si>
  <si>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</si>
  <si>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</si>
  <si>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</si>
  <si>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</si>
  <si>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</si>
  <si>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</si>
  <si>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</si>
  <si>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</si>
  <si>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</si>
  <si>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</si>
  <si>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</si>
  <si>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</si>
  <si>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</si>
  <si>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</si>
  <si>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</si>
  <si>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</si>
  <si>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</si>
  <si>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</si>
  <si>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</si>
  <si>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</si>
  <si>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</si>
  <si>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</si>
  <si>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</si>
  <si>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</si>
  <si>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</si>
  <si>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</si>
  <si>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</si>
  <si>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</si>
  <si>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</si>
  <si>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</si>
  <si>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</si>
  <si>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</si>
  <si>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</si>
  <si>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</si>
  <si>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</si>
  <si>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</si>
  <si>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</si>
  <si>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</si>
  <si>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</si>
  <si>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</si>
  <si>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</si>
  <si>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</si>
  <si>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</si>
  <si>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</si>
  <si>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</si>
  <si>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</si>
  <si>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</si>
  <si>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</si>
  <si>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</si>
  <si>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</si>
  <si>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</si>
  <si>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</si>
  <si>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</si>
  <si>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</si>
  <si>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</si>
  <si>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</si>
  <si>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</si>
  <si>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</si>
  <si>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</si>
  <si>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</si>
  <si>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</si>
  <si>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</si>
  <si>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</si>
  <si>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</si>
  <si>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</si>
  <si>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</si>
  <si>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</si>
  <si>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</si>
  <si>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</si>
  <si>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</si>
  <si>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</si>
  <si>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</si>
  <si>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</si>
  <si>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</si>
  <si>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</si>
  <si>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</si>
  <si>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</si>
  <si>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</si>
  <si>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</si>
  <si>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</si>
  <si>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</si>
  <si>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</si>
  <si>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</si>
  <si>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</si>
  <si>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</si>
  <si>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</si>
  <si>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</si>
  <si>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</si>
  <si>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</si>
  <si>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</si>
  <si>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</si>
  <si>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</si>
  <si>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</si>
  <si>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</si>
  <si>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</si>
  <si>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</si>
  <si>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</si>
  <si>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</si>
  <si>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</si>
  <si>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</si>
  <si>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</si>
  <si>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</si>
  <si>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</si>
  <si>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</si>
  <si>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</si>
  <si>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</si>
  <si>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</si>
  <si>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</si>
  <si>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</si>
  <si>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</si>
  <si>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</si>
  <si>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</si>
  <si>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</si>
  <si>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</si>
  <si>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</si>
  <si>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</si>
  <si>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</si>
  <si>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</si>
  <si>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</si>
  <si>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</si>
  <si>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</si>
  <si>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</si>
  <si>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</si>
  <si>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</si>
  <si>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</si>
  <si>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</si>
  <si>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</si>
  <si>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</si>
  <si>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</si>
  <si>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</si>
  <si>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</si>
  <si>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</si>
  <si>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</si>
  <si>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</si>
  <si>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</si>
  <si>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</si>
  <si>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</si>
  <si>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</si>
  <si>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</si>
  <si>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</si>
  <si>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</si>
  <si>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</si>
  <si>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</si>
  <si>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</si>
  <si>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</si>
  <si>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</si>
  <si>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</si>
  <si>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</si>
  <si>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</si>
  <si>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</si>
  <si>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</si>
  <si>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</si>
  <si>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</si>
  <si>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</si>
  <si>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</si>
  <si>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</si>
  <si>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</si>
  <si>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</si>
  <si>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</si>
  <si>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</si>
  <si>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</si>
  <si>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</si>
  <si>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</si>
  <si>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</si>
  <si>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</si>
  <si>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</si>
  <si>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</si>
  <si>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</si>
  <si>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</si>
  <si>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</si>
  <si>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</si>
  <si>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</si>
  <si>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</si>
  <si>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</si>
  <si>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</si>
  <si>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</si>
  <si>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</si>
  <si>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</si>
  <si>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</si>
  <si>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</si>
  <si>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</si>
  <si>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</si>
  <si>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</si>
  <si>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</si>
  <si>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</si>
  <si>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</si>
  <si>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</si>
  <si>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</si>
  <si>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</si>
  <si>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</si>
  <si>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</si>
  <si>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</si>
  <si>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</si>
  <si>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</si>
  <si>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</si>
  <si>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</si>
  <si>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</si>
  <si>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</si>
  <si>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</si>
  <si>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</si>
  <si>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</si>
  <si>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</si>
  <si>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</si>
  <si>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</si>
  <si>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</si>
  <si>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</si>
  <si>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</si>
  <si>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</si>
  <si>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</si>
  <si>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</si>
  <si>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</si>
  <si>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</si>
  <si>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</si>
  <si>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</si>
  <si>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</si>
  <si>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</si>
  <si>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</si>
  <si>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</si>
  <si>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</si>
  <si>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</si>
  <si>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</si>
  <si>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</si>
  <si>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</si>
  <si>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</si>
  <si>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</si>
  <si>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</si>
  <si>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</si>
  <si>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</si>
  <si>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</si>
  <si>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</si>
  <si>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</si>
  <si>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</si>
  <si>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</si>
  <si>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</si>
  <si>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</si>
  <si>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</si>
  <si>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</si>
  <si>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</si>
  <si>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</si>
  <si>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</si>
  <si>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</si>
  <si>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</si>
  <si>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</si>
  <si>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</si>
  <si>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</si>
  <si>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</si>
  <si>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</si>
  <si>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</si>
  <si>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</si>
  <si>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</si>
  <si>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</si>
  <si>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</si>
  <si>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</si>
  <si>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</si>
  <si>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</si>
  <si>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</si>
  <si>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</si>
  <si>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</si>
  <si>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</si>
  <si>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</si>
  <si>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</si>
  <si>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</si>
  <si>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</si>
  <si>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</si>
  <si>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</si>
  <si>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</si>
  <si>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</si>
  <si>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</si>
  <si>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</si>
  <si>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</si>
  <si>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</si>
  <si>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</si>
  <si>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</si>
  <si>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</si>
  <si>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</si>
  <si>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</si>
  <si>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</si>
  <si>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</si>
  <si>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</si>
  <si>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</si>
  <si>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</si>
  <si>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</si>
  <si>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</si>
  <si>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</si>
  <si>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</si>
  <si>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</si>
  <si>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</si>
  <si>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</si>
  <si>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</si>
  <si>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</si>
  <si>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</si>
  <si>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</si>
  <si>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</si>
  <si>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</si>
  <si>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</si>
  <si>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</si>
  <si>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</si>
  <si>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</si>
  <si>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</si>
  <si>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</si>
  <si>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</si>
  <si>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</si>
  <si>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</si>
  <si>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</si>
  <si>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</si>
  <si>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</si>
  <si>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</si>
  <si>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</si>
  <si>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</si>
  <si>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</si>
  <si>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</si>
  <si>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</si>
  <si>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</si>
  <si>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</si>
  <si>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</si>
  <si>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</si>
  <si>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</si>
  <si>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</si>
  <si>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</si>
  <si>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</si>
  <si>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</si>
  <si>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</si>
  <si>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</si>
  <si>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</si>
  <si>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</si>
  <si>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</si>
  <si>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</si>
  <si>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</si>
  <si>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</si>
  <si>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</si>
  <si>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</si>
  <si>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</si>
  <si>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</si>
  <si>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</si>
  <si>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</si>
  <si>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</si>
  <si>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</si>
  <si>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</si>
  <si>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</si>
  <si>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</si>
  <si>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</si>
  <si>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</si>
  <si>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</si>
  <si>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</si>
  <si>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</si>
  <si>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</si>
  <si>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</si>
  <si>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</si>
  <si>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</si>
  <si>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</si>
  <si>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</si>
  <si>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</si>
  <si>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</si>
  <si>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</si>
  <si>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</si>
  <si>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</si>
  <si>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</si>
  <si>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</si>
  <si>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</si>
  <si>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</si>
  <si>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</si>
  <si>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</si>
  <si>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</si>
  <si>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</si>
  <si>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</si>
  <si>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</si>
  <si>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</si>
  <si>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</si>
  <si>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</si>
  <si>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</si>
  <si>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</si>
  <si>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</si>
  <si>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</si>
  <si>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</si>
  <si>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</si>
  <si>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</si>
  <si>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</si>
  <si>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</si>
  <si>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</si>
  <si>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</si>
  <si>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</si>
  <si>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</si>
  <si>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</si>
  <si>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</si>
  <si>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</si>
  <si>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</si>
  <si>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</si>
  <si>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</si>
  <si>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</si>
  <si>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</si>
  <si>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</si>
  <si>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</si>
  <si>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</si>
  <si>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</si>
  <si>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</si>
  <si>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</si>
  <si>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CTGS</t>
  </si>
  <si>
    <t>Tổng cộng VL phụ</t>
  </si>
  <si>
    <t>kg</t>
  </si>
  <si>
    <t>Dây nylon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</si>
  <si>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</si>
  <si>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</si>
  <si>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</si>
  <si>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</si>
  <si>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</si>
  <si>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</si>
  <si>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</si>
  <si>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</si>
  <si>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</si>
  <si>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</si>
  <si>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</si>
  <si>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</si>
  <si>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</si>
  <si>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</si>
  <si>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</si>
  <si>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</si>
  <si>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</si>
  <si>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</si>
  <si>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</si>
  <si>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</si>
  <si>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</si>
  <si>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</si>
  <si>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</si>
  <si>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</si>
  <si>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</si>
  <si>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</si>
  <si>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</si>
  <si>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</si>
  <si>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</si>
  <si>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</si>
  <si>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</si>
  <si>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</si>
  <si>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</si>
  <si>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</si>
  <si>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</si>
  <si>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</si>
  <si>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Quý II</t>
  </si>
  <si>
    <t>Kẽm đóng bao bì</t>
  </si>
  <si>
    <t>DNTN SX-TM-DV Dây Đông Nam</t>
  </si>
  <si>
    <t>Máy chap khe khổ 2m</t>
  </si>
  <si>
    <t>Máy đóng kẽm</t>
  </si>
  <si>
    <t>Máy In</t>
  </si>
  <si>
    <t>tờ</t>
  </si>
  <si>
    <t>C21</t>
  </si>
  <si>
    <t>C24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</si>
  <si>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</si>
  <si>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</si>
  <si>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</si>
  <si>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</si>
  <si>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</si>
  <si>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</si>
  <si>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</si>
  <si>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</si>
  <si>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Cty TNHH Thành Đồng</t>
  </si>
  <si>
    <t>Cty Cổ phần SX TM DV Bao Bì Giấy Trường Phát</t>
  </si>
  <si>
    <t>Bảng in cau su</t>
  </si>
  <si>
    <t>Quý III</t>
  </si>
  <si>
    <t>NVL</t>
  </si>
  <si>
    <t>Ngày  31  tháng   12  năm   2012</t>
  </si>
  <si>
    <t>Năm 2012</t>
  </si>
  <si>
    <t>Cty CP Tuấn Ân Long An</t>
  </si>
  <si>
    <t>Cty TNHH Nhựa Hưng Phú</t>
  </si>
  <si>
    <t>Cty CP XNK Dầu Nhờn Hà Nội</t>
  </si>
  <si>
    <t>Cty TNHH Tân Hải Hòa</t>
  </si>
  <si>
    <t>Cty CP Thực Phẩm Dinh Dưỡng Hoàng Trung Kha</t>
  </si>
  <si>
    <t>Nộp tiền mặt vào tài khoản</t>
  </si>
  <si>
    <t>Nguyễn Thị Quý</t>
  </si>
  <si>
    <t>Thu tiền hàng</t>
  </si>
  <si>
    <t>Lãi tiền gửi</t>
  </si>
  <si>
    <t>Lê Thị Dung</t>
  </si>
  <si>
    <t>Cty TNHH SX TM DV Natural Rendez - Vous</t>
  </si>
  <si>
    <t>Cty TNHH TM &amp; Bao Bì Sài Gòn</t>
  </si>
  <si>
    <t>Cty TNHH Đầu Tư Phương My</t>
  </si>
  <si>
    <t>Cty CP TP QT Long Phụng</t>
  </si>
  <si>
    <t>Cty Liên Doanh Wufeng VN</t>
  </si>
  <si>
    <t>Cty TNHH CN Cau Su - Nhựa Độc Lập</t>
  </si>
  <si>
    <t>Cty TNHH Bao Bì Uy Tín</t>
  </si>
  <si>
    <t>Cty CP Đại Đồng Tiến</t>
  </si>
  <si>
    <t>Cty TNHH TM DV SX May Mặc XNK Xuân Mai</t>
  </si>
  <si>
    <t>Thanh toán tiền hàng</t>
  </si>
  <si>
    <t>Phí chuyển tiền</t>
  </si>
  <si>
    <t>Phí kiểm đếm</t>
  </si>
  <si>
    <t>Chi sec nhập quỹ tiền mặt</t>
  </si>
  <si>
    <t>Lê Kim Ngọc Thảo</t>
  </si>
  <si>
    <t>Thu phí duy trì tài khoản</t>
  </si>
  <si>
    <t>Phí bán 3 cuốn sec</t>
  </si>
  <si>
    <t>Ipad 4 Retina Wifi</t>
  </si>
  <si>
    <t>1754060</t>
  </si>
  <si>
    <t>Cty CP Thế Giới Di Động</t>
  </si>
  <si>
    <t>VAT Ipad 4 Retina Wifi</t>
  </si>
  <si>
    <t>Phạt vi phạm hành chánh</t>
  </si>
  <si>
    <t>0006459</t>
  </si>
  <si>
    <t>Nguyễn Anh Đào</t>
  </si>
  <si>
    <t>Tiền điện</t>
  </si>
  <si>
    <t>0103498</t>
  </si>
  <si>
    <t>Cty Điện Lực TPHCM</t>
  </si>
  <si>
    <t>VAT Tiền điện</t>
  </si>
  <si>
    <t>Nộp thuế thu nhập doanh nghiệp 2011</t>
  </si>
  <si>
    <t>0005342</t>
  </si>
  <si>
    <t>0165007</t>
  </si>
  <si>
    <t>Cước dịch vụ viễn thông</t>
  </si>
  <si>
    <t>1008882; 1008883; 1008885</t>
  </si>
  <si>
    <t>Viễn thông TPHCM</t>
  </si>
  <si>
    <t>VAT Cước dịch vụ viễn thông</t>
  </si>
  <si>
    <t>1002599; 1002600</t>
  </si>
  <si>
    <t>0468630; 0468631;0468632</t>
  </si>
  <si>
    <t>3747697</t>
  </si>
  <si>
    <t>3167707; 0001727</t>
  </si>
  <si>
    <t>0746206</t>
  </si>
  <si>
    <t>0390269</t>
  </si>
  <si>
    <t>Văn phòng phẩm</t>
  </si>
  <si>
    <t>0061077</t>
  </si>
  <si>
    <t>Nhà Sách Bình Tân</t>
  </si>
  <si>
    <t>0062696</t>
  </si>
  <si>
    <t>Nhà Sách Vĩnh Lộc A</t>
  </si>
  <si>
    <t>0000282</t>
  </si>
  <si>
    <t>VAT Dây nylon</t>
  </si>
  <si>
    <t>0002580</t>
  </si>
  <si>
    <t>Cty TNHH Thành Thành Dũng</t>
  </si>
  <si>
    <t>VAT Kẽm đóng bao bì</t>
  </si>
  <si>
    <t>Chi phí tiếp khách</t>
  </si>
  <si>
    <t>0005559</t>
  </si>
  <si>
    <t>Cty TNHH Kim Nhi H . Đ</t>
  </si>
  <si>
    <t>VAT Chi phí tiếp khách</t>
  </si>
  <si>
    <t>Chi phí chứng thư số</t>
  </si>
  <si>
    <t>0000993</t>
  </si>
  <si>
    <t>Cty TNHH TM DV Công Nghệ Gia Khang</t>
  </si>
  <si>
    <t>VAT Chi phí chứng thư số</t>
  </si>
  <si>
    <t>0000626</t>
  </si>
  <si>
    <t>DNTN SX TM XNK Khang Thịnh Phước</t>
  </si>
  <si>
    <t>VAT Băng keo</t>
  </si>
  <si>
    <t>Keo sữa Polymul</t>
  </si>
  <si>
    <t>0000295</t>
  </si>
  <si>
    <t>Cty TNHH SX Thương Mại A.M.I</t>
  </si>
  <si>
    <t>VAT Keo sữa Polymul</t>
  </si>
  <si>
    <t>0001090</t>
  </si>
  <si>
    <t>0001017</t>
  </si>
  <si>
    <t>Cty TNHH MTV Thương Mại Kỳ Duyên</t>
  </si>
  <si>
    <t>0156695</t>
  </si>
  <si>
    <t>Cty CP Phát Hành Sách TPHCM</t>
  </si>
  <si>
    <t>VAT Văn phòng phẩm</t>
  </si>
  <si>
    <t>Cty TNHH Long Thịnh Vina</t>
  </si>
  <si>
    <t>0000005</t>
  </si>
  <si>
    <t>0000012</t>
  </si>
  <si>
    <t>0000016</t>
  </si>
  <si>
    <t>Mực in</t>
  </si>
  <si>
    <t>VAT Mực in</t>
  </si>
  <si>
    <t>Cty TNHH Sakata Inx Việt Nam</t>
  </si>
  <si>
    <t>0009533</t>
  </si>
  <si>
    <t>0001091</t>
  </si>
  <si>
    <t>0001435</t>
  </si>
  <si>
    <t>0001506</t>
  </si>
  <si>
    <t>0002835</t>
  </si>
  <si>
    <t>0005182</t>
  </si>
  <si>
    <t>0005737</t>
  </si>
  <si>
    <t>0005687</t>
  </si>
  <si>
    <t>0006325</t>
  </si>
  <si>
    <t>0006768</t>
  </si>
  <si>
    <t>0007870</t>
  </si>
  <si>
    <t>0007965</t>
  </si>
  <si>
    <t>0008033</t>
  </si>
  <si>
    <t>0008171</t>
  </si>
  <si>
    <t>0009345</t>
  </si>
  <si>
    <t>0009907</t>
  </si>
  <si>
    <t>VAT Giấy 3 lớp</t>
  </si>
  <si>
    <t>0006898</t>
  </si>
  <si>
    <t>Cty TNHH Phúc Tiến</t>
  </si>
  <si>
    <t>Giấy 3 lớp (100x128)</t>
  </si>
  <si>
    <t>Giấy 3 lớp (125x145)</t>
  </si>
  <si>
    <t>Giấy 3 lớp (160x171)</t>
  </si>
  <si>
    <t>VAT Giấy 5 lớp</t>
  </si>
  <si>
    <t>0006907</t>
  </si>
  <si>
    <t>Giấy 5 lớp (130x144)</t>
  </si>
  <si>
    <t>Giấy 5 lớp (120x140)</t>
  </si>
  <si>
    <t>Giấy 3 lớp (100x130)</t>
  </si>
  <si>
    <t>0007225</t>
  </si>
  <si>
    <t>0007253</t>
  </si>
  <si>
    <t>Giấy 5 lớp (105x204)</t>
  </si>
  <si>
    <t>0007273</t>
  </si>
  <si>
    <t>Giấy 5 lớp (100x258)</t>
  </si>
  <si>
    <t>0007303</t>
  </si>
  <si>
    <t>0007311</t>
  </si>
  <si>
    <t>Giấy 3 lớp (160x134)</t>
  </si>
  <si>
    <t>0007330</t>
  </si>
  <si>
    <t>VAT Giấy tấm</t>
  </si>
  <si>
    <t>0001572</t>
  </si>
  <si>
    <t>Giấy tấm 2 vàng + 3 xeo (2060x1050)</t>
  </si>
  <si>
    <t>Giấy tấm 2 vàng + 3 xeo (1730x1050)</t>
  </si>
  <si>
    <t>Giấy tấm 1 vàng + 4 xeo (1580x1150)</t>
  </si>
  <si>
    <t>0001579</t>
  </si>
  <si>
    <t>Giấy tấm 2 vàng + 3 xeo (1810x1145)</t>
  </si>
  <si>
    <t>Giấy tấm 1 trắng + 3 xeo + 1 vàng (1760x1600)</t>
  </si>
  <si>
    <t>Giấy tấm 1 vàng + 2 xeo (1350x1000)</t>
  </si>
  <si>
    <t>0001585</t>
  </si>
  <si>
    <t>Giấy tấm 2 vàng + 1 xeo (2020x950)</t>
  </si>
  <si>
    <t>Giấy tấm 2 vàng + 3 xeo (2370x1050)</t>
  </si>
  <si>
    <t>Giấy tấm 2 vàng + 3 xeo (2540x1050)</t>
  </si>
  <si>
    <t>Giấy tấm 1 vàng + 2 xeo (1940x1450)</t>
  </si>
  <si>
    <t>Giấy tấm 2 vàng + 3 xeo (1980x1050)</t>
  </si>
  <si>
    <t>0001595</t>
  </si>
  <si>
    <t>0001596</t>
  </si>
  <si>
    <t>Giấy tấm 2 vàng + 3 xeo (1900x1200)</t>
  </si>
  <si>
    <t>Giấy tấm 2 vàng + 3 xeo (1320x1050)</t>
  </si>
  <si>
    <t>Giấy tấm 1 YBB + 1 xeo150 + 1 vàng (1700x1550)</t>
  </si>
  <si>
    <t>0001600</t>
  </si>
  <si>
    <t>Giấy tấm 2 vàng + 3 xeo (2460x1650)</t>
  </si>
  <si>
    <t>Giấy tấm 2 giả thái + 3 xeo (2040x950)</t>
  </si>
  <si>
    <t>0001606</t>
  </si>
  <si>
    <t>0001609</t>
  </si>
  <si>
    <t>Giấy tấm 1 vàng + 4 xeo (1560x1350)</t>
  </si>
  <si>
    <t>Giấy tấm 1 vàng + 4 xeo (1540x1240)</t>
  </si>
  <si>
    <t>Giấy tấm 1 YBB + 1 xeo + 1 vàng (1220x950)</t>
  </si>
  <si>
    <t>0001623</t>
  </si>
  <si>
    <t>Giấy tấm 1 trắng + 2 xeo (840x1150)</t>
  </si>
  <si>
    <t>Giấy tấm 2 vàng + 3 xeo (1080x1050)</t>
  </si>
  <si>
    <t>Giấy tấm 1 vàng + 2 xeo (1480x1000)</t>
  </si>
  <si>
    <t>Giấy tấm 2 vàng + 3 xeo (1450x900)</t>
  </si>
  <si>
    <t>Giấy tấm 2 vàng + 3 xeo (1390x900)</t>
  </si>
  <si>
    <t>Giấy tấm 2 vàng + 3 xeo (2280x1050)</t>
  </si>
  <si>
    <t>Giấy tấm 2 vàng + 3 xeo (2210x1050)</t>
  </si>
  <si>
    <t>0001631</t>
  </si>
  <si>
    <t>Giấy tấm 2 vàng + 3 xeo (2400x950)</t>
  </si>
  <si>
    <t>Giấy tấm 2 vàng + 3 xeo (1320x1240)</t>
  </si>
  <si>
    <t>Giấy tấm 1 YBB + 3 xeo + 1 vàng (1350x1400)</t>
  </si>
  <si>
    <t>Giấy tấm 1 YBB + 3 xeo + 1 vàng (1220x950)</t>
  </si>
  <si>
    <t>0001636</t>
  </si>
  <si>
    <t>Giấy tấm 1 trắng + 3 xeo + 1 vàng (1770x1050)</t>
  </si>
  <si>
    <t>Giấy tấm 1 trắng + 3 xeo + 1 vàng (1880x1585)</t>
  </si>
  <si>
    <t>0001646</t>
  </si>
  <si>
    <t>Giấy tấm 1 vàng + 2 xeo (1210x1100)</t>
  </si>
  <si>
    <t>Giấy tấm 2 vàng + 3 xeo (1400x1100)</t>
  </si>
  <si>
    <t>0001665</t>
  </si>
  <si>
    <t>0001681</t>
  </si>
  <si>
    <t>0001688</t>
  </si>
  <si>
    <t>Giấy tấm 1 vàng + 4 xeo (1555x950)</t>
  </si>
  <si>
    <t>Giấy tấm 2 vàng + 3 xeo (1220x950)</t>
  </si>
  <si>
    <t>Giấy tấm 1 vàng + 2 xeo (1340x1595)</t>
  </si>
  <si>
    <t>Giấy tấm 2 vàng + 3 xeo (2240x1685)</t>
  </si>
  <si>
    <t>0001689</t>
  </si>
  <si>
    <t>Giấy tấm 1 YBB + 1 xeo150 + 1 vàng (1700x1540)</t>
  </si>
  <si>
    <t>0001692</t>
  </si>
  <si>
    <t>Cty TNHH SX-TM Hiệp Nguyên</t>
  </si>
  <si>
    <t>0000444</t>
  </si>
  <si>
    <t>Tấm carton (95x122)</t>
  </si>
  <si>
    <t>Tấm carton (110x181)</t>
  </si>
  <si>
    <t>Tấm carton (145x194)</t>
  </si>
  <si>
    <t>0000461</t>
  </si>
  <si>
    <t>Tấm carton (105x131)</t>
  </si>
  <si>
    <t>Tấm carton (105x161)</t>
  </si>
  <si>
    <t>Tấm carton (140x156)</t>
  </si>
  <si>
    <t>Tấm carton (175x112)</t>
  </si>
  <si>
    <t>0000473</t>
  </si>
  <si>
    <t>Tấm carton (135x150)</t>
  </si>
  <si>
    <t>Tấm carton (135x142)</t>
  </si>
  <si>
    <t>Tấm carton (120x142)</t>
  </si>
  <si>
    <t>Tấm carton (95x202)</t>
  </si>
  <si>
    <t>Tấm carton (155x92)</t>
  </si>
  <si>
    <t>Tấm carton (155x96)</t>
  </si>
  <si>
    <t>0000475</t>
  </si>
  <si>
    <t>0000484</t>
  </si>
  <si>
    <t>Tấm carton (155x170)</t>
  </si>
  <si>
    <t>Tấm carton (130x144)</t>
  </si>
  <si>
    <t>Tấm carton (110x148)</t>
  </si>
  <si>
    <t>Tấm carton (125x145)</t>
  </si>
  <si>
    <t>Tấm carton (105x194)</t>
  </si>
  <si>
    <t>0000491</t>
  </si>
  <si>
    <t>Tấm carton (130x134)</t>
  </si>
  <si>
    <t>Tấm carton (135x212)</t>
  </si>
  <si>
    <t>0000524</t>
  </si>
  <si>
    <t>Tấm carton (120x140)</t>
  </si>
  <si>
    <t>Tấm carton (105x127)</t>
  </si>
  <si>
    <t>0000528</t>
  </si>
  <si>
    <t>Tấm carton (144x127)</t>
  </si>
  <si>
    <t>Tấm carton (100x116)</t>
  </si>
  <si>
    <t>Cty TNHH TM Giấy Tiến Thành</t>
  </si>
  <si>
    <t>0000121</t>
  </si>
  <si>
    <t>Tấm carton 5 lớp (105x178)</t>
  </si>
  <si>
    <t>0000123</t>
  </si>
  <si>
    <t>Tấm carton 3 lớp (110x152)</t>
  </si>
  <si>
    <t>Tấm carton 3 lớp (100x148)</t>
  </si>
  <si>
    <t>Tấm carton 5 lớp (120x140)</t>
  </si>
  <si>
    <t>0000126</t>
  </si>
  <si>
    <t>Cty TNHH SX-TM-DV Trường An</t>
  </si>
  <si>
    <t>0001482</t>
  </si>
  <si>
    <t>Giấy tấm (100x157)</t>
  </si>
  <si>
    <t>Giấy tấm (160x111)</t>
  </si>
  <si>
    <t>0001558</t>
  </si>
  <si>
    <t>Giấy tấm (155x170)</t>
  </si>
  <si>
    <t>0001568</t>
  </si>
  <si>
    <t>Giấy tấm (145x117)</t>
  </si>
  <si>
    <t>0001577</t>
  </si>
  <si>
    <t>Giấy tấm (150x127)</t>
  </si>
  <si>
    <t>0001587</t>
  </si>
  <si>
    <t>Cty TNHH TM DV Đức Trịnh</t>
  </si>
  <si>
    <t>0001344</t>
  </si>
  <si>
    <t>Giấy tấm 3 lớp (115x190)</t>
  </si>
  <si>
    <t>Giấy tấm 5 lớp (180x250)</t>
  </si>
  <si>
    <t>0001394</t>
  </si>
  <si>
    <t>0001400</t>
  </si>
  <si>
    <t>0001417</t>
  </si>
  <si>
    <t>0001426</t>
  </si>
  <si>
    <t>0001437</t>
  </si>
  <si>
    <t>NĂM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</si>
</sst>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50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64" fontId="44" fillId="0" borderId="16" xfId="0" applyNumberFormat="1" applyFont="1" applyFill="1" applyBorder="1" applyAlignment="1">
      <alignment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4" fontId="34" fillId="0" borderId="16" xfId="90" quotePrefix="1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23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164" fontId="34" fillId="0" borderId="21" xfId="54" applyNumberFormat="1" applyFont="1" applyFill="1" applyBorder="1" applyAlignment="1">
      <alignment horizontal="left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1/Downloads/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D17" sqref="D17"/>
    </sheetView>
  </sheetViews>
  <sheetFormatPr defaultColWidth="8" defaultRowHeight="12.75"/>
  <cols>
    <col min="1" max="1" width="7.42578125" style="855" customWidth="1"/>
    <col min="2" max="2" width="43" style="855" customWidth="1"/>
    <col min="3" max="3" width="14.5703125" style="168" customWidth="1"/>
    <col min="4" max="4" width="13.5703125" style="168" customWidth="1"/>
    <col min="5" max="5" width="15.140625" style="855" customWidth="1"/>
    <col min="6" max="6" width="17.28515625" style="855" customWidth="1"/>
    <col min="7" max="7" width="13.85546875" style="855" customWidth="1"/>
    <col min="8" max="8" width="14.7109375" style="855" customWidth="1"/>
    <col min="9" max="9" width="2.42578125" style="855" customWidth="1"/>
    <col min="10" max="10" width="9.5703125" style="855" customWidth="1"/>
    <col min="11" max="11" width="2.85546875" style="855" customWidth="1"/>
    <col min="12" max="16384" width="8" style="855"/>
  </cols>
  <sheetData>
    <row r="1" spans="1:15">
      <c r="A1" s="854"/>
      <c r="B1" s="854"/>
    </row>
    <row r="2" spans="1:15">
      <c r="A2" s="854" t="str">
        <f>TH!A1</f>
        <v>Đơn vị: CÔNG TY TNHH HẢI SẢN AN LẠC</v>
      </c>
      <c r="B2" s="854"/>
    </row>
    <row r="3" spans="1:15">
      <c r="A3" s="855" t="str">
        <f>TH!A2</f>
        <v>Địa chỉ: Lô A14, Đường 4A, KCN Hải Sơn, Đức Hòa, Long An</v>
      </c>
      <c r="B3" s="854"/>
    </row>
    <row r="5" spans="1:15" ht="36" customHeight="1">
      <c r="A5" s="856"/>
      <c r="B5" s="856"/>
      <c r="C5" s="857"/>
      <c r="D5" s="858" t="s">
        <v>489</v>
      </c>
      <c r="E5" s="856"/>
      <c r="F5" s="856"/>
      <c r="G5" s="856"/>
      <c r="H5" s="856"/>
    </row>
    <row r="6" spans="1:15" ht="15.75">
      <c r="A6" s="856"/>
      <c r="B6" s="856"/>
      <c r="C6" s="857"/>
      <c r="D6" s="882" t="s">
        <v>756</v>
      </c>
      <c r="E6" s="856"/>
      <c r="F6" s="856"/>
      <c r="G6" s="856"/>
      <c r="H6" s="856"/>
    </row>
    <row r="7" spans="1:15" ht="6.75" customHeight="1">
      <c r="J7" s="886"/>
      <c r="K7" s="886"/>
      <c r="L7" s="886"/>
      <c r="M7" s="886"/>
      <c r="N7" s="886"/>
      <c r="O7" s="886"/>
    </row>
    <row r="8" spans="1:15" ht="24.75" customHeight="1" thickBot="1">
      <c r="A8" s="943" t="s">
        <v>487</v>
      </c>
      <c r="B8" s="943" t="s">
        <v>486</v>
      </c>
      <c r="C8" s="938" t="s">
        <v>37</v>
      </c>
      <c r="D8" s="939"/>
      <c r="E8" s="938" t="s">
        <v>38</v>
      </c>
      <c r="F8" s="939"/>
      <c r="G8" s="938" t="s">
        <v>488</v>
      </c>
      <c r="H8" s="939"/>
      <c r="K8" s="887"/>
      <c r="L8" s="887"/>
      <c r="M8" s="940" t="s">
        <v>445</v>
      </c>
      <c r="N8" s="940"/>
      <c r="O8" s="886"/>
    </row>
    <row r="9" spans="1:15" ht="24.75" customHeight="1" thickBot="1">
      <c r="A9" s="944"/>
      <c r="B9" s="944"/>
      <c r="C9" s="853" t="s">
        <v>43</v>
      </c>
      <c r="D9" s="853" t="s">
        <v>44</v>
      </c>
      <c r="E9" s="853" t="s">
        <v>43</v>
      </c>
      <c r="F9" s="853" t="s">
        <v>44</v>
      </c>
      <c r="G9" s="853" t="s">
        <v>43</v>
      </c>
      <c r="H9" s="853" t="s">
        <v>44</v>
      </c>
      <c r="J9" s="184" t="s">
        <v>446</v>
      </c>
      <c r="K9" s="887"/>
      <c r="L9" s="888"/>
      <c r="M9" s="849">
        <f>IF(J9="Quý I",1,IF(J9="Quý II",4,IF(J9="Quý III",7,IF(J9="Quý IV",10,""))))</f>
        <v>1</v>
      </c>
      <c r="N9" s="849">
        <f>IF(J9="Quý I",3,IF(J9="Quý II",6,IF(J9="Quý III",9,IF(J9="Quý IV",12,""))))</f>
        <v>3</v>
      </c>
      <c r="O9" s="886"/>
    </row>
    <row r="10" spans="1:15" s="168" customFormat="1" ht="17.25" customHeight="1">
      <c r="A10" s="859" t="s">
        <v>49</v>
      </c>
      <c r="B10" s="860" t="s">
        <v>50</v>
      </c>
      <c r="C10" s="861">
        <v>1633552663</v>
      </c>
      <c r="D10" s="861"/>
      <c r="E10" s="861">
        <f t="array" ref="E10">SUM(IF(A10=KHN,TH))</f>
        <v>1025800000</v>
      </c>
      <c r="F10" s="861">
        <f t="array" ref="F10">SUM(IF(A10=KHC,TH))</f>
        <v>244235564</v>
      </c>
      <c r="G10" s="862">
        <f>MAX(C10+E10-D10-F10,0)</f>
        <v>2415117099</v>
      </c>
      <c r="H10" s="862">
        <f>MAX(D10+F10-E10-C10,0)</f>
        <v>0</v>
      </c>
      <c r="J10" s="885"/>
      <c r="K10" s="885"/>
      <c r="L10" s="885"/>
      <c r="M10" s="885"/>
      <c r="N10" s="885"/>
      <c r="O10" s="885"/>
    </row>
    <row r="11" spans="1:15" s="168" customFormat="1" ht="17.25" customHeight="1">
      <c r="A11" s="864" t="s">
        <v>16</v>
      </c>
      <c r="B11" s="864" t="s">
        <v>51</v>
      </c>
      <c r="C11" s="865">
        <f t="shared" ref="C11:H11" si="0">C10</f>
        <v>1633552663</v>
      </c>
      <c r="D11" s="865">
        <f t="shared" si="0"/>
        <v>0</v>
      </c>
      <c r="E11" s="865">
        <f t="shared" si="0"/>
        <v>1025800000</v>
      </c>
      <c r="F11" s="865">
        <f t="shared" si="0"/>
        <v>244235564</v>
      </c>
      <c r="G11" s="865">
        <f t="shared" si="0"/>
        <v>2415117099</v>
      </c>
      <c r="H11" s="865">
        <f t="shared" si="0"/>
        <v>0</v>
      </c>
      <c r="J11" s="885"/>
      <c r="K11" s="885"/>
      <c r="L11" s="885"/>
      <c r="M11" s="885"/>
      <c r="N11" s="885"/>
      <c r="O11" s="885"/>
    </row>
    <row r="12" spans="1:15" s="168" customFormat="1" ht="17.25" customHeight="1">
      <c r="A12" s="860" t="s">
        <v>24</v>
      </c>
      <c r="B12" s="860" t="s">
        <v>52</v>
      </c>
      <c r="C12" s="861">
        <v>334933</v>
      </c>
      <c r="D12" s="861">
        <v>0</v>
      </c>
      <c r="E12" s="861">
        <f t="array" ref="E12">SUM(IF(A12=KHN,TH))</f>
        <v>1253069806</v>
      </c>
      <c r="F12" s="861">
        <f t="array" ref="F12">SUM(IF(A12=KHC,TH))</f>
        <v>1253291904</v>
      </c>
      <c r="G12" s="862">
        <f>MAX(C12+E12-D12-F12,0)</f>
        <v>112835</v>
      </c>
      <c r="H12" s="862">
        <f>MAX(D12+F12-E12-C12,0)</f>
        <v>0</v>
      </c>
      <c r="K12" s="863"/>
      <c r="L12" s="863"/>
      <c r="M12" s="863"/>
    </row>
    <row r="13" spans="1:15" s="168" customFormat="1" ht="17.25" customHeight="1">
      <c r="A13" s="864" t="s">
        <v>53</v>
      </c>
      <c r="B13" s="864" t="s">
        <v>54</v>
      </c>
      <c r="C13" s="865">
        <f t="shared" ref="C13:H13" si="1">C12</f>
        <v>334933</v>
      </c>
      <c r="D13" s="865">
        <f t="shared" si="1"/>
        <v>0</v>
      </c>
      <c r="E13" s="865">
        <f t="shared" si="1"/>
        <v>1253069806</v>
      </c>
      <c r="F13" s="865">
        <f t="shared" si="1"/>
        <v>1253291904</v>
      </c>
      <c r="G13" s="865">
        <f t="shared" si="1"/>
        <v>112835</v>
      </c>
      <c r="H13" s="865">
        <f t="shared" si="1"/>
        <v>0</v>
      </c>
      <c r="J13" s="168">
        <f>L13-G13</f>
        <v>0</v>
      </c>
      <c r="L13" s="168">
        <v>112835</v>
      </c>
    </row>
    <row r="14" spans="1:15" s="168" customFormat="1" ht="17.25" customHeight="1">
      <c r="A14" s="864" t="s">
        <v>352</v>
      </c>
      <c r="B14" s="864" t="s">
        <v>377</v>
      </c>
      <c r="C14" s="865"/>
      <c r="D14" s="865"/>
      <c r="E14" s="866">
        <f t="array" ref="E14">SUM(IF(A14=KHN,TH))</f>
        <v>0</v>
      </c>
      <c r="F14" s="866">
        <f t="array" ref="F14">SUM(IF(A14=KHC,TH))</f>
        <v>1137760105</v>
      </c>
      <c r="G14" s="865">
        <f>MAX(C14+E14-D14-F14,0)</f>
        <v>0</v>
      </c>
      <c r="H14" s="865">
        <f>MAX(D14+F14-E14-C14,0)</f>
        <v>1137760105</v>
      </c>
    </row>
    <row r="15" spans="1:15" s="168" customFormat="1" ht="17.25" customHeight="1">
      <c r="A15" s="860" t="s">
        <v>9</v>
      </c>
      <c r="B15" s="860" t="s">
        <v>55</v>
      </c>
      <c r="C15" s="861"/>
      <c r="D15" s="861"/>
      <c r="E15" s="861">
        <f t="array" ref="E15">SUM(IF(A15=KHN,TH))</f>
        <v>74753141</v>
      </c>
      <c r="F15" s="861">
        <f t="array" ref="F15">SUM(IF(A15=KHC,TH))</f>
        <v>0</v>
      </c>
      <c r="G15" s="862">
        <f>MAX(C15+E15-D15-F15,0)</f>
        <v>74753141</v>
      </c>
      <c r="H15" s="862">
        <f>MAX(D15+F15-E15-C15,0)</f>
        <v>0</v>
      </c>
    </row>
    <row r="16" spans="1:15" s="168" customFormat="1" ht="17.25" customHeight="1">
      <c r="A16" s="864" t="s">
        <v>56</v>
      </c>
      <c r="B16" s="864" t="s">
        <v>57</v>
      </c>
      <c r="C16" s="865">
        <f t="shared" ref="C16:H16" si="2">C15</f>
        <v>0</v>
      </c>
      <c r="D16" s="865">
        <f t="shared" si="2"/>
        <v>0</v>
      </c>
      <c r="E16" s="865">
        <f t="shared" si="2"/>
        <v>74753141</v>
      </c>
      <c r="F16" s="865">
        <f t="shared" si="2"/>
        <v>0</v>
      </c>
      <c r="G16" s="865">
        <f t="shared" si="2"/>
        <v>74753141</v>
      </c>
      <c r="H16" s="865">
        <f t="shared" si="2"/>
        <v>0</v>
      </c>
    </row>
    <row r="17" spans="1:8" s="168" customFormat="1" ht="17.25" customHeight="1">
      <c r="A17" s="860" t="s">
        <v>58</v>
      </c>
      <c r="B17" s="860" t="s">
        <v>59</v>
      </c>
      <c r="C17" s="861"/>
      <c r="D17" s="861"/>
      <c r="E17" s="861">
        <f t="array" ref="E17">SUM(IF(A17=KHN,TH))</f>
        <v>0</v>
      </c>
      <c r="F17" s="861">
        <f t="array" ref="F17">SUM(IF(A17=KHC,TH))</f>
        <v>0</v>
      </c>
      <c r="G17" s="862">
        <f t="shared" ref="G17:G40" si="3">MAX(C17+E17-D17-F17,0)</f>
        <v>0</v>
      </c>
      <c r="H17" s="862">
        <f t="shared" ref="H17:H40" si="4">MAX(D17+F17-E17-C17,0)</f>
        <v>0</v>
      </c>
    </row>
    <row r="18" spans="1:8" s="168" customFormat="1" ht="17.25" customHeight="1">
      <c r="A18" s="864" t="s">
        <v>60</v>
      </c>
      <c r="B18" s="864" t="s">
        <v>61</v>
      </c>
      <c r="C18" s="865">
        <f>C17</f>
        <v>0</v>
      </c>
      <c r="D18" s="865">
        <f>D17</f>
        <v>0</v>
      </c>
      <c r="E18" s="865">
        <f>E17</f>
        <v>0</v>
      </c>
      <c r="F18" s="865">
        <f>F17</f>
        <v>0</v>
      </c>
      <c r="G18" s="865">
        <f t="shared" si="3"/>
        <v>0</v>
      </c>
      <c r="H18" s="865">
        <f t="shared" si="4"/>
        <v>0</v>
      </c>
    </row>
    <row r="19" spans="1:8" s="168" customFormat="1" ht="17.25" customHeight="1">
      <c r="A19" s="860" t="s">
        <v>191</v>
      </c>
      <c r="B19" s="860" t="s">
        <v>192</v>
      </c>
      <c r="C19" s="861"/>
      <c r="D19" s="861"/>
      <c r="E19" s="861">
        <f t="array" ref="E19">SUM(IF(A19=KHN,TH))</f>
        <v>651927124</v>
      </c>
      <c r="F19" s="861">
        <f t="array" ref="F19">SUM(IF(A19=KHC,TH))</f>
        <v>0</v>
      </c>
      <c r="G19" s="862">
        <f t="shared" si="3"/>
        <v>651927124</v>
      </c>
      <c r="H19" s="862">
        <f t="shared" si="4"/>
        <v>0</v>
      </c>
    </row>
    <row r="20" spans="1:8" s="168" customFormat="1" ht="17.25" customHeight="1">
      <c r="A20" s="860" t="s">
        <v>193</v>
      </c>
      <c r="B20" s="860" t="s">
        <v>194</v>
      </c>
      <c r="C20" s="861"/>
      <c r="D20" s="861"/>
      <c r="E20" s="861">
        <f t="array" ref="E20">SUM(IF(A20=KHN,TH))</f>
        <v>6386000</v>
      </c>
      <c r="F20" s="861">
        <f t="array" ref="F20">SUM(IF(A20=KHC,TH))</f>
        <v>0</v>
      </c>
      <c r="G20" s="861">
        <f t="shared" si="3"/>
        <v>6386000</v>
      </c>
      <c r="H20" s="861">
        <f t="shared" si="4"/>
        <v>0</v>
      </c>
    </row>
    <row r="21" spans="1:8" s="168" customFormat="1" ht="17.25" customHeight="1">
      <c r="A21" s="864" t="s">
        <v>195</v>
      </c>
      <c r="B21" s="864" t="s">
        <v>196</v>
      </c>
      <c r="C21" s="865">
        <f>C19+C20</f>
        <v>0</v>
      </c>
      <c r="D21" s="865">
        <f>D19+D20</f>
        <v>0</v>
      </c>
      <c r="E21" s="865">
        <f>E19+E20</f>
        <v>658313124</v>
      </c>
      <c r="F21" s="865">
        <f>F19+F20</f>
        <v>0</v>
      </c>
      <c r="G21" s="865">
        <f t="shared" si="3"/>
        <v>658313124</v>
      </c>
      <c r="H21" s="865">
        <f t="shared" si="4"/>
        <v>0</v>
      </c>
    </row>
    <row r="22" spans="1:8" s="168" customFormat="1" ht="17.25" customHeight="1">
      <c r="A22" s="864" t="s">
        <v>197</v>
      </c>
      <c r="B22" s="864" t="s">
        <v>198</v>
      </c>
      <c r="C22" s="865"/>
      <c r="D22" s="865">
        <v>0</v>
      </c>
      <c r="E22" s="866">
        <f t="array" ref="E22">SUM(IF(A22=KHN,TH))</f>
        <v>0</v>
      </c>
      <c r="F22" s="866">
        <f t="array" ref="F22">SUM(IF(A22=KHC,TH))</f>
        <v>0</v>
      </c>
      <c r="G22" s="865">
        <f t="shared" si="3"/>
        <v>0</v>
      </c>
      <c r="H22" s="865">
        <f t="shared" si="4"/>
        <v>0</v>
      </c>
    </row>
    <row r="23" spans="1:8" s="168" customFormat="1" ht="17.25" customHeight="1">
      <c r="A23" s="864" t="s">
        <v>199</v>
      </c>
      <c r="B23" s="864" t="s">
        <v>200</v>
      </c>
      <c r="C23" s="865"/>
      <c r="D23" s="865">
        <v>0</v>
      </c>
      <c r="E23" s="866">
        <f t="array" ref="E23">SUM(IF(A23=KHN,TH))</f>
        <v>61659400</v>
      </c>
      <c r="F23" s="866">
        <f t="array" ref="F23">SUM(IF(A23=KHC,TH))</f>
        <v>0</v>
      </c>
      <c r="G23" s="865">
        <f t="shared" si="3"/>
        <v>61659400</v>
      </c>
      <c r="H23" s="865">
        <f t="shared" si="4"/>
        <v>0</v>
      </c>
    </row>
    <row r="24" spans="1:8" s="168" customFormat="1" ht="17.25" customHeight="1">
      <c r="A24" s="864" t="s">
        <v>201</v>
      </c>
      <c r="B24" s="864" t="s">
        <v>202</v>
      </c>
      <c r="C24" s="865"/>
      <c r="D24" s="865"/>
      <c r="E24" s="866">
        <f t="array" ref="E24">SUM(IF(A24=KHN,TH))</f>
        <v>0</v>
      </c>
      <c r="F24" s="866">
        <f t="array" ref="F24">SUM(IF(A24=KHC,TH))</f>
        <v>0</v>
      </c>
      <c r="G24" s="865">
        <f t="shared" si="3"/>
        <v>0</v>
      </c>
      <c r="H24" s="865">
        <f t="shared" si="4"/>
        <v>0</v>
      </c>
    </row>
    <row r="25" spans="1:8" s="168" customFormat="1" ht="17.25" customHeight="1">
      <c r="A25" s="867" t="s">
        <v>203</v>
      </c>
      <c r="B25" s="868" t="s">
        <v>204</v>
      </c>
      <c r="C25" s="869"/>
      <c r="D25" s="869"/>
      <c r="E25" s="861">
        <f t="array" ref="E25">SUM(IF(A25=KHN,TH))</f>
        <v>0</v>
      </c>
      <c r="F25" s="861">
        <f t="array" ref="F25">SUM(IF(A25=KHC,TH))</f>
        <v>0</v>
      </c>
      <c r="G25" s="869">
        <f t="shared" si="3"/>
        <v>0</v>
      </c>
      <c r="H25" s="869">
        <f t="shared" si="4"/>
        <v>0</v>
      </c>
    </row>
    <row r="26" spans="1:8" s="168" customFormat="1" ht="17.25" customHeight="1">
      <c r="A26" s="870" t="s">
        <v>205</v>
      </c>
      <c r="B26" s="871" t="s">
        <v>206</v>
      </c>
      <c r="C26" s="872"/>
      <c r="D26" s="872"/>
      <c r="E26" s="861">
        <f t="array" ref="E26">SUM(IF(A26=KHN,TH))</f>
        <v>0</v>
      </c>
      <c r="F26" s="861">
        <f t="array" ref="F26">SUM(IF(A26=KHC,TH))</f>
        <v>0</v>
      </c>
      <c r="G26" s="872">
        <f t="shared" si="3"/>
        <v>0</v>
      </c>
      <c r="H26" s="872">
        <f t="shared" si="4"/>
        <v>0</v>
      </c>
    </row>
    <row r="27" spans="1:8" s="168" customFormat="1" ht="17.25" customHeight="1">
      <c r="A27" s="870" t="s">
        <v>207</v>
      </c>
      <c r="B27" s="871" t="s">
        <v>208</v>
      </c>
      <c r="C27" s="872"/>
      <c r="D27" s="872"/>
      <c r="E27" s="861">
        <f t="array" ref="E27">SUM(IF(A27=KHN,TH))</f>
        <v>0</v>
      </c>
      <c r="F27" s="861">
        <f t="array" ref="F27">SUM(IF(A27=KHC,TH))</f>
        <v>0</v>
      </c>
      <c r="G27" s="872">
        <f t="shared" si="3"/>
        <v>0</v>
      </c>
      <c r="H27" s="872">
        <f t="shared" si="4"/>
        <v>0</v>
      </c>
    </row>
    <row r="28" spans="1:8" s="168" customFormat="1" ht="17.25" customHeight="1">
      <c r="A28" s="864" t="s">
        <v>209</v>
      </c>
      <c r="B28" s="864" t="s">
        <v>210</v>
      </c>
      <c r="C28" s="865">
        <f t="shared" ref="C28:H28" si="5">SUM(C25:C27)</f>
        <v>0</v>
      </c>
      <c r="D28" s="865">
        <f t="shared" si="5"/>
        <v>0</v>
      </c>
      <c r="E28" s="865">
        <f t="shared" si="5"/>
        <v>0</v>
      </c>
      <c r="F28" s="865">
        <f t="shared" si="5"/>
        <v>0</v>
      </c>
      <c r="G28" s="865">
        <f t="shared" si="5"/>
        <v>0</v>
      </c>
      <c r="H28" s="865">
        <f t="shared" si="5"/>
        <v>0</v>
      </c>
    </row>
    <row r="29" spans="1:8" s="168" customFormat="1" ht="17.25" customHeight="1">
      <c r="A29" s="870" t="s">
        <v>369</v>
      </c>
      <c r="B29" s="871" t="s">
        <v>370</v>
      </c>
      <c r="C29" s="872"/>
      <c r="D29" s="872"/>
      <c r="E29" s="861">
        <f t="array" ref="E29">SUM(IF(A29=KHN,TH))</f>
        <v>0</v>
      </c>
      <c r="F29" s="861">
        <f t="array" ref="F29">SUM(IF(A29=KHC,TH))</f>
        <v>0</v>
      </c>
      <c r="G29" s="872">
        <f>MAX(C29+E29-D29-F29,0)</f>
        <v>0</v>
      </c>
      <c r="H29" s="872">
        <f>MAX(D29+F29-E29-C29,0)</f>
        <v>0</v>
      </c>
    </row>
    <row r="30" spans="1:8" s="168" customFormat="1" ht="17.25" customHeight="1">
      <c r="A30" s="873" t="s">
        <v>371</v>
      </c>
      <c r="B30" s="864" t="s">
        <v>372</v>
      </c>
      <c r="C30" s="865">
        <f t="shared" ref="C30:H30" si="6">C29</f>
        <v>0</v>
      </c>
      <c r="D30" s="865">
        <f t="shared" si="6"/>
        <v>0</v>
      </c>
      <c r="E30" s="865">
        <f t="shared" si="6"/>
        <v>0</v>
      </c>
      <c r="F30" s="865">
        <f t="shared" si="6"/>
        <v>0</v>
      </c>
      <c r="G30" s="865">
        <f t="shared" si="6"/>
        <v>0</v>
      </c>
      <c r="H30" s="865">
        <f t="shared" si="6"/>
        <v>0</v>
      </c>
    </row>
    <row r="31" spans="1:8" s="168" customFormat="1" ht="17.25" customHeight="1">
      <c r="A31" s="860" t="s">
        <v>354</v>
      </c>
      <c r="B31" s="860" t="s">
        <v>373</v>
      </c>
      <c r="C31" s="861"/>
      <c r="D31" s="861"/>
      <c r="E31" s="861">
        <f t="array" ref="E31">SUM(IF(A31=KHN,TH))</f>
        <v>0</v>
      </c>
      <c r="F31" s="861">
        <f t="array" ref="F31">SUM(IF(A31=KHC,TH))</f>
        <v>0</v>
      </c>
      <c r="G31" s="861">
        <f>MAX(C31+E31-D31-F31,0)</f>
        <v>0</v>
      </c>
      <c r="H31" s="861">
        <f>MAX(D31+F31-E31-C31,0)</f>
        <v>0</v>
      </c>
    </row>
    <row r="32" spans="1:8" s="168" customFormat="1" ht="17.25" customHeight="1">
      <c r="A32" s="859" t="s">
        <v>353</v>
      </c>
      <c r="B32" s="860" t="s">
        <v>374</v>
      </c>
      <c r="C32" s="861"/>
      <c r="D32" s="861"/>
      <c r="E32" s="861">
        <f t="array" ref="E32">SUM(IF(A32=KHN,TH))</f>
        <v>0</v>
      </c>
      <c r="F32" s="861">
        <f t="array" ref="F32">SUM(IF(A32=KHC,TH))</f>
        <v>0</v>
      </c>
      <c r="G32" s="861">
        <f>MAX(C32+E32-D32-F32,0)</f>
        <v>0</v>
      </c>
      <c r="H32" s="861">
        <f>MAX(D32+F32-E32-C32,0)</f>
        <v>0</v>
      </c>
    </row>
    <row r="33" spans="1:8" s="168" customFormat="1" ht="17.25" customHeight="1">
      <c r="A33" s="864" t="s">
        <v>375</v>
      </c>
      <c r="B33" s="864" t="s">
        <v>376</v>
      </c>
      <c r="C33" s="865">
        <f t="shared" ref="C33:H33" si="7">C31+C32</f>
        <v>0</v>
      </c>
      <c r="D33" s="865">
        <f t="shared" si="7"/>
        <v>0</v>
      </c>
      <c r="E33" s="865">
        <f t="shared" si="7"/>
        <v>0</v>
      </c>
      <c r="F33" s="865">
        <f t="shared" si="7"/>
        <v>0</v>
      </c>
      <c r="G33" s="865">
        <f t="shared" si="7"/>
        <v>0</v>
      </c>
      <c r="H33" s="865">
        <f t="shared" si="7"/>
        <v>0</v>
      </c>
    </row>
    <row r="34" spans="1:8" s="168" customFormat="1" ht="17.25" customHeight="1">
      <c r="A34" s="859" t="s">
        <v>144</v>
      </c>
      <c r="B34" s="860" t="s">
        <v>145</v>
      </c>
      <c r="C34" s="861"/>
      <c r="D34" s="861">
        <v>0</v>
      </c>
      <c r="E34" s="861">
        <f t="array" ref="E34">SUM(IF(A34=KHN,TH))</f>
        <v>0</v>
      </c>
      <c r="F34" s="861">
        <f t="array" ref="F34">SUM(IF(A34=KHC,TH))</f>
        <v>0</v>
      </c>
      <c r="G34" s="862">
        <f t="shared" si="3"/>
        <v>0</v>
      </c>
      <c r="H34" s="862">
        <f t="shared" si="4"/>
        <v>0</v>
      </c>
    </row>
    <row r="35" spans="1:8" s="168" customFormat="1" ht="17.25" customHeight="1">
      <c r="A35" s="873" t="s">
        <v>171</v>
      </c>
      <c r="B35" s="864" t="s">
        <v>146</v>
      </c>
      <c r="C35" s="865">
        <f>C34</f>
        <v>0</v>
      </c>
      <c r="D35" s="865">
        <f>D34</f>
        <v>0</v>
      </c>
      <c r="E35" s="865">
        <f>E34</f>
        <v>0</v>
      </c>
      <c r="F35" s="865">
        <f>F34</f>
        <v>0</v>
      </c>
      <c r="G35" s="865">
        <f t="shared" si="3"/>
        <v>0</v>
      </c>
      <c r="H35" s="865">
        <f t="shared" si="4"/>
        <v>0</v>
      </c>
    </row>
    <row r="36" spans="1:8" s="168" customFormat="1" ht="17.25" customHeight="1">
      <c r="A36" s="864" t="s">
        <v>8</v>
      </c>
      <c r="B36" s="864" t="s">
        <v>62</v>
      </c>
      <c r="C36" s="865"/>
      <c r="D36" s="865"/>
      <c r="E36" s="866">
        <f t="array" ref="E36">SUM(IF(A36=KHN,TH))</f>
        <v>234197522</v>
      </c>
      <c r="F36" s="866">
        <f t="array" ref="F36">SUM(IF(A36=KHC,TH))</f>
        <v>724144436</v>
      </c>
      <c r="G36" s="865">
        <f t="shared" si="3"/>
        <v>0</v>
      </c>
      <c r="H36" s="865">
        <f t="shared" si="4"/>
        <v>489946914</v>
      </c>
    </row>
    <row r="37" spans="1:8" s="168" customFormat="1" ht="17.25" customHeight="1">
      <c r="A37" s="874" t="s">
        <v>506</v>
      </c>
      <c r="B37" s="860" t="s">
        <v>505</v>
      </c>
      <c r="C37" s="861"/>
      <c r="D37" s="861"/>
      <c r="E37" s="861">
        <f t="array" ref="E37">SUM(IF(A37=KHN,TH))</f>
        <v>0</v>
      </c>
      <c r="F37" s="861">
        <f t="array" ref="F37">SUM(IF(A37=KHC,TH))</f>
        <v>0</v>
      </c>
      <c r="G37" s="861">
        <f t="shared" ref="G37" si="8">MAX(C37+E37-D37-F37,0)</f>
        <v>0</v>
      </c>
      <c r="H37" s="861">
        <f t="shared" ref="H37" si="9">MAX(D37+F37-E37-C37,0)</f>
        <v>0</v>
      </c>
    </row>
    <row r="38" spans="1:8" s="168" customFormat="1" ht="17.25" customHeight="1">
      <c r="A38" s="860" t="s">
        <v>63</v>
      </c>
      <c r="B38" s="860" t="s">
        <v>64</v>
      </c>
      <c r="C38" s="861"/>
      <c r="D38" s="861"/>
      <c r="E38" s="861">
        <f t="array" ref="E38">SUM(IF(A38=KHN,TH))</f>
        <v>22244468</v>
      </c>
      <c r="F38" s="861">
        <f t="array" ref="F38">SUM(IF(A38=KHC,TH))</f>
        <v>0</v>
      </c>
      <c r="G38" s="861">
        <f t="shared" si="3"/>
        <v>22244468</v>
      </c>
      <c r="H38" s="861">
        <f t="shared" si="4"/>
        <v>0</v>
      </c>
    </row>
    <row r="39" spans="1:8" s="168" customFormat="1" ht="17.25" customHeight="1">
      <c r="A39" s="860" t="s">
        <v>367</v>
      </c>
      <c r="B39" s="860" t="s">
        <v>368</v>
      </c>
      <c r="C39" s="861"/>
      <c r="D39" s="861"/>
      <c r="E39" s="861">
        <f t="array" ref="E39">SUM(IF(A39=KHN,TH))</f>
        <v>0</v>
      </c>
      <c r="F39" s="861">
        <f t="array" ref="F39">SUM(IF(A39=KHC,TH))</f>
        <v>0</v>
      </c>
      <c r="G39" s="861">
        <f t="shared" si="3"/>
        <v>0</v>
      </c>
      <c r="H39" s="861">
        <f t="shared" si="4"/>
        <v>0</v>
      </c>
    </row>
    <row r="40" spans="1:8" s="168" customFormat="1" ht="17.25" customHeight="1">
      <c r="A40" s="874" t="s">
        <v>65</v>
      </c>
      <c r="B40" s="875" t="s">
        <v>66</v>
      </c>
      <c r="C40" s="876"/>
      <c r="D40" s="876"/>
      <c r="E40" s="876">
        <f t="array" ref="E40">SUM(IF(A40=KHN,TH))</f>
        <v>0</v>
      </c>
      <c r="F40" s="876">
        <f t="array" ref="F40">SUM(IF(A40=KHC,TH))</f>
        <v>0</v>
      </c>
      <c r="G40" s="876">
        <f t="shared" si="3"/>
        <v>0</v>
      </c>
      <c r="H40" s="876">
        <f t="shared" si="4"/>
        <v>0</v>
      </c>
    </row>
    <row r="41" spans="1:8" s="168" customFormat="1" ht="17.25" customHeight="1">
      <c r="A41" s="860" t="s">
        <v>18</v>
      </c>
      <c r="B41" s="860" t="s">
        <v>67</v>
      </c>
      <c r="C41" s="861">
        <f>C40</f>
        <v>0</v>
      </c>
      <c r="D41" s="861">
        <f t="shared" ref="D41:H41" si="10">D40</f>
        <v>0</v>
      </c>
      <c r="E41" s="861">
        <f t="shared" si="10"/>
        <v>0</v>
      </c>
      <c r="F41" s="861">
        <f t="shared" si="10"/>
        <v>0</v>
      </c>
      <c r="G41" s="861">
        <f t="shared" si="10"/>
        <v>0</v>
      </c>
      <c r="H41" s="861">
        <f t="shared" si="10"/>
        <v>0</v>
      </c>
    </row>
    <row r="42" spans="1:8" s="168" customFormat="1" ht="17.25" customHeight="1">
      <c r="A42" s="864" t="s">
        <v>68</v>
      </c>
      <c r="B42" s="864" t="s">
        <v>69</v>
      </c>
      <c r="C42" s="865">
        <f>C38+C41+C39+C37</f>
        <v>0</v>
      </c>
      <c r="D42" s="865">
        <f t="shared" ref="D42:H42" si="11">D38+D41+D39+D37</f>
        <v>0</v>
      </c>
      <c r="E42" s="865">
        <f t="shared" si="11"/>
        <v>22244468</v>
      </c>
      <c r="F42" s="865">
        <f t="shared" si="11"/>
        <v>0</v>
      </c>
      <c r="G42" s="865">
        <f t="shared" si="11"/>
        <v>22244468</v>
      </c>
      <c r="H42" s="865">
        <f t="shared" si="11"/>
        <v>0</v>
      </c>
    </row>
    <row r="43" spans="1:8" s="168" customFormat="1" ht="17.25" customHeight="1">
      <c r="A43" s="860" t="s">
        <v>356</v>
      </c>
      <c r="B43" s="860" t="s">
        <v>364</v>
      </c>
      <c r="C43" s="861">
        <v>0</v>
      </c>
      <c r="D43" s="861">
        <v>0</v>
      </c>
      <c r="E43" s="861">
        <f t="array" ref="E43">SUM(IF(A43=KHN,TH))</f>
        <v>0</v>
      </c>
      <c r="F43" s="861">
        <f t="array" ref="F43">SUM(IF(A43=KHC,TH))</f>
        <v>0</v>
      </c>
      <c r="G43" s="861">
        <f t="shared" ref="G43:G48" si="12">MAX(C43+E43-D43-F43,0)</f>
        <v>0</v>
      </c>
      <c r="H43" s="861">
        <f t="shared" ref="H43:H48" si="13">MAX(D43+F43-E43-C43,0)</f>
        <v>0</v>
      </c>
    </row>
    <row r="44" spans="1:8" s="168" customFormat="1" ht="17.25" customHeight="1">
      <c r="A44" s="864" t="s">
        <v>365</v>
      </c>
      <c r="B44" s="864" t="s">
        <v>366</v>
      </c>
      <c r="C44" s="865">
        <f>C43</f>
        <v>0</v>
      </c>
      <c r="D44" s="865">
        <f>D43</f>
        <v>0</v>
      </c>
      <c r="E44" s="865">
        <f>E43</f>
        <v>0</v>
      </c>
      <c r="F44" s="865">
        <f>F43</f>
        <v>0</v>
      </c>
      <c r="G44" s="865">
        <f t="shared" si="12"/>
        <v>0</v>
      </c>
      <c r="H44" s="865">
        <f t="shared" si="13"/>
        <v>0</v>
      </c>
    </row>
    <row r="45" spans="1:8" s="168" customFormat="1" ht="17.25" customHeight="1">
      <c r="A45" s="859" t="s">
        <v>357</v>
      </c>
      <c r="B45" s="860" t="s">
        <v>361</v>
      </c>
      <c r="C45" s="861"/>
      <c r="D45" s="861"/>
      <c r="E45" s="861">
        <f t="array" ref="E45">SUM(IF(A45=KHN,TH))</f>
        <v>0</v>
      </c>
      <c r="F45" s="861">
        <f t="array" ref="F45">SUM(IF(A45=KHC,TH))</f>
        <v>0</v>
      </c>
      <c r="G45" s="861">
        <f t="shared" si="12"/>
        <v>0</v>
      </c>
      <c r="H45" s="861">
        <f t="shared" si="13"/>
        <v>0</v>
      </c>
    </row>
    <row r="46" spans="1:8" s="168" customFormat="1" ht="17.25" customHeight="1">
      <c r="A46" s="860" t="s">
        <v>358</v>
      </c>
      <c r="B46" s="860" t="s">
        <v>362</v>
      </c>
      <c r="C46" s="861"/>
      <c r="D46" s="861"/>
      <c r="E46" s="861">
        <f t="array" ref="E46">SUM(IF(A46=KHN,TH))</f>
        <v>0</v>
      </c>
      <c r="F46" s="861">
        <f t="array" ref="F46">SUM(IF(A46=KHC,TH))</f>
        <v>0</v>
      </c>
      <c r="G46" s="861">
        <f t="shared" si="12"/>
        <v>0</v>
      </c>
      <c r="H46" s="861">
        <f t="shared" si="13"/>
        <v>0</v>
      </c>
    </row>
    <row r="47" spans="1:8" s="168" customFormat="1" ht="17.25" customHeight="1">
      <c r="A47" s="859" t="s">
        <v>359</v>
      </c>
      <c r="B47" s="860" t="s">
        <v>363</v>
      </c>
      <c r="C47" s="861"/>
      <c r="D47" s="861"/>
      <c r="E47" s="861">
        <f t="array" ref="E47">SUM(IF(A47=KHN,TH))</f>
        <v>0</v>
      </c>
      <c r="F47" s="861">
        <f t="array" ref="F47">SUM(IF(A47=KHC,TH))</f>
        <v>0</v>
      </c>
      <c r="G47" s="861">
        <f t="shared" si="12"/>
        <v>0</v>
      </c>
      <c r="H47" s="861">
        <f t="shared" si="13"/>
        <v>0</v>
      </c>
    </row>
    <row r="48" spans="1:8" s="168" customFormat="1" ht="17.25" customHeight="1">
      <c r="A48" s="860" t="s">
        <v>17</v>
      </c>
      <c r="B48" s="860" t="s">
        <v>70</v>
      </c>
      <c r="C48" s="861"/>
      <c r="D48" s="861"/>
      <c r="E48" s="861">
        <f t="array" ref="E48">SUM(IF(A48=KHN,TH))</f>
        <v>0</v>
      </c>
      <c r="F48" s="861">
        <f t="array" ref="F48">SUM(IF(A48=KHC,TH))</f>
        <v>0</v>
      </c>
      <c r="G48" s="861">
        <f t="shared" si="12"/>
        <v>0</v>
      </c>
      <c r="H48" s="861">
        <f t="shared" si="13"/>
        <v>0</v>
      </c>
    </row>
    <row r="49" spans="1:9" s="168" customFormat="1" ht="17.25" customHeight="1">
      <c r="A49" s="864" t="s">
        <v>71</v>
      </c>
      <c r="B49" s="864" t="s">
        <v>72</v>
      </c>
      <c r="C49" s="865">
        <f t="shared" ref="C49:H49" si="14">SUM(C45:C48)</f>
        <v>0</v>
      </c>
      <c r="D49" s="865">
        <f t="shared" si="14"/>
        <v>0</v>
      </c>
      <c r="E49" s="865">
        <f t="shared" si="14"/>
        <v>0</v>
      </c>
      <c r="F49" s="865">
        <f t="shared" si="14"/>
        <v>0</v>
      </c>
      <c r="G49" s="865">
        <f t="shared" si="14"/>
        <v>0</v>
      </c>
      <c r="H49" s="865">
        <f t="shared" si="14"/>
        <v>0</v>
      </c>
    </row>
    <row r="50" spans="1:9" s="168" customFormat="1" ht="17.25" customHeight="1">
      <c r="A50" s="859" t="s">
        <v>73</v>
      </c>
      <c r="B50" s="860" t="s">
        <v>187</v>
      </c>
      <c r="C50" s="862"/>
      <c r="D50" s="862"/>
      <c r="E50" s="862">
        <f t="array" ref="E50">SUM(IF(A50=KHN,TH))</f>
        <v>0</v>
      </c>
      <c r="F50" s="862">
        <f t="array" ref="F50">SUM(IF(A50=KHC,TH))</f>
        <v>0</v>
      </c>
      <c r="G50" s="862">
        <f>MAX(C50+E50-D50-F50,0)</f>
        <v>0</v>
      </c>
      <c r="H50" s="862">
        <f>MAX(D50+F50-E50-C50,0)</f>
        <v>0</v>
      </c>
    </row>
    <row r="51" spans="1:9" s="168" customFormat="1" ht="17.25" customHeight="1">
      <c r="A51" s="859" t="s">
        <v>186</v>
      </c>
      <c r="B51" s="860" t="s">
        <v>188</v>
      </c>
      <c r="C51" s="861"/>
      <c r="D51" s="861"/>
      <c r="E51" s="861">
        <f t="array" ref="E51">SUM(IF(A51=KHN,TH))</f>
        <v>0</v>
      </c>
      <c r="F51" s="861">
        <f t="array" ref="F51">SUM(IF(A51=KHC,TH))</f>
        <v>0</v>
      </c>
      <c r="G51" s="861">
        <f>MAX(C51+E51-D51-F51,0)</f>
        <v>0</v>
      </c>
      <c r="H51" s="861">
        <f>MAX(D51+F51-E51-C51,0)</f>
        <v>0</v>
      </c>
    </row>
    <row r="52" spans="1:9" s="168" customFormat="1" ht="17.25" customHeight="1">
      <c r="A52" s="873" t="s">
        <v>40</v>
      </c>
      <c r="B52" s="864" t="s">
        <v>74</v>
      </c>
      <c r="C52" s="865">
        <f t="shared" ref="C52:H52" si="15">SUM(C50:C51)</f>
        <v>0</v>
      </c>
      <c r="D52" s="865">
        <f t="shared" si="15"/>
        <v>0</v>
      </c>
      <c r="E52" s="865">
        <f t="shared" si="15"/>
        <v>0</v>
      </c>
      <c r="F52" s="865">
        <f t="shared" si="15"/>
        <v>0</v>
      </c>
      <c r="G52" s="865">
        <f t="shared" si="15"/>
        <v>0</v>
      </c>
      <c r="H52" s="865">
        <f t="shared" si="15"/>
        <v>0</v>
      </c>
    </row>
    <row r="53" spans="1:9" s="168" customFormat="1" ht="17.25" customHeight="1">
      <c r="A53" s="860" t="s">
        <v>25</v>
      </c>
      <c r="B53" s="860" t="s">
        <v>75</v>
      </c>
      <c r="C53" s="861"/>
      <c r="D53" s="861"/>
      <c r="E53" s="861">
        <f t="array" ref="E53">SUM(IF(A53=KHN,TH))</f>
        <v>0</v>
      </c>
      <c r="F53" s="861">
        <f t="array" ref="F53">SUM(IF(A53=KHC,TH))</f>
        <v>0</v>
      </c>
      <c r="G53" s="862">
        <f>MAX(C53+E53-D53-F53,0)</f>
        <v>0</v>
      </c>
      <c r="H53" s="862">
        <f>MAX(D53+F53-E53-C53,0)</f>
        <v>0</v>
      </c>
    </row>
    <row r="54" spans="1:9" s="168" customFormat="1" ht="17.25" customHeight="1">
      <c r="A54" s="864" t="s">
        <v>76</v>
      </c>
      <c r="B54" s="864" t="s">
        <v>77</v>
      </c>
      <c r="C54" s="865">
        <v>0</v>
      </c>
      <c r="D54" s="865">
        <f>D53</f>
        <v>0</v>
      </c>
      <c r="E54" s="865">
        <f>E53</f>
        <v>0</v>
      </c>
      <c r="F54" s="865">
        <f>F53</f>
        <v>0</v>
      </c>
      <c r="G54" s="865">
        <f>MAX(C54+E54-D54-F54,0)</f>
        <v>0</v>
      </c>
      <c r="H54" s="865">
        <f>MAX(D54+F54-E54-C54,0)</f>
        <v>0</v>
      </c>
    </row>
    <row r="55" spans="1:9" s="168" customFormat="1" ht="17.25" customHeight="1">
      <c r="A55" s="859" t="s">
        <v>78</v>
      </c>
      <c r="B55" s="860" t="s">
        <v>79</v>
      </c>
      <c r="C55" s="861"/>
      <c r="D55" s="861"/>
      <c r="E55" s="861">
        <f t="array" ref="E55">SUM(IF(A55=KHN,TH))</f>
        <v>0</v>
      </c>
      <c r="F55" s="861">
        <f t="array" ref="F55">SUM(IF(A55=KHC,TH))</f>
        <v>0</v>
      </c>
      <c r="G55" s="862">
        <f>MAX(C55+E55-D55-F55,0)</f>
        <v>0</v>
      </c>
      <c r="H55" s="862">
        <f>MAX(D55+F55-E55-C55,0)</f>
        <v>0</v>
      </c>
    </row>
    <row r="56" spans="1:9" s="168" customFormat="1" ht="17.25" customHeight="1">
      <c r="A56" s="860" t="s">
        <v>80</v>
      </c>
      <c r="B56" s="860" t="s">
        <v>81</v>
      </c>
      <c r="C56" s="861"/>
      <c r="D56" s="861"/>
      <c r="E56" s="861">
        <f t="array" ref="E56">SUM(IF(A56=TH!$L$10:$L$960,TH!$K$10:$K$960))</f>
        <v>0</v>
      </c>
      <c r="F56" s="861">
        <f t="array" ref="F56">SUM(IF(A56=TH!$M$10:$M$960,TH!$K$10:$K$960))</f>
        <v>0</v>
      </c>
      <c r="G56" s="861">
        <f>MAX(C56+E56-D56-F56,0)</f>
        <v>0</v>
      </c>
      <c r="H56" s="861">
        <f>MAX(D56+F56-E56-C56,0)</f>
        <v>0</v>
      </c>
    </row>
    <row r="57" spans="1:9" s="168" customFormat="1" ht="17.25" customHeight="1">
      <c r="A57" s="864" t="s">
        <v>82</v>
      </c>
      <c r="B57" s="864" t="s">
        <v>83</v>
      </c>
      <c r="C57" s="865">
        <f t="shared" ref="C57:H57" si="16">C56+C55</f>
        <v>0</v>
      </c>
      <c r="D57" s="865">
        <f t="shared" si="16"/>
        <v>0</v>
      </c>
      <c r="E57" s="865">
        <f t="shared" si="16"/>
        <v>0</v>
      </c>
      <c r="F57" s="865">
        <f t="shared" si="16"/>
        <v>0</v>
      </c>
      <c r="G57" s="865">
        <f t="shared" si="16"/>
        <v>0</v>
      </c>
      <c r="H57" s="865">
        <f t="shared" si="16"/>
        <v>0</v>
      </c>
    </row>
    <row r="58" spans="1:9" s="168" customFormat="1" ht="17.25" customHeight="1">
      <c r="A58" s="859" t="s">
        <v>213</v>
      </c>
      <c r="B58" s="860" t="s">
        <v>214</v>
      </c>
      <c r="C58" s="861"/>
      <c r="D58" s="861"/>
      <c r="E58" s="861">
        <f t="array" ref="E58">SUM(IF(A58=KHN,TH))</f>
        <v>0</v>
      </c>
      <c r="F58" s="861">
        <f t="array" ref="F58">SUM(IF(A58=KHC,TH))</f>
        <v>0</v>
      </c>
      <c r="G58" s="862"/>
      <c r="H58" s="862"/>
      <c r="I58" s="168">
        <f>E58-F58</f>
        <v>0</v>
      </c>
    </row>
    <row r="59" spans="1:9" s="168" customFormat="1" ht="17.25" customHeight="1">
      <c r="A59" s="864" t="s">
        <v>215</v>
      </c>
      <c r="B59" s="864" t="s">
        <v>216</v>
      </c>
      <c r="C59" s="865"/>
      <c r="D59" s="865"/>
      <c r="E59" s="865">
        <f>E58</f>
        <v>0</v>
      </c>
      <c r="F59" s="865">
        <f>F58</f>
        <v>0</v>
      </c>
      <c r="G59" s="865"/>
      <c r="H59" s="865"/>
      <c r="I59" s="168">
        <f>E59-F59</f>
        <v>0</v>
      </c>
    </row>
    <row r="60" spans="1:9" s="168" customFormat="1" ht="17.25" customHeight="1">
      <c r="A60" s="864" t="s">
        <v>41</v>
      </c>
      <c r="B60" s="864" t="s">
        <v>84</v>
      </c>
      <c r="C60" s="865"/>
      <c r="D60" s="865"/>
      <c r="E60" s="866">
        <f t="array" ref="E60">SUM(IF(A60=KHN,TH))</f>
        <v>109701</v>
      </c>
      <c r="F60" s="866">
        <f t="array" ref="F60">SUM(IF(A60=KHC,TH))</f>
        <v>109701</v>
      </c>
      <c r="G60" s="865"/>
      <c r="H60" s="865"/>
      <c r="I60" s="168">
        <f t="shared" ref="I60:I68" si="17">E60-F60</f>
        <v>0</v>
      </c>
    </row>
    <row r="61" spans="1:9" s="168" customFormat="1" ht="17.25" customHeight="1">
      <c r="A61" s="864" t="s">
        <v>211</v>
      </c>
      <c r="B61" s="864" t="s">
        <v>212</v>
      </c>
      <c r="C61" s="865"/>
      <c r="D61" s="865"/>
      <c r="E61" s="866">
        <f t="array" ref="E61">SUM(IF(A61=KHN,TH))</f>
        <v>0</v>
      </c>
      <c r="F61" s="866">
        <f t="array" ref="F61">SUM(IF(A61=KHC,TH))</f>
        <v>0</v>
      </c>
      <c r="G61" s="865"/>
      <c r="H61" s="865"/>
      <c r="I61" s="168">
        <f t="shared" si="17"/>
        <v>0</v>
      </c>
    </row>
    <row r="62" spans="1:9" s="168" customFormat="1" ht="17.25" customHeight="1">
      <c r="A62" s="864" t="s">
        <v>85</v>
      </c>
      <c r="B62" s="864" t="s">
        <v>86</v>
      </c>
      <c r="C62" s="865"/>
      <c r="D62" s="865"/>
      <c r="E62" s="866">
        <f t="array" ref="E62">SUM(IF(A62=KHN,TH))</f>
        <v>0</v>
      </c>
      <c r="F62" s="866">
        <f t="array" ref="F62">SUM(IF(A62=KHC,TH))</f>
        <v>0</v>
      </c>
      <c r="G62" s="865"/>
      <c r="H62" s="865"/>
      <c r="I62" s="168">
        <f t="shared" si="17"/>
        <v>0</v>
      </c>
    </row>
    <row r="63" spans="1:9" s="168" customFormat="1" ht="17.25" customHeight="1">
      <c r="A63" s="873" t="s">
        <v>355</v>
      </c>
      <c r="B63" s="864" t="s">
        <v>438</v>
      </c>
      <c r="C63" s="865"/>
      <c r="D63" s="865"/>
      <c r="E63" s="866">
        <f t="array" ref="E63">SUM(IF(A63=KHN,TH))</f>
        <v>0</v>
      </c>
      <c r="F63" s="866">
        <f t="array" ref="F63">SUM(IF(A63=KHC,TH))</f>
        <v>0</v>
      </c>
      <c r="G63" s="865"/>
      <c r="H63" s="865"/>
      <c r="I63" s="168">
        <f>E63-F63</f>
        <v>0</v>
      </c>
    </row>
    <row r="64" spans="1:9" s="168" customFormat="1" ht="17.25" customHeight="1">
      <c r="A64" s="864" t="s">
        <v>87</v>
      </c>
      <c r="B64" s="864" t="s">
        <v>88</v>
      </c>
      <c r="C64" s="865"/>
      <c r="D64" s="865"/>
      <c r="E64" s="866">
        <f t="array" ref="E64">SUM(IF(A64=KHN,TH))</f>
        <v>28834249</v>
      </c>
      <c r="F64" s="866">
        <f t="array" ref="F64">SUM(IF(A64=KHC,TH))</f>
        <v>28834249</v>
      </c>
      <c r="G64" s="865"/>
      <c r="H64" s="865"/>
      <c r="I64" s="168">
        <f t="shared" si="17"/>
        <v>0</v>
      </c>
    </row>
    <row r="65" spans="1:9" s="168" customFormat="1" ht="17.25" customHeight="1">
      <c r="A65" s="873" t="s">
        <v>89</v>
      </c>
      <c r="B65" s="864" t="s">
        <v>90</v>
      </c>
      <c r="C65" s="865"/>
      <c r="D65" s="865"/>
      <c r="E65" s="866">
        <f t="array" ref="E65">SUM(IF(A65=KHN,TH))</f>
        <v>0</v>
      </c>
      <c r="F65" s="866">
        <f t="array" ref="F65">SUM(IF(A65=KHC,TH))</f>
        <v>0</v>
      </c>
      <c r="G65" s="865"/>
      <c r="H65" s="865"/>
      <c r="I65" s="168">
        <f t="shared" si="17"/>
        <v>0</v>
      </c>
    </row>
    <row r="66" spans="1:9" s="168" customFormat="1" ht="17.25" customHeight="1">
      <c r="A66" s="864" t="s">
        <v>91</v>
      </c>
      <c r="B66" s="864" t="s">
        <v>92</v>
      </c>
      <c r="C66" s="865"/>
      <c r="D66" s="865"/>
      <c r="E66" s="866">
        <f t="array" ref="E66">SUM(IF(A66=KHN,TH))</f>
        <v>670000</v>
      </c>
      <c r="F66" s="866">
        <f t="array" ref="F66">SUM(IF(A66=KHC,TH))</f>
        <v>670000</v>
      </c>
      <c r="G66" s="865"/>
      <c r="H66" s="865"/>
      <c r="I66" s="168">
        <f t="shared" si="17"/>
        <v>0</v>
      </c>
    </row>
    <row r="67" spans="1:9" s="168" customFormat="1" ht="17.25" customHeight="1">
      <c r="A67" s="873" t="s">
        <v>93</v>
      </c>
      <c r="B67" s="864" t="s">
        <v>94</v>
      </c>
      <c r="C67" s="865"/>
      <c r="D67" s="865"/>
      <c r="E67" s="866">
        <f t="array" ref="E67">SUM(IF(A67=KHN,TH))</f>
        <v>0</v>
      </c>
      <c r="F67" s="866">
        <f t="array" ref="F67">SUM(IF(A67=KHC,TH))</f>
        <v>0</v>
      </c>
      <c r="G67" s="865"/>
      <c r="H67" s="865"/>
      <c r="I67" s="168">
        <f t="shared" si="17"/>
        <v>0</v>
      </c>
    </row>
    <row r="68" spans="1:9" s="168" customFormat="1" ht="17.25" customHeight="1">
      <c r="A68" s="864" t="s">
        <v>95</v>
      </c>
      <c r="B68" s="864" t="s">
        <v>96</v>
      </c>
      <c r="C68" s="865"/>
      <c r="D68" s="865"/>
      <c r="E68" s="877">
        <f t="array" ref="E68">SUM(IF(A68=KHN,TH))</f>
        <v>29504249</v>
      </c>
      <c r="F68" s="877">
        <f t="array" ref="F68">SUM(IF(A68=TH!$M$10:$M$960,TH!$K$10:$K$960))</f>
        <v>109701</v>
      </c>
      <c r="G68" s="865"/>
      <c r="H68" s="865"/>
      <c r="I68" s="168">
        <f t="shared" si="17"/>
        <v>29394548</v>
      </c>
    </row>
    <row r="69" spans="1:9" s="168" customFormat="1" ht="17.25" customHeight="1">
      <c r="A69" s="941" t="s">
        <v>39</v>
      </c>
      <c r="B69" s="942"/>
      <c r="C69" s="878">
        <f t="shared" ref="C69:H69" si="18">C11+C13+C14+C16+C18+C21+C22+C23+C24+C28+C30+C33+C35+C36+C42+C44+C49+C52+C54+C57+C59+C60+C61+C62+C63+C64+C65+C66+C67+C68</f>
        <v>1633887596</v>
      </c>
      <c r="D69" s="878">
        <f t="shared" si="18"/>
        <v>0</v>
      </c>
      <c r="E69" s="878">
        <f t="shared" si="18"/>
        <v>3389155660</v>
      </c>
      <c r="F69" s="878">
        <f t="shared" si="18"/>
        <v>3389155660</v>
      </c>
      <c r="G69" s="878">
        <f t="shared" si="18"/>
        <v>3232200067</v>
      </c>
      <c r="H69" s="878">
        <f t="shared" si="18"/>
        <v>1627707019</v>
      </c>
    </row>
    <row r="70" spans="1:9">
      <c r="E70" s="879"/>
      <c r="F70" s="880"/>
    </row>
    <row r="71" spans="1:9">
      <c r="E71" s="880"/>
      <c r="H71" s="880">
        <f>G69-H69</f>
        <v>1604493048</v>
      </c>
    </row>
    <row r="72" spans="1:9">
      <c r="E72" s="881"/>
      <c r="F72" s="881"/>
    </row>
    <row r="73" spans="1:9">
      <c r="E73" s="881"/>
      <c r="F73" s="881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abSelected="1" topLeftCell="A7" workbookViewId="0">
      <pane xSplit="13" ySplit="3" topLeftCell="N373" activePane="bottomRight" state="frozen"/>
      <selection activeCell="A7" sqref="A7"/>
      <selection pane="topRight" activeCell="N7" sqref="N7"/>
      <selection pane="bottomLeft" activeCell="A10" sqref="A10"/>
      <selection pane="bottomRight" activeCell="G368" sqref="G368"/>
    </sheetView>
  </sheetViews>
  <sheetFormatPr defaultRowHeight="12.75"/>
  <cols>
    <col min="1" max="1" width="4.5703125" style="219" customWidth="1"/>
    <col min="2" max="2" width="4.85546875" style="211" customWidth="1"/>
    <col min="3" max="3" width="9.140625" style="211" customWidth="1"/>
    <col min="4" max="4" width="6.85546875" style="211" customWidth="1"/>
    <col min="5" max="5" width="9.140625" style="211" customWidth="1"/>
    <col min="6" max="6" width="36.140625" style="211" customWidth="1"/>
    <col min="7" max="7" width="7.5703125" style="628" customWidth="1"/>
    <col min="8" max="8" width="40.7109375" style="226" customWidth="1"/>
    <col min="9" max="10" width="7.7109375" style="226" customWidth="1"/>
    <col min="11" max="11" width="13.140625" style="211" customWidth="1"/>
    <col min="12" max="13" width="7" style="211" customWidth="1"/>
    <col min="14" max="14" width="4.42578125" style="211" hidden="1" customWidth="1"/>
    <col min="15" max="17" width="2.7109375" style="211" hidden="1" customWidth="1"/>
    <col min="18" max="20" width="2.5703125" style="211" hidden="1" customWidth="1"/>
    <col min="21" max="23" width="4.42578125" style="211" hidden="1" customWidth="1"/>
    <col min="24" max="26" width="2.7109375" style="211" hidden="1" customWidth="1"/>
    <col min="27" max="27" width="2.85546875" style="211" hidden="1" customWidth="1"/>
    <col min="28" max="16384" width="9.140625" style="211"/>
  </cols>
  <sheetData>
    <row r="1" spans="1:27" ht="15">
      <c r="A1" s="1" t="s">
        <v>160</v>
      </c>
      <c r="B1" s="31"/>
      <c r="C1" s="31"/>
      <c r="D1" s="32"/>
      <c r="E1" s="32"/>
      <c r="F1" s="33"/>
      <c r="G1" s="624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4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4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46" t="s">
        <v>97</v>
      </c>
      <c r="D4" s="946"/>
      <c r="E4" s="946"/>
      <c r="F4" s="946"/>
      <c r="G4" s="946"/>
      <c r="H4" s="946"/>
      <c r="I4" s="946"/>
      <c r="J4" s="946"/>
      <c r="K4" s="946"/>
      <c r="L4" s="946"/>
      <c r="M4" s="946"/>
    </row>
    <row r="5" spans="1:27" ht="14.25">
      <c r="B5" s="43"/>
      <c r="C5" s="947"/>
      <c r="D5" s="947"/>
      <c r="E5" s="947"/>
      <c r="F5" s="947"/>
      <c r="G5" s="947"/>
      <c r="H5" s="947"/>
      <c r="I5" s="947"/>
      <c r="J5" s="947"/>
      <c r="K5" s="947"/>
      <c r="L5" s="947"/>
      <c r="M5" s="947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62" t="s">
        <v>123</v>
      </c>
      <c r="B7" s="964" t="s">
        <v>105</v>
      </c>
      <c r="C7" s="948" t="s">
        <v>20</v>
      </c>
      <c r="D7" s="949" t="s">
        <v>1</v>
      </c>
      <c r="E7" s="950"/>
      <c r="F7" s="948" t="s">
        <v>0</v>
      </c>
      <c r="G7" s="952" t="s">
        <v>122</v>
      </c>
      <c r="H7" s="966" t="s">
        <v>45</v>
      </c>
      <c r="I7" s="969" t="s">
        <v>351</v>
      </c>
      <c r="J7" s="970"/>
      <c r="K7" s="948" t="s">
        <v>189</v>
      </c>
      <c r="L7" s="951" t="s">
        <v>98</v>
      </c>
      <c r="M7" s="951"/>
      <c r="N7" s="967" t="s">
        <v>8</v>
      </c>
      <c r="O7" s="956" t="s">
        <v>49</v>
      </c>
      <c r="P7" s="957"/>
      <c r="Q7" s="958"/>
      <c r="R7" s="956" t="s">
        <v>53</v>
      </c>
      <c r="S7" s="957"/>
      <c r="T7" s="958"/>
      <c r="U7" s="967" t="s">
        <v>40</v>
      </c>
      <c r="V7" s="954" t="str">
        <f>CTTK!$E$7</f>
        <v>1388</v>
      </c>
      <c r="W7" s="954" t="s">
        <v>352</v>
      </c>
      <c r="X7" s="945" t="s">
        <v>195</v>
      </c>
      <c r="Y7" s="945"/>
      <c r="Z7" s="945"/>
      <c r="AA7" s="945" t="s">
        <v>485</v>
      </c>
    </row>
    <row r="8" spans="1:27" ht="24.75" customHeight="1">
      <c r="A8" s="963"/>
      <c r="B8" s="965"/>
      <c r="C8" s="948"/>
      <c r="D8" s="216" t="s">
        <v>15</v>
      </c>
      <c r="E8" s="215" t="s">
        <v>32</v>
      </c>
      <c r="F8" s="948"/>
      <c r="G8" s="953"/>
      <c r="H8" s="966"/>
      <c r="I8" s="282" t="s">
        <v>269</v>
      </c>
      <c r="J8" s="282" t="s">
        <v>270</v>
      </c>
      <c r="K8" s="948"/>
      <c r="L8" s="217" t="s">
        <v>22</v>
      </c>
      <c r="M8" s="217" t="s">
        <v>23</v>
      </c>
      <c r="N8" s="968"/>
      <c r="O8" s="959"/>
      <c r="P8" s="960"/>
      <c r="Q8" s="961"/>
      <c r="R8" s="959"/>
      <c r="S8" s="960"/>
      <c r="T8" s="961"/>
      <c r="U8" s="968"/>
      <c r="V8" s="955"/>
      <c r="W8" s="955"/>
      <c r="X8" s="945"/>
      <c r="Y8" s="945"/>
      <c r="Z8" s="945"/>
      <c r="AA8" s="945"/>
    </row>
    <row r="9" spans="1:27">
      <c r="A9" s="220">
        <v>1</v>
      </c>
      <c r="B9" s="221">
        <v>2</v>
      </c>
      <c r="C9" s="221">
        <v>3</v>
      </c>
      <c r="D9" s="221">
        <v>4</v>
      </c>
      <c r="E9" s="221">
        <v>5</v>
      </c>
      <c r="F9" s="221">
        <v>6</v>
      </c>
      <c r="G9" s="625">
        <v>7</v>
      </c>
      <c r="H9" s="221">
        <v>8</v>
      </c>
      <c r="I9" s="222">
        <v>9</v>
      </c>
      <c r="J9" s="221">
        <v>10</v>
      </c>
      <c r="K9" s="222">
        <v>13</v>
      </c>
      <c r="L9" s="221">
        <v>14</v>
      </c>
      <c r="M9" s="222">
        <v>15</v>
      </c>
      <c r="N9" s="221">
        <v>16</v>
      </c>
      <c r="O9" s="222">
        <v>17</v>
      </c>
      <c r="P9" s="221">
        <v>18</v>
      </c>
      <c r="Q9" s="222">
        <v>19</v>
      </c>
      <c r="R9" s="221">
        <v>20</v>
      </c>
      <c r="S9" s="221"/>
      <c r="T9" s="221"/>
      <c r="U9" s="221">
        <v>26</v>
      </c>
      <c r="V9" s="222">
        <v>27</v>
      </c>
      <c r="W9" s="222"/>
      <c r="X9" s="221">
        <v>19</v>
      </c>
      <c r="Y9" s="221">
        <v>20</v>
      </c>
      <c r="Z9" s="221"/>
      <c r="AA9" s="221">
        <v>21</v>
      </c>
    </row>
    <row r="10" spans="1:27" s="223" customFormat="1" ht="15.75" customHeight="1">
      <c r="A10" s="218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41305</v>
      </c>
      <c r="D10" s="51" t="s">
        <v>99</v>
      </c>
      <c r="E10" s="51">
        <v>41305</v>
      </c>
      <c r="F10" s="52" t="s">
        <v>169</v>
      </c>
      <c r="G10" s="52"/>
      <c r="H10" s="53"/>
      <c r="I10" s="274"/>
      <c r="J10" s="274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3" customFormat="1" ht="15.75" customHeight="1">
      <c r="A11" s="218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41305</v>
      </c>
      <c r="D11" s="51" t="s">
        <v>99</v>
      </c>
      <c r="E11" s="51">
        <v>41305</v>
      </c>
      <c r="F11" s="52" t="s">
        <v>381</v>
      </c>
      <c r="G11" s="52"/>
      <c r="H11" s="53"/>
      <c r="I11" s="274"/>
      <c r="J11" s="274"/>
      <c r="K11" s="54">
        <f>SUMIF(KHC,L11,TH)</f>
        <v>0</v>
      </c>
      <c r="L11" s="56" t="s">
        <v>506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3" customFormat="1" ht="15.75" customHeight="1">
      <c r="A12" s="218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41305</v>
      </c>
      <c r="D12" s="51" t="s">
        <v>99</v>
      </c>
      <c r="E12" s="51">
        <v>41305</v>
      </c>
      <c r="F12" s="52" t="s">
        <v>382</v>
      </c>
      <c r="G12" s="52"/>
      <c r="H12" s="53"/>
      <c r="I12" s="274"/>
      <c r="J12" s="274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3" customFormat="1" ht="15.75" customHeight="1">
      <c r="A13" s="218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41305</v>
      </c>
      <c r="D13" s="51" t="s">
        <v>99</v>
      </c>
      <c r="E13" s="51">
        <v>41305</v>
      </c>
      <c r="F13" s="52" t="s">
        <v>100</v>
      </c>
      <c r="G13" s="52"/>
      <c r="H13" s="57"/>
      <c r="I13" s="275"/>
      <c r="J13" s="275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3" customFormat="1" ht="15.75" customHeight="1">
      <c r="A14" s="218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41305</v>
      </c>
      <c r="D14" s="51" t="s">
        <v>99</v>
      </c>
      <c r="E14" s="51">
        <v>41305</v>
      </c>
      <c r="F14" s="52" t="s">
        <v>383</v>
      </c>
      <c r="G14" s="52"/>
      <c r="H14" s="53"/>
      <c r="I14" s="274"/>
      <c r="J14" s="274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3" customFormat="1" ht="15.75" customHeight="1">
      <c r="A15" s="218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41305</v>
      </c>
      <c r="D15" s="51" t="s">
        <v>99</v>
      </c>
      <c r="E15" s="51">
        <v>41305</v>
      </c>
      <c r="F15" s="52" t="s">
        <v>101</v>
      </c>
      <c r="G15" s="52"/>
      <c r="H15" s="53"/>
      <c r="I15" s="274"/>
      <c r="J15" s="274"/>
      <c r="K15" s="54">
        <f>SUMIF(KHN,M15,TH)</f>
        <v>28834249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3" customFormat="1" ht="15.75" customHeight="1">
      <c r="A16" s="218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41305</v>
      </c>
      <c r="D16" s="51" t="s">
        <v>99</v>
      </c>
      <c r="E16" s="51">
        <v>41305</v>
      </c>
      <c r="F16" s="52" t="s">
        <v>102</v>
      </c>
      <c r="G16" s="52"/>
      <c r="H16" s="53"/>
      <c r="I16" s="274"/>
      <c r="J16" s="274"/>
      <c r="K16" s="54">
        <f>SUMIF(KHC,L16,TH)</f>
        <v>109701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3" customFormat="1" ht="15.75" customHeight="1">
      <c r="A17" s="218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41305</v>
      </c>
      <c r="D17" s="51" t="s">
        <v>99</v>
      </c>
      <c r="E17" s="51">
        <v>41305</v>
      </c>
      <c r="F17" s="52" t="s">
        <v>444</v>
      </c>
      <c r="G17" s="52"/>
      <c r="H17" s="53"/>
      <c r="I17" s="274"/>
      <c r="J17" s="274"/>
      <c r="K17" s="54">
        <f>SUMIF(KHC,L17,TH)</f>
        <v>0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3" customFormat="1" ht="15.75" customHeight="1">
      <c r="A18" s="218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41305</v>
      </c>
      <c r="D18" s="51" t="s">
        <v>99</v>
      </c>
      <c r="E18" s="51">
        <v>41305</v>
      </c>
      <c r="F18" s="52" t="s">
        <v>103</v>
      </c>
      <c r="G18" s="52"/>
      <c r="H18" s="53"/>
      <c r="I18" s="274"/>
      <c r="J18" s="274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3" customFormat="1" ht="15.75" customHeight="1">
      <c r="A19" s="218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41305</v>
      </c>
      <c r="D19" s="51" t="s">
        <v>99</v>
      </c>
      <c r="E19" s="51">
        <v>41305</v>
      </c>
      <c r="F19" s="52" t="s">
        <v>104</v>
      </c>
      <c r="G19" s="52"/>
      <c r="H19" s="53"/>
      <c r="I19" s="274"/>
      <c r="J19" s="274"/>
      <c r="K19" s="54">
        <f>SUMIF(KHN,M19,TH)</f>
        <v>670000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3" customFormat="1" ht="15.75" customHeight="1">
      <c r="A20" s="218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41364</v>
      </c>
      <c r="D20" s="51" t="s">
        <v>99</v>
      </c>
      <c r="E20" s="51">
        <v>41364</v>
      </c>
      <c r="F20" s="52" t="s">
        <v>440</v>
      </c>
      <c r="G20" s="52"/>
      <c r="H20" s="53"/>
      <c r="I20" s="274"/>
      <c r="J20" s="274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3" customFormat="1" ht="15.75" customHeight="1">
      <c r="A21" s="218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41455</v>
      </c>
      <c r="D21" s="51" t="s">
        <v>99</v>
      </c>
      <c r="E21" s="51">
        <v>41455</v>
      </c>
      <c r="F21" s="52" t="s">
        <v>441</v>
      </c>
      <c r="G21" s="52"/>
      <c r="H21" s="53"/>
      <c r="I21" s="274"/>
      <c r="J21" s="274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3" customFormat="1" ht="15.75" customHeight="1">
      <c r="A22" s="218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41547</v>
      </c>
      <c r="D22" s="51" t="s">
        <v>99</v>
      </c>
      <c r="E22" s="51">
        <v>41547</v>
      </c>
      <c r="F22" s="52" t="s">
        <v>442</v>
      </c>
      <c r="G22" s="52"/>
      <c r="H22" s="53"/>
      <c r="I22" s="274"/>
      <c r="J22" s="274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3" customFormat="1" ht="15.75" customHeight="1">
      <c r="A23" s="218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41639</v>
      </c>
      <c r="D23" s="51" t="s">
        <v>99</v>
      </c>
      <c r="E23" s="51">
        <v>41639</v>
      </c>
      <c r="F23" s="52" t="s">
        <v>443</v>
      </c>
      <c r="G23" s="52"/>
      <c r="H23" s="53"/>
      <c r="I23" s="274"/>
      <c r="J23" s="274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39" customFormat="1" ht="15.75" customHeight="1">
      <c r="A24" s="218">
        <f>IF(B24&lt;&gt;"",IF(AND(B24&gt;=_TM1,B24&lt;=_TM2,OR(TH!L24="1111",TH!M24="1111")),TH!D24,""),"")</f>
        <v>0</v>
      </c>
      <c r="B24" s="36">
        <f t="shared" ref="B24:B87" si="3">IF(C24&lt;&gt;"",MONTH(C24),"")</f>
        <v>1</v>
      </c>
      <c r="C24" s="194">
        <f>E24</f>
        <v>41277</v>
      </c>
      <c r="D24" s="194"/>
      <c r="E24" s="194">
        <v>41277</v>
      </c>
      <c r="F24" s="202" t="s">
        <v>519</v>
      </c>
      <c r="G24" s="750" t="s">
        <v>447</v>
      </c>
      <c r="H24" s="7" t="s">
        <v>520</v>
      </c>
      <c r="I24" s="276"/>
      <c r="J24" s="276"/>
      <c r="K24" s="748">
        <v>40200000</v>
      </c>
      <c r="L24" s="749" t="s">
        <v>24</v>
      </c>
      <c r="M24" s="749" t="s">
        <v>49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>x</v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39" customFormat="1" ht="15.75" customHeight="1">
      <c r="A25" s="218" t="str">
        <f>IF(B25&lt;&gt;"",IF(AND(B25&gt;=_TM1,B25&lt;=_TM2,OR(TH!L25="1111",TH!M25="1111")),TH!D25,""),"")</f>
        <v/>
      </c>
      <c r="B25" s="36">
        <f t="shared" si="3"/>
        <v>1</v>
      </c>
      <c r="C25" s="194">
        <f t="shared" ref="C25:C88" si="4">E25</f>
        <v>41282</v>
      </c>
      <c r="D25" s="194"/>
      <c r="E25" s="204">
        <v>41282</v>
      </c>
      <c r="F25" s="202" t="s">
        <v>521</v>
      </c>
      <c r="G25" s="750" t="s">
        <v>447</v>
      </c>
      <c r="H25" s="7" t="s">
        <v>455</v>
      </c>
      <c r="I25" s="277"/>
      <c r="J25" s="278"/>
      <c r="K25" s="38">
        <v>13032580</v>
      </c>
      <c r="L25" s="749" t="s">
        <v>24</v>
      </c>
      <c r="M25" s="749" t="s">
        <v>352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/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>x</v>
      </c>
      <c r="T25" s="55" t="str">
        <f>IF(ISERROR(FIND('112'!$M$9,G25,1)),"",IF((AND(RIGHT(G25,2)=RIGHT('112'!$M$9,2),B25&lt;'112'!$N$8,$M25='112'!$I$6)),"x",""))</f>
        <v/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39" customFormat="1" ht="15.75" customHeight="1">
      <c r="A26" s="218" t="str">
        <f>IF(B26&lt;&gt;"",IF(AND(B26&gt;=_TM1,B26&lt;=_TM2,OR(TH!L26="1111",TH!M26="1111")),TH!D26,""),"")</f>
        <v/>
      </c>
      <c r="B26" s="36">
        <f t="shared" si="3"/>
        <v>1</v>
      </c>
      <c r="C26" s="194">
        <f t="shared" si="4"/>
        <v>41289</v>
      </c>
      <c r="D26" s="194"/>
      <c r="E26" s="194">
        <v>41289</v>
      </c>
      <c r="F26" s="202" t="s">
        <v>521</v>
      </c>
      <c r="G26" s="750" t="s">
        <v>447</v>
      </c>
      <c r="H26" s="7" t="s">
        <v>517</v>
      </c>
      <c r="I26" s="276"/>
      <c r="J26" s="276"/>
      <c r="K26" s="748">
        <v>9537088</v>
      </c>
      <c r="L26" s="749" t="s">
        <v>24</v>
      </c>
      <c r="M26" s="749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39" customFormat="1" ht="15.75" customHeight="1">
      <c r="A27" s="218">
        <f>IF(B27&lt;&gt;"",IF(AND(B27&gt;=_TM1,B27&lt;=_TM2,OR(TH!L27="1111",TH!M27="1111")),TH!D27,""),"")</f>
        <v>0</v>
      </c>
      <c r="B27" s="36">
        <f t="shared" si="3"/>
        <v>1</v>
      </c>
      <c r="C27" s="194">
        <f t="shared" si="4"/>
        <v>41299</v>
      </c>
      <c r="D27" s="194"/>
      <c r="E27" s="204">
        <v>41299</v>
      </c>
      <c r="F27" s="202" t="s">
        <v>519</v>
      </c>
      <c r="G27" s="750" t="s">
        <v>447</v>
      </c>
      <c r="H27" s="7" t="s">
        <v>520</v>
      </c>
      <c r="I27" s="277"/>
      <c r="J27" s="278"/>
      <c r="K27" s="38">
        <v>6500000</v>
      </c>
      <c r="L27" s="749" t="s">
        <v>24</v>
      </c>
      <c r="M27" s="749" t="s">
        <v>49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/>
      </c>
      <c r="Q27" s="55" t="str">
        <f>IF(AND($M27=$O$7,$B27&lt;'111'!$N$11),"x","")</f>
        <v>x</v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>x</v>
      </c>
      <c r="T27" s="55" t="str">
        <f>IF(ISERROR(FIND('112'!$M$9,G27,1)),"",IF((AND(RIGHT(G27,2)=RIGHT('112'!$M$9,2),B27&lt;'112'!$N$8,$M27='112'!$I$6)),"x",""))</f>
        <v/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39" customFormat="1" ht="15.75" customHeight="1">
      <c r="A28" s="218" t="str">
        <f>IF(B28&lt;&gt;"",IF(AND(B28&gt;=_TM1,B28&lt;=_TM2,OR(TH!L28="1111",TH!M28="1111")),TH!D28,""),"")</f>
        <v/>
      </c>
      <c r="B28" s="36">
        <f t="shared" si="3"/>
        <v>1</v>
      </c>
      <c r="C28" s="194">
        <f t="shared" si="4"/>
        <v>41299</v>
      </c>
      <c r="D28" s="194"/>
      <c r="E28" s="204">
        <v>41299</v>
      </c>
      <c r="F28" s="202" t="s">
        <v>522</v>
      </c>
      <c r="G28" s="750" t="s">
        <v>447</v>
      </c>
      <c r="H28" s="7"/>
      <c r="I28" s="277"/>
      <c r="J28" s="278"/>
      <c r="K28" s="38">
        <v>4047</v>
      </c>
      <c r="L28" s="749" t="s">
        <v>24</v>
      </c>
      <c r="M28" s="749" t="s">
        <v>41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>x</v>
      </c>
      <c r="T28" s="55" t="str">
        <f>IF(ISERROR(FIND('112'!$M$9,G28,1)),"",IF((AND(RIGHT(G28,2)=RIGHT('112'!$M$9,2),B28&lt;'112'!$N$8,$M28='112'!$I$6)),"x",""))</f>
        <v/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39" customFormat="1" ht="15.75" customHeight="1">
      <c r="A29" s="218" t="str">
        <f>IF(B29&lt;&gt;"",IF(AND(B29&gt;=_TM1,B29&lt;=_TM2,OR(TH!L29="1111",TH!M29="1111")),TH!D29,""),"")</f>
        <v/>
      </c>
      <c r="B29" s="36">
        <f t="shared" si="3"/>
        <v>1</v>
      </c>
      <c r="C29" s="194">
        <f t="shared" si="4"/>
        <v>41302</v>
      </c>
      <c r="D29" s="194"/>
      <c r="E29" s="204">
        <v>41302</v>
      </c>
      <c r="F29" s="202" t="s">
        <v>521</v>
      </c>
      <c r="G29" s="750" t="s">
        <v>447</v>
      </c>
      <c r="H29" s="7" t="s">
        <v>455</v>
      </c>
      <c r="I29" s="277"/>
      <c r="J29" s="278"/>
      <c r="K29" s="38">
        <v>17874670</v>
      </c>
      <c r="L29" s="749" t="s">
        <v>24</v>
      </c>
      <c r="M29" s="749" t="s">
        <v>352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>x</v>
      </c>
      <c r="T29" s="55" t="str">
        <f>IF(ISERROR(FIND('112'!$M$9,G29,1)),"",IF((AND(RIGHT(G29,2)=RIGHT('112'!$M$9,2),B29&lt;'112'!$N$8,$M29='112'!$I$6)),"x",""))</f>
        <v/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39" customFormat="1" ht="15.75" customHeight="1">
      <c r="A30" s="218" t="str">
        <f>IF(B30&lt;&gt;"",IF(AND(B30&gt;=_TM1,B30&lt;=_TM2,OR(TH!L30="1111",TH!M30="1111")),TH!D30,""),"")</f>
        <v/>
      </c>
      <c r="B30" s="36">
        <f t="shared" si="3"/>
        <v>1</v>
      </c>
      <c r="C30" s="194">
        <f t="shared" si="4"/>
        <v>41303</v>
      </c>
      <c r="D30" s="194"/>
      <c r="E30" s="194">
        <v>41303</v>
      </c>
      <c r="F30" s="202" t="s">
        <v>521</v>
      </c>
      <c r="G30" s="750" t="s">
        <v>447</v>
      </c>
      <c r="H30" s="7" t="s">
        <v>514</v>
      </c>
      <c r="I30" s="276"/>
      <c r="J30" s="276"/>
      <c r="K30" s="38">
        <v>15292860</v>
      </c>
      <c r="L30" s="749" t="s">
        <v>24</v>
      </c>
      <c r="M30" s="749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39" customFormat="1" ht="15.75" customHeight="1">
      <c r="A31" s="218" t="str">
        <f>IF(B31&lt;&gt;"",IF(AND(B31&gt;=_TM1,B31&lt;=_TM2,OR(TH!L31="1111",TH!M31="1111")),TH!D31,""),"")</f>
        <v/>
      </c>
      <c r="B31" s="36">
        <f t="shared" si="3"/>
        <v>2</v>
      </c>
      <c r="C31" s="194">
        <f t="shared" si="4"/>
        <v>41306</v>
      </c>
      <c r="D31" s="194"/>
      <c r="E31" s="204">
        <v>41306</v>
      </c>
      <c r="F31" s="202" t="s">
        <v>521</v>
      </c>
      <c r="G31" s="750" t="s">
        <v>447</v>
      </c>
      <c r="H31" s="7" t="s">
        <v>517</v>
      </c>
      <c r="I31" s="277"/>
      <c r="J31" s="278"/>
      <c r="K31" s="38">
        <v>16276502</v>
      </c>
      <c r="L31" s="749" t="s">
        <v>24</v>
      </c>
      <c r="M31" s="749" t="s">
        <v>352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/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>x</v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5"/>
      <c r="AC31" s="225"/>
    </row>
    <row r="32" spans="1:29" s="739" customFormat="1" ht="15.75" customHeight="1">
      <c r="A32" s="218">
        <f>IF(B32&lt;&gt;"",IF(AND(B32&gt;=_TM1,B32&lt;=_TM2,OR(TH!L32="1111",TH!M32="1111")),TH!D32,""),"")</f>
        <v>0</v>
      </c>
      <c r="B32" s="36">
        <f t="shared" si="3"/>
        <v>2</v>
      </c>
      <c r="C32" s="194">
        <f t="shared" si="4"/>
        <v>41311</v>
      </c>
      <c r="D32" s="194"/>
      <c r="E32" s="194">
        <v>41311</v>
      </c>
      <c r="F32" s="202" t="s">
        <v>519</v>
      </c>
      <c r="G32" s="750" t="s">
        <v>447</v>
      </c>
      <c r="H32" s="7" t="s">
        <v>523</v>
      </c>
      <c r="I32" s="276"/>
      <c r="J32" s="276"/>
      <c r="K32" s="38">
        <v>40000000</v>
      </c>
      <c r="L32" s="749" t="s">
        <v>24</v>
      </c>
      <c r="M32" s="749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>x</v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5"/>
      <c r="AC32" s="225"/>
    </row>
    <row r="33" spans="1:29" s="739" customFormat="1" ht="15.75" customHeight="1">
      <c r="A33" s="218" t="str">
        <f>IF(B33&lt;&gt;"",IF(AND(B33&gt;=_TM1,B33&lt;=_TM2,OR(TH!L33="1111",TH!M33="1111")),TH!D33,""),"")</f>
        <v/>
      </c>
      <c r="B33" s="36">
        <f t="shared" si="3"/>
        <v>2</v>
      </c>
      <c r="C33" s="194">
        <f t="shared" si="4"/>
        <v>41330</v>
      </c>
      <c r="D33" s="194"/>
      <c r="E33" s="194">
        <v>41330</v>
      </c>
      <c r="F33" s="202" t="s">
        <v>522</v>
      </c>
      <c r="G33" s="750" t="s">
        <v>447</v>
      </c>
      <c r="H33" s="7"/>
      <c r="I33" s="276"/>
      <c r="J33" s="276"/>
      <c r="K33" s="38">
        <v>11280</v>
      </c>
      <c r="L33" s="749" t="s">
        <v>24</v>
      </c>
      <c r="M33" s="749" t="s">
        <v>41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>x</v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5"/>
      <c r="AC33" s="225"/>
    </row>
    <row r="34" spans="1:29" s="739" customFormat="1" ht="15.75" customHeight="1">
      <c r="A34" s="218" t="str">
        <f>IF(B34&lt;&gt;"",IF(AND(B34&gt;=_TM1,B34&lt;=_TM2,OR(TH!L34="1111",TH!M34="1111")),TH!D34,""),"")</f>
        <v/>
      </c>
      <c r="B34" s="36">
        <f t="shared" si="3"/>
        <v>2</v>
      </c>
      <c r="C34" s="194">
        <f t="shared" si="4"/>
        <v>41333</v>
      </c>
      <c r="D34" s="194"/>
      <c r="E34" s="204">
        <v>41333</v>
      </c>
      <c r="F34" s="202" t="s">
        <v>521</v>
      </c>
      <c r="G34" s="750" t="s">
        <v>447</v>
      </c>
      <c r="H34" s="7" t="s">
        <v>524</v>
      </c>
      <c r="I34" s="277"/>
      <c r="J34" s="278"/>
      <c r="K34" s="38">
        <v>10000000</v>
      </c>
      <c r="L34" s="749" t="s">
        <v>24</v>
      </c>
      <c r="M34" s="749" t="s">
        <v>352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>x</v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5"/>
      <c r="AC34" s="225"/>
    </row>
    <row r="35" spans="1:29" s="739" customFormat="1" ht="15.75" customHeight="1">
      <c r="A35" s="218">
        <f>IF(B35&lt;&gt;"",IF(AND(B35&gt;=_TM1,B35&lt;=_TM2,OR(TH!L35="1111",TH!M35="1111")),TH!D35,""),"")</f>
        <v>0</v>
      </c>
      <c r="B35" s="36">
        <f t="shared" si="3"/>
        <v>3</v>
      </c>
      <c r="C35" s="194">
        <f t="shared" si="4"/>
        <v>41337</v>
      </c>
      <c r="D35" s="194"/>
      <c r="E35" s="194">
        <v>41337</v>
      </c>
      <c r="F35" s="202" t="s">
        <v>519</v>
      </c>
      <c r="G35" s="750" t="s">
        <v>447</v>
      </c>
      <c r="H35" s="7" t="s">
        <v>520</v>
      </c>
      <c r="I35" s="276"/>
      <c r="J35" s="276"/>
      <c r="K35" s="38">
        <v>8500000</v>
      </c>
      <c r="L35" s="749" t="s">
        <v>24</v>
      </c>
      <c r="M35" s="749" t="s">
        <v>49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>x</v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>x</v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5"/>
    </row>
    <row r="36" spans="1:29" s="739" customFormat="1" ht="15.75" customHeight="1">
      <c r="A36" s="218" t="str">
        <f>IF(B36&lt;&gt;"",IF(AND(B36&gt;=_TM1,B36&lt;=_TM2,OR(TH!L36="1111",TH!M36="1111")),TH!D36,""),"")</f>
        <v/>
      </c>
      <c r="B36" s="36">
        <f t="shared" si="3"/>
        <v>3</v>
      </c>
      <c r="C36" s="194">
        <f t="shared" si="4"/>
        <v>41341</v>
      </c>
      <c r="D36" s="194"/>
      <c r="E36" s="194">
        <v>41341</v>
      </c>
      <c r="F36" s="202" t="s">
        <v>521</v>
      </c>
      <c r="G36" s="750" t="s">
        <v>447</v>
      </c>
      <c r="H36" s="7" t="s">
        <v>524</v>
      </c>
      <c r="I36" s="276"/>
      <c r="J36" s="276"/>
      <c r="K36" s="884">
        <v>6903282</v>
      </c>
      <c r="L36" s="749" t="s">
        <v>24</v>
      </c>
      <c r="M36" s="749" t="s">
        <v>352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>x</v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39" customFormat="1" ht="15.75" customHeight="1">
      <c r="A37" s="218" t="str">
        <f>IF(B37&lt;&gt;"",IF(AND(B37&gt;=_TM1,B37&lt;=_TM2,OR(TH!L37="1111",TH!M37="1111")),TH!D37,""),"")</f>
        <v/>
      </c>
      <c r="B37" s="36">
        <f t="shared" si="3"/>
        <v>3</v>
      </c>
      <c r="C37" s="194">
        <f t="shared" si="4"/>
        <v>41358</v>
      </c>
      <c r="D37" s="194"/>
      <c r="E37" s="194">
        <v>41358</v>
      </c>
      <c r="F37" s="202" t="s">
        <v>522</v>
      </c>
      <c r="G37" s="750" t="s">
        <v>447</v>
      </c>
      <c r="H37" s="47"/>
      <c r="I37" s="276"/>
      <c r="J37" s="276"/>
      <c r="K37" s="38">
        <v>969</v>
      </c>
      <c r="L37" s="749" t="s">
        <v>24</v>
      </c>
      <c r="M37" s="749" t="s">
        <v>41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>x</v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5"/>
      <c r="AC37" s="225"/>
    </row>
    <row r="38" spans="1:29" s="739" customFormat="1" ht="15.75" customHeight="1">
      <c r="A38" s="218" t="str">
        <f>IF(B38&lt;&gt;"",IF(AND(B38&gt;=_TM1,B38&lt;=_TM2,OR(TH!L38="1111",TH!M38="1111")),TH!D38,""),"")</f>
        <v/>
      </c>
      <c r="B38" s="36">
        <f t="shared" si="3"/>
        <v>4</v>
      </c>
      <c r="C38" s="194">
        <f t="shared" si="4"/>
        <v>41366</v>
      </c>
      <c r="D38" s="194"/>
      <c r="E38" s="204">
        <v>41366</v>
      </c>
      <c r="F38" s="202" t="s">
        <v>521</v>
      </c>
      <c r="G38" s="750" t="s">
        <v>447</v>
      </c>
      <c r="H38" s="7" t="s">
        <v>455</v>
      </c>
      <c r="I38" s="277"/>
      <c r="J38" s="278"/>
      <c r="K38" s="38">
        <v>30050350</v>
      </c>
      <c r="L38" s="749" t="s">
        <v>24</v>
      </c>
      <c r="M38" s="749" t="s">
        <v>352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>x</v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>x</v>
      </c>
      <c r="AB38" s="225"/>
      <c r="AC38" s="225"/>
    </row>
    <row r="39" spans="1:29" s="739" customFormat="1" ht="15.75" customHeight="1">
      <c r="A39" s="218" t="str">
        <f>IF(B39&lt;&gt;"",IF(AND(B39&gt;=_TM1,B39&lt;=_TM2,OR(TH!L39="1111",TH!M39="1111")),TH!D39,""),"")</f>
        <v/>
      </c>
      <c r="B39" s="36">
        <f t="shared" si="3"/>
        <v>4</v>
      </c>
      <c r="C39" s="194">
        <f t="shared" si="4"/>
        <v>41388</v>
      </c>
      <c r="D39" s="194"/>
      <c r="E39" s="204">
        <v>41388</v>
      </c>
      <c r="F39" s="202" t="s">
        <v>521</v>
      </c>
      <c r="G39" s="750" t="s">
        <v>447</v>
      </c>
      <c r="H39" s="47" t="s">
        <v>518</v>
      </c>
      <c r="I39" s="277"/>
      <c r="J39" s="278"/>
      <c r="K39" s="38">
        <v>17000000</v>
      </c>
      <c r="L39" s="749" t="s">
        <v>24</v>
      </c>
      <c r="M39" s="749" t="s">
        <v>352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>x</v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>x</v>
      </c>
      <c r="AC39" s="225"/>
    </row>
    <row r="40" spans="1:29" s="739" customFormat="1" ht="15.75" customHeight="1">
      <c r="A40" s="218" t="str">
        <f>IF(B40&lt;&gt;"",IF(AND(B40&gt;=_TM1,B40&lt;=_TM2,OR(TH!L40="1111",TH!M40="1111")),TH!D40,""),"")</f>
        <v/>
      </c>
      <c r="B40" s="36">
        <f t="shared" si="3"/>
        <v>4</v>
      </c>
      <c r="C40" s="194">
        <f t="shared" si="4"/>
        <v>41389</v>
      </c>
      <c r="D40" s="194"/>
      <c r="E40" s="204">
        <v>41389</v>
      </c>
      <c r="F40" s="202" t="s">
        <v>522</v>
      </c>
      <c r="G40" s="750" t="s">
        <v>447</v>
      </c>
      <c r="H40" s="7"/>
      <c r="I40" s="277"/>
      <c r="J40" s="278"/>
      <c r="K40" s="38">
        <v>2630</v>
      </c>
      <c r="L40" s="749" t="s">
        <v>24</v>
      </c>
      <c r="M40" s="749" t="s">
        <v>41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>x</v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>x</v>
      </c>
      <c r="AC40" s="225"/>
    </row>
    <row r="41" spans="1:29" s="739" customFormat="1" ht="15.75" customHeight="1">
      <c r="A41" s="218" t="str">
        <f>IF(B41&lt;&gt;"",IF(AND(B41&gt;=_TM1,B41&lt;=_TM2,OR(TH!L41="1111",TH!M41="1111")),TH!D41,""),"")</f>
        <v/>
      </c>
      <c r="B41" s="36">
        <f t="shared" si="3"/>
        <v>4</v>
      </c>
      <c r="C41" s="194">
        <f t="shared" si="4"/>
        <v>41391</v>
      </c>
      <c r="D41" s="194"/>
      <c r="E41" s="194">
        <v>41391</v>
      </c>
      <c r="F41" s="202" t="s">
        <v>519</v>
      </c>
      <c r="G41" s="750" t="s">
        <v>447</v>
      </c>
      <c r="H41" s="7" t="s">
        <v>520</v>
      </c>
      <c r="I41" s="276"/>
      <c r="J41" s="276"/>
      <c r="K41" s="38">
        <v>20000000</v>
      </c>
      <c r="L41" s="749" t="s">
        <v>24</v>
      </c>
      <c r="M41" s="749" t="s">
        <v>49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>x</v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>x</v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>x</v>
      </c>
      <c r="AC41" s="225"/>
    </row>
    <row r="42" spans="1:29" s="739" customFormat="1" ht="15.75" customHeight="1">
      <c r="A42" s="218" t="str">
        <f>IF(B42&lt;&gt;"",IF(AND(B42&gt;=_TM1,B42&lt;=_TM2,OR(TH!L42="1111",TH!M42="1111")),TH!D42,""),"")</f>
        <v/>
      </c>
      <c r="B42" s="36">
        <f t="shared" si="3"/>
        <v>5</v>
      </c>
      <c r="C42" s="194">
        <f t="shared" si="4"/>
        <v>41396</v>
      </c>
      <c r="D42" s="194"/>
      <c r="E42" s="204">
        <v>41396</v>
      </c>
      <c r="F42" s="202" t="s">
        <v>521</v>
      </c>
      <c r="G42" s="750" t="s">
        <v>447</v>
      </c>
      <c r="H42" s="7" t="s">
        <v>514</v>
      </c>
      <c r="I42" s="277"/>
      <c r="J42" s="278"/>
      <c r="K42" s="38">
        <v>8382000</v>
      </c>
      <c r="L42" s="749" t="s">
        <v>24</v>
      </c>
      <c r="M42" s="749" t="s">
        <v>352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>x</v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>x</v>
      </c>
    </row>
    <row r="43" spans="1:29" s="739" customFormat="1" ht="15.75" customHeight="1">
      <c r="A43" s="218" t="str">
        <f>IF(B43&lt;&gt;"",IF(AND(B43&gt;=_TM1,B43&lt;=_TM2,OR(TH!L43="1111",TH!M43="1111")),TH!D43,""),"")</f>
        <v/>
      </c>
      <c r="B43" s="36">
        <f t="shared" si="3"/>
        <v>5</v>
      </c>
      <c r="C43" s="194">
        <f t="shared" si="4"/>
        <v>41398</v>
      </c>
      <c r="D43" s="194"/>
      <c r="E43" s="204">
        <v>41398</v>
      </c>
      <c r="F43" s="202" t="s">
        <v>521</v>
      </c>
      <c r="G43" s="750" t="s">
        <v>447</v>
      </c>
      <c r="H43" s="7" t="s">
        <v>514</v>
      </c>
      <c r="I43" s="277"/>
      <c r="J43" s="278"/>
      <c r="K43" s="38">
        <v>42122355</v>
      </c>
      <c r="L43" s="749" t="s">
        <v>24</v>
      </c>
      <c r="M43" s="749" t="s">
        <v>352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>x</v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>x</v>
      </c>
      <c r="AC43" s="225"/>
    </row>
    <row r="44" spans="1:29" s="739" customFormat="1" ht="15.75" customHeight="1">
      <c r="A44" s="218" t="str">
        <f>IF(B44&lt;&gt;"",IF(AND(B44&gt;=_TM1,B44&lt;=_TM2,OR(TH!L44="1111",TH!M44="1111")),TH!D44,""),"")</f>
        <v/>
      </c>
      <c r="B44" s="36">
        <f t="shared" si="3"/>
        <v>5</v>
      </c>
      <c r="C44" s="194">
        <f t="shared" si="4"/>
        <v>41410</v>
      </c>
      <c r="D44" s="194"/>
      <c r="E44" s="204">
        <v>41410</v>
      </c>
      <c r="F44" s="202" t="s">
        <v>521</v>
      </c>
      <c r="G44" s="750" t="s">
        <v>447</v>
      </c>
      <c r="H44" s="7" t="s">
        <v>514</v>
      </c>
      <c r="I44" s="277"/>
      <c r="J44" s="278"/>
      <c r="K44" s="38">
        <v>27451050</v>
      </c>
      <c r="L44" s="749" t="s">
        <v>24</v>
      </c>
      <c r="M44" s="749" t="s">
        <v>352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>x</v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>x</v>
      </c>
      <c r="AB44" s="225"/>
      <c r="AC44" s="225"/>
    </row>
    <row r="45" spans="1:29" s="739" customFormat="1" ht="15.75" customHeight="1">
      <c r="A45" s="218" t="str">
        <f>IF(B45&lt;&gt;"",IF(AND(B45&gt;=_TM1,B45&lt;=_TM2,OR(TH!L45="1111",TH!M45="1111")),TH!D45,""),"")</f>
        <v/>
      </c>
      <c r="B45" s="36">
        <f t="shared" si="3"/>
        <v>5</v>
      </c>
      <c r="C45" s="194">
        <f t="shared" si="4"/>
        <v>41414</v>
      </c>
      <c r="D45" s="194"/>
      <c r="E45" s="194">
        <v>41414</v>
      </c>
      <c r="F45" s="202" t="s">
        <v>521</v>
      </c>
      <c r="G45" s="750" t="s">
        <v>447</v>
      </c>
      <c r="H45" s="7" t="s">
        <v>524</v>
      </c>
      <c r="I45" s="276"/>
      <c r="J45" s="276"/>
      <c r="K45" s="748">
        <v>10000000</v>
      </c>
      <c r="L45" s="749" t="s">
        <v>24</v>
      </c>
      <c r="M45" s="749" t="s">
        <v>352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>x</v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>x</v>
      </c>
      <c r="AB45" s="225"/>
      <c r="AC45" s="225"/>
    </row>
    <row r="46" spans="1:29" s="739" customFormat="1" ht="15.75" customHeight="1">
      <c r="A46" s="218" t="str">
        <f>IF(B46&lt;&gt;"",IF(AND(B46&gt;=_TM1,B46&lt;=_TM2,OR(TH!L46="1111",TH!M46="1111")),TH!D46,""),"")</f>
        <v/>
      </c>
      <c r="B46" s="36">
        <f t="shared" si="3"/>
        <v>5</v>
      </c>
      <c r="C46" s="194">
        <f t="shared" si="4"/>
        <v>41414</v>
      </c>
      <c r="D46" s="194"/>
      <c r="E46" s="194">
        <v>41414</v>
      </c>
      <c r="F46" s="202" t="s">
        <v>521</v>
      </c>
      <c r="G46" s="750" t="s">
        <v>447</v>
      </c>
      <c r="H46" s="7" t="s">
        <v>517</v>
      </c>
      <c r="I46" s="276"/>
      <c r="J46" s="276"/>
      <c r="K46" s="748">
        <v>9950490</v>
      </c>
      <c r="L46" s="749" t="s">
        <v>24</v>
      </c>
      <c r="M46" s="749" t="s">
        <v>352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>x</v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>x</v>
      </c>
      <c r="AB46" s="225"/>
      <c r="AC46" s="225"/>
    </row>
    <row r="47" spans="1:29" s="739" customFormat="1" ht="15.75" customHeight="1">
      <c r="A47" s="218" t="str">
        <f>IF(B47&lt;&gt;"",IF(AND(B47&gt;=_TM1,B47&lt;=_TM2,OR(TH!L47="1111",TH!M47="1111")),TH!D47,""),"")</f>
        <v/>
      </c>
      <c r="B47" s="36">
        <f t="shared" si="3"/>
        <v>5</v>
      </c>
      <c r="C47" s="194">
        <f t="shared" si="4"/>
        <v>41419</v>
      </c>
      <c r="D47" s="194"/>
      <c r="E47" s="204">
        <v>41419</v>
      </c>
      <c r="F47" s="202" t="s">
        <v>522</v>
      </c>
      <c r="G47" s="750" t="s">
        <v>447</v>
      </c>
      <c r="H47" s="47"/>
      <c r="I47" s="276"/>
      <c r="J47" s="276"/>
      <c r="K47" s="38">
        <v>13612</v>
      </c>
      <c r="L47" s="749" t="s">
        <v>24</v>
      </c>
      <c r="M47" s="749" t="s">
        <v>41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>x</v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>x</v>
      </c>
      <c r="AB47" s="225"/>
      <c r="AC47" s="225"/>
    </row>
    <row r="48" spans="1:29" s="739" customFormat="1" ht="15.75" customHeight="1">
      <c r="A48" s="218" t="str">
        <f>IF(B48&lt;&gt;"",IF(AND(B48&gt;=_TM1,B48&lt;=_TM2,OR(TH!L48="1111",TH!M48="1111")),TH!D48,""),"")</f>
        <v/>
      </c>
      <c r="B48" s="36">
        <f t="shared" si="3"/>
        <v>5</v>
      </c>
      <c r="C48" s="194">
        <f t="shared" si="4"/>
        <v>41421</v>
      </c>
      <c r="D48" s="194"/>
      <c r="E48" s="204">
        <v>41421</v>
      </c>
      <c r="F48" s="202" t="s">
        <v>521</v>
      </c>
      <c r="G48" s="750" t="s">
        <v>447</v>
      </c>
      <c r="H48" s="7" t="s">
        <v>514</v>
      </c>
      <c r="I48" s="276"/>
      <c r="J48" s="276"/>
      <c r="K48" s="38">
        <v>28498800</v>
      </c>
      <c r="L48" s="749" t="s">
        <v>24</v>
      </c>
      <c r="M48" s="749" t="s">
        <v>352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>x</v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>x</v>
      </c>
      <c r="AB48" s="225"/>
      <c r="AC48" s="225"/>
    </row>
    <row r="49" spans="1:29" s="739" customFormat="1" ht="15.75" customHeight="1">
      <c r="A49" s="218" t="str">
        <f>IF(B49&lt;&gt;"",IF(AND(B49&gt;=_TM1,B49&lt;=_TM2,OR(TH!L49="1111",TH!M49="1111")),TH!D49,""),"")</f>
        <v/>
      </c>
      <c r="B49" s="36">
        <f t="shared" si="3"/>
        <v>5</v>
      </c>
      <c r="C49" s="194">
        <f t="shared" si="4"/>
        <v>41425</v>
      </c>
      <c r="D49" s="194"/>
      <c r="E49" s="204">
        <v>41425</v>
      </c>
      <c r="F49" s="202" t="s">
        <v>521</v>
      </c>
      <c r="G49" s="750" t="s">
        <v>447</v>
      </c>
      <c r="H49" s="7" t="s">
        <v>524</v>
      </c>
      <c r="I49" s="277"/>
      <c r="J49" s="278"/>
      <c r="K49" s="38">
        <v>20000000</v>
      </c>
      <c r="L49" s="749" t="s">
        <v>24</v>
      </c>
      <c r="M49" s="749" t="s">
        <v>352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>x</v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>x</v>
      </c>
      <c r="AC49" s="225"/>
    </row>
    <row r="50" spans="1:29" s="739" customFormat="1" ht="15.75" customHeight="1">
      <c r="A50" s="218" t="str">
        <f>IF(B50&lt;&gt;"",IF(AND(B50&gt;=_TM1,B50&lt;=_TM2,OR(TH!L50="1111",TH!M50="1111")),TH!D50,""),"")</f>
        <v/>
      </c>
      <c r="B50" s="36">
        <f t="shared" si="3"/>
        <v>6</v>
      </c>
      <c r="C50" s="194">
        <f t="shared" si="4"/>
        <v>41446</v>
      </c>
      <c r="D50" s="194"/>
      <c r="E50" s="204">
        <v>41446</v>
      </c>
      <c r="F50" s="202" t="s">
        <v>521</v>
      </c>
      <c r="G50" s="750" t="s">
        <v>447</v>
      </c>
      <c r="H50" s="7" t="s">
        <v>524</v>
      </c>
      <c r="I50" s="277"/>
      <c r="J50" s="278"/>
      <c r="K50" s="38">
        <v>23721250</v>
      </c>
      <c r="L50" s="749" t="s">
        <v>24</v>
      </c>
      <c r="M50" s="749" t="s">
        <v>352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>x</v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>x</v>
      </c>
      <c r="AC50" s="225"/>
    </row>
    <row r="51" spans="1:29" s="739" customFormat="1" ht="15.75" customHeight="1">
      <c r="A51" s="218" t="str">
        <f>IF(B51&lt;&gt;"",IF(AND(B51&gt;=_TM1,B51&lt;=_TM2,OR(TH!L51="1111",TH!M51="1111")),TH!D51,""),"")</f>
        <v/>
      </c>
      <c r="B51" s="36">
        <f t="shared" si="3"/>
        <v>6</v>
      </c>
      <c r="C51" s="194">
        <f t="shared" si="4"/>
        <v>41450</v>
      </c>
      <c r="D51" s="194"/>
      <c r="E51" s="204">
        <v>41450</v>
      </c>
      <c r="F51" s="202" t="s">
        <v>521</v>
      </c>
      <c r="G51" s="750" t="s">
        <v>447</v>
      </c>
      <c r="H51" s="7" t="s">
        <v>516</v>
      </c>
      <c r="I51" s="277"/>
      <c r="J51" s="278"/>
      <c r="K51" s="38">
        <v>37813270</v>
      </c>
      <c r="L51" s="749" t="s">
        <v>24</v>
      </c>
      <c r="M51" s="749" t="s">
        <v>352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>x</v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>x</v>
      </c>
    </row>
    <row r="52" spans="1:29" s="739" customFormat="1" ht="15.75" customHeight="1">
      <c r="A52" s="218" t="str">
        <f>IF(B52&lt;&gt;"",IF(AND(B52&gt;=_TM1,B52&lt;=_TM2,OR(TH!L52="1111",TH!M52="1111")),TH!D52,""),"")</f>
        <v/>
      </c>
      <c r="B52" s="36">
        <f t="shared" si="3"/>
        <v>6</v>
      </c>
      <c r="C52" s="194">
        <f t="shared" si="4"/>
        <v>41450</v>
      </c>
      <c r="D52" s="194"/>
      <c r="E52" s="204">
        <v>41450</v>
      </c>
      <c r="F52" s="202" t="s">
        <v>522</v>
      </c>
      <c r="G52" s="750" t="s">
        <v>447</v>
      </c>
      <c r="H52" s="7"/>
      <c r="I52" s="277"/>
      <c r="J52" s="278"/>
      <c r="K52" s="38">
        <v>17760</v>
      </c>
      <c r="L52" s="749" t="s">
        <v>24</v>
      </c>
      <c r="M52" s="749" t="s">
        <v>41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>x</v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>x</v>
      </c>
      <c r="AC52" s="225"/>
    </row>
    <row r="53" spans="1:29" s="739" customFormat="1" ht="15.75" customHeight="1">
      <c r="A53" s="218" t="str">
        <f>IF(B53&lt;&gt;"",IF(AND(B53&gt;=_TM1,B53&lt;=_TM2,OR(TH!L53="1111",TH!M53="1111")),TH!D53,""),"")</f>
        <v/>
      </c>
      <c r="B53" s="36">
        <f t="shared" si="3"/>
        <v>7</v>
      </c>
      <c r="C53" s="194">
        <f t="shared" si="4"/>
        <v>41478</v>
      </c>
      <c r="D53" s="194"/>
      <c r="E53" s="204">
        <v>41478</v>
      </c>
      <c r="F53" s="202" t="s">
        <v>521</v>
      </c>
      <c r="G53" s="750" t="s">
        <v>447</v>
      </c>
      <c r="H53" s="7" t="s">
        <v>517</v>
      </c>
      <c r="I53" s="277"/>
      <c r="J53" s="278"/>
      <c r="K53" s="38">
        <v>9873578</v>
      </c>
      <c r="L53" s="749" t="s">
        <v>24</v>
      </c>
      <c r="M53" s="749" t="s">
        <v>352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>x</v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5"/>
    </row>
    <row r="54" spans="1:29" s="739" customFormat="1" ht="15.75" customHeight="1">
      <c r="A54" s="218" t="str">
        <f>IF(B54&lt;&gt;"",IF(AND(B54&gt;=_TM1,B54&lt;=_TM2,OR(TH!L54="1111",TH!M54="1111")),TH!D54,""),"")</f>
        <v/>
      </c>
      <c r="B54" s="36">
        <f t="shared" si="3"/>
        <v>7</v>
      </c>
      <c r="C54" s="194">
        <f t="shared" si="4"/>
        <v>41480</v>
      </c>
      <c r="D54" s="194"/>
      <c r="E54" s="194">
        <v>41480</v>
      </c>
      <c r="F54" s="202" t="s">
        <v>521</v>
      </c>
      <c r="G54" s="750" t="s">
        <v>447</v>
      </c>
      <c r="H54" s="7" t="s">
        <v>525</v>
      </c>
      <c r="I54" s="276"/>
      <c r="J54" s="276"/>
      <c r="K54" s="748">
        <v>20754363</v>
      </c>
      <c r="L54" s="749" t="s">
        <v>24</v>
      </c>
      <c r="M54" s="749" t="s">
        <v>352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>x</v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5"/>
    </row>
    <row r="55" spans="1:29" s="739" customFormat="1" ht="15.75" customHeight="1">
      <c r="A55" s="218" t="str">
        <f>IF(B55&lt;&gt;"",IF(AND(B55&gt;=_TM1,B55&lt;=_TM2,OR(TH!L55="1111",TH!M55="1111")),TH!D55,""),"")</f>
        <v/>
      </c>
      <c r="B55" s="36">
        <f t="shared" si="3"/>
        <v>7</v>
      </c>
      <c r="C55" s="194">
        <f t="shared" si="4"/>
        <v>41480</v>
      </c>
      <c r="D55" s="194"/>
      <c r="E55" s="194">
        <v>41480</v>
      </c>
      <c r="F55" s="202" t="s">
        <v>522</v>
      </c>
      <c r="G55" s="750" t="s">
        <v>447</v>
      </c>
      <c r="H55" s="7"/>
      <c r="I55" s="276"/>
      <c r="J55" s="276"/>
      <c r="K55" s="748">
        <v>1736</v>
      </c>
      <c r="L55" s="749" t="s">
        <v>24</v>
      </c>
      <c r="M55" s="749" t="s">
        <v>41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>x</v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5"/>
      <c r="AC55" s="225"/>
    </row>
    <row r="56" spans="1:29" s="739" customFormat="1" ht="15.75" customHeight="1">
      <c r="A56" s="218" t="str">
        <f>IF(B56&lt;&gt;"",IF(AND(B56&gt;=_TM1,B56&lt;=_TM2,OR(TH!L56="1111",TH!M56="1111")),TH!D56,""),"")</f>
        <v/>
      </c>
      <c r="B56" s="36">
        <f t="shared" si="3"/>
        <v>7</v>
      </c>
      <c r="C56" s="194">
        <f t="shared" si="4"/>
        <v>41481</v>
      </c>
      <c r="D56" s="194"/>
      <c r="E56" s="204">
        <v>41481</v>
      </c>
      <c r="F56" s="202" t="s">
        <v>521</v>
      </c>
      <c r="G56" s="750" t="s">
        <v>447</v>
      </c>
      <c r="H56" s="7" t="s">
        <v>455</v>
      </c>
      <c r="I56" s="277"/>
      <c r="J56" s="278"/>
      <c r="K56" s="38">
        <v>19948170</v>
      </c>
      <c r="L56" s="749" t="s">
        <v>24</v>
      </c>
      <c r="M56" s="749" t="s">
        <v>352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>x</v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5"/>
      <c r="AC56" s="225"/>
    </row>
    <row r="57" spans="1:29" s="739" customFormat="1" ht="15.75" customHeight="1">
      <c r="A57" s="218" t="str">
        <f>IF(B57&lt;&gt;"",IF(AND(B57&gt;=_TM1,B57&lt;=_TM2,OR(TH!L57="1111",TH!M57="1111")),TH!D57,""),"")</f>
        <v/>
      </c>
      <c r="B57" s="36">
        <f t="shared" si="3"/>
        <v>8</v>
      </c>
      <c r="C57" s="194">
        <f t="shared" si="4"/>
        <v>41492</v>
      </c>
      <c r="D57" s="194"/>
      <c r="E57" s="194">
        <v>41492</v>
      </c>
      <c r="F57" s="202" t="s">
        <v>521</v>
      </c>
      <c r="G57" s="750" t="s">
        <v>447</v>
      </c>
      <c r="H57" s="7" t="s">
        <v>514</v>
      </c>
      <c r="I57" s="276"/>
      <c r="J57" s="276"/>
      <c r="K57" s="748">
        <v>31257600</v>
      </c>
      <c r="L57" s="749" t="s">
        <v>24</v>
      </c>
      <c r="M57" s="749" t="s">
        <v>352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>x</v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5"/>
    </row>
    <row r="58" spans="1:29" s="739" customFormat="1" ht="15.75" customHeight="1">
      <c r="A58" s="218" t="str">
        <f>IF(B58&lt;&gt;"",IF(AND(B58&gt;=_TM1,B58&lt;=_TM2,OR(TH!L58="1111",TH!M58="1111")),TH!D58,""),"")</f>
        <v/>
      </c>
      <c r="B58" s="36">
        <f t="shared" si="3"/>
        <v>8</v>
      </c>
      <c r="C58" s="194">
        <f t="shared" si="4"/>
        <v>41493</v>
      </c>
      <c r="D58" s="194"/>
      <c r="E58" s="194">
        <v>41493</v>
      </c>
      <c r="F58" s="202" t="s">
        <v>521</v>
      </c>
      <c r="G58" s="750" t="s">
        <v>447</v>
      </c>
      <c r="H58" s="7" t="s">
        <v>515</v>
      </c>
      <c r="I58" s="276"/>
      <c r="J58" s="276"/>
      <c r="K58" s="748">
        <v>7668870</v>
      </c>
      <c r="L58" s="749" t="s">
        <v>24</v>
      </c>
      <c r="M58" s="749" t="s">
        <v>352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>x</v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5"/>
    </row>
    <row r="59" spans="1:29" s="739" customFormat="1" ht="15.75" customHeight="1">
      <c r="A59" s="218" t="str">
        <f>IF(B59&lt;&gt;"",IF(AND(B59&gt;=_TM1,B59&lt;=_TM2,OR(TH!L59="1111",TH!M59="1111")),TH!D59,""),"")</f>
        <v/>
      </c>
      <c r="B59" s="36">
        <f t="shared" si="3"/>
        <v>8</v>
      </c>
      <c r="C59" s="194">
        <f t="shared" si="4"/>
        <v>41498</v>
      </c>
      <c r="D59" s="194"/>
      <c r="E59" s="194">
        <v>41498</v>
      </c>
      <c r="F59" s="202" t="s">
        <v>521</v>
      </c>
      <c r="G59" s="750" t="s">
        <v>447</v>
      </c>
      <c r="H59" s="7" t="s">
        <v>526</v>
      </c>
      <c r="I59" s="276"/>
      <c r="J59" s="276"/>
      <c r="K59" s="748">
        <v>13769635</v>
      </c>
      <c r="L59" s="749" t="s">
        <v>24</v>
      </c>
      <c r="M59" s="749" t="s">
        <v>352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>x</v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5"/>
    </row>
    <row r="60" spans="1:29" s="739" customFormat="1" ht="15.75" customHeight="1">
      <c r="A60" s="218" t="str">
        <f>IF(B60&lt;&gt;"",IF(AND(B60&gt;=_TM1,B60&lt;=_TM2,OR(TH!L60="1111",TH!M60="1111")),TH!D60,""),"")</f>
        <v/>
      </c>
      <c r="B60" s="36">
        <f t="shared" si="3"/>
        <v>8</v>
      </c>
      <c r="C60" s="194">
        <f t="shared" si="4"/>
        <v>41500</v>
      </c>
      <c r="D60" s="194"/>
      <c r="E60" s="204">
        <v>41500</v>
      </c>
      <c r="F60" s="202" t="s">
        <v>521</v>
      </c>
      <c r="G60" s="750" t="s">
        <v>447</v>
      </c>
      <c r="H60" s="7" t="s">
        <v>526</v>
      </c>
      <c r="I60" s="277"/>
      <c r="J60" s="278"/>
      <c r="K60" s="38">
        <v>13730475</v>
      </c>
      <c r="L60" s="749" t="s">
        <v>24</v>
      </c>
      <c r="M60" s="749" t="s">
        <v>352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>x</v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39" customFormat="1" ht="15.75" customHeight="1">
      <c r="A61" s="218" t="str">
        <f>IF(B61&lt;&gt;"",IF(AND(B61&gt;=_TM1,B61&lt;=_TM2,OR(TH!L61="1111",TH!M61="1111")),TH!D61,""),"")</f>
        <v/>
      </c>
      <c r="B61" s="36">
        <f t="shared" si="3"/>
        <v>8</v>
      </c>
      <c r="C61" s="194">
        <f t="shared" si="4"/>
        <v>41500</v>
      </c>
      <c r="D61" s="194"/>
      <c r="E61" s="194">
        <v>41500</v>
      </c>
      <c r="F61" s="202" t="s">
        <v>521</v>
      </c>
      <c r="G61" s="750" t="s">
        <v>447</v>
      </c>
      <c r="H61" s="7" t="s">
        <v>517</v>
      </c>
      <c r="I61" s="276"/>
      <c r="J61" s="276"/>
      <c r="K61" s="38">
        <v>9614000</v>
      </c>
      <c r="L61" s="749" t="s">
        <v>24</v>
      </c>
      <c r="M61" s="749" t="s">
        <v>352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>x</v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5"/>
    </row>
    <row r="62" spans="1:29" s="739" customFormat="1" ht="15.75" customHeight="1">
      <c r="A62" s="218" t="str">
        <f>IF(B62&lt;&gt;"",IF(AND(B62&gt;=_TM1,B62&lt;=_TM2,OR(TH!L62="1111",TH!M62="1111")),TH!D62,""),"")</f>
        <v/>
      </c>
      <c r="B62" s="36">
        <f t="shared" si="3"/>
        <v>8</v>
      </c>
      <c r="C62" s="194">
        <f t="shared" si="4"/>
        <v>41501</v>
      </c>
      <c r="D62" s="194"/>
      <c r="E62" s="204">
        <v>41501</v>
      </c>
      <c r="F62" s="202" t="s">
        <v>521</v>
      </c>
      <c r="G62" s="750" t="s">
        <v>447</v>
      </c>
      <c r="H62" s="7" t="s">
        <v>455</v>
      </c>
      <c r="I62" s="277"/>
      <c r="J62" s="278"/>
      <c r="K62" s="38">
        <v>14048210</v>
      </c>
      <c r="L62" s="749" t="s">
        <v>24</v>
      </c>
      <c r="M62" s="749" t="s">
        <v>352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>x</v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5"/>
    </row>
    <row r="63" spans="1:29" s="739" customFormat="1" ht="15.75" customHeight="1">
      <c r="A63" s="218" t="str">
        <f>IF(B63&lt;&gt;"",IF(AND(B63&gt;=_TM1,B63&lt;=_TM2,OR(TH!L63="1111",TH!M63="1111")),TH!D63,""),"")</f>
        <v/>
      </c>
      <c r="B63" s="36">
        <f t="shared" si="3"/>
        <v>8</v>
      </c>
      <c r="C63" s="194">
        <f t="shared" si="4"/>
        <v>41505</v>
      </c>
      <c r="D63" s="194"/>
      <c r="E63" s="194">
        <v>41505</v>
      </c>
      <c r="F63" s="202" t="s">
        <v>521</v>
      </c>
      <c r="G63" s="750" t="s">
        <v>447</v>
      </c>
      <c r="H63" s="7" t="s">
        <v>514</v>
      </c>
      <c r="I63" s="276"/>
      <c r="J63" s="276"/>
      <c r="K63" s="748">
        <v>21154375</v>
      </c>
      <c r="L63" s="749" t="s">
        <v>24</v>
      </c>
      <c r="M63" s="749" t="s">
        <v>352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>x</v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5"/>
    </row>
    <row r="64" spans="1:29" s="739" customFormat="1" ht="15.75" customHeight="1">
      <c r="A64" s="218" t="str">
        <f>IF(B64&lt;&gt;"",IF(AND(B64&gt;=_TM1,B64&lt;=_TM2,OR(TH!L64="1111",TH!M64="1111")),TH!D64,""),"")</f>
        <v/>
      </c>
      <c r="B64" s="36">
        <f t="shared" si="3"/>
        <v>8</v>
      </c>
      <c r="C64" s="194">
        <f t="shared" si="4"/>
        <v>41507</v>
      </c>
      <c r="D64" s="194"/>
      <c r="E64" s="204">
        <v>41507</v>
      </c>
      <c r="F64" s="202" t="s">
        <v>521</v>
      </c>
      <c r="G64" s="750" t="s">
        <v>447</v>
      </c>
      <c r="H64" s="7" t="s">
        <v>526</v>
      </c>
      <c r="I64" s="277"/>
      <c r="J64" s="278"/>
      <c r="K64" s="38">
        <v>13847955</v>
      </c>
      <c r="L64" s="749" t="s">
        <v>24</v>
      </c>
      <c r="M64" s="749" t="s">
        <v>352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>x</v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39" customFormat="1" ht="15.75" customHeight="1">
      <c r="A65" s="218" t="str">
        <f>IF(B65&lt;&gt;"",IF(AND(B65&gt;=_TM1,B65&lt;=_TM2,OR(TH!L65="1111",TH!M65="1111")),TH!D65,""),"")</f>
        <v/>
      </c>
      <c r="B65" s="36">
        <f t="shared" si="3"/>
        <v>8</v>
      </c>
      <c r="C65" s="194">
        <f t="shared" si="4"/>
        <v>41507</v>
      </c>
      <c r="D65" s="194"/>
      <c r="E65" s="204">
        <v>41507</v>
      </c>
      <c r="F65" s="202" t="s">
        <v>521</v>
      </c>
      <c r="G65" s="750" t="s">
        <v>447</v>
      </c>
      <c r="H65" s="7" t="s">
        <v>514</v>
      </c>
      <c r="I65" s="277"/>
      <c r="J65" s="278"/>
      <c r="K65" s="38">
        <v>20625000</v>
      </c>
      <c r="L65" s="749" t="s">
        <v>24</v>
      </c>
      <c r="M65" s="749" t="s">
        <v>352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/>
      </c>
      <c r="R65" s="55" t="str">
        <f>IF(ISERROR(FIND('112'!$M$9,G65,1)),"",IF((AND(FIND('112'!$M$9,G65,1)&gt;=1,$B65&gt;='112'!$N$8,$B65&lt;='112'!$O$8,OR($L65='112'!$I$6,$M65='112'!$I$6))),"x",""))</f>
        <v>x</v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39" customFormat="1" ht="15.75" customHeight="1">
      <c r="A66" s="218" t="str">
        <f>IF(B66&lt;&gt;"",IF(AND(B66&gt;=_TM1,B66&lt;=_TM2,OR(TH!L66="1111",TH!M66="1111")),TH!D66,""),"")</f>
        <v/>
      </c>
      <c r="B66" s="36">
        <f t="shared" si="3"/>
        <v>8</v>
      </c>
      <c r="C66" s="194">
        <f t="shared" si="4"/>
        <v>41509</v>
      </c>
      <c r="D66" s="194"/>
      <c r="E66" s="204">
        <v>41509</v>
      </c>
      <c r="F66" s="202" t="s">
        <v>521</v>
      </c>
      <c r="G66" s="750" t="s">
        <v>447</v>
      </c>
      <c r="H66" s="7" t="s">
        <v>527</v>
      </c>
      <c r="I66" s="277"/>
      <c r="J66" s="278"/>
      <c r="K66" s="38">
        <v>19995118</v>
      </c>
      <c r="L66" s="749" t="s">
        <v>24</v>
      </c>
      <c r="M66" s="749" t="s">
        <v>352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/>
      </c>
      <c r="R66" s="55" t="str">
        <f>IF(ISERROR(FIND('112'!$M$9,G66,1)),"",IF((AND(FIND('112'!$M$9,G66,1)&gt;=1,$B66&gt;='112'!$N$8,$B66&lt;='112'!$O$8,OR($L66='112'!$I$6,$M66='112'!$I$6))),"x",""))</f>
        <v>x</v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39" customFormat="1" ht="15.75" customHeight="1">
      <c r="A67" s="218" t="str">
        <f>IF(B67&lt;&gt;"",IF(AND(B67&gt;=_TM1,B67&lt;=_TM2,OR(TH!L67="1111",TH!M67="1111")),TH!D67,""),"")</f>
        <v/>
      </c>
      <c r="B67" s="36">
        <f t="shared" si="3"/>
        <v>8</v>
      </c>
      <c r="C67" s="194">
        <f t="shared" si="4"/>
        <v>41510</v>
      </c>
      <c r="D67" s="194"/>
      <c r="E67" s="194">
        <v>41510</v>
      </c>
      <c r="F67" s="202" t="s">
        <v>522</v>
      </c>
      <c r="G67" s="750" t="s">
        <v>447</v>
      </c>
      <c r="H67" s="7"/>
      <c r="I67" s="276"/>
      <c r="J67" s="276"/>
      <c r="K67" s="748">
        <v>20308</v>
      </c>
      <c r="L67" s="749" t="s">
        <v>24</v>
      </c>
      <c r="M67" s="749" t="s">
        <v>41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/>
      </c>
      <c r="R67" s="55" t="str">
        <f>IF(ISERROR(FIND('112'!$M$9,G67,1)),"",IF((AND(FIND('112'!$M$9,G67,1)&gt;=1,$B67&gt;='112'!$N$8,$B67&lt;='112'!$O$8,OR($L67='112'!$I$6,$M67='112'!$I$6))),"x",""))</f>
        <v>x</v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39" customFormat="1" ht="15.75" customHeight="1">
      <c r="A68" s="218" t="str">
        <f>IF(B68&lt;&gt;"",IF(AND(B68&gt;=_TM1,B68&lt;=_TM2,OR(TH!L68="1111",TH!M68="1111")),TH!D68,""),"")</f>
        <v/>
      </c>
      <c r="B68" s="36">
        <f t="shared" si="3"/>
        <v>8</v>
      </c>
      <c r="C68" s="194">
        <f t="shared" si="4"/>
        <v>41513</v>
      </c>
      <c r="D68" s="194"/>
      <c r="E68" s="204">
        <v>41513</v>
      </c>
      <c r="F68" s="202" t="s">
        <v>521</v>
      </c>
      <c r="G68" s="750" t="s">
        <v>447</v>
      </c>
      <c r="H68" s="7" t="s">
        <v>515</v>
      </c>
      <c r="I68" s="277"/>
      <c r="J68" s="278"/>
      <c r="K68" s="38">
        <v>16547850</v>
      </c>
      <c r="L68" s="749" t="s">
        <v>24</v>
      </c>
      <c r="M68" s="749" t="s">
        <v>352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/>
      </c>
      <c r="R68" s="55" t="str">
        <f>IF(ISERROR(FIND('112'!$M$9,G68,1)),"",IF((AND(FIND('112'!$M$9,G68,1)&gt;=1,$B68&gt;='112'!$N$8,$B68&lt;='112'!$O$8,OR($L68='112'!$I$6,$M68='112'!$I$6))),"x",""))</f>
        <v>x</v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5"/>
      <c r="AC68" s="225"/>
      <c r="AD68" s="225"/>
    </row>
    <row r="69" spans="1:30" s="739" customFormat="1" ht="15.75" customHeight="1">
      <c r="A69" s="218" t="str">
        <f>IF(B69&lt;&gt;"",IF(AND(B69&gt;=_TM1,B69&lt;=_TM2,OR(TH!L69="1111",TH!M69="1111")),TH!D69,""),"")</f>
        <v/>
      </c>
      <c r="B69" s="36">
        <f t="shared" si="3"/>
        <v>9</v>
      </c>
      <c r="C69" s="194">
        <f t="shared" si="4"/>
        <v>41526</v>
      </c>
      <c r="D69" s="194"/>
      <c r="E69" s="204">
        <v>41526</v>
      </c>
      <c r="F69" s="202" t="s">
        <v>521</v>
      </c>
      <c r="G69" s="750" t="s">
        <v>447</v>
      </c>
      <c r="H69" s="7" t="s">
        <v>515</v>
      </c>
      <c r="I69" s="277"/>
      <c r="J69" s="278"/>
      <c r="K69" s="38">
        <v>17307400</v>
      </c>
      <c r="L69" s="749" t="s">
        <v>24</v>
      </c>
      <c r="M69" s="749" t="s">
        <v>352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/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>x</v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/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5"/>
      <c r="AC69" s="225"/>
      <c r="AD69" s="225"/>
    </row>
    <row r="70" spans="1:30" s="932" customFormat="1" ht="15.75" customHeight="1">
      <c r="A70" s="218" t="str">
        <f>IF(B70&lt;&gt;"",IF(AND(B70&gt;=_TM1,B70&lt;=_TM2,OR(TH!L70="1111",TH!M70="1111")),TH!D70,""),"")</f>
        <v/>
      </c>
      <c r="B70" s="930">
        <f t="shared" si="3"/>
        <v>9</v>
      </c>
      <c r="C70" s="194">
        <f t="shared" si="4"/>
        <v>41528</v>
      </c>
      <c r="D70" s="194"/>
      <c r="E70" s="194">
        <v>41528</v>
      </c>
      <c r="F70" s="202" t="s">
        <v>521</v>
      </c>
      <c r="G70" s="750" t="s">
        <v>447</v>
      </c>
      <c r="H70" s="7" t="s">
        <v>526</v>
      </c>
      <c r="I70" s="276"/>
      <c r="J70" s="276"/>
      <c r="K70" s="748">
        <v>11550000</v>
      </c>
      <c r="L70" s="749" t="s">
        <v>24</v>
      </c>
      <c r="M70" s="749" t="s">
        <v>352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>x</v>
      </c>
      <c r="S70" s="55" t="str">
        <f>IF(ISERROR(FIND('112'!$M$9,G70,1)),"",IF((AND(LEFT(G70,2)=LEFT('112'!$M$9,2),B70&lt;'112'!$N$8,$L70='112'!$I$6)),"x",""))</f>
        <v/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39" customFormat="1" ht="15.75" customHeight="1">
      <c r="A71" s="218" t="str">
        <f>IF(B71&lt;&gt;"",IF(AND(B71&gt;=_TM1,B71&lt;=_TM2,OR(TH!L71="1111",TH!M71="1111")),TH!D71,""),"")</f>
        <v/>
      </c>
      <c r="B71" s="36">
        <f t="shared" si="3"/>
        <v>9</v>
      </c>
      <c r="C71" s="194">
        <f t="shared" si="4"/>
        <v>41533</v>
      </c>
      <c r="D71" s="194"/>
      <c r="E71" s="194">
        <v>41533</v>
      </c>
      <c r="F71" s="202" t="s">
        <v>521</v>
      </c>
      <c r="G71" s="750" t="s">
        <v>447</v>
      </c>
      <c r="H71" s="7" t="s">
        <v>528</v>
      </c>
      <c r="I71" s="276"/>
      <c r="J71" s="276"/>
      <c r="K71" s="748">
        <v>3068120</v>
      </c>
      <c r="L71" s="749" t="s">
        <v>24</v>
      </c>
      <c r="M71" s="749" t="s">
        <v>352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/>
      </c>
      <c r="R71" s="55" t="str">
        <f>IF(ISERROR(FIND('112'!$M$9,G71,1)),"",IF((AND(FIND('112'!$M$9,G71,1)&gt;=1,$B71&gt;='112'!$N$8,$B71&lt;='112'!$O$8,OR($L71='112'!$I$6,$M71='112'!$I$6))),"x",""))</f>
        <v>x</v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39" customFormat="1" ht="15.75" customHeight="1">
      <c r="A72" s="218" t="str">
        <f>IF(B72&lt;&gt;"",IF(AND(B72&gt;=_TM1,B72&lt;=_TM2,OR(TH!L72="1111",TH!M72="1111")),TH!D72,""),"")</f>
        <v/>
      </c>
      <c r="B72" s="36">
        <f t="shared" si="3"/>
        <v>9</v>
      </c>
      <c r="C72" s="194">
        <f t="shared" si="4"/>
        <v>41534</v>
      </c>
      <c r="D72" s="194"/>
      <c r="E72" s="194">
        <v>41534</v>
      </c>
      <c r="F72" s="202" t="s">
        <v>521</v>
      </c>
      <c r="G72" s="750" t="s">
        <v>447</v>
      </c>
      <c r="H72" s="7" t="s">
        <v>529</v>
      </c>
      <c r="I72" s="276"/>
      <c r="J72" s="276"/>
      <c r="K72" s="748">
        <v>18409413</v>
      </c>
      <c r="L72" s="749" t="s">
        <v>24</v>
      </c>
      <c r="M72" s="749" t="s">
        <v>352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/>
      </c>
      <c r="R72" s="55" t="str">
        <f>IF(ISERROR(FIND('112'!$M$9,G72,1)),"",IF((AND(FIND('112'!$M$9,G72,1)&gt;=1,$B72&gt;='112'!$N$8,$B72&lt;='112'!$O$8,OR($L72='112'!$I$6,$M72='112'!$I$6))),"x",""))</f>
        <v>x</v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39" customFormat="1" ht="15.75" customHeight="1">
      <c r="A73" s="218" t="str">
        <f>IF(B73&lt;&gt;"",IF(AND(B73&gt;=_TM1,B73&lt;=_TM2,OR(TH!L73="1111",TH!M73="1111")),TH!D73,""),"")</f>
        <v/>
      </c>
      <c r="B73" s="36">
        <f t="shared" si="3"/>
        <v>9</v>
      </c>
      <c r="C73" s="194">
        <f t="shared" si="4"/>
        <v>41535</v>
      </c>
      <c r="D73" s="194"/>
      <c r="E73" s="194">
        <v>41535</v>
      </c>
      <c r="F73" s="202" t="s">
        <v>521</v>
      </c>
      <c r="G73" s="750" t="s">
        <v>447</v>
      </c>
      <c r="H73" s="7" t="s">
        <v>514</v>
      </c>
      <c r="I73" s="276"/>
      <c r="J73" s="276"/>
      <c r="K73" s="748">
        <v>13681250</v>
      </c>
      <c r="L73" s="749" t="s">
        <v>24</v>
      </c>
      <c r="M73" s="749" t="s">
        <v>352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/>
      </c>
      <c r="R73" s="55" t="str">
        <f>IF(ISERROR(FIND('112'!$M$9,G73,1)),"",IF((AND(FIND('112'!$M$9,G73,1)&gt;=1,$B73&gt;='112'!$N$8,$B73&lt;='112'!$O$8,OR($L73='112'!$I$6,$M73='112'!$I$6))),"x",""))</f>
        <v>x</v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39" customFormat="1" ht="15.75" customHeight="1">
      <c r="A74" s="218" t="str">
        <f>IF(B74&lt;&gt;"",IF(AND(B74&gt;=_TM1,B74&lt;=_TM2,OR(TH!L74="1111",TH!M74="1111")),TH!D74,""),"")</f>
        <v/>
      </c>
      <c r="B74" s="36">
        <f t="shared" si="3"/>
        <v>9</v>
      </c>
      <c r="C74" s="194">
        <f t="shared" si="4"/>
        <v>41536</v>
      </c>
      <c r="D74" s="194"/>
      <c r="E74" s="204">
        <v>41536</v>
      </c>
      <c r="F74" s="202" t="s">
        <v>521</v>
      </c>
      <c r="G74" s="750" t="s">
        <v>447</v>
      </c>
      <c r="H74" s="7" t="s">
        <v>530</v>
      </c>
      <c r="I74" s="277"/>
      <c r="J74" s="278"/>
      <c r="K74" s="38">
        <v>12547810</v>
      </c>
      <c r="L74" s="749" t="s">
        <v>24</v>
      </c>
      <c r="M74" s="749" t="s">
        <v>352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/>
      </c>
      <c r="R74" s="55" t="str">
        <f>IF(ISERROR(FIND('112'!$M$9,G74,1)),"",IF((AND(FIND('112'!$M$9,G74,1)&gt;=1,$B74&gt;='112'!$N$8,$B74&lt;='112'!$O$8,OR($L74='112'!$I$6,$M74='112'!$I$6))),"x",""))</f>
        <v>x</v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5"/>
      <c r="AC74" s="225"/>
      <c r="AD74" s="225"/>
    </row>
    <row r="75" spans="1:30" s="739" customFormat="1" ht="15.75" customHeight="1">
      <c r="A75" s="218" t="str">
        <f>IF(B75&lt;&gt;"",IF(AND(B75&gt;=_TM1,B75&lt;=_TM2,OR(TH!L75="1111",TH!M75="1111")),TH!D75,""),"")</f>
        <v/>
      </c>
      <c r="B75" s="36">
        <f t="shared" si="3"/>
        <v>9</v>
      </c>
      <c r="C75" s="194">
        <f t="shared" si="4"/>
        <v>41541</v>
      </c>
      <c r="D75" s="194"/>
      <c r="E75" s="194">
        <v>41541</v>
      </c>
      <c r="F75" s="202" t="s">
        <v>521</v>
      </c>
      <c r="G75" s="750" t="s">
        <v>447</v>
      </c>
      <c r="H75" s="7" t="s">
        <v>526</v>
      </c>
      <c r="I75" s="276"/>
      <c r="J75" s="276"/>
      <c r="K75" s="748">
        <v>12642630</v>
      </c>
      <c r="L75" s="749" t="s">
        <v>24</v>
      </c>
      <c r="M75" s="749" t="s">
        <v>352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/>
      </c>
      <c r="R75" s="55" t="str">
        <f>IF(ISERROR(FIND('112'!$M$9,G75,1)),"",IF((AND(FIND('112'!$M$9,G75,1)&gt;=1,$B75&gt;='112'!$N$8,$B75&lt;='112'!$O$8,OR($L75='112'!$I$6,$M75='112'!$I$6))),"x",""))</f>
        <v>x</v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5"/>
      <c r="AC75" s="225"/>
      <c r="AD75" s="225"/>
    </row>
    <row r="76" spans="1:30" s="739" customFormat="1" ht="15.75" customHeight="1">
      <c r="A76" s="218" t="str">
        <f>IF(B76&lt;&gt;"",IF(AND(B76&gt;=_TM1,B76&lt;=_TM2,OR(TH!L76="1111",TH!M76="1111")),TH!D76,""),"")</f>
        <v/>
      </c>
      <c r="B76" s="36">
        <f t="shared" si="3"/>
        <v>9</v>
      </c>
      <c r="C76" s="194">
        <f t="shared" si="4"/>
        <v>41542</v>
      </c>
      <c r="D76" s="194"/>
      <c r="E76" s="204">
        <v>41542</v>
      </c>
      <c r="F76" s="202" t="s">
        <v>522</v>
      </c>
      <c r="G76" s="750" t="s">
        <v>447</v>
      </c>
      <c r="H76" s="7"/>
      <c r="I76" s="277"/>
      <c r="J76" s="278"/>
      <c r="K76" s="38">
        <v>6004</v>
      </c>
      <c r="L76" s="749" t="s">
        <v>24</v>
      </c>
      <c r="M76" s="749" t="s">
        <v>41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/>
      </c>
      <c r="R76" s="55" t="str">
        <f>IF(ISERROR(FIND('112'!$M$9,G76,1)),"",IF((AND(FIND('112'!$M$9,G76,1)&gt;=1,$B76&gt;='112'!$N$8,$B76&lt;='112'!$O$8,OR($L76='112'!$I$6,$M76='112'!$I$6))),"x",""))</f>
        <v>x</v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5"/>
      <c r="AC76" s="225"/>
      <c r="AD76" s="225"/>
    </row>
    <row r="77" spans="1:30" s="225" customFormat="1" ht="15.75" customHeight="1">
      <c r="A77" s="218" t="str">
        <f>IF(B77&lt;&gt;"",IF(AND(B77&gt;=_TM1,B77&lt;=_TM2,OR(TH!L77="1111",TH!M77="1111")),TH!D77,""),"")</f>
        <v/>
      </c>
      <c r="B77" s="36">
        <f t="shared" si="3"/>
        <v>9</v>
      </c>
      <c r="C77" s="194">
        <f t="shared" si="4"/>
        <v>41547</v>
      </c>
      <c r="D77" s="194"/>
      <c r="E77" s="204">
        <v>41547</v>
      </c>
      <c r="F77" s="202" t="s">
        <v>521</v>
      </c>
      <c r="G77" s="750" t="s">
        <v>447</v>
      </c>
      <c r="H77" s="7" t="s">
        <v>526</v>
      </c>
      <c r="I77" s="277"/>
      <c r="J77" s="278"/>
      <c r="K77" s="38">
        <v>14819200</v>
      </c>
      <c r="L77" s="749" t="s">
        <v>24</v>
      </c>
      <c r="M77" s="749" t="s">
        <v>352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/>
      </c>
      <c r="R77" s="55" t="str">
        <f>IF(ISERROR(FIND('112'!$M$9,G77,1)),"",IF((AND(FIND('112'!$M$9,G77,1)&gt;=1,$B77&gt;='112'!$N$8,$B77&lt;='112'!$O$8,OR($L77='112'!$I$6,$M77='112'!$I$6))),"x",""))</f>
        <v>x</v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5" customFormat="1" ht="15.75" customHeight="1">
      <c r="A78" s="218" t="str">
        <f>IF(B78&lt;&gt;"",IF(AND(B78&gt;=_TM1,B78&lt;=_TM2,OR(TH!L78="1111",TH!M78="1111")),TH!D78,""),"")</f>
        <v/>
      </c>
      <c r="B78" s="36">
        <f t="shared" si="3"/>
        <v>10</v>
      </c>
      <c r="C78" s="194">
        <f t="shared" si="4"/>
        <v>41554</v>
      </c>
      <c r="D78" s="194"/>
      <c r="E78" s="194">
        <v>41554</v>
      </c>
      <c r="F78" s="202" t="s">
        <v>521</v>
      </c>
      <c r="G78" s="750" t="s">
        <v>447</v>
      </c>
      <c r="H78" s="7" t="s">
        <v>526</v>
      </c>
      <c r="I78" s="276"/>
      <c r="J78" s="276"/>
      <c r="K78" s="748">
        <v>19729600</v>
      </c>
      <c r="L78" s="749" t="s">
        <v>24</v>
      </c>
      <c r="M78" s="749" t="s">
        <v>352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/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39" customFormat="1" ht="15.75" customHeight="1">
      <c r="A79" s="218" t="str">
        <f>IF(B79&lt;&gt;"",IF(AND(B79&gt;=_TM1,B79&lt;=_TM2,OR(TH!L79="1111",TH!M79="1111")),TH!D79,""),"")</f>
        <v/>
      </c>
      <c r="B79" s="36">
        <f t="shared" si="3"/>
        <v>10</v>
      </c>
      <c r="C79" s="194">
        <f t="shared" si="4"/>
        <v>41554</v>
      </c>
      <c r="D79" s="194"/>
      <c r="E79" s="204">
        <v>41554</v>
      </c>
      <c r="F79" s="202" t="s">
        <v>521</v>
      </c>
      <c r="G79" s="750" t="s">
        <v>447</v>
      </c>
      <c r="H79" s="7" t="s">
        <v>526</v>
      </c>
      <c r="I79" s="277"/>
      <c r="J79" s="278"/>
      <c r="K79" s="38">
        <v>13959000</v>
      </c>
      <c r="L79" s="749" t="s">
        <v>24</v>
      </c>
      <c r="M79" s="749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/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5"/>
      <c r="AC79" s="225"/>
    </row>
    <row r="80" spans="1:30" s="739" customFormat="1" ht="15.75" customHeight="1">
      <c r="A80" s="218" t="str">
        <f>IF(B80&lt;&gt;"",IF(AND(B80&gt;=_TM1,B80&lt;=_TM2,OR(TH!L80="1111",TH!M80="1111")),TH!D80,""),"")</f>
        <v/>
      </c>
      <c r="B80" s="36">
        <f t="shared" si="3"/>
        <v>10</v>
      </c>
      <c r="C80" s="194">
        <f t="shared" si="4"/>
        <v>41554</v>
      </c>
      <c r="D80" s="194"/>
      <c r="E80" s="204">
        <v>41554</v>
      </c>
      <c r="F80" s="202" t="s">
        <v>521</v>
      </c>
      <c r="G80" s="750" t="s">
        <v>447</v>
      </c>
      <c r="H80" s="7" t="s">
        <v>531</v>
      </c>
      <c r="I80" s="277"/>
      <c r="J80" s="278"/>
      <c r="K80" s="38">
        <v>18621130</v>
      </c>
      <c r="L80" s="749" t="s">
        <v>24</v>
      </c>
      <c r="M80" s="749" t="s">
        <v>352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5"/>
      <c r="AC80" s="225"/>
      <c r="AD80" s="225"/>
    </row>
    <row r="81" spans="1:30" s="739" customFormat="1" ht="15.75" customHeight="1">
      <c r="A81" s="218" t="str">
        <f>IF(B81&lt;&gt;"",IF(AND(B81&gt;=_TM1,B81&lt;=_TM2,OR(TH!L81="1111",TH!M81="1111")),TH!D81,""),"")</f>
        <v/>
      </c>
      <c r="B81" s="36">
        <f t="shared" si="3"/>
        <v>10</v>
      </c>
      <c r="C81" s="194">
        <f t="shared" si="4"/>
        <v>41557</v>
      </c>
      <c r="D81" s="194"/>
      <c r="E81" s="204">
        <v>41557</v>
      </c>
      <c r="F81" s="202" t="s">
        <v>521</v>
      </c>
      <c r="G81" s="750" t="s">
        <v>447</v>
      </c>
      <c r="H81" s="7" t="s">
        <v>514</v>
      </c>
      <c r="I81" s="277"/>
      <c r="J81" s="278"/>
      <c r="K81" s="38">
        <v>6806250</v>
      </c>
      <c r="L81" s="749" t="s">
        <v>24</v>
      </c>
      <c r="M81" s="749" t="s">
        <v>352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5"/>
      <c r="AC81" s="225"/>
      <c r="AD81" s="225"/>
    </row>
    <row r="82" spans="1:30" s="739" customFormat="1" ht="15.75" customHeight="1">
      <c r="A82" s="218" t="str">
        <f>IF(B82&lt;&gt;"",IF(AND(B82&gt;=_TM1,B82&lt;=_TM2,OR(TH!L82="1111",TH!M82="1111")),TH!D82,""),"")</f>
        <v/>
      </c>
      <c r="B82" s="36">
        <f t="shared" si="3"/>
        <v>10</v>
      </c>
      <c r="C82" s="194">
        <f t="shared" si="4"/>
        <v>41561</v>
      </c>
      <c r="D82" s="194"/>
      <c r="E82" s="204">
        <v>41561</v>
      </c>
      <c r="F82" s="202" t="s">
        <v>521</v>
      </c>
      <c r="G82" s="750" t="s">
        <v>447</v>
      </c>
      <c r="H82" s="7" t="s">
        <v>526</v>
      </c>
      <c r="I82" s="277"/>
      <c r="J82" s="278"/>
      <c r="K82" s="38">
        <v>13855600</v>
      </c>
      <c r="L82" s="749" t="s">
        <v>24</v>
      </c>
      <c r="M82" s="749" t="s">
        <v>352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/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5"/>
      <c r="AC82" s="225"/>
      <c r="AD82" s="225"/>
    </row>
    <row r="83" spans="1:30" s="739" customFormat="1" ht="15.75" customHeight="1">
      <c r="A83" s="218" t="str">
        <f>IF(B83&lt;&gt;"",IF(AND(B83&gt;=_TM1,B83&lt;=_TM2,OR(TH!L83="1111",TH!M83="1111")),TH!D83,""),"")</f>
        <v/>
      </c>
      <c r="B83" s="36">
        <f t="shared" si="3"/>
        <v>10</v>
      </c>
      <c r="C83" s="194">
        <f t="shared" si="4"/>
        <v>41562</v>
      </c>
      <c r="D83" s="194"/>
      <c r="E83" s="194">
        <v>41562</v>
      </c>
      <c r="F83" s="202" t="s">
        <v>521</v>
      </c>
      <c r="G83" s="750" t="s">
        <v>447</v>
      </c>
      <c r="H83" s="7" t="s">
        <v>515</v>
      </c>
      <c r="I83" s="276"/>
      <c r="J83" s="276"/>
      <c r="K83" s="38">
        <v>10000000</v>
      </c>
      <c r="L83" s="749" t="s">
        <v>24</v>
      </c>
      <c r="M83" s="749" t="s">
        <v>352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/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5"/>
      <c r="AC83" s="225"/>
      <c r="AD83" s="225"/>
    </row>
    <row r="84" spans="1:30" s="739" customFormat="1" ht="15.75" customHeight="1">
      <c r="A84" s="218" t="str">
        <f>IF(B84&lt;&gt;"",IF(AND(B84&gt;=_TM1,B84&lt;=_TM2,OR(TH!L84="1111",TH!M84="1111")),TH!D84,""),"")</f>
        <v/>
      </c>
      <c r="B84" s="36">
        <f t="shared" si="3"/>
        <v>10</v>
      </c>
      <c r="C84" s="194">
        <f t="shared" si="4"/>
        <v>41570</v>
      </c>
      <c r="D84" s="194"/>
      <c r="E84" s="194">
        <v>41570</v>
      </c>
      <c r="F84" s="202" t="s">
        <v>521</v>
      </c>
      <c r="G84" s="750" t="s">
        <v>447</v>
      </c>
      <c r="H84" s="7" t="s">
        <v>517</v>
      </c>
      <c r="I84" s="276"/>
      <c r="J84" s="276"/>
      <c r="K84" s="748">
        <v>5085806</v>
      </c>
      <c r="L84" s="749" t="s">
        <v>24</v>
      </c>
      <c r="M84" s="749" t="s">
        <v>352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/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5"/>
      <c r="AC84" s="225"/>
      <c r="AD84" s="225"/>
    </row>
    <row r="85" spans="1:30" s="739" customFormat="1" ht="15.75" customHeight="1">
      <c r="A85" s="218" t="str">
        <f>IF(B85&lt;&gt;"",IF(AND(B85&gt;=_TM1,B85&lt;=_TM2,OR(TH!L85="1111",TH!M85="1111")),TH!D85,""),"")</f>
        <v/>
      </c>
      <c r="B85" s="36">
        <f t="shared" si="3"/>
        <v>10</v>
      </c>
      <c r="C85" s="194">
        <f t="shared" si="4"/>
        <v>41572</v>
      </c>
      <c r="D85" s="194"/>
      <c r="E85" s="194">
        <v>41572</v>
      </c>
      <c r="F85" s="202" t="s">
        <v>522</v>
      </c>
      <c r="G85" s="750" t="s">
        <v>447</v>
      </c>
      <c r="H85" s="7"/>
      <c r="I85" s="276"/>
      <c r="J85" s="276"/>
      <c r="K85" s="748">
        <v>5895</v>
      </c>
      <c r="L85" s="749" t="s">
        <v>24</v>
      </c>
      <c r="M85" s="749" t="s">
        <v>41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/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5"/>
      <c r="AC85" s="225"/>
      <c r="AD85" s="225"/>
    </row>
    <row r="86" spans="1:30" s="739" customFormat="1" ht="15.75" customHeight="1">
      <c r="A86" s="218" t="str">
        <f>IF(B86&lt;&gt;"",IF(AND(B86&gt;=_TM1,B86&lt;=_TM2,OR(TH!L86="1111",TH!M86="1111")),TH!D86,""),"")</f>
        <v/>
      </c>
      <c r="B86" s="36">
        <f t="shared" si="3"/>
        <v>10</v>
      </c>
      <c r="C86" s="194">
        <f t="shared" si="4"/>
        <v>41575</v>
      </c>
      <c r="D86" s="194"/>
      <c r="E86" s="204">
        <v>41575</v>
      </c>
      <c r="F86" s="202" t="s">
        <v>521</v>
      </c>
      <c r="G86" s="750" t="s">
        <v>447</v>
      </c>
      <c r="H86" s="7" t="s">
        <v>529</v>
      </c>
      <c r="I86" s="277"/>
      <c r="J86" s="278"/>
      <c r="K86" s="38">
        <v>10488500</v>
      </c>
      <c r="L86" s="749" t="s">
        <v>24</v>
      </c>
      <c r="M86" s="749" t="s">
        <v>352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/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39" customFormat="1" ht="15.75" customHeight="1">
      <c r="A87" s="218" t="str">
        <f>IF(B87&lt;&gt;"",IF(AND(B87&gt;=_TM1,B87&lt;=_TM2,OR(TH!L87="1111",TH!M87="1111")),TH!D87,""),"")</f>
        <v/>
      </c>
      <c r="B87" s="36">
        <f t="shared" si="3"/>
        <v>10</v>
      </c>
      <c r="C87" s="194">
        <f t="shared" si="4"/>
        <v>41575</v>
      </c>
      <c r="D87" s="194"/>
      <c r="E87" s="204">
        <v>41575</v>
      </c>
      <c r="F87" s="202" t="s">
        <v>521</v>
      </c>
      <c r="G87" s="750" t="s">
        <v>447</v>
      </c>
      <c r="H87" s="7" t="s">
        <v>526</v>
      </c>
      <c r="I87" s="277"/>
      <c r="J87" s="278"/>
      <c r="K87" s="38">
        <v>13959000</v>
      </c>
      <c r="L87" s="749" t="s">
        <v>24</v>
      </c>
      <c r="M87" s="749" t="s">
        <v>352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/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39" customFormat="1" ht="15.75" customHeight="1">
      <c r="A88" s="218" t="str">
        <f>IF(B88&lt;&gt;"",IF(AND(B88&gt;=_TM1,B88&lt;=_TM2,OR(TH!L88="1111",TH!M88="1111")),TH!D88,""),"")</f>
        <v/>
      </c>
      <c r="B88" s="36">
        <f t="shared" ref="B88:B151" si="5">IF(C88&lt;&gt;"",MONTH(C88),"")</f>
        <v>10</v>
      </c>
      <c r="C88" s="194">
        <f t="shared" si="4"/>
        <v>41575</v>
      </c>
      <c r="D88" s="194"/>
      <c r="E88" s="204">
        <v>41575</v>
      </c>
      <c r="F88" s="202" t="s">
        <v>521</v>
      </c>
      <c r="G88" s="750" t="s">
        <v>447</v>
      </c>
      <c r="H88" s="7" t="s">
        <v>526</v>
      </c>
      <c r="I88" s="277"/>
      <c r="J88" s="278"/>
      <c r="K88" s="38">
        <v>15708000</v>
      </c>
      <c r="L88" s="749" t="s">
        <v>24</v>
      </c>
      <c r="M88" s="749" t="s">
        <v>352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/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39" customFormat="1" ht="15.75" customHeight="1">
      <c r="A89" s="218" t="str">
        <f>IF(B89&lt;&gt;"",IF(AND(B89&gt;=_TM1,B89&lt;=_TM2,OR(TH!L89="1111",TH!M89="1111")),TH!D89,""),"")</f>
        <v/>
      </c>
      <c r="B89" s="36">
        <f t="shared" si="5"/>
        <v>10</v>
      </c>
      <c r="C89" s="194">
        <f t="shared" ref="C89:C152" si="6">E89</f>
        <v>41577</v>
      </c>
      <c r="D89" s="194"/>
      <c r="E89" s="204">
        <v>41577</v>
      </c>
      <c r="F89" s="202" t="s">
        <v>521</v>
      </c>
      <c r="G89" s="750" t="s">
        <v>447</v>
      </c>
      <c r="H89" s="7" t="s">
        <v>531</v>
      </c>
      <c r="I89" s="277"/>
      <c r="J89" s="278"/>
      <c r="K89" s="38">
        <v>34257520</v>
      </c>
      <c r="L89" s="749" t="s">
        <v>24</v>
      </c>
      <c r="M89" s="749" t="s">
        <v>352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/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5"/>
      <c r="AC89" s="225"/>
      <c r="AD89" s="225"/>
    </row>
    <row r="90" spans="1:30" s="739" customFormat="1" ht="15.75" customHeight="1">
      <c r="A90" s="218" t="str">
        <f>IF(B90&lt;&gt;"",IF(AND(B90&gt;=_TM1,B90&lt;=_TM2,OR(TH!L90="1111",TH!M90="1111")),TH!D90,""),"")</f>
        <v/>
      </c>
      <c r="B90" s="36">
        <f t="shared" si="5"/>
        <v>11</v>
      </c>
      <c r="C90" s="194">
        <f t="shared" si="6"/>
        <v>41579</v>
      </c>
      <c r="D90" s="194"/>
      <c r="E90" s="204">
        <v>41579</v>
      </c>
      <c r="F90" s="202" t="s">
        <v>521</v>
      </c>
      <c r="G90" s="750" t="s">
        <v>447</v>
      </c>
      <c r="H90" s="7" t="s">
        <v>527</v>
      </c>
      <c r="I90" s="277"/>
      <c r="J90" s="278"/>
      <c r="K90" s="38">
        <v>14856710</v>
      </c>
      <c r="L90" s="749" t="s">
        <v>24</v>
      </c>
      <c r="M90" s="749" t="s">
        <v>352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/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39" customFormat="1" ht="15.75" customHeight="1">
      <c r="A91" s="218" t="str">
        <f>IF(B91&lt;&gt;"",IF(AND(B91&gt;=_TM1,B91&lt;=_TM2,OR(TH!L91="1111",TH!M91="1111")),TH!D91,""),"")</f>
        <v/>
      </c>
      <c r="B91" s="36">
        <f t="shared" si="5"/>
        <v>11</v>
      </c>
      <c r="C91" s="194">
        <f t="shared" si="6"/>
        <v>41582</v>
      </c>
      <c r="D91" s="194"/>
      <c r="E91" s="204">
        <v>41582</v>
      </c>
      <c r="F91" s="202" t="s">
        <v>521</v>
      </c>
      <c r="G91" s="750" t="s">
        <v>447</v>
      </c>
      <c r="H91" s="7" t="s">
        <v>515</v>
      </c>
      <c r="I91" s="277"/>
      <c r="J91" s="278"/>
      <c r="K91" s="38">
        <v>17671050</v>
      </c>
      <c r="L91" s="749" t="s">
        <v>24</v>
      </c>
      <c r="M91" s="749" t="s">
        <v>352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39" customFormat="1" ht="15.75" customHeight="1">
      <c r="A92" s="218" t="str">
        <f>IF(B92&lt;&gt;"",IF(AND(B92&gt;=_TM1,B92&lt;=_TM2,OR(TH!L92="1111",TH!M92="1111")),TH!D92,""),"")</f>
        <v/>
      </c>
      <c r="B92" s="36">
        <f t="shared" si="5"/>
        <v>11</v>
      </c>
      <c r="C92" s="194">
        <f t="shared" si="6"/>
        <v>41583</v>
      </c>
      <c r="D92" s="194"/>
      <c r="E92" s="194">
        <v>41583</v>
      </c>
      <c r="F92" s="202" t="s">
        <v>521</v>
      </c>
      <c r="G92" s="750" t="s">
        <v>447</v>
      </c>
      <c r="H92" s="7" t="s">
        <v>517</v>
      </c>
      <c r="I92" s="276"/>
      <c r="J92" s="276"/>
      <c r="K92" s="38">
        <v>9604386</v>
      </c>
      <c r="L92" s="749" t="s">
        <v>24</v>
      </c>
      <c r="M92" s="749" t="s">
        <v>352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/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39" customFormat="1" ht="15.75" customHeight="1">
      <c r="A93" s="218" t="str">
        <f>IF(B93&lt;&gt;"",IF(AND(B93&gt;=_TM1,B93&lt;=_TM2,OR(TH!L93="1111",TH!M93="1111")),TH!D93,""),"")</f>
        <v/>
      </c>
      <c r="B93" s="36">
        <f t="shared" si="5"/>
        <v>11</v>
      </c>
      <c r="C93" s="194">
        <f t="shared" si="6"/>
        <v>41585</v>
      </c>
      <c r="D93" s="194"/>
      <c r="E93" s="194">
        <v>41585</v>
      </c>
      <c r="F93" s="202" t="s">
        <v>521</v>
      </c>
      <c r="G93" s="750" t="s">
        <v>447</v>
      </c>
      <c r="H93" s="7" t="s">
        <v>526</v>
      </c>
      <c r="I93" s="276"/>
      <c r="J93" s="276"/>
      <c r="K93" s="748">
        <v>15245736</v>
      </c>
      <c r="L93" s="749" t="s">
        <v>24</v>
      </c>
      <c r="M93" s="749" t="s">
        <v>352</v>
      </c>
      <c r="N93" s="39" t="str">
        <f>IF(AND('331-CT'!$E$7=TH!H93,OR(L93="331",M93="331")),"x","")</f>
        <v/>
      </c>
      <c r="O93" s="39" t="str">
        <f>IF(AND($B93&gt;='111'!$N$11,$B93&lt;='111'!$O$11,OR($L93=$O$7,$M93=$O$7)),"x","")</f>
        <v/>
      </c>
      <c r="P93" s="39" t="str">
        <f>IF(AND($L93=$O$7,$B93&lt;'111'!$N$11),"x","")</f>
        <v/>
      </c>
      <c r="Q93" s="39" t="str">
        <f>IF(AND($M93=$O$7,$B93&lt;'111'!$N$11),"x","")</f>
        <v/>
      </c>
      <c r="R93" s="39" t="str">
        <f>IF(ISERROR(FIND('112'!$M$9,G93,1)),"",IF((AND(FIND('112'!$M$9,G93,1)&gt;=1,$B93&gt;='112'!$N$8,$B93&lt;='112'!$O$8,OR($L93='112'!$I$6,$M93='112'!$I$6))),"x",""))</f>
        <v/>
      </c>
      <c r="S93" s="39" t="str">
        <f>IF(ISERROR(FIND('112'!$M$9,G93,1)),"",IF((AND(LEFT(G93,2)=LEFT('112'!$M$9,2),B93&lt;'112'!$N$8,$L93='112'!$I$6)),"x",""))</f>
        <v/>
      </c>
      <c r="T93" s="39" t="str">
        <f>IF(ISERROR(FIND('112'!$M$9,G93,1)),"",IF((AND(RIGHT(G93,2)=RIGHT('112'!$M$9,2),B93&lt;'112'!$N$8,$M93='112'!$I$6)),"x",""))</f>
        <v/>
      </c>
      <c r="U93" s="39" t="str">
        <f>IF(AND('3411-CT'!$F$9=H93,OR(LEFT(L93,3)=$U$7,LEFT(M93,3)=$U$7)),"x","")</f>
        <v/>
      </c>
      <c r="V93" s="39" t="str">
        <f>IF(OR(TH!L93=TH!$V$7,M93=TH!$V$7),"x","")</f>
        <v/>
      </c>
      <c r="W93" s="39" t="str">
        <f>IF(AND(OR(L93="131",M93="131"),H93='131-CT'!$E$7),"x","")</f>
        <v/>
      </c>
      <c r="X93" s="39" t="str">
        <f>IF(AND(B93&gt;='IN-NX'!$P$3,B93&lt;='IN-NX'!$Q$3,'IN-NX'!$D$7=D93,OR(LEFT(TH!L93,2)="15",LEFT(TH!M93,2)="15")),"x","")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  <c r="AA93" s="39" t="str">
        <f>IF(AND(B93&lt;=NKC!$N$8,B93&gt;=NKC!$M$8),"x","")</f>
        <v/>
      </c>
    </row>
    <row r="94" spans="1:30" s="739" customFormat="1" ht="15.75" customHeight="1">
      <c r="A94" s="218" t="str">
        <f>IF(B94&lt;&gt;"",IF(AND(B94&gt;=_TM1,B94&lt;=_TM2,OR(TH!L94="1111",TH!M94="1111")),TH!D94,""),"")</f>
        <v/>
      </c>
      <c r="B94" s="36">
        <f t="shared" si="5"/>
        <v>11</v>
      </c>
      <c r="C94" s="194">
        <f t="shared" si="6"/>
        <v>41585</v>
      </c>
      <c r="D94" s="194"/>
      <c r="E94" s="194">
        <v>41585</v>
      </c>
      <c r="F94" s="202" t="s">
        <v>521</v>
      </c>
      <c r="G94" s="750" t="s">
        <v>447</v>
      </c>
      <c r="H94" s="7" t="s">
        <v>514</v>
      </c>
      <c r="I94" s="276"/>
      <c r="J94" s="276"/>
      <c r="K94" s="748">
        <v>18562500</v>
      </c>
      <c r="L94" s="749" t="s">
        <v>24</v>
      </c>
      <c r="M94" s="749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/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39" customFormat="1" ht="15.75" customHeight="1">
      <c r="A95" s="218" t="str">
        <f>IF(B95&lt;&gt;"",IF(AND(B95&gt;=_TM1,B95&lt;=_TM2,OR(TH!L95="1111",TH!M95="1111")),TH!D95,""),"")</f>
        <v/>
      </c>
      <c r="B95" s="36">
        <f t="shared" si="5"/>
        <v>11</v>
      </c>
      <c r="C95" s="194">
        <f t="shared" si="6"/>
        <v>41585</v>
      </c>
      <c r="D95" s="194"/>
      <c r="E95" s="194">
        <v>41585</v>
      </c>
      <c r="F95" s="202" t="s">
        <v>521</v>
      </c>
      <c r="G95" s="750" t="s">
        <v>447</v>
      </c>
      <c r="H95" s="7" t="s">
        <v>514</v>
      </c>
      <c r="I95" s="277"/>
      <c r="J95" s="278"/>
      <c r="K95" s="38">
        <v>15537500</v>
      </c>
      <c r="L95" s="749" t="s">
        <v>24</v>
      </c>
      <c r="M95" s="749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/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39" customFormat="1" ht="15.75" customHeight="1">
      <c r="A96" s="218" t="str">
        <f>IF(B96&lt;&gt;"",IF(AND(B96&gt;=_TM1,B96&lt;=_TM2,OR(TH!L96="1111",TH!M96="1111")),TH!D96,""),"")</f>
        <v/>
      </c>
      <c r="B96" s="36">
        <f t="shared" si="5"/>
        <v>11</v>
      </c>
      <c r="C96" s="194">
        <f t="shared" si="6"/>
        <v>41586</v>
      </c>
      <c r="D96" s="194"/>
      <c r="E96" s="194">
        <v>41586</v>
      </c>
      <c r="F96" s="202" t="s">
        <v>521</v>
      </c>
      <c r="G96" s="750" t="s">
        <v>447</v>
      </c>
      <c r="H96" s="7" t="s">
        <v>530</v>
      </c>
      <c r="I96" s="277"/>
      <c r="J96" s="278"/>
      <c r="K96" s="38">
        <v>9105558</v>
      </c>
      <c r="L96" s="749" t="s">
        <v>24</v>
      </c>
      <c r="M96" s="749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/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5"/>
      <c r="AC96" s="225"/>
    </row>
    <row r="97" spans="1:30" s="739" customFormat="1" ht="15.75" customHeight="1">
      <c r="A97" s="218" t="str">
        <f>IF(B97&lt;&gt;"",IF(AND(B97&gt;=_TM1,B97&lt;=_TM2,OR(TH!L97="1111",TH!M97="1111")),TH!D97,""),"")</f>
        <v/>
      </c>
      <c r="B97" s="36">
        <f t="shared" si="5"/>
        <v>11</v>
      </c>
      <c r="C97" s="194">
        <f t="shared" si="6"/>
        <v>41592</v>
      </c>
      <c r="D97" s="194"/>
      <c r="E97" s="204">
        <v>41592</v>
      </c>
      <c r="F97" s="202" t="s">
        <v>521</v>
      </c>
      <c r="G97" s="750" t="s">
        <v>447</v>
      </c>
      <c r="H97" s="7" t="s">
        <v>526</v>
      </c>
      <c r="I97" s="277"/>
      <c r="J97" s="278"/>
      <c r="K97" s="38">
        <v>14204124</v>
      </c>
      <c r="L97" s="749" t="s">
        <v>24</v>
      </c>
      <c r="M97" s="749" t="s">
        <v>352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/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/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5"/>
      <c r="AC97" s="225"/>
      <c r="AD97" s="225"/>
    </row>
    <row r="98" spans="1:30" s="739" customFormat="1" ht="15.75" customHeight="1">
      <c r="A98" s="218" t="str">
        <f>IF(B98&lt;&gt;"",IF(AND(B98&gt;=_TM1,B98&lt;=_TM2,OR(TH!L98="1111",TH!M98="1111")),TH!D98,""),"")</f>
        <v/>
      </c>
      <c r="B98" s="36">
        <f t="shared" si="5"/>
        <v>11</v>
      </c>
      <c r="C98" s="194">
        <f t="shared" si="6"/>
        <v>41603</v>
      </c>
      <c r="D98" s="194"/>
      <c r="E98" s="204">
        <v>41603</v>
      </c>
      <c r="F98" s="202" t="s">
        <v>522</v>
      </c>
      <c r="G98" s="750" t="s">
        <v>447</v>
      </c>
      <c r="H98" s="7"/>
      <c r="I98" s="277"/>
      <c r="J98" s="278"/>
      <c r="K98" s="38">
        <v>10898</v>
      </c>
      <c r="L98" s="749" t="s">
        <v>24</v>
      </c>
      <c r="M98" s="749" t="s">
        <v>41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/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5"/>
      <c r="AC98" s="225"/>
      <c r="AD98" s="225"/>
    </row>
    <row r="99" spans="1:30" s="739" customFormat="1" ht="15.75" customHeight="1">
      <c r="A99" s="218" t="str">
        <f>IF(B99&lt;&gt;"",IF(AND(B99&gt;=_TM1,B99&lt;=_TM2,OR(TH!L99="1111",TH!M99="1111")),TH!D99,""),"")</f>
        <v/>
      </c>
      <c r="B99" s="36">
        <f t="shared" si="5"/>
        <v>11</v>
      </c>
      <c r="C99" s="194">
        <f t="shared" si="6"/>
        <v>41604</v>
      </c>
      <c r="D99" s="194"/>
      <c r="E99" s="194">
        <v>41604</v>
      </c>
      <c r="F99" s="202" t="s">
        <v>521</v>
      </c>
      <c r="G99" s="750" t="s">
        <v>447</v>
      </c>
      <c r="H99" s="7" t="s">
        <v>529</v>
      </c>
      <c r="I99" s="276"/>
      <c r="J99" s="276"/>
      <c r="K99" s="748">
        <v>11109780</v>
      </c>
      <c r="L99" s="749" t="s">
        <v>24</v>
      </c>
      <c r="M99" s="749" t="s">
        <v>352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/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5"/>
      <c r="AC99" s="225"/>
      <c r="AD99" s="225"/>
    </row>
    <row r="100" spans="1:30" s="739" customFormat="1" ht="15.75" customHeight="1">
      <c r="A100" s="218" t="str">
        <f>IF(B100&lt;&gt;"",IF(AND(B100&gt;=_TM1,B100&lt;=_TM2,OR(TH!L100="1111",TH!M100="1111")),TH!D100,""),"")</f>
        <v/>
      </c>
      <c r="B100" s="36">
        <f t="shared" si="5"/>
        <v>11</v>
      </c>
      <c r="C100" s="194">
        <f t="shared" si="6"/>
        <v>41606</v>
      </c>
      <c r="D100" s="194"/>
      <c r="E100" s="194">
        <v>41606</v>
      </c>
      <c r="F100" s="202" t="s">
        <v>521</v>
      </c>
      <c r="G100" s="750" t="s">
        <v>447</v>
      </c>
      <c r="H100" s="7" t="s">
        <v>526</v>
      </c>
      <c r="I100" s="276"/>
      <c r="J100" s="276"/>
      <c r="K100" s="748">
        <v>27871470</v>
      </c>
      <c r="L100" s="749" t="s">
        <v>24</v>
      </c>
      <c r="M100" s="749" t="s">
        <v>352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/>
      </c>
      <c r="Z100" s="55" t="str">
        <f>IF(AND(OR(LEFT(TH!L100,2)="15",LEFT(TH!M100,2)="15"),TK!$E$7=TH!F100),"x","")</f>
        <v/>
      </c>
      <c r="AA100" s="55" t="str">
        <f>IF(AND(B100&lt;=NKC!$N$8,B100&gt;=NKC!$M$8),"x","")</f>
        <v/>
      </c>
      <c r="AB100" s="225"/>
      <c r="AC100" s="225"/>
      <c r="AD100" s="225"/>
    </row>
    <row r="101" spans="1:30" s="739" customFormat="1" ht="15.75" customHeight="1">
      <c r="A101" s="218" t="str">
        <f>IF(B101&lt;&gt;"",IF(AND(B101&gt;=_TM1,B101&lt;=_TM2,OR(TH!L101="1111",TH!M101="1111")),TH!D101,""),"")</f>
        <v/>
      </c>
      <c r="B101" s="36">
        <f t="shared" si="5"/>
        <v>12</v>
      </c>
      <c r="C101" s="194">
        <f t="shared" si="6"/>
        <v>41613</v>
      </c>
      <c r="D101" s="194"/>
      <c r="E101" s="204">
        <v>41613</v>
      </c>
      <c r="F101" s="202" t="s">
        <v>521</v>
      </c>
      <c r="G101" s="750" t="s">
        <v>447</v>
      </c>
      <c r="H101" s="7" t="s">
        <v>530</v>
      </c>
      <c r="I101" s="277"/>
      <c r="J101" s="278"/>
      <c r="K101" s="38">
        <v>6157635</v>
      </c>
      <c r="L101" s="749" t="s">
        <v>24</v>
      </c>
      <c r="M101" s="749" t="s">
        <v>352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5"/>
      <c r="AC101" s="225"/>
      <c r="AD101" s="225"/>
    </row>
    <row r="102" spans="1:30" s="739" customFormat="1" ht="15.75" customHeight="1">
      <c r="A102" s="218" t="str">
        <f>IF(B102&lt;&gt;"",IF(AND(B102&gt;=_TM1,B102&lt;=_TM2,OR(TH!L102="1111",TH!M102="1111")),TH!D102,""),"")</f>
        <v/>
      </c>
      <c r="B102" s="36">
        <f t="shared" si="5"/>
        <v>12</v>
      </c>
      <c r="C102" s="194">
        <f t="shared" si="6"/>
        <v>41613</v>
      </c>
      <c r="D102" s="194"/>
      <c r="E102" s="204">
        <v>41613</v>
      </c>
      <c r="F102" s="202" t="s">
        <v>521</v>
      </c>
      <c r="G102" s="750" t="s">
        <v>447</v>
      </c>
      <c r="H102" s="7" t="s">
        <v>514</v>
      </c>
      <c r="I102" s="277"/>
      <c r="J102" s="278"/>
      <c r="K102" s="38">
        <v>21014400</v>
      </c>
      <c r="L102" s="749" t="s">
        <v>24</v>
      </c>
      <c r="M102" s="749" t="s">
        <v>352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/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39" customFormat="1" ht="15.75" customHeight="1">
      <c r="A103" s="218" t="str">
        <f>IF(B103&lt;&gt;"",IF(AND(B103&gt;=_TM1,B103&lt;=_TM2,OR(TH!L103="1111",TH!M103="1111")),TH!D103,""),"")</f>
        <v/>
      </c>
      <c r="B103" s="36">
        <f t="shared" si="5"/>
        <v>12</v>
      </c>
      <c r="C103" s="194">
        <f t="shared" si="6"/>
        <v>41614</v>
      </c>
      <c r="D103" s="194"/>
      <c r="E103" s="204">
        <v>41614</v>
      </c>
      <c r="F103" s="202" t="s">
        <v>521</v>
      </c>
      <c r="G103" s="750" t="s">
        <v>447</v>
      </c>
      <c r="H103" s="7" t="s">
        <v>531</v>
      </c>
      <c r="I103" s="277"/>
      <c r="J103" s="278"/>
      <c r="K103" s="38">
        <v>23651870</v>
      </c>
      <c r="L103" s="749" t="s">
        <v>24</v>
      </c>
      <c r="M103" s="749" t="s">
        <v>352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/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39" customFormat="1" ht="15.75" customHeight="1">
      <c r="A104" s="218" t="str">
        <f>IF(B104&lt;&gt;"",IF(AND(B104&gt;=_TM1,B104&lt;=_TM2,OR(TH!L104="1111",TH!M104="1111")),TH!D104,""),"")</f>
        <v/>
      </c>
      <c r="B104" s="36">
        <f t="shared" si="5"/>
        <v>12</v>
      </c>
      <c r="C104" s="194">
        <f t="shared" si="6"/>
        <v>41617</v>
      </c>
      <c r="D104" s="194"/>
      <c r="E104" s="194">
        <v>41617</v>
      </c>
      <c r="F104" s="202" t="s">
        <v>521</v>
      </c>
      <c r="G104" s="750" t="s">
        <v>447</v>
      </c>
      <c r="H104" s="7" t="s">
        <v>526</v>
      </c>
      <c r="I104" s="276"/>
      <c r="J104" s="276"/>
      <c r="K104" s="748">
        <v>15030851</v>
      </c>
      <c r="L104" s="749" t="s">
        <v>24</v>
      </c>
      <c r="M104" s="749" t="s">
        <v>352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/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39" customFormat="1" ht="15.75" customHeight="1">
      <c r="A105" s="218" t="str">
        <f>IF(B105&lt;&gt;"",IF(AND(B105&gt;=_TM1,B105&lt;=_TM2,OR(TH!L105="1111",TH!M105="1111")),TH!D105,""),"")</f>
        <v/>
      </c>
      <c r="B105" s="36">
        <f t="shared" si="5"/>
        <v>12</v>
      </c>
      <c r="C105" s="194">
        <f t="shared" si="6"/>
        <v>41620</v>
      </c>
      <c r="D105" s="194"/>
      <c r="E105" s="194">
        <v>41620</v>
      </c>
      <c r="F105" s="202" t="s">
        <v>521</v>
      </c>
      <c r="G105" s="750" t="s">
        <v>447</v>
      </c>
      <c r="H105" s="7" t="s">
        <v>526</v>
      </c>
      <c r="I105" s="276"/>
      <c r="J105" s="276"/>
      <c r="K105" s="748">
        <v>13659140</v>
      </c>
      <c r="L105" s="749" t="s">
        <v>24</v>
      </c>
      <c r="M105" s="749" t="s">
        <v>352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/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5"/>
      <c r="AC105" s="225"/>
      <c r="AD105" s="225"/>
    </row>
    <row r="106" spans="1:30" s="739" customFormat="1" ht="15.75" customHeight="1">
      <c r="A106" s="218" t="str">
        <f>IF(B106&lt;&gt;"",IF(AND(B106&gt;=_TM1,B106&lt;=_TM2,OR(TH!L106="1111",TH!M106="1111")),TH!D106,""),"")</f>
        <v/>
      </c>
      <c r="B106" s="36">
        <f t="shared" si="5"/>
        <v>12</v>
      </c>
      <c r="C106" s="194">
        <f t="shared" si="6"/>
        <v>41624</v>
      </c>
      <c r="D106" s="194"/>
      <c r="E106" s="194">
        <v>41624</v>
      </c>
      <c r="F106" s="202" t="s">
        <v>521</v>
      </c>
      <c r="G106" s="750" t="s">
        <v>447</v>
      </c>
      <c r="H106" s="7" t="s">
        <v>527</v>
      </c>
      <c r="I106" s="276"/>
      <c r="J106" s="276"/>
      <c r="K106" s="748">
        <v>13413400</v>
      </c>
      <c r="L106" s="749" t="s">
        <v>24</v>
      </c>
      <c r="M106" s="749" t="s">
        <v>352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/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/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5"/>
      <c r="AC106" s="225"/>
      <c r="AD106" s="225"/>
    </row>
    <row r="107" spans="1:30" s="739" customFormat="1" ht="15.75" customHeight="1">
      <c r="A107" s="218" t="str">
        <f>IF(B107&lt;&gt;"",IF(AND(B107&gt;=_TM1,B107&lt;=_TM2,OR(TH!L107="1111",TH!M107="1111")),TH!D107,""),"")</f>
        <v/>
      </c>
      <c r="B107" s="36">
        <f t="shared" si="5"/>
        <v>12</v>
      </c>
      <c r="C107" s="194">
        <f t="shared" si="6"/>
        <v>41625</v>
      </c>
      <c r="D107" s="194"/>
      <c r="E107" s="194">
        <v>41625</v>
      </c>
      <c r="F107" s="202" t="s">
        <v>521</v>
      </c>
      <c r="G107" s="750" t="s">
        <v>447</v>
      </c>
      <c r="H107" s="7" t="s">
        <v>530</v>
      </c>
      <c r="I107" s="276"/>
      <c r="J107" s="276"/>
      <c r="K107" s="748">
        <v>15019180</v>
      </c>
      <c r="L107" s="749" t="s">
        <v>24</v>
      </c>
      <c r="M107" s="749" t="s">
        <v>352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/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5"/>
      <c r="AC107" s="225"/>
      <c r="AD107" s="225"/>
    </row>
    <row r="108" spans="1:30" s="739" customFormat="1" ht="15.75" customHeight="1">
      <c r="A108" s="218" t="str">
        <f>IF(B108&lt;&gt;"",IF(AND(B108&gt;=_TM1,B108&lt;=_TM2,OR(TH!L108="1111",TH!M108="1111")),TH!D108,""),"")</f>
        <v/>
      </c>
      <c r="B108" s="36">
        <f t="shared" si="5"/>
        <v>12</v>
      </c>
      <c r="C108" s="194">
        <f t="shared" si="6"/>
        <v>41632</v>
      </c>
      <c r="D108" s="194"/>
      <c r="E108" s="194">
        <v>41632</v>
      </c>
      <c r="F108" s="202" t="s">
        <v>521</v>
      </c>
      <c r="G108" s="750" t="s">
        <v>447</v>
      </c>
      <c r="H108" s="7" t="s">
        <v>532</v>
      </c>
      <c r="I108" s="276"/>
      <c r="J108" s="276"/>
      <c r="K108" s="748">
        <v>23385120</v>
      </c>
      <c r="L108" s="749" t="s">
        <v>24</v>
      </c>
      <c r="M108" s="749" t="s">
        <v>352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/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5"/>
      <c r="AC108" s="225"/>
      <c r="AD108" s="225"/>
    </row>
    <row r="109" spans="1:30" s="739" customFormat="1" ht="15.75" customHeight="1">
      <c r="A109" s="218" t="str">
        <f>IF(B109&lt;&gt;"",IF(AND(B109&gt;=_TM1,B109&lt;=_TM2,OR(TH!L109="1111",TH!M109="1111")),TH!D109,""),"")</f>
        <v/>
      </c>
      <c r="B109" s="36">
        <f t="shared" si="5"/>
        <v>12</v>
      </c>
      <c r="C109" s="194">
        <f t="shared" si="6"/>
        <v>41633</v>
      </c>
      <c r="D109" s="194"/>
      <c r="E109" s="194">
        <v>41633</v>
      </c>
      <c r="F109" s="202" t="s">
        <v>522</v>
      </c>
      <c r="G109" s="750" t="s">
        <v>447</v>
      </c>
      <c r="H109" s="7"/>
      <c r="I109" s="276"/>
      <c r="J109" s="276"/>
      <c r="K109" s="748">
        <v>14562</v>
      </c>
      <c r="L109" s="749" t="s">
        <v>24</v>
      </c>
      <c r="M109" s="749" t="s">
        <v>41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/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5"/>
      <c r="AC109" s="225"/>
      <c r="AD109" s="225"/>
    </row>
    <row r="110" spans="1:30" s="739" customFormat="1" ht="15.75" customHeight="1">
      <c r="A110" s="218" t="str">
        <f>IF(B110&lt;&gt;"",IF(AND(B110&gt;=_TM1,B110&lt;=_TM2,OR(TH!L110="1111",TH!M110="1111")),TH!D110,""),"")</f>
        <v/>
      </c>
      <c r="B110" s="36">
        <f t="shared" si="5"/>
        <v>12</v>
      </c>
      <c r="C110" s="194">
        <f t="shared" si="6"/>
        <v>41635</v>
      </c>
      <c r="D110" s="194"/>
      <c r="E110" s="194">
        <v>41635</v>
      </c>
      <c r="F110" s="202" t="s">
        <v>521</v>
      </c>
      <c r="G110" s="750" t="s">
        <v>447</v>
      </c>
      <c r="H110" s="7" t="s">
        <v>517</v>
      </c>
      <c r="I110" s="276"/>
      <c r="J110" s="276"/>
      <c r="K110" s="748">
        <v>9421720</v>
      </c>
      <c r="L110" s="749" t="s">
        <v>24</v>
      </c>
      <c r="M110" s="749" t="s">
        <v>352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/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5"/>
      <c r="AC110" s="225"/>
      <c r="AD110" s="225"/>
    </row>
    <row r="111" spans="1:30" s="739" customFormat="1" ht="15.75" customHeight="1">
      <c r="A111" s="218" t="str">
        <f>IF(B111&lt;&gt;"",IF(AND(B111&gt;=_TM1,B111&lt;=_TM2,OR(TH!L111="1111",TH!M111="1111")),TH!D111,""),"")</f>
        <v/>
      </c>
      <c r="B111" s="36">
        <f t="shared" si="5"/>
        <v>1</v>
      </c>
      <c r="C111" s="194">
        <f t="shared" si="6"/>
        <v>41277</v>
      </c>
      <c r="D111" s="194"/>
      <c r="E111" s="204">
        <v>41277</v>
      </c>
      <c r="F111" s="202" t="s">
        <v>533</v>
      </c>
      <c r="G111" s="750" t="s">
        <v>447</v>
      </c>
      <c r="H111" s="7"/>
      <c r="I111" s="277"/>
      <c r="J111" s="278"/>
      <c r="K111" s="38">
        <v>40160922</v>
      </c>
      <c r="L111" s="749" t="s">
        <v>8</v>
      </c>
      <c r="M111" s="749" t="s">
        <v>24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>x</v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5"/>
      <c r="AC111" s="225"/>
      <c r="AD111" s="225"/>
    </row>
    <row r="112" spans="1:30" s="739" customFormat="1" ht="15.75" customHeight="1">
      <c r="A112" s="218" t="str">
        <f>IF(B112&lt;&gt;"",IF(AND(B112&gt;=_TM1,B112&lt;=_TM2,OR(TH!L112="1111",TH!M112="1111")),TH!D112,""),"")</f>
        <v/>
      </c>
      <c r="B112" s="36">
        <f t="shared" si="5"/>
        <v>1</v>
      </c>
      <c r="C112" s="194">
        <f t="shared" si="6"/>
        <v>41277</v>
      </c>
      <c r="D112" s="194"/>
      <c r="E112" s="204">
        <v>41277</v>
      </c>
      <c r="F112" s="202" t="s">
        <v>534</v>
      </c>
      <c r="G112" s="750" t="s">
        <v>447</v>
      </c>
      <c r="H112" s="7"/>
      <c r="I112" s="277"/>
      <c r="J112" s="278"/>
      <c r="K112" s="38">
        <v>20080</v>
      </c>
      <c r="L112" s="749" t="s">
        <v>87</v>
      </c>
      <c r="M112" s="749" t="s">
        <v>24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>x</v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5"/>
      <c r="AC112" s="225"/>
      <c r="AD112" s="225"/>
    </row>
    <row r="113" spans="1:30" s="739" customFormat="1" ht="15.75" customHeight="1">
      <c r="A113" s="218" t="str">
        <f>IF(B113&lt;&gt;"",IF(AND(B113&gt;=_TM1,B113&lt;=_TM2,OR(TH!L113="1111",TH!M113="1111")),TH!D113,""),"")</f>
        <v/>
      </c>
      <c r="B113" s="36">
        <f t="shared" si="5"/>
        <v>1</v>
      </c>
      <c r="C113" s="194">
        <f t="shared" si="6"/>
        <v>41277</v>
      </c>
      <c r="D113" s="194"/>
      <c r="E113" s="204">
        <v>41277</v>
      </c>
      <c r="F113" s="202" t="s">
        <v>535</v>
      </c>
      <c r="G113" s="750" t="s">
        <v>447</v>
      </c>
      <c r="H113" s="7"/>
      <c r="I113" s="277"/>
      <c r="J113" s="278"/>
      <c r="K113" s="38">
        <v>12000</v>
      </c>
      <c r="L113" s="749" t="s">
        <v>87</v>
      </c>
      <c r="M113" s="749" t="s">
        <v>24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>x</v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5"/>
    </row>
    <row r="114" spans="1:30" s="739" customFormat="1" ht="15.75" customHeight="1">
      <c r="A114" s="218">
        <f>IF(B114&lt;&gt;"",IF(AND(B114&gt;=_TM1,B114&lt;=_TM2,OR(TH!L114="1111",TH!M114="1111")),TH!D114,""),"")</f>
        <v>0</v>
      </c>
      <c r="B114" s="36">
        <f t="shared" si="5"/>
        <v>1</v>
      </c>
      <c r="C114" s="194">
        <f t="shared" si="6"/>
        <v>41283</v>
      </c>
      <c r="D114" s="194"/>
      <c r="E114" s="204">
        <v>41283</v>
      </c>
      <c r="F114" s="202" t="s">
        <v>536</v>
      </c>
      <c r="G114" s="750" t="s">
        <v>447</v>
      </c>
      <c r="H114" s="7" t="s">
        <v>520</v>
      </c>
      <c r="I114" s="277"/>
      <c r="J114" s="278"/>
      <c r="K114" s="38">
        <v>13000000</v>
      </c>
      <c r="L114" s="749" t="s">
        <v>49</v>
      </c>
      <c r="M114" s="749" t="s">
        <v>24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>x</v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>x</v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5"/>
      <c r="AD114" s="225"/>
    </row>
    <row r="115" spans="1:30" s="739" customFormat="1" ht="15.75" customHeight="1">
      <c r="A115" s="218">
        <f>IF(B115&lt;&gt;"",IF(AND(B115&gt;=_TM1,B115&lt;=_TM2,OR(TH!L115="1111",TH!M115="1111")),TH!D115,""),"")</f>
        <v>0</v>
      </c>
      <c r="B115" s="36">
        <f t="shared" si="5"/>
        <v>1</v>
      </c>
      <c r="C115" s="194">
        <f t="shared" si="6"/>
        <v>41295</v>
      </c>
      <c r="D115" s="194"/>
      <c r="E115" s="194">
        <v>41295</v>
      </c>
      <c r="F115" s="202" t="s">
        <v>536</v>
      </c>
      <c r="G115" s="750" t="s">
        <v>447</v>
      </c>
      <c r="H115" s="7" t="s">
        <v>520</v>
      </c>
      <c r="I115" s="276"/>
      <c r="J115" s="276"/>
      <c r="K115" s="748">
        <v>9500000</v>
      </c>
      <c r="L115" s="749" t="s">
        <v>49</v>
      </c>
      <c r="M115" s="749" t="s">
        <v>24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>x</v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>x</v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5"/>
      <c r="AC115" s="225"/>
      <c r="AD115" s="225"/>
    </row>
    <row r="116" spans="1:30" s="739" customFormat="1" ht="15.75" customHeight="1">
      <c r="A116" s="218" t="str">
        <f>IF(B116&lt;&gt;"",IF(AND(B116&gt;=_TM1,B116&lt;=_TM2,OR(TH!L116="1111",TH!M116="1111")),TH!D116,""),"")</f>
        <v/>
      </c>
      <c r="B116" s="36">
        <f t="shared" si="5"/>
        <v>1</v>
      </c>
      <c r="C116" s="194">
        <f t="shared" si="6"/>
        <v>41299</v>
      </c>
      <c r="D116" s="194"/>
      <c r="E116" s="194">
        <v>41299</v>
      </c>
      <c r="F116" s="202" t="s">
        <v>533</v>
      </c>
      <c r="G116" s="750" t="s">
        <v>447</v>
      </c>
      <c r="H116" s="7"/>
      <c r="I116" s="276"/>
      <c r="J116" s="276"/>
      <c r="K116" s="748">
        <v>6512000</v>
      </c>
      <c r="L116" s="749" t="s">
        <v>8</v>
      </c>
      <c r="M116" s="749" t="s">
        <v>24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>x</v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5"/>
      <c r="AC116" s="225"/>
      <c r="AD116" s="225"/>
    </row>
    <row r="117" spans="1:30" s="739" customFormat="1" ht="15.75" customHeight="1">
      <c r="A117" s="218" t="str">
        <f>IF(B117&lt;&gt;"",IF(AND(B117&gt;=_TM1,B117&lt;=_TM2,OR(TH!L117="1111",TH!M117="1111")),TH!D117,""),"")</f>
        <v/>
      </c>
      <c r="B117" s="36">
        <f t="shared" si="5"/>
        <v>1</v>
      </c>
      <c r="C117" s="194">
        <f t="shared" si="6"/>
        <v>41299</v>
      </c>
      <c r="D117" s="194"/>
      <c r="E117" s="194">
        <v>41299</v>
      </c>
      <c r="F117" s="202" t="s">
        <v>534</v>
      </c>
      <c r="G117" s="750" t="s">
        <v>447</v>
      </c>
      <c r="H117" s="47"/>
      <c r="I117" s="276"/>
      <c r="J117" s="276"/>
      <c r="K117" s="38">
        <v>10000</v>
      </c>
      <c r="L117" s="749" t="s">
        <v>87</v>
      </c>
      <c r="M117" s="749" t="s">
        <v>24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>x</v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5"/>
      <c r="AC117" s="225"/>
      <c r="AD117" s="225"/>
    </row>
    <row r="118" spans="1:30" s="739" customFormat="1" ht="15.75" customHeight="1">
      <c r="A118" s="218" t="str">
        <f>IF(B118&lt;&gt;"",IF(AND(B118&gt;=_TM1,B118&lt;=_TM2,OR(TH!L118="1111",TH!M118="1111")),TH!D118,""),"")</f>
        <v/>
      </c>
      <c r="B118" s="36">
        <f t="shared" si="5"/>
        <v>1</v>
      </c>
      <c r="C118" s="194">
        <f t="shared" si="6"/>
        <v>41299</v>
      </c>
      <c r="D118" s="194"/>
      <c r="E118" s="194">
        <v>41299</v>
      </c>
      <c r="F118" s="202" t="s">
        <v>535</v>
      </c>
      <c r="G118" s="750" t="s">
        <v>447</v>
      </c>
      <c r="H118" s="7"/>
      <c r="I118" s="277"/>
      <c r="J118" s="278"/>
      <c r="K118" s="38">
        <v>10000</v>
      </c>
      <c r="L118" s="749" t="s">
        <v>87</v>
      </c>
      <c r="M118" s="749" t="s">
        <v>24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>x</v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5"/>
    </row>
    <row r="119" spans="1:30" s="739" customFormat="1" ht="15.75" customHeight="1">
      <c r="A119" s="218">
        <f>IF(B119&lt;&gt;"",IF(AND(B119&gt;=_TM1,B119&lt;=_TM2,OR(TH!L119="1111",TH!M119="1111")),TH!D119,""),"")</f>
        <v>0</v>
      </c>
      <c r="B119" s="36">
        <f t="shared" si="5"/>
        <v>2</v>
      </c>
      <c r="C119" s="194">
        <f t="shared" si="6"/>
        <v>41306</v>
      </c>
      <c r="D119" s="194"/>
      <c r="E119" s="204">
        <v>41306</v>
      </c>
      <c r="F119" s="202" t="s">
        <v>536</v>
      </c>
      <c r="G119" s="750" t="s">
        <v>447</v>
      </c>
      <c r="H119" s="7" t="s">
        <v>520</v>
      </c>
      <c r="I119" s="277"/>
      <c r="J119" s="278"/>
      <c r="K119" s="38">
        <v>33000000</v>
      </c>
      <c r="L119" s="749" t="s">
        <v>49</v>
      </c>
      <c r="M119" s="749" t="s">
        <v>24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>x</v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>x</v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5"/>
      <c r="AC119" s="225"/>
      <c r="AD119" s="225"/>
    </row>
    <row r="120" spans="1:30" s="739" customFormat="1" ht="15.75" customHeight="1">
      <c r="A120" s="218" t="str">
        <f>IF(B120&lt;&gt;"",IF(AND(B120&gt;=_TM1,B120&lt;=_TM2,OR(TH!L120="1111",TH!M120="1111")),TH!D120,""),"")</f>
        <v/>
      </c>
      <c r="B120" s="36">
        <f t="shared" si="5"/>
        <v>2</v>
      </c>
      <c r="C120" s="194">
        <f t="shared" si="6"/>
        <v>41311</v>
      </c>
      <c r="D120" s="194"/>
      <c r="E120" s="204">
        <v>41311</v>
      </c>
      <c r="F120" s="202" t="s">
        <v>533</v>
      </c>
      <c r="G120" s="750" t="s">
        <v>447</v>
      </c>
      <c r="H120" s="7"/>
      <c r="I120" s="277"/>
      <c r="J120" s="278"/>
      <c r="K120" s="38">
        <v>50000000</v>
      </c>
      <c r="L120" s="749" t="s">
        <v>8</v>
      </c>
      <c r="M120" s="749" t="s">
        <v>24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>x</v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5"/>
      <c r="AC120" s="225"/>
      <c r="AD120" s="225"/>
    </row>
    <row r="121" spans="1:30" s="739" customFormat="1" ht="15.75" customHeight="1">
      <c r="A121" s="218" t="str">
        <f>IF(B121&lt;&gt;"",IF(AND(B121&gt;=_TM1,B121&lt;=_TM2,OR(TH!L121="1111",TH!M121="1111")),TH!D121,""),"")</f>
        <v/>
      </c>
      <c r="B121" s="36">
        <f t="shared" si="5"/>
        <v>2</v>
      </c>
      <c r="C121" s="194">
        <f t="shared" si="6"/>
        <v>41311</v>
      </c>
      <c r="D121" s="194"/>
      <c r="E121" s="204">
        <v>41311</v>
      </c>
      <c r="F121" s="202" t="s">
        <v>533</v>
      </c>
      <c r="G121" s="750" t="s">
        <v>447</v>
      </c>
      <c r="H121" s="7"/>
      <c r="I121" s="277"/>
      <c r="J121" s="278"/>
      <c r="K121" s="38">
        <v>6500000</v>
      </c>
      <c r="L121" s="749" t="s">
        <v>8</v>
      </c>
      <c r="M121" s="749" t="s">
        <v>24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>x</v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5"/>
    </row>
    <row r="122" spans="1:30" s="739" customFormat="1" ht="15.75" customHeight="1">
      <c r="A122" s="218" t="str">
        <f>IF(B122&lt;&gt;"",IF(AND(B122&gt;=_TM1,B122&lt;=_TM2,OR(TH!L122="1111",TH!M122="1111")),TH!D122,""),"")</f>
        <v/>
      </c>
      <c r="B122" s="36">
        <f t="shared" si="5"/>
        <v>2</v>
      </c>
      <c r="C122" s="194">
        <f t="shared" si="6"/>
        <v>41311</v>
      </c>
      <c r="D122" s="194"/>
      <c r="E122" s="204">
        <v>41311</v>
      </c>
      <c r="F122" s="202" t="s">
        <v>535</v>
      </c>
      <c r="G122" s="750" t="s">
        <v>447</v>
      </c>
      <c r="H122" s="7"/>
      <c r="I122" s="277"/>
      <c r="J122" s="278"/>
      <c r="K122" s="38">
        <v>11902</v>
      </c>
      <c r="L122" s="749" t="s">
        <v>87</v>
      </c>
      <c r="M122" s="749" t="s">
        <v>24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>x</v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5"/>
      <c r="AC122" s="225"/>
    </row>
    <row r="123" spans="1:30" s="739" customFormat="1" ht="15.75" customHeight="1">
      <c r="A123" s="218" t="str">
        <f>IF(B123&lt;&gt;"",IF(AND(B123&gt;=_TM1,B123&lt;=_TM2,OR(TH!L123="1111",TH!M123="1111")),TH!D123,""),"")</f>
        <v/>
      </c>
      <c r="B123" s="36">
        <f t="shared" si="5"/>
        <v>2</v>
      </c>
      <c r="C123" s="194">
        <f t="shared" si="6"/>
        <v>41311</v>
      </c>
      <c r="D123" s="194"/>
      <c r="E123" s="204">
        <v>41311</v>
      </c>
      <c r="F123" s="202" t="s">
        <v>534</v>
      </c>
      <c r="G123" s="750" t="s">
        <v>447</v>
      </c>
      <c r="H123" s="7"/>
      <c r="I123" s="277"/>
      <c r="J123" s="278"/>
      <c r="K123" s="38">
        <v>25000</v>
      </c>
      <c r="L123" s="749" t="s">
        <v>87</v>
      </c>
      <c r="M123" s="749" t="s">
        <v>24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>x</v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5"/>
      <c r="AC123" s="225"/>
      <c r="AD123" s="225"/>
    </row>
    <row r="124" spans="1:30" s="739" customFormat="1" ht="15.75" customHeight="1">
      <c r="A124" s="218" t="str">
        <f>IF(B124&lt;&gt;"",IF(AND(B124&gt;=_TM1,B124&lt;=_TM2,OR(TH!L124="1111",TH!M124="1111")),TH!D124,""),"")</f>
        <v/>
      </c>
      <c r="B124" s="36">
        <f t="shared" si="5"/>
        <v>2</v>
      </c>
      <c r="C124" s="194">
        <f t="shared" si="6"/>
        <v>41311</v>
      </c>
      <c r="D124" s="194"/>
      <c r="E124" s="204">
        <v>41311</v>
      </c>
      <c r="F124" s="202" t="s">
        <v>534</v>
      </c>
      <c r="G124" s="750" t="s">
        <v>447</v>
      </c>
      <c r="H124" s="7"/>
      <c r="I124" s="276"/>
      <c r="J124" s="276"/>
      <c r="K124" s="38">
        <v>20000</v>
      </c>
      <c r="L124" s="749" t="s">
        <v>87</v>
      </c>
      <c r="M124" s="749" t="s">
        <v>24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>x</v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5"/>
      <c r="AC124" s="225"/>
      <c r="AD124" s="225"/>
    </row>
    <row r="125" spans="1:30" s="739" customFormat="1" ht="15.75" customHeight="1">
      <c r="A125" s="218" t="str">
        <f>IF(B125&lt;&gt;"",IF(AND(B125&gt;=_TM1,B125&lt;=_TM2,OR(TH!L125="1111",TH!M125="1111")),TH!D125,""),"")</f>
        <v/>
      </c>
      <c r="B125" s="36">
        <f t="shared" si="5"/>
        <v>3</v>
      </c>
      <c r="C125" s="194">
        <f t="shared" si="6"/>
        <v>41334</v>
      </c>
      <c r="D125" s="194"/>
      <c r="E125" s="204">
        <v>41334</v>
      </c>
      <c r="F125" s="202" t="s">
        <v>533</v>
      </c>
      <c r="G125" s="750" t="s">
        <v>447</v>
      </c>
      <c r="H125" s="7"/>
      <c r="I125" s="277"/>
      <c r="J125" s="278"/>
      <c r="K125" s="38">
        <v>10000000</v>
      </c>
      <c r="L125" s="749" t="s">
        <v>8</v>
      </c>
      <c r="M125" s="749" t="s">
        <v>24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>x</v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5"/>
      <c r="AC125" s="225"/>
      <c r="AD125" s="225"/>
    </row>
    <row r="126" spans="1:30" s="739" customFormat="1" ht="15.75" customHeight="1">
      <c r="A126" s="218" t="str">
        <f>IF(B126&lt;&gt;"",IF(AND(B126&gt;=_TM1,B126&lt;=_TM2,OR(TH!L126="1111",TH!M126="1111")),TH!D126,""),"")</f>
        <v/>
      </c>
      <c r="B126" s="36">
        <f t="shared" si="5"/>
        <v>3</v>
      </c>
      <c r="C126" s="194">
        <f t="shared" si="6"/>
        <v>41337</v>
      </c>
      <c r="D126" s="194"/>
      <c r="E126" s="204">
        <v>41337</v>
      </c>
      <c r="F126" s="202" t="s">
        <v>533</v>
      </c>
      <c r="G126" s="750" t="s">
        <v>447</v>
      </c>
      <c r="H126" s="7"/>
      <c r="I126" s="277"/>
      <c r="J126" s="278"/>
      <c r="K126" s="38">
        <v>8500000</v>
      </c>
      <c r="L126" s="749" t="s">
        <v>8</v>
      </c>
      <c r="M126" s="749" t="s">
        <v>24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>x</v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5"/>
      <c r="AD126" s="225"/>
    </row>
    <row r="127" spans="1:30" s="739" customFormat="1" ht="15.75" customHeight="1">
      <c r="A127" s="218" t="str">
        <f>IF(B127&lt;&gt;"",IF(AND(B127&gt;=_TM1,B127&lt;=_TM2,OR(TH!L127="1111",TH!M127="1111")),TH!D127,""),"")</f>
        <v/>
      </c>
      <c r="B127" s="36">
        <f t="shared" si="5"/>
        <v>3</v>
      </c>
      <c r="C127" s="194">
        <f t="shared" si="6"/>
        <v>41337</v>
      </c>
      <c r="D127" s="194"/>
      <c r="E127" s="204">
        <v>41337</v>
      </c>
      <c r="F127" s="202" t="s">
        <v>534</v>
      </c>
      <c r="G127" s="750" t="s">
        <v>447</v>
      </c>
      <c r="H127" s="7"/>
      <c r="I127" s="277"/>
      <c r="J127" s="278"/>
      <c r="K127" s="38">
        <v>20000</v>
      </c>
      <c r="L127" s="749" t="s">
        <v>87</v>
      </c>
      <c r="M127" s="749" t="s">
        <v>24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>x</v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5"/>
    </row>
    <row r="128" spans="1:30" s="225" customFormat="1" ht="15.75" customHeight="1">
      <c r="A128" s="218" t="str">
        <f>IF(B128&lt;&gt;"",IF(AND(B128&gt;=_TM1,B128&lt;=_TM2,OR(TH!L128="1111",TH!M128="1111")),TH!D128,""),"")</f>
        <v/>
      </c>
      <c r="B128" s="36">
        <f t="shared" si="5"/>
        <v>3</v>
      </c>
      <c r="C128" s="194">
        <f t="shared" si="6"/>
        <v>41337</v>
      </c>
      <c r="D128" s="194"/>
      <c r="E128" s="204">
        <v>41337</v>
      </c>
      <c r="F128" s="202" t="s">
        <v>535</v>
      </c>
      <c r="G128" s="750" t="s">
        <v>447</v>
      </c>
      <c r="H128" s="7"/>
      <c r="I128" s="277"/>
      <c r="J128" s="278"/>
      <c r="K128" s="38">
        <v>10000</v>
      </c>
      <c r="L128" s="749" t="s">
        <v>87</v>
      </c>
      <c r="M128" s="749" t="s">
        <v>24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>x</v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D128" s="739"/>
    </row>
    <row r="129" spans="1:30" s="225" customFormat="1" ht="15.75" customHeight="1">
      <c r="A129" s="218">
        <f>IF(B129&lt;&gt;"",IF(AND(B129&gt;=_TM1,B129&lt;=_TM2,OR(TH!L129="1111",TH!M129="1111")),TH!D129,""),"")</f>
        <v>0</v>
      </c>
      <c r="B129" s="36">
        <f t="shared" si="5"/>
        <v>3</v>
      </c>
      <c r="C129" s="194">
        <f t="shared" si="6"/>
        <v>41342</v>
      </c>
      <c r="D129" s="194"/>
      <c r="E129" s="204">
        <v>41342</v>
      </c>
      <c r="F129" s="202" t="s">
        <v>536</v>
      </c>
      <c r="G129" s="750" t="s">
        <v>447</v>
      </c>
      <c r="H129" s="7" t="s">
        <v>537</v>
      </c>
      <c r="I129" s="277"/>
      <c r="J129" s="278"/>
      <c r="K129" s="38">
        <v>7000000</v>
      </c>
      <c r="L129" s="749" t="s">
        <v>49</v>
      </c>
      <c r="M129" s="749" t="s">
        <v>24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>x</v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>x</v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39"/>
      <c r="AD129" s="739"/>
    </row>
    <row r="130" spans="1:30" s="225" customFormat="1" ht="15.75" customHeight="1">
      <c r="A130" s="218" t="str">
        <f>IF(B130&lt;&gt;"",IF(AND(B130&gt;=_TM1,B130&lt;=_TM2,OR(TH!L130="1111",TH!M130="1111")),TH!D130,""),"")</f>
        <v/>
      </c>
      <c r="B130" s="36">
        <f t="shared" si="5"/>
        <v>4</v>
      </c>
      <c r="C130" s="194">
        <f t="shared" si="6"/>
        <v>41365</v>
      </c>
      <c r="D130" s="194"/>
      <c r="E130" s="204">
        <v>41365</v>
      </c>
      <c r="F130" s="202" t="s">
        <v>538</v>
      </c>
      <c r="G130" s="750" t="s">
        <v>447</v>
      </c>
      <c r="H130" s="7"/>
      <c r="I130" s="277"/>
      <c r="J130" s="278"/>
      <c r="K130" s="38">
        <v>30000</v>
      </c>
      <c r="L130" s="749" t="s">
        <v>87</v>
      </c>
      <c r="M130" s="749" t="s">
        <v>24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>x</v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>x</v>
      </c>
      <c r="AB130" s="739"/>
      <c r="AD130" s="739"/>
    </row>
    <row r="131" spans="1:30" s="225" customFormat="1" ht="15.75" customHeight="1">
      <c r="A131" s="218" t="str">
        <f>IF(B131&lt;&gt;"",IF(AND(B131&gt;=_TM1,B131&lt;=_TM2,OR(TH!L131="1111",TH!M131="1111")),TH!D131,""),"")</f>
        <v/>
      </c>
      <c r="B131" s="36">
        <f t="shared" si="5"/>
        <v>4</v>
      </c>
      <c r="C131" s="194">
        <f t="shared" si="6"/>
        <v>41367</v>
      </c>
      <c r="D131" s="194"/>
      <c r="E131" s="194">
        <v>41367</v>
      </c>
      <c r="F131" s="202" t="s">
        <v>536</v>
      </c>
      <c r="G131" s="750" t="s">
        <v>447</v>
      </c>
      <c r="H131" s="7" t="s">
        <v>520</v>
      </c>
      <c r="I131" s="274"/>
      <c r="J131" s="274"/>
      <c r="K131" s="748">
        <v>30000000</v>
      </c>
      <c r="L131" s="749" t="s">
        <v>49</v>
      </c>
      <c r="M131" s="749" t="s">
        <v>24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>x</v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>x</v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>x</v>
      </c>
      <c r="AD131" s="739"/>
    </row>
    <row r="132" spans="1:30" s="225" customFormat="1" ht="15.75" customHeight="1">
      <c r="A132" s="218" t="str">
        <f>IF(B132&lt;&gt;"",IF(AND(B132&gt;=_TM1,B132&lt;=_TM2,OR(TH!L132="1111",TH!M132="1111")),TH!D132,""),"")</f>
        <v/>
      </c>
      <c r="B132" s="36">
        <f t="shared" si="5"/>
        <v>4</v>
      </c>
      <c r="C132" s="194">
        <f t="shared" si="6"/>
        <v>41389</v>
      </c>
      <c r="D132" s="194"/>
      <c r="E132" s="194">
        <v>41389</v>
      </c>
      <c r="F132" s="202" t="s">
        <v>536</v>
      </c>
      <c r="G132" s="750" t="s">
        <v>447</v>
      </c>
      <c r="H132" s="7" t="s">
        <v>520</v>
      </c>
      <c r="I132" s="276"/>
      <c r="J132" s="276"/>
      <c r="K132" s="748">
        <v>17000000</v>
      </c>
      <c r="L132" s="749" t="s">
        <v>49</v>
      </c>
      <c r="M132" s="749" t="s">
        <v>24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>x</v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>x</v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>x</v>
      </c>
      <c r="AB132" s="739"/>
      <c r="AD132" s="739"/>
    </row>
    <row r="133" spans="1:30" s="225" customFormat="1" ht="15.75" customHeight="1">
      <c r="A133" s="218" t="str">
        <f>IF(B133&lt;&gt;"",IF(AND(B133&gt;=_TM1,B133&lt;=_TM2,OR(TH!L133="1111",TH!M133="1111")),TH!D133,""),"")</f>
        <v/>
      </c>
      <c r="B133" s="36">
        <f t="shared" si="5"/>
        <v>4</v>
      </c>
      <c r="C133" s="194">
        <f t="shared" si="6"/>
        <v>41391</v>
      </c>
      <c r="D133" s="194"/>
      <c r="E133" s="204">
        <v>41391</v>
      </c>
      <c r="F133" s="202" t="s">
        <v>533</v>
      </c>
      <c r="G133" s="750" t="s">
        <v>447</v>
      </c>
      <c r="H133" s="7"/>
      <c r="I133" s="277"/>
      <c r="J133" s="278"/>
      <c r="K133" s="38">
        <v>20000000</v>
      </c>
      <c r="L133" s="749" t="s">
        <v>8</v>
      </c>
      <c r="M133" s="749" t="s">
        <v>24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>x</v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>x</v>
      </c>
      <c r="AB133" s="739"/>
      <c r="AD133" s="739"/>
    </row>
    <row r="134" spans="1:30" s="225" customFormat="1" ht="15.75" customHeight="1">
      <c r="A134" s="218" t="str">
        <f>IF(B134&lt;&gt;"",IF(AND(B134&gt;=_TM1,B134&lt;=_TM2,OR(TH!L134="1111",TH!M134="1111")),TH!D134,""),"")</f>
        <v/>
      </c>
      <c r="B134" s="36">
        <f t="shared" si="5"/>
        <v>4</v>
      </c>
      <c r="C134" s="194">
        <f t="shared" si="6"/>
        <v>41391</v>
      </c>
      <c r="D134" s="194"/>
      <c r="E134" s="204">
        <v>41391</v>
      </c>
      <c r="F134" s="202" t="s">
        <v>534</v>
      </c>
      <c r="G134" s="750" t="s">
        <v>447</v>
      </c>
      <c r="H134" s="7"/>
      <c r="I134" s="277"/>
      <c r="J134" s="278"/>
      <c r="K134" s="38">
        <v>20000</v>
      </c>
      <c r="L134" s="749" t="s">
        <v>87</v>
      </c>
      <c r="M134" s="749" t="s">
        <v>24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>x</v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>x</v>
      </c>
      <c r="AB134" s="739"/>
      <c r="AD134" s="739"/>
    </row>
    <row r="135" spans="1:30" s="225" customFormat="1" ht="15.75" customHeight="1">
      <c r="A135" s="218" t="str">
        <f>IF(B135&lt;&gt;"",IF(AND(B135&gt;=_TM1,B135&lt;=_TM2,OR(TH!L135="1111",TH!M135="1111")),TH!D135,""),"")</f>
        <v/>
      </c>
      <c r="B135" s="36">
        <f t="shared" si="5"/>
        <v>4</v>
      </c>
      <c r="C135" s="194">
        <f t="shared" si="6"/>
        <v>41391</v>
      </c>
      <c r="D135" s="194"/>
      <c r="E135" s="204">
        <v>41391</v>
      </c>
      <c r="F135" s="202" t="s">
        <v>535</v>
      </c>
      <c r="G135" s="750" t="s">
        <v>447</v>
      </c>
      <c r="H135" s="7"/>
      <c r="I135" s="277"/>
      <c r="J135" s="278"/>
      <c r="K135" s="38">
        <v>15000</v>
      </c>
      <c r="L135" s="749" t="s">
        <v>87</v>
      </c>
      <c r="M135" s="749" t="s">
        <v>24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>x</v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>x</v>
      </c>
      <c r="AB135" s="739"/>
      <c r="AD135" s="739"/>
    </row>
    <row r="136" spans="1:30" s="225" customFormat="1" ht="15.75" customHeight="1">
      <c r="A136" s="218" t="str">
        <f>IF(B136&lt;&gt;"",IF(AND(B136&gt;=_TM1,B136&lt;=_TM2,OR(TH!L136="1111",TH!M136="1111")),TH!D136,""),"")</f>
        <v/>
      </c>
      <c r="B136" s="36">
        <f t="shared" si="5"/>
        <v>5</v>
      </c>
      <c r="C136" s="194">
        <f t="shared" si="6"/>
        <v>41397</v>
      </c>
      <c r="D136" s="194"/>
      <c r="E136" s="204">
        <v>41397</v>
      </c>
      <c r="F136" s="202" t="s">
        <v>536</v>
      </c>
      <c r="G136" s="750" t="s">
        <v>447</v>
      </c>
      <c r="H136" s="7" t="s">
        <v>520</v>
      </c>
      <c r="I136" s="277"/>
      <c r="J136" s="278"/>
      <c r="K136" s="38">
        <v>8000000</v>
      </c>
      <c r="L136" s="749" t="s">
        <v>49</v>
      </c>
      <c r="M136" s="749" t="s">
        <v>24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>x</v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>x</v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>x</v>
      </c>
      <c r="AD136" s="739"/>
    </row>
    <row r="137" spans="1:30" s="225" customFormat="1" ht="15.75" customHeight="1">
      <c r="A137" s="218" t="str">
        <f>IF(B137&lt;&gt;"",IF(AND(B137&gt;=_TM1,B137&lt;=_TM2,OR(TH!L137="1111",TH!M137="1111")),TH!D137,""),"")</f>
        <v/>
      </c>
      <c r="B137" s="36">
        <f t="shared" si="5"/>
        <v>5</v>
      </c>
      <c r="C137" s="194">
        <f t="shared" si="6"/>
        <v>41400</v>
      </c>
      <c r="D137" s="194"/>
      <c r="E137" s="204">
        <v>41400</v>
      </c>
      <c r="F137" s="202" t="s">
        <v>536</v>
      </c>
      <c r="G137" s="750" t="s">
        <v>447</v>
      </c>
      <c r="H137" s="7" t="s">
        <v>520</v>
      </c>
      <c r="I137" s="277"/>
      <c r="J137" s="278"/>
      <c r="K137" s="38">
        <v>42000000</v>
      </c>
      <c r="L137" s="749" t="s">
        <v>49</v>
      </c>
      <c r="M137" s="749" t="s">
        <v>24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>x</v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>x</v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>x</v>
      </c>
      <c r="AB137" s="739"/>
      <c r="AD137" s="739"/>
    </row>
    <row r="138" spans="1:30" s="225" customFormat="1" ht="15.75" customHeight="1">
      <c r="A138" s="218" t="str">
        <f>IF(B138&lt;&gt;"",IF(AND(B138&gt;=_TM1,B138&lt;=_TM2,OR(TH!L138="1111",TH!M138="1111")),TH!D138,""),"")</f>
        <v/>
      </c>
      <c r="B138" s="36">
        <f t="shared" si="5"/>
        <v>5</v>
      </c>
      <c r="C138" s="194">
        <f t="shared" si="6"/>
        <v>41411</v>
      </c>
      <c r="D138" s="194"/>
      <c r="E138" s="194">
        <v>41411</v>
      </c>
      <c r="F138" s="202" t="s">
        <v>533</v>
      </c>
      <c r="G138" s="750" t="s">
        <v>447</v>
      </c>
      <c r="H138" s="7"/>
      <c r="I138" s="276"/>
      <c r="J138" s="276"/>
      <c r="K138" s="748">
        <v>10000000</v>
      </c>
      <c r="L138" s="749" t="s">
        <v>8</v>
      </c>
      <c r="M138" s="749" t="s">
        <v>24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>x</v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>x</v>
      </c>
      <c r="AD138" s="739"/>
    </row>
    <row r="139" spans="1:30" s="739" customFormat="1" ht="15.75" customHeight="1">
      <c r="A139" s="218" t="str">
        <f>IF(B139&lt;&gt;"",IF(AND(B139&gt;=_TM1,B139&lt;=_TM2,OR(TH!L139="1111",TH!M139="1111")),TH!D139,""),"")</f>
        <v/>
      </c>
      <c r="B139" s="36">
        <f t="shared" si="5"/>
        <v>5</v>
      </c>
      <c r="C139" s="194">
        <f t="shared" si="6"/>
        <v>41411</v>
      </c>
      <c r="D139" s="194"/>
      <c r="E139" s="194">
        <v>41411</v>
      </c>
      <c r="F139" s="202" t="s">
        <v>534</v>
      </c>
      <c r="G139" s="750" t="s">
        <v>447</v>
      </c>
      <c r="H139" s="206"/>
      <c r="I139" s="276"/>
      <c r="J139" s="276"/>
      <c r="K139" s="748">
        <v>20000</v>
      </c>
      <c r="L139" s="749" t="s">
        <v>87</v>
      </c>
      <c r="M139" s="749" t="s">
        <v>24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>x</v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>x</v>
      </c>
      <c r="AC139" s="225"/>
    </row>
    <row r="140" spans="1:30" s="739" customFormat="1" ht="15.75" customHeight="1">
      <c r="A140" s="218" t="str">
        <f>IF(B140&lt;&gt;"",IF(AND(B140&gt;=_TM1,B140&lt;=_TM2,OR(TH!L140="1111",TH!M140="1111")),TH!D140,""),"")</f>
        <v/>
      </c>
      <c r="B140" s="36">
        <f t="shared" si="5"/>
        <v>5</v>
      </c>
      <c r="C140" s="194">
        <f t="shared" si="6"/>
        <v>41411</v>
      </c>
      <c r="D140" s="194"/>
      <c r="E140" s="194">
        <v>41411</v>
      </c>
      <c r="F140" s="202" t="s">
        <v>536</v>
      </c>
      <c r="G140" s="750" t="s">
        <v>447</v>
      </c>
      <c r="H140" s="7" t="s">
        <v>523</v>
      </c>
      <c r="I140" s="277"/>
      <c r="J140" s="278"/>
      <c r="K140" s="38">
        <v>17500000</v>
      </c>
      <c r="L140" s="749" t="s">
        <v>49</v>
      </c>
      <c r="M140" s="749" t="s">
        <v>24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>x</v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>x</v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>x</v>
      </c>
    </row>
    <row r="141" spans="1:30" s="739" customFormat="1" ht="15.75" customHeight="1">
      <c r="A141" s="218" t="str">
        <f>IF(B141&lt;&gt;"",IF(AND(B141&gt;=_TM1,B141&lt;=_TM2,OR(TH!L141="1111",TH!M141="1111")),TH!D141,""),"")</f>
        <v/>
      </c>
      <c r="B141" s="36">
        <f t="shared" si="5"/>
        <v>5</v>
      </c>
      <c r="C141" s="194">
        <f t="shared" si="6"/>
        <v>41411</v>
      </c>
      <c r="D141" s="194"/>
      <c r="E141" s="194">
        <v>41411</v>
      </c>
      <c r="F141" s="202" t="s">
        <v>539</v>
      </c>
      <c r="G141" s="750" t="s">
        <v>447</v>
      </c>
      <c r="H141" s="7"/>
      <c r="I141" s="278"/>
      <c r="J141" s="276"/>
      <c r="K141" s="748">
        <v>15000</v>
      </c>
      <c r="L141" s="749" t="s">
        <v>87</v>
      </c>
      <c r="M141" s="749" t="s">
        <v>24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/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>x</v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>x</v>
      </c>
      <c r="AB141" s="225"/>
      <c r="AC141" s="225"/>
      <c r="AD141" s="225"/>
    </row>
    <row r="142" spans="1:30" s="739" customFormat="1" ht="15.75" customHeight="1">
      <c r="A142" s="218" t="str">
        <f>IF(B142&lt;&gt;"",IF(AND(B142&gt;=_TM1,B142&lt;=_TM2,OR(TH!L142="1111",TH!M142="1111")),TH!D142,""),"")</f>
        <v/>
      </c>
      <c r="B142" s="36">
        <f t="shared" si="5"/>
        <v>5</v>
      </c>
      <c r="C142" s="194">
        <f t="shared" si="6"/>
        <v>41425</v>
      </c>
      <c r="D142" s="194"/>
      <c r="E142" s="204">
        <v>41425</v>
      </c>
      <c r="F142" s="202" t="s">
        <v>536</v>
      </c>
      <c r="G142" s="750" t="s">
        <v>447</v>
      </c>
      <c r="H142" s="7" t="s">
        <v>523</v>
      </c>
      <c r="I142" s="276"/>
      <c r="J142" s="278"/>
      <c r="K142" s="748">
        <v>68000000</v>
      </c>
      <c r="L142" s="749" t="s">
        <v>49</v>
      </c>
      <c r="M142" s="749" t="s">
        <v>24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>x</v>
      </c>
      <c r="Q142" s="55" t="str">
        <f>IF(AND($M142=$O$7,$B142&lt;'111'!$N$11),"x","")</f>
        <v/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>x</v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>x</v>
      </c>
    </row>
    <row r="143" spans="1:30" s="739" customFormat="1" ht="15.75" customHeight="1">
      <c r="A143" s="218" t="str">
        <f>IF(B143&lt;&gt;"",IF(AND(B143&gt;=_TM1,B143&lt;=_TM2,OR(TH!L143="1111",TH!M143="1111")),TH!D143,""),"")</f>
        <v/>
      </c>
      <c r="B143" s="36">
        <f t="shared" si="5"/>
        <v>6</v>
      </c>
      <c r="C143" s="194">
        <f t="shared" si="6"/>
        <v>41447</v>
      </c>
      <c r="D143" s="194"/>
      <c r="E143" s="204">
        <v>41447</v>
      </c>
      <c r="F143" s="202" t="s">
        <v>533</v>
      </c>
      <c r="G143" s="750" t="s">
        <v>447</v>
      </c>
      <c r="H143" s="7"/>
      <c r="I143" s="276"/>
      <c r="J143" s="278"/>
      <c r="K143" s="748">
        <v>20000000</v>
      </c>
      <c r="L143" s="749" t="s">
        <v>8</v>
      </c>
      <c r="M143" s="749" t="s">
        <v>24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/>
      </c>
      <c r="T143" s="55" t="str">
        <f>IF(ISERROR(FIND('112'!$M$9,G143,1)),"",IF((AND(RIGHT(G143,2)=RIGHT('112'!$M$9,2),B143&lt;'112'!$N$8,$M143='112'!$I$6)),"x",""))</f>
        <v>x</v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>x</v>
      </c>
    </row>
    <row r="144" spans="1:30" s="739" customFormat="1" ht="15.75" customHeight="1">
      <c r="A144" s="218" t="str">
        <f>IF(B144&lt;&gt;"",IF(AND(B144&gt;=_TM1,B144&lt;=_TM2,OR(TH!L144="1111",TH!M144="1111")),TH!D144,""),"")</f>
        <v/>
      </c>
      <c r="B144" s="36">
        <f t="shared" si="5"/>
        <v>6</v>
      </c>
      <c r="C144" s="194">
        <f t="shared" si="6"/>
        <v>41447</v>
      </c>
      <c r="D144" s="194"/>
      <c r="E144" s="204">
        <v>41447</v>
      </c>
      <c r="F144" s="202" t="s">
        <v>534</v>
      </c>
      <c r="G144" s="750" t="s">
        <v>447</v>
      </c>
      <c r="H144" s="7"/>
      <c r="I144" s="276"/>
      <c r="J144" s="278"/>
      <c r="K144" s="748">
        <v>20000</v>
      </c>
      <c r="L144" s="749" t="s">
        <v>87</v>
      </c>
      <c r="M144" s="749" t="s">
        <v>24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/>
      </c>
      <c r="T144" s="55" t="str">
        <f>IF(ISERROR(FIND('112'!$M$9,G144,1)),"",IF((AND(RIGHT(G144,2)=RIGHT('112'!$M$9,2),B144&lt;'112'!$N$8,$M144='112'!$I$6)),"x",""))</f>
        <v>x</v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>x</v>
      </c>
    </row>
    <row r="145" spans="1:30" s="739" customFormat="1" ht="15.75" customHeight="1">
      <c r="A145" s="218" t="str">
        <f>IF(B145&lt;&gt;"",IF(AND(B145&gt;=_TM1,B145&lt;=_TM2,OR(TH!L145="1111",TH!M145="1111")),TH!D145,""),"")</f>
        <v/>
      </c>
      <c r="B145" s="36">
        <f t="shared" si="5"/>
        <v>6</v>
      </c>
      <c r="C145" s="194">
        <f t="shared" si="6"/>
        <v>41451</v>
      </c>
      <c r="D145" s="194"/>
      <c r="E145" s="204">
        <v>41451</v>
      </c>
      <c r="F145" s="202" t="s">
        <v>536</v>
      </c>
      <c r="G145" s="750" t="s">
        <v>447</v>
      </c>
      <c r="H145" s="7" t="s">
        <v>523</v>
      </c>
      <c r="I145" s="277"/>
      <c r="J145" s="278"/>
      <c r="K145" s="38">
        <v>22000000</v>
      </c>
      <c r="L145" s="749" t="s">
        <v>49</v>
      </c>
      <c r="M145" s="749" t="s">
        <v>24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>x</v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/>
      </c>
      <c r="T145" s="55" t="str">
        <f>IF(ISERROR(FIND('112'!$M$9,G145,1)),"",IF((AND(RIGHT(G145,2)=RIGHT('112'!$M$9,2),B145&lt;'112'!$N$8,$M145='112'!$I$6)),"x",""))</f>
        <v>x</v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>x</v>
      </c>
    </row>
    <row r="146" spans="1:30" s="739" customFormat="1" ht="15.75" customHeight="1">
      <c r="A146" s="218" t="str">
        <f>IF(B146&lt;&gt;"",IF(AND(B146&gt;=_TM1,B146&lt;=_TM2,OR(TH!L146="1111",TH!M146="1111")),TH!D146,""),"")</f>
        <v/>
      </c>
      <c r="B146" s="36">
        <f t="shared" si="5"/>
        <v>6</v>
      </c>
      <c r="C146" s="194">
        <f t="shared" si="6"/>
        <v>41451</v>
      </c>
      <c r="D146" s="194"/>
      <c r="E146" s="204">
        <v>41451</v>
      </c>
      <c r="F146" s="202" t="s">
        <v>533</v>
      </c>
      <c r="G146" s="750" t="s">
        <v>447</v>
      </c>
      <c r="H146" s="7"/>
      <c r="I146" s="277"/>
      <c r="J146" s="278"/>
      <c r="K146" s="38">
        <v>20000000</v>
      </c>
      <c r="L146" s="749" t="s">
        <v>8</v>
      </c>
      <c r="M146" s="749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/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>x</v>
      </c>
    </row>
    <row r="147" spans="1:30" s="739" customFormat="1" ht="15.75" customHeight="1">
      <c r="A147" s="218" t="str">
        <f>IF(B147&lt;&gt;"",IF(AND(B147&gt;=_TM1,B147&lt;=_TM2,OR(TH!L147="1111",TH!M147="1111")),TH!D147,""),"")</f>
        <v/>
      </c>
      <c r="B147" s="36">
        <f t="shared" si="5"/>
        <v>7</v>
      </c>
      <c r="C147" s="194">
        <f t="shared" si="6"/>
        <v>41481</v>
      </c>
      <c r="D147" s="194"/>
      <c r="E147" s="204">
        <v>41481</v>
      </c>
      <c r="F147" s="202" t="s">
        <v>536</v>
      </c>
      <c r="G147" s="750" t="s">
        <v>447</v>
      </c>
      <c r="H147" s="7" t="s">
        <v>523</v>
      </c>
      <c r="I147" s="277"/>
      <c r="J147" s="278"/>
      <c r="K147" s="38">
        <v>31000000</v>
      </c>
      <c r="L147" s="749" t="s">
        <v>49</v>
      </c>
      <c r="M147" s="749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>x</v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>x</v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/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39" customFormat="1" ht="15.75" customHeight="1">
      <c r="A148" s="218" t="str">
        <f>IF(B148&lt;&gt;"",IF(AND(B148&gt;=_TM1,B148&lt;=_TM2,OR(TH!L148="1111",TH!M148="1111")),TH!D148,""),"")</f>
        <v/>
      </c>
      <c r="B148" s="36">
        <f t="shared" si="5"/>
        <v>7</v>
      </c>
      <c r="C148" s="194">
        <f t="shared" si="6"/>
        <v>41485</v>
      </c>
      <c r="D148" s="194"/>
      <c r="E148" s="204">
        <v>41485</v>
      </c>
      <c r="F148" s="202" t="s">
        <v>533</v>
      </c>
      <c r="G148" s="750" t="s">
        <v>447</v>
      </c>
      <c r="H148" s="7"/>
      <c r="I148" s="276"/>
      <c r="J148" s="278"/>
      <c r="K148" s="748">
        <v>20000000</v>
      </c>
      <c r="L148" s="749" t="s">
        <v>8</v>
      </c>
      <c r="M148" s="749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>x</v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/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39" customFormat="1" ht="15.75" customHeight="1">
      <c r="A149" s="218" t="str">
        <f>IF(B149&lt;&gt;"",IF(AND(B149&gt;=_TM1,B149&lt;=_TM2,OR(TH!L149="1111",TH!M149="1111")),TH!D149,""),"")</f>
        <v/>
      </c>
      <c r="B149" s="36">
        <f t="shared" si="5"/>
        <v>8</v>
      </c>
      <c r="C149" s="194">
        <f t="shared" si="6"/>
        <v>41493</v>
      </c>
      <c r="D149" s="194"/>
      <c r="E149" s="204">
        <v>41493</v>
      </c>
      <c r="F149" s="202" t="s">
        <v>536</v>
      </c>
      <c r="G149" s="750" t="s">
        <v>447</v>
      </c>
      <c r="H149" s="7" t="s">
        <v>523</v>
      </c>
      <c r="I149" s="276"/>
      <c r="J149" s="278"/>
      <c r="K149" s="748">
        <v>39000000</v>
      </c>
      <c r="L149" s="749" t="s">
        <v>49</v>
      </c>
      <c r="M149" s="749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>x</v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>x</v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/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5"/>
      <c r="AC149" s="225"/>
    </row>
    <row r="150" spans="1:30" s="225" customFormat="1" ht="15.75" customHeight="1">
      <c r="A150" s="218" t="str">
        <f>IF(B150&lt;&gt;"",IF(AND(B150&gt;=_TM1,B150&lt;=_TM2,OR(TH!L150="1111",TH!M150="1111")),TH!D150,""),"")</f>
        <v/>
      </c>
      <c r="B150" s="36">
        <f t="shared" si="5"/>
        <v>8</v>
      </c>
      <c r="C150" s="194">
        <f t="shared" si="6"/>
        <v>41502</v>
      </c>
      <c r="D150" s="194"/>
      <c r="E150" s="204">
        <v>41502</v>
      </c>
      <c r="F150" s="202" t="s">
        <v>536</v>
      </c>
      <c r="G150" s="750" t="s">
        <v>447</v>
      </c>
      <c r="H150" s="7" t="s">
        <v>523</v>
      </c>
      <c r="I150" s="276"/>
      <c r="J150" s="278"/>
      <c r="K150" s="38">
        <v>35600000</v>
      </c>
      <c r="L150" s="749" t="s">
        <v>49</v>
      </c>
      <c r="M150" s="749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>x</v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>x</v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/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39"/>
      <c r="AC150" s="739"/>
      <c r="AD150" s="739"/>
    </row>
    <row r="151" spans="1:30" s="225" customFormat="1" ht="15.75" customHeight="1">
      <c r="A151" s="218" t="str">
        <f>IF(B151&lt;&gt;"",IF(AND(B151&gt;=_TM1,B151&lt;=_TM2,OR(TH!L151="1111",TH!M151="1111")),TH!D151,""),"")</f>
        <v/>
      </c>
      <c r="B151" s="36">
        <f t="shared" si="5"/>
        <v>8</v>
      </c>
      <c r="C151" s="194">
        <f t="shared" si="6"/>
        <v>41502</v>
      </c>
      <c r="D151" s="194"/>
      <c r="E151" s="204">
        <v>41502</v>
      </c>
      <c r="F151" s="202" t="s">
        <v>533</v>
      </c>
      <c r="G151" s="750" t="s">
        <v>447</v>
      </c>
      <c r="H151" s="7"/>
      <c r="I151" s="276"/>
      <c r="J151" s="278"/>
      <c r="K151" s="748">
        <v>15500000</v>
      </c>
      <c r="L151" s="749" t="s">
        <v>8</v>
      </c>
      <c r="M151" s="749" t="s">
        <v>24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/>
      </c>
      <c r="R151" s="55" t="str">
        <f>IF(ISERROR(FIND('112'!$M$9,G151,1)),"",IF((AND(FIND('112'!$M$9,G151,1)&gt;=1,$B151&gt;='112'!$N$8,$B151&lt;='112'!$O$8,OR($L151='112'!$I$6,$M151='112'!$I$6))),"x",""))</f>
        <v>x</v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39"/>
      <c r="AC151" s="739"/>
      <c r="AD151" s="739"/>
    </row>
    <row r="152" spans="1:30" s="225" customFormat="1" ht="15.75" customHeight="1">
      <c r="A152" s="218" t="str">
        <f>IF(B152&lt;&gt;"",IF(AND(B152&gt;=_TM1,B152&lt;=_TM2,OR(TH!L152="1111",TH!M152="1111")),TH!D152,""),"")</f>
        <v/>
      </c>
      <c r="B152" s="36">
        <f t="shared" ref="B152:B215" si="7">IF(C152&lt;&gt;"",MONTH(C152),"")</f>
        <v>8</v>
      </c>
      <c r="C152" s="194">
        <f t="shared" si="6"/>
        <v>41502</v>
      </c>
      <c r="D152" s="194"/>
      <c r="E152" s="204">
        <v>41502</v>
      </c>
      <c r="F152" s="202" t="s">
        <v>534</v>
      </c>
      <c r="G152" s="750" t="s">
        <v>447</v>
      </c>
      <c r="H152" s="7"/>
      <c r="I152" s="276"/>
      <c r="J152" s="278"/>
      <c r="K152" s="748">
        <v>15000</v>
      </c>
      <c r="L152" s="749" t="s">
        <v>87</v>
      </c>
      <c r="M152" s="749" t="s">
        <v>24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/>
      </c>
      <c r="R152" s="55" t="str">
        <f>IF(ISERROR(FIND('112'!$M$9,G152,1)),"",IF((AND(FIND('112'!$M$9,G152,1)&gt;=1,$B152&gt;='112'!$N$8,$B152&lt;='112'!$O$8,OR($L152='112'!$I$6,$M152='112'!$I$6))),"x",""))</f>
        <v>x</v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39"/>
      <c r="AC152" s="739"/>
      <c r="AD152" s="739"/>
    </row>
    <row r="153" spans="1:30" s="225" customFormat="1" ht="15.75" customHeight="1">
      <c r="A153" s="218" t="str">
        <f>IF(B153&lt;&gt;"",IF(AND(B153&gt;=_TM1,B153&lt;=_TM2,OR(TH!L153="1111",TH!M153="1111")),TH!D153,""),"")</f>
        <v/>
      </c>
      <c r="B153" s="36">
        <f t="shared" si="7"/>
        <v>8</v>
      </c>
      <c r="C153" s="194">
        <f t="shared" ref="C153:C216" si="8">E153</f>
        <v>41512</v>
      </c>
      <c r="D153" s="194"/>
      <c r="E153" s="204">
        <v>41512</v>
      </c>
      <c r="F153" s="202" t="s">
        <v>536</v>
      </c>
      <c r="G153" s="750" t="s">
        <v>447</v>
      </c>
      <c r="H153" s="7" t="s">
        <v>523</v>
      </c>
      <c r="I153" s="276"/>
      <c r="J153" s="278"/>
      <c r="K153" s="38">
        <v>75500000</v>
      </c>
      <c r="L153" s="749" t="s">
        <v>49</v>
      </c>
      <c r="M153" s="749" t="s">
        <v>24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>x</v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>x</v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39"/>
      <c r="AD153" s="739"/>
    </row>
    <row r="154" spans="1:30" s="225" customFormat="1" ht="15.75" customHeight="1">
      <c r="A154" s="218" t="str">
        <f>IF(B154&lt;&gt;"",IF(AND(B154&gt;=_TM1,B154&lt;=_TM2,OR(TH!L154="1111",TH!M154="1111")),TH!D154,""),"")</f>
        <v/>
      </c>
      <c r="B154" s="36">
        <f t="shared" si="7"/>
        <v>8</v>
      </c>
      <c r="C154" s="194">
        <f t="shared" si="8"/>
        <v>41517</v>
      </c>
      <c r="D154" s="194"/>
      <c r="E154" s="204">
        <v>41517</v>
      </c>
      <c r="F154" s="202" t="s">
        <v>536</v>
      </c>
      <c r="G154" s="750" t="s">
        <v>447</v>
      </c>
      <c r="H154" s="7" t="s">
        <v>523</v>
      </c>
      <c r="I154" s="277"/>
      <c r="J154" s="278"/>
      <c r="K154" s="38">
        <v>16700000</v>
      </c>
      <c r="L154" s="749" t="s">
        <v>49</v>
      </c>
      <c r="M154" s="749" t="s">
        <v>24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>x</v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>x</v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39"/>
      <c r="AD154" s="739"/>
    </row>
    <row r="155" spans="1:30" s="225" customFormat="1" ht="15.75" customHeight="1">
      <c r="A155" s="218" t="str">
        <f>IF(B155&lt;&gt;"",IF(AND(B155&gt;=_TM1,B155&lt;=_TM2,OR(TH!L155="1111",TH!M155="1111")),TH!D155,""),"")</f>
        <v/>
      </c>
      <c r="B155" s="36">
        <f t="shared" si="7"/>
        <v>9</v>
      </c>
      <c r="C155" s="194">
        <f t="shared" si="8"/>
        <v>41528</v>
      </c>
      <c r="D155" s="194"/>
      <c r="E155" s="204">
        <v>41528</v>
      </c>
      <c r="F155" s="202" t="s">
        <v>536</v>
      </c>
      <c r="G155" s="750" t="s">
        <v>447</v>
      </c>
      <c r="H155" s="7" t="s">
        <v>523</v>
      </c>
      <c r="I155" s="277"/>
      <c r="J155" s="278"/>
      <c r="K155" s="38">
        <v>28800000</v>
      </c>
      <c r="L155" s="749" t="s">
        <v>49</v>
      </c>
      <c r="M155" s="749" t="s">
        <v>24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>x</v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>x</v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39"/>
      <c r="AD155" s="739"/>
    </row>
    <row r="156" spans="1:30" s="225" customFormat="1" ht="15.75" customHeight="1">
      <c r="A156" s="218" t="str">
        <f>IF(B156&lt;&gt;"",IF(AND(B156&gt;=_TM1,B156&lt;=_TM2,OR(TH!L156="1111",TH!M156="1111")),TH!D156,""),"")</f>
        <v/>
      </c>
      <c r="B156" s="36">
        <f t="shared" si="7"/>
        <v>9</v>
      </c>
      <c r="C156" s="194">
        <f t="shared" si="8"/>
        <v>41535</v>
      </c>
      <c r="D156" s="194"/>
      <c r="E156" s="204">
        <v>41535</v>
      </c>
      <c r="F156" s="202" t="s">
        <v>536</v>
      </c>
      <c r="G156" s="750" t="s">
        <v>447</v>
      </c>
      <c r="H156" s="7" t="s">
        <v>523</v>
      </c>
      <c r="I156" s="276"/>
      <c r="J156" s="278"/>
      <c r="K156" s="748">
        <v>21500000</v>
      </c>
      <c r="L156" s="749" t="s">
        <v>49</v>
      </c>
      <c r="M156" s="749" t="s">
        <v>24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>x</v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>x</v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39"/>
      <c r="AC156" s="739"/>
      <c r="AD156" s="739"/>
    </row>
    <row r="157" spans="1:30" s="225" customFormat="1" ht="15.75" customHeight="1">
      <c r="A157" s="218" t="str">
        <f>IF(B157&lt;&gt;"",IF(AND(B157&gt;=_TM1,B157&lt;=_TM2,OR(TH!L157="1111",TH!M157="1111")),TH!D157,""),"")</f>
        <v/>
      </c>
      <c r="B157" s="36">
        <f t="shared" si="7"/>
        <v>9</v>
      </c>
      <c r="C157" s="194">
        <f t="shared" si="8"/>
        <v>41537</v>
      </c>
      <c r="D157" s="194"/>
      <c r="E157" s="204">
        <v>41537</v>
      </c>
      <c r="F157" s="202" t="s">
        <v>536</v>
      </c>
      <c r="G157" s="750" t="s">
        <v>447</v>
      </c>
      <c r="H157" s="7" t="s">
        <v>523</v>
      </c>
      <c r="I157" s="276"/>
      <c r="J157" s="278"/>
      <c r="K157" s="748">
        <v>26000000</v>
      </c>
      <c r="L157" s="749" t="s">
        <v>49</v>
      </c>
      <c r="M157" s="749" t="s">
        <v>24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>x</v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>x</v>
      </c>
      <c r="S157" s="55" t="str">
        <f>IF(ISERROR(FIND('112'!$M$9,G157,1)),"",IF((AND(LEFT(G157,2)=LEFT('112'!$M$9,2),B157&lt;'112'!$N$8,$L157='112'!$I$6)),"x",""))</f>
        <v/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39"/>
      <c r="AC157" s="739"/>
      <c r="AD157" s="739"/>
    </row>
    <row r="158" spans="1:30" s="225" customFormat="1" ht="15.75" customHeight="1">
      <c r="A158" s="218" t="str">
        <f>IF(B158&lt;&gt;"",IF(AND(B158&gt;=_TM1,B158&lt;=_TM2,OR(TH!L158="1111",TH!M158="1111")),TH!D158,""),"")</f>
        <v/>
      </c>
      <c r="B158" s="36">
        <f t="shared" si="7"/>
        <v>9</v>
      </c>
      <c r="C158" s="194">
        <f t="shared" si="8"/>
        <v>41542</v>
      </c>
      <c r="D158" s="194"/>
      <c r="E158" s="204">
        <v>41542</v>
      </c>
      <c r="F158" s="202" t="s">
        <v>536</v>
      </c>
      <c r="G158" s="750" t="s">
        <v>447</v>
      </c>
      <c r="H158" s="7" t="s">
        <v>523</v>
      </c>
      <c r="I158" s="277"/>
      <c r="J158" s="278"/>
      <c r="K158" s="748">
        <v>12900000</v>
      </c>
      <c r="L158" s="749" t="s">
        <v>49</v>
      </c>
      <c r="M158" s="749" t="s">
        <v>24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>x</v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>x</v>
      </c>
      <c r="S158" s="55" t="str">
        <f>IF(ISERROR(FIND('112'!$M$9,G158,1)),"",IF((AND(LEFT(G158,2)=LEFT('112'!$M$9,2),B158&lt;'112'!$N$8,$L158='112'!$I$6)),"x",""))</f>
        <v/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39"/>
      <c r="AC158" s="739"/>
      <c r="AD158" s="739"/>
    </row>
    <row r="159" spans="1:30" s="225" customFormat="1" ht="15.75" customHeight="1">
      <c r="A159" s="218" t="str">
        <f>IF(B159&lt;&gt;"",IF(AND(B159&gt;=_TM1,B159&lt;=_TM2,OR(TH!L159="1111",TH!M159="1111")),TH!D159,""),"")</f>
        <v/>
      </c>
      <c r="B159" s="36">
        <f t="shared" si="7"/>
        <v>10</v>
      </c>
      <c r="C159" s="194">
        <f t="shared" si="8"/>
        <v>41552</v>
      </c>
      <c r="D159" s="194"/>
      <c r="E159" s="204">
        <v>41552</v>
      </c>
      <c r="F159" s="202" t="s">
        <v>536</v>
      </c>
      <c r="G159" s="750" t="s">
        <v>447</v>
      </c>
      <c r="H159" s="7" t="s">
        <v>523</v>
      </c>
      <c r="I159" s="277"/>
      <c r="J159" s="278"/>
      <c r="K159" s="748">
        <v>14800000</v>
      </c>
      <c r="L159" s="749" t="s">
        <v>49</v>
      </c>
      <c r="M159" s="749" t="s">
        <v>24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>x</v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39"/>
      <c r="AD159" s="739"/>
    </row>
    <row r="160" spans="1:30" s="225" customFormat="1" ht="15.75" customHeight="1">
      <c r="A160" s="218" t="str">
        <f>IF(B160&lt;&gt;"",IF(AND(B160&gt;=_TM1,B160&lt;=_TM2,OR(TH!L160="1111",TH!M160="1111")),TH!D160,""),"")</f>
        <v/>
      </c>
      <c r="B160" s="36">
        <f t="shared" si="7"/>
        <v>10</v>
      </c>
      <c r="C160" s="194">
        <f t="shared" si="8"/>
        <v>41554</v>
      </c>
      <c r="D160" s="194"/>
      <c r="E160" s="204">
        <v>41554</v>
      </c>
      <c r="F160" s="202" t="s">
        <v>536</v>
      </c>
      <c r="G160" s="750" t="s">
        <v>447</v>
      </c>
      <c r="H160" s="7" t="s">
        <v>523</v>
      </c>
      <c r="I160" s="277"/>
      <c r="J160" s="278"/>
      <c r="K160" s="38">
        <v>33700000</v>
      </c>
      <c r="L160" s="749" t="s">
        <v>49</v>
      </c>
      <c r="M160" s="749" t="s">
        <v>24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>x</v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39"/>
      <c r="AD160" s="739"/>
    </row>
    <row r="161" spans="1:30" s="225" customFormat="1" ht="15.75" customHeight="1">
      <c r="A161" s="218" t="str">
        <f>IF(B161&lt;&gt;"",IF(AND(B161&gt;=_TM1,B161&lt;=_TM2,OR(TH!L161="1111",TH!M161="1111")),TH!D161,""),"")</f>
        <v/>
      </c>
      <c r="B161" s="36">
        <f t="shared" si="7"/>
        <v>10</v>
      </c>
      <c r="C161" s="194">
        <f t="shared" si="8"/>
        <v>41556</v>
      </c>
      <c r="D161" s="194"/>
      <c r="E161" s="204">
        <v>41556</v>
      </c>
      <c r="F161" s="202" t="s">
        <v>536</v>
      </c>
      <c r="G161" s="750" t="s">
        <v>447</v>
      </c>
      <c r="H161" s="7" t="s">
        <v>523</v>
      </c>
      <c r="I161" s="277"/>
      <c r="J161" s="278"/>
      <c r="K161" s="38">
        <v>18500000</v>
      </c>
      <c r="L161" s="749" t="s">
        <v>49</v>
      </c>
      <c r="M161" s="749" t="s">
        <v>24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>x</v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39"/>
      <c r="AD161" s="739"/>
    </row>
    <row r="162" spans="1:30" s="225" customFormat="1" ht="15.75" customHeight="1">
      <c r="A162" s="218" t="str">
        <f>IF(B162&lt;&gt;"",IF(AND(B162&gt;=_TM1,B162&lt;=_TM2,OR(TH!L162="1111",TH!M162="1111")),TH!D162,""),"")</f>
        <v/>
      </c>
      <c r="B162" s="36">
        <f t="shared" si="7"/>
        <v>10</v>
      </c>
      <c r="C162" s="194">
        <f t="shared" si="8"/>
        <v>41562</v>
      </c>
      <c r="D162" s="194"/>
      <c r="E162" s="204">
        <v>41562</v>
      </c>
      <c r="F162" s="202" t="s">
        <v>536</v>
      </c>
      <c r="G162" s="750" t="s">
        <v>447</v>
      </c>
      <c r="H162" s="7" t="s">
        <v>523</v>
      </c>
      <c r="I162" s="276"/>
      <c r="J162" s="278"/>
      <c r="K162" s="748">
        <v>30800000</v>
      </c>
      <c r="L162" s="749" t="s">
        <v>49</v>
      </c>
      <c r="M162" s="749" t="s">
        <v>24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>x</v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39"/>
      <c r="AD162" s="739"/>
    </row>
    <row r="163" spans="1:30" s="225" customFormat="1" ht="15.75" customHeight="1">
      <c r="A163" s="218" t="str">
        <f>IF(B163&lt;&gt;"",IF(AND(B163&gt;=_TM1,B163&lt;=_TM2,OR(TH!L163="1111",TH!M163="1111")),TH!D163,""),"")</f>
        <v/>
      </c>
      <c r="B163" s="36">
        <f t="shared" si="7"/>
        <v>10</v>
      </c>
      <c r="C163" s="194">
        <f t="shared" si="8"/>
        <v>41576</v>
      </c>
      <c r="D163" s="194"/>
      <c r="E163" s="204">
        <v>41576</v>
      </c>
      <c r="F163" s="202" t="s">
        <v>536</v>
      </c>
      <c r="G163" s="750" t="s">
        <v>447</v>
      </c>
      <c r="H163" s="7" t="s">
        <v>523</v>
      </c>
      <c r="I163" s="278"/>
      <c r="J163" s="278"/>
      <c r="K163" s="38">
        <v>45200000</v>
      </c>
      <c r="L163" s="749" t="s">
        <v>49</v>
      </c>
      <c r="M163" s="749" t="s">
        <v>24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>x</v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D163" s="739"/>
    </row>
    <row r="164" spans="1:30" s="739" customFormat="1" ht="15.75" customHeight="1">
      <c r="A164" s="218" t="str">
        <f>IF(B164&lt;&gt;"",IF(AND(B164&gt;=_TM1,B164&lt;=_TM2,OR(TH!L164="1111",TH!M164="1111")),TH!D164,""),"")</f>
        <v/>
      </c>
      <c r="B164" s="36">
        <f t="shared" si="7"/>
        <v>11</v>
      </c>
      <c r="C164" s="194">
        <f t="shared" si="8"/>
        <v>41580</v>
      </c>
      <c r="D164" s="194"/>
      <c r="E164" s="204">
        <v>41580</v>
      </c>
      <c r="F164" s="202" t="s">
        <v>536</v>
      </c>
      <c r="G164" s="750" t="s">
        <v>447</v>
      </c>
      <c r="H164" s="7" t="s">
        <v>523</v>
      </c>
      <c r="I164" s="276"/>
      <c r="J164" s="276"/>
      <c r="K164" s="748">
        <v>49000000</v>
      </c>
      <c r="L164" s="749" t="s">
        <v>49</v>
      </c>
      <c r="M164" s="749" t="s">
        <v>24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>x</v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5"/>
    </row>
    <row r="165" spans="1:30" s="739" customFormat="1" ht="15.75" customHeight="1">
      <c r="A165" s="218" t="str">
        <f>IF(B165&lt;&gt;"",IF(AND(B165&gt;=_TM1,B165&lt;=_TM2,OR(TH!L165="1111",TH!M165="1111")),TH!D165,""),"")</f>
        <v/>
      </c>
      <c r="B165" s="36">
        <f t="shared" si="7"/>
        <v>11</v>
      </c>
      <c r="C165" s="194">
        <f t="shared" si="8"/>
        <v>41583</v>
      </c>
      <c r="D165" s="194"/>
      <c r="E165" s="204">
        <v>41583</v>
      </c>
      <c r="F165" s="202" t="s">
        <v>536</v>
      </c>
      <c r="G165" s="750" t="s">
        <v>447</v>
      </c>
      <c r="H165" s="7" t="s">
        <v>523</v>
      </c>
      <c r="I165" s="276"/>
      <c r="J165" s="276"/>
      <c r="K165" s="38">
        <v>27500000</v>
      </c>
      <c r="L165" s="749" t="s">
        <v>49</v>
      </c>
      <c r="M165" s="749" t="s">
        <v>24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>x</v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5"/>
    </row>
    <row r="166" spans="1:30" s="739" customFormat="1" ht="15.75" customHeight="1">
      <c r="A166" s="218" t="str">
        <f>IF(B166&lt;&gt;"",IF(AND(B166&gt;=_TM1,B166&lt;=_TM2,OR(TH!L166="1111",TH!M166="1111")),TH!D166,""),"")</f>
        <v/>
      </c>
      <c r="B166" s="36">
        <f t="shared" si="7"/>
        <v>11</v>
      </c>
      <c r="C166" s="194">
        <f t="shared" si="8"/>
        <v>41586</v>
      </c>
      <c r="D166" s="194"/>
      <c r="E166" s="204">
        <v>41586</v>
      </c>
      <c r="F166" s="202" t="s">
        <v>536</v>
      </c>
      <c r="G166" s="750" t="s">
        <v>447</v>
      </c>
      <c r="H166" s="7" t="s">
        <v>523</v>
      </c>
      <c r="I166" s="277"/>
      <c r="J166" s="278"/>
      <c r="K166" s="38">
        <v>58400000</v>
      </c>
      <c r="L166" s="749" t="s">
        <v>49</v>
      </c>
      <c r="M166" s="749" t="s">
        <v>24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>x</v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5"/>
    </row>
    <row r="167" spans="1:30" s="739" customFormat="1" ht="15.75" customHeight="1">
      <c r="A167" s="218" t="str">
        <f>IF(B167&lt;&gt;"",IF(AND(B167&gt;=_TM1,B167&lt;=_TM2,OR(TH!L167="1111",TH!M167="1111")),TH!D167,""),"")</f>
        <v/>
      </c>
      <c r="B167" s="36">
        <f t="shared" si="7"/>
        <v>11</v>
      </c>
      <c r="C167" s="194">
        <f t="shared" si="8"/>
        <v>41598</v>
      </c>
      <c r="D167" s="194"/>
      <c r="E167" s="204">
        <v>41598</v>
      </c>
      <c r="F167" s="202" t="s">
        <v>536</v>
      </c>
      <c r="G167" s="750" t="s">
        <v>447</v>
      </c>
      <c r="H167" s="7" t="s">
        <v>523</v>
      </c>
      <c r="I167" s="277"/>
      <c r="J167" s="278"/>
      <c r="K167" s="38">
        <v>14200000</v>
      </c>
      <c r="L167" s="749" t="s">
        <v>49</v>
      </c>
      <c r="M167" s="749" t="s">
        <v>24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>x</v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5"/>
      <c r="AC167" s="225"/>
    </row>
    <row r="168" spans="1:30" s="739" customFormat="1" ht="15.75" customHeight="1">
      <c r="A168" s="218" t="str">
        <f>IF(B168&lt;&gt;"",IF(AND(B168&gt;=_TM1,B168&lt;=_TM2,OR(TH!L168="1111",TH!M168="1111")),TH!D168,""),"")</f>
        <v/>
      </c>
      <c r="B168" s="36">
        <f t="shared" si="7"/>
        <v>11</v>
      </c>
      <c r="C168" s="194">
        <f t="shared" si="8"/>
        <v>41607</v>
      </c>
      <c r="D168" s="194"/>
      <c r="E168" s="204">
        <v>41607</v>
      </c>
      <c r="F168" s="202" t="s">
        <v>536</v>
      </c>
      <c r="G168" s="750" t="s">
        <v>447</v>
      </c>
      <c r="H168" s="7" t="s">
        <v>523</v>
      </c>
      <c r="I168" s="277"/>
      <c r="J168" s="278"/>
      <c r="K168" s="38">
        <v>39000000</v>
      </c>
      <c r="L168" s="749" t="s">
        <v>49</v>
      </c>
      <c r="M168" s="749" t="s">
        <v>24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>x</v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5"/>
    </row>
    <row r="169" spans="1:30" s="739" customFormat="1" ht="15.75" customHeight="1">
      <c r="A169" s="218" t="str">
        <f>IF(B169&lt;&gt;"",IF(AND(B169&gt;=_TM1,B169&lt;=_TM2,OR(TH!L169="1111",TH!M169="1111")),TH!D169,""),"")</f>
        <v/>
      </c>
      <c r="B169" s="36">
        <f t="shared" si="7"/>
        <v>12</v>
      </c>
      <c r="C169" s="194">
        <f t="shared" si="8"/>
        <v>41618</v>
      </c>
      <c r="D169" s="194"/>
      <c r="E169" s="204">
        <v>41618</v>
      </c>
      <c r="F169" s="202" t="s">
        <v>539</v>
      </c>
      <c r="G169" s="750" t="s">
        <v>447</v>
      </c>
      <c r="H169" s="7" t="s">
        <v>523</v>
      </c>
      <c r="I169" s="277"/>
      <c r="J169" s="278"/>
      <c r="K169" s="38">
        <v>45000</v>
      </c>
      <c r="L169" s="749" t="s">
        <v>87</v>
      </c>
      <c r="M169" s="749" t="s">
        <v>24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5"/>
      <c r="AC169" s="225"/>
    </row>
    <row r="170" spans="1:30" s="225" customFormat="1" ht="15.75" customHeight="1">
      <c r="A170" s="218" t="str">
        <f>IF(B170&lt;&gt;"",IF(AND(B170&gt;=_TM1,B170&lt;=_TM2,OR(TH!L170="1111",TH!M170="1111")),TH!D170,""),"")</f>
        <v/>
      </c>
      <c r="B170" s="36">
        <f t="shared" si="7"/>
        <v>12</v>
      </c>
      <c r="C170" s="194">
        <f t="shared" si="8"/>
        <v>41618</v>
      </c>
      <c r="D170" s="194"/>
      <c r="E170" s="204">
        <v>41618</v>
      </c>
      <c r="F170" s="202" t="s">
        <v>536</v>
      </c>
      <c r="G170" s="750" t="s">
        <v>447</v>
      </c>
      <c r="H170" s="7" t="s">
        <v>523</v>
      </c>
      <c r="I170" s="276"/>
      <c r="J170" s="276"/>
      <c r="K170" s="748">
        <v>65800000</v>
      </c>
      <c r="L170" s="749" t="s">
        <v>49</v>
      </c>
      <c r="M170" s="749" t="s">
        <v>24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>x</v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39"/>
      <c r="AD170" s="739"/>
    </row>
    <row r="171" spans="1:30" s="225" customFormat="1" ht="15.75" customHeight="1">
      <c r="A171" s="218" t="str">
        <f>IF(B171&lt;&gt;"",IF(AND(B171&gt;=_TM1,B171&lt;=_TM2,OR(TH!L171="1111",TH!M171="1111")),TH!D171,""),"")</f>
        <v/>
      </c>
      <c r="B171" s="36">
        <f t="shared" si="7"/>
        <v>12</v>
      </c>
      <c r="C171" s="194">
        <f t="shared" si="8"/>
        <v>41625</v>
      </c>
      <c r="D171" s="194"/>
      <c r="E171" s="194">
        <v>41625</v>
      </c>
      <c r="F171" s="202" t="s">
        <v>536</v>
      </c>
      <c r="G171" s="750" t="s">
        <v>447</v>
      </c>
      <c r="H171" s="7" t="s">
        <v>523</v>
      </c>
      <c r="I171" s="274"/>
      <c r="J171" s="274"/>
      <c r="K171" s="931">
        <v>42000000</v>
      </c>
      <c r="L171" s="749" t="s">
        <v>49</v>
      </c>
      <c r="M171" s="749" t="s">
        <v>24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>x</v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39"/>
      <c r="AD171" s="739"/>
    </row>
    <row r="172" spans="1:30" s="225" customFormat="1" ht="15.75" customHeight="1">
      <c r="A172" s="218" t="str">
        <f>IF(B172&lt;&gt;"",IF(AND(B172&gt;=_TM1,B172&lt;=_TM2,OR(TH!L172="1111",TH!M172="1111")),TH!D172,""),"")</f>
        <v/>
      </c>
      <c r="B172" s="36">
        <f t="shared" si="7"/>
        <v>12</v>
      </c>
      <c r="C172" s="194">
        <f t="shared" si="8"/>
        <v>41639</v>
      </c>
      <c r="D172" s="194"/>
      <c r="E172" s="204">
        <v>41639</v>
      </c>
      <c r="F172" s="202" t="s">
        <v>536</v>
      </c>
      <c r="G172" s="750" t="s">
        <v>447</v>
      </c>
      <c r="H172" s="7" t="s">
        <v>523</v>
      </c>
      <c r="I172" s="277"/>
      <c r="J172" s="278"/>
      <c r="K172" s="38">
        <v>32900000</v>
      </c>
      <c r="L172" s="749" t="s">
        <v>49</v>
      </c>
      <c r="M172" s="749" t="s">
        <v>24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>x</v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39"/>
      <c r="AD172" s="739"/>
    </row>
    <row r="173" spans="1:30" s="225" customFormat="1" ht="15.75" customHeight="1">
      <c r="A173" s="218" t="str">
        <f>IF(B173&lt;&gt;"",IF(AND(B173&gt;=_TM1,B173&lt;=_TM2,OR(TH!L173="1111",TH!M173="1111")),TH!D173,""),"")</f>
        <v/>
      </c>
      <c r="B173" s="36">
        <f t="shared" si="7"/>
        <v>11</v>
      </c>
      <c r="C173" s="194">
        <f t="shared" si="8"/>
        <v>41581</v>
      </c>
      <c r="D173" s="194"/>
      <c r="E173" s="204">
        <v>41581</v>
      </c>
      <c r="F173" s="202" t="s">
        <v>540</v>
      </c>
      <c r="G173" s="883" t="s">
        <v>541</v>
      </c>
      <c r="H173" s="7" t="s">
        <v>542</v>
      </c>
      <c r="I173" s="277"/>
      <c r="J173" s="278"/>
      <c r="K173" s="38">
        <v>15445455</v>
      </c>
      <c r="L173" s="749" t="s">
        <v>87</v>
      </c>
      <c r="M173" s="749" t="s">
        <v>49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>x</v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39"/>
      <c r="AD173" s="739"/>
    </row>
    <row r="174" spans="1:30" s="225" customFormat="1" ht="15.75" customHeight="1">
      <c r="A174" s="218" t="str">
        <f>IF(B174&lt;&gt;"",IF(AND(B174&gt;=_TM1,B174&lt;=_TM2,OR(TH!L174="1111",TH!M174="1111")),TH!D174,""),"")</f>
        <v/>
      </c>
      <c r="B174" s="36">
        <f t="shared" si="7"/>
        <v>11</v>
      </c>
      <c r="C174" s="194">
        <f t="shared" si="8"/>
        <v>41581</v>
      </c>
      <c r="D174" s="194"/>
      <c r="E174" s="204">
        <v>41581</v>
      </c>
      <c r="F174" s="202" t="s">
        <v>543</v>
      </c>
      <c r="G174" s="883" t="s">
        <v>541</v>
      </c>
      <c r="H174" s="7" t="s">
        <v>542</v>
      </c>
      <c r="I174" s="277"/>
      <c r="J174" s="278"/>
      <c r="K174" s="38">
        <v>1544545</v>
      </c>
      <c r="L174" s="749" t="s">
        <v>9</v>
      </c>
      <c r="M174" s="749" t="s">
        <v>49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>x</v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39">
        <v>12</v>
      </c>
      <c r="AD174" s="739"/>
    </row>
    <row r="175" spans="1:30" s="225" customFormat="1" ht="15.75" customHeight="1">
      <c r="A175" s="218" t="str">
        <f>IF(B175&lt;&gt;"",IF(AND(B175&gt;=_TM1,B175&lt;=_TM2,OR(TH!L175="1111",TH!M175="1111")),TH!D175,""),"")</f>
        <v/>
      </c>
      <c r="B175" s="36">
        <f t="shared" si="7"/>
        <v>7</v>
      </c>
      <c r="C175" s="194">
        <f t="shared" si="8"/>
        <v>41481</v>
      </c>
      <c r="D175" s="194"/>
      <c r="E175" s="194">
        <v>41481</v>
      </c>
      <c r="F175" s="202" t="s">
        <v>544</v>
      </c>
      <c r="G175" s="883" t="s">
        <v>545</v>
      </c>
      <c r="H175" s="7" t="s">
        <v>546</v>
      </c>
      <c r="I175" s="276"/>
      <c r="J175" s="276"/>
      <c r="K175" s="748">
        <v>670000</v>
      </c>
      <c r="L175" s="749" t="s">
        <v>91</v>
      </c>
      <c r="M175" s="749" t="s">
        <v>49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>x</v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39"/>
      <c r="AD175" s="739"/>
    </row>
    <row r="176" spans="1:30" s="225" customFormat="1" ht="15.75" customHeight="1">
      <c r="A176" s="218" t="str">
        <f>IF(B176&lt;&gt;"",IF(AND(B176&gt;=_TM1,B176&lt;=_TM2,OR(TH!L176="1111",TH!M176="1111")),TH!D176,""),"")</f>
        <v/>
      </c>
      <c r="B176" s="36">
        <f t="shared" si="7"/>
        <v>6</v>
      </c>
      <c r="C176" s="194">
        <f t="shared" si="8"/>
        <v>41443</v>
      </c>
      <c r="D176" s="194"/>
      <c r="E176" s="204">
        <v>41443</v>
      </c>
      <c r="F176" s="202" t="s">
        <v>547</v>
      </c>
      <c r="G176" s="883" t="s">
        <v>548</v>
      </c>
      <c r="H176" s="7" t="s">
        <v>549</v>
      </c>
      <c r="I176" s="277"/>
      <c r="J176" s="278"/>
      <c r="K176" s="38">
        <v>543634</v>
      </c>
      <c r="L176" s="749" t="s">
        <v>87</v>
      </c>
      <c r="M176" s="749" t="s">
        <v>49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>x</v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>x</v>
      </c>
      <c r="AD176" s="739"/>
    </row>
    <row r="177" spans="1:30" s="225" customFormat="1" ht="15.75" customHeight="1">
      <c r="A177" s="218" t="str">
        <f>IF(B177&lt;&gt;"",IF(AND(B177&gt;=_TM1,B177&lt;=_TM2,OR(TH!L177="1111",TH!M177="1111")),TH!D177,""),"")</f>
        <v/>
      </c>
      <c r="B177" s="36">
        <f t="shared" si="7"/>
        <v>6</v>
      </c>
      <c r="C177" s="194">
        <f t="shared" si="8"/>
        <v>41443</v>
      </c>
      <c r="D177" s="194"/>
      <c r="E177" s="204">
        <v>41443</v>
      </c>
      <c r="F177" s="202" t="s">
        <v>550</v>
      </c>
      <c r="G177" s="883" t="s">
        <v>548</v>
      </c>
      <c r="H177" s="7" t="s">
        <v>549</v>
      </c>
      <c r="I177" s="277"/>
      <c r="J177" s="278"/>
      <c r="K177" s="38">
        <v>54363</v>
      </c>
      <c r="L177" s="749" t="s">
        <v>9</v>
      </c>
      <c r="M177" s="749" t="s">
        <v>49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>x</v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>x</v>
      </c>
      <c r="AB177" s="739">
        <v>9</v>
      </c>
      <c r="AD177" s="739"/>
    </row>
    <row r="178" spans="1:30" s="225" customFormat="1" ht="15.75" customHeight="1">
      <c r="A178" s="218" t="str">
        <f>IF(B178&lt;&gt;"",IF(AND(B178&gt;=_TM1,B178&lt;=_TM2,OR(TH!L178="1111",TH!M178="1111")),TH!D178,""),"")</f>
        <v/>
      </c>
      <c r="B178" s="36">
        <f t="shared" si="7"/>
        <v>6</v>
      </c>
      <c r="C178" s="194">
        <f t="shared" si="8"/>
        <v>41429</v>
      </c>
      <c r="D178" s="194"/>
      <c r="E178" s="194">
        <v>41429</v>
      </c>
      <c r="F178" s="202" t="s">
        <v>551</v>
      </c>
      <c r="G178" s="883" t="s">
        <v>552</v>
      </c>
      <c r="H178" s="7" t="s">
        <v>546</v>
      </c>
      <c r="I178" s="276"/>
      <c r="J178" s="276"/>
      <c r="K178" s="748">
        <v>22244468</v>
      </c>
      <c r="L178" s="749" t="s">
        <v>63</v>
      </c>
      <c r="M178" s="749" t="s">
        <v>49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>x</v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>x</v>
      </c>
      <c r="AB178" s="739"/>
      <c r="AD178" s="739"/>
    </row>
    <row r="179" spans="1:30" s="225" customFormat="1" ht="15.75" customHeight="1">
      <c r="A179" s="218" t="str">
        <f>IF(B179&lt;&gt;"",IF(AND(B179&gt;=_TM1,B179&lt;=_TM2,OR(TH!L179="1111",TH!M179="1111")),TH!D179,""),"")</f>
        <v/>
      </c>
      <c r="B179" s="36">
        <f t="shared" si="7"/>
        <v>11</v>
      </c>
      <c r="C179" s="194">
        <f t="shared" si="8"/>
        <v>41607</v>
      </c>
      <c r="D179" s="194"/>
      <c r="E179" s="194">
        <v>41607</v>
      </c>
      <c r="F179" s="202" t="s">
        <v>547</v>
      </c>
      <c r="G179" s="883" t="s">
        <v>553</v>
      </c>
      <c r="H179" s="7" t="s">
        <v>549</v>
      </c>
      <c r="I179" s="276"/>
      <c r="J179" s="278"/>
      <c r="K179" s="748">
        <v>1131830</v>
      </c>
      <c r="L179" s="749" t="s">
        <v>87</v>
      </c>
      <c r="M179" s="749" t="s">
        <v>49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>x</v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D179" s="739"/>
    </row>
    <row r="180" spans="1:30" s="225" customFormat="1" ht="15.75" customHeight="1">
      <c r="A180" s="218" t="str">
        <f>IF(B180&lt;&gt;"",IF(AND(B180&gt;=_TM1,B180&lt;=_TM2,OR(TH!L180="1111",TH!M180="1111")),TH!D180,""),"")</f>
        <v/>
      </c>
      <c r="B180" s="36">
        <f t="shared" si="7"/>
        <v>11</v>
      </c>
      <c r="C180" s="194">
        <f t="shared" si="8"/>
        <v>41607</v>
      </c>
      <c r="D180" s="194"/>
      <c r="E180" s="194">
        <v>41607</v>
      </c>
      <c r="F180" s="202" t="s">
        <v>550</v>
      </c>
      <c r="G180" s="883" t="s">
        <v>553</v>
      </c>
      <c r="H180" s="7" t="s">
        <v>549</v>
      </c>
      <c r="I180" s="277"/>
      <c r="J180" s="278"/>
      <c r="K180" s="38">
        <v>113183</v>
      </c>
      <c r="L180" s="749" t="s">
        <v>9</v>
      </c>
      <c r="M180" s="749" t="s">
        <v>49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>x</v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39">
        <v>12</v>
      </c>
      <c r="AD180" s="739"/>
    </row>
    <row r="181" spans="1:30" s="225" customFormat="1" ht="15.75" customHeight="1">
      <c r="A181" s="218" t="str">
        <f>IF(B181&lt;&gt;"",IF(AND(B181&gt;=_TM1,B181&lt;=_TM2,OR(TH!L181="1111",TH!M181="1111")),TH!D181,""),"")</f>
        <v/>
      </c>
      <c r="B181" s="36">
        <f t="shared" si="7"/>
        <v>11</v>
      </c>
      <c r="C181" s="194">
        <f t="shared" si="8"/>
        <v>41591</v>
      </c>
      <c r="D181" s="194"/>
      <c r="E181" s="204">
        <v>41591</v>
      </c>
      <c r="F181" s="202" t="s">
        <v>554</v>
      </c>
      <c r="G181" s="883" t="s">
        <v>555</v>
      </c>
      <c r="H181" s="7" t="s">
        <v>556</v>
      </c>
      <c r="I181" s="277"/>
      <c r="J181" s="278"/>
      <c r="K181" s="38">
        <f>753970+328347+599063</f>
        <v>1681380</v>
      </c>
      <c r="L181" s="749" t="s">
        <v>87</v>
      </c>
      <c r="M181" s="749" t="s">
        <v>49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>x</v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D181" s="739"/>
    </row>
    <row r="182" spans="1:30" s="739" customFormat="1" ht="15.75" customHeight="1">
      <c r="A182" s="218" t="str">
        <f>IF(B182&lt;&gt;"",IF(AND(B182&gt;=_TM1,B182&lt;=_TM2,OR(TH!L182="1111",TH!M182="1111")),TH!D182,""),"")</f>
        <v/>
      </c>
      <c r="B182" s="36">
        <f t="shared" si="7"/>
        <v>11</v>
      </c>
      <c r="C182" s="194">
        <f t="shared" si="8"/>
        <v>41591</v>
      </c>
      <c r="D182" s="194"/>
      <c r="E182" s="204">
        <v>41591</v>
      </c>
      <c r="F182" s="202" t="s">
        <v>557</v>
      </c>
      <c r="G182" s="883" t="s">
        <v>555</v>
      </c>
      <c r="H182" s="7" t="s">
        <v>556</v>
      </c>
      <c r="I182" s="276"/>
      <c r="J182" s="278"/>
      <c r="K182" s="748">
        <f>75397+32833+59906</f>
        <v>168136</v>
      </c>
      <c r="L182" s="749" t="s">
        <v>9</v>
      </c>
      <c r="M182" s="749" t="s">
        <v>49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>x</v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B182" s="739">
        <v>12</v>
      </c>
      <c r="AC182" s="225"/>
    </row>
    <row r="183" spans="1:30" s="739" customFormat="1" ht="15.75" customHeight="1">
      <c r="A183" s="218" t="str">
        <f>IF(B183&lt;&gt;"",IF(AND(B183&gt;=_TM1,B183&lt;=_TM2,OR(TH!L183="1111",TH!M183="1111")),TH!D183,""),"")</f>
        <v/>
      </c>
      <c r="B183" s="36">
        <f t="shared" si="7"/>
        <v>9</v>
      </c>
      <c r="C183" s="194">
        <f t="shared" si="8"/>
        <v>41522</v>
      </c>
      <c r="D183" s="194"/>
      <c r="E183" s="204">
        <v>41522</v>
      </c>
      <c r="F183" s="202" t="s">
        <v>554</v>
      </c>
      <c r="G183" s="883" t="s">
        <v>558</v>
      </c>
      <c r="H183" s="7" t="s">
        <v>556</v>
      </c>
      <c r="I183" s="277"/>
      <c r="J183" s="278"/>
      <c r="K183" s="38">
        <f>103476+347925</f>
        <v>451401</v>
      </c>
      <c r="L183" s="749" t="s">
        <v>87</v>
      </c>
      <c r="M183" s="749" t="s">
        <v>49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>x</v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5"/>
    </row>
    <row r="184" spans="1:30" s="739" customFormat="1" ht="15.75" customHeight="1">
      <c r="A184" s="218" t="str">
        <f>IF(B184&lt;&gt;"",IF(AND(B184&gt;=_TM1,B184&lt;=_TM2,OR(TH!L184="1111",TH!M184="1111")),TH!D184,""),"")</f>
        <v/>
      </c>
      <c r="B184" s="36">
        <f t="shared" si="7"/>
        <v>9</v>
      </c>
      <c r="C184" s="194">
        <f t="shared" si="8"/>
        <v>41522</v>
      </c>
      <c r="D184" s="194"/>
      <c r="E184" s="204">
        <v>41522</v>
      </c>
      <c r="F184" s="202" t="s">
        <v>557</v>
      </c>
      <c r="G184" s="883" t="s">
        <v>558</v>
      </c>
      <c r="H184" s="7" t="s">
        <v>556</v>
      </c>
      <c r="I184" s="277"/>
      <c r="J184" s="278"/>
      <c r="K184" s="38">
        <f>10347+34792</f>
        <v>45139</v>
      </c>
      <c r="L184" s="749" t="s">
        <v>9</v>
      </c>
      <c r="M184" s="749" t="s">
        <v>49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>x</v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B184" s="739">
        <v>12</v>
      </c>
      <c r="AC184" s="225"/>
    </row>
    <row r="185" spans="1:30" s="225" customFormat="1" ht="15.75" customHeight="1">
      <c r="A185" s="218" t="str">
        <f>IF(B185&lt;&gt;"",IF(AND(B185&gt;=_TM1,B185&lt;=_TM2,OR(TH!L185="1111",TH!M185="1111")),TH!D185,""),"")</f>
        <v/>
      </c>
      <c r="B185" s="36">
        <f t="shared" si="7"/>
        <v>10</v>
      </c>
      <c r="C185" s="194">
        <f t="shared" si="8"/>
        <v>41549</v>
      </c>
      <c r="D185" s="194"/>
      <c r="E185" s="204">
        <v>41549</v>
      </c>
      <c r="F185" s="202" t="s">
        <v>554</v>
      </c>
      <c r="G185" s="883" t="s">
        <v>559</v>
      </c>
      <c r="H185" s="7" t="s">
        <v>556</v>
      </c>
      <c r="I185" s="277"/>
      <c r="J185" s="278"/>
      <c r="K185" s="38">
        <f>365139+142669+234027</f>
        <v>741835</v>
      </c>
      <c r="L185" s="749" t="s">
        <v>87</v>
      </c>
      <c r="M185" s="749" t="s">
        <v>49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>x</v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39"/>
      <c r="AD185" s="739"/>
    </row>
    <row r="186" spans="1:30" s="225" customFormat="1" ht="15.75" customHeight="1">
      <c r="A186" s="218" t="str">
        <f>IF(B186&lt;&gt;"",IF(AND(B186&gt;=_TM1,B186&lt;=_TM2,OR(TH!L186="1111",TH!M186="1111")),TH!D186,""),"")</f>
        <v/>
      </c>
      <c r="B186" s="36">
        <f t="shared" si="7"/>
        <v>10</v>
      </c>
      <c r="C186" s="194">
        <f t="shared" si="8"/>
        <v>41549</v>
      </c>
      <c r="D186" s="194"/>
      <c r="E186" s="204">
        <v>41549</v>
      </c>
      <c r="F186" s="202" t="s">
        <v>557</v>
      </c>
      <c r="G186" s="883" t="s">
        <v>559</v>
      </c>
      <c r="H186" s="7" t="s">
        <v>556</v>
      </c>
      <c r="I186" s="277"/>
      <c r="J186" s="278"/>
      <c r="K186" s="38">
        <f>36512+14267+23403</f>
        <v>74182</v>
      </c>
      <c r="L186" s="749" t="s">
        <v>9</v>
      </c>
      <c r="M186" s="749" t="s">
        <v>49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>x</v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B186" s="739">
        <v>12</v>
      </c>
      <c r="AD186" s="739"/>
    </row>
    <row r="187" spans="1:30" s="225" customFormat="1" ht="15.75" customHeight="1">
      <c r="A187" s="218" t="str">
        <f>IF(B187&lt;&gt;"",IF(AND(B187&gt;=_TM1,B187&lt;=_TM2,OR(TH!L187="1111",TH!M187="1111")),TH!D187,""),"")</f>
        <v/>
      </c>
      <c r="B187" s="36">
        <f t="shared" si="7"/>
        <v>8</v>
      </c>
      <c r="C187" s="194">
        <f t="shared" si="8"/>
        <v>41493</v>
      </c>
      <c r="D187" s="194"/>
      <c r="E187" s="204">
        <v>41493</v>
      </c>
      <c r="F187" s="202" t="s">
        <v>554</v>
      </c>
      <c r="G187" s="883" t="s">
        <v>560</v>
      </c>
      <c r="H187" s="7" t="s">
        <v>556</v>
      </c>
      <c r="I187" s="277"/>
      <c r="J187" s="278"/>
      <c r="K187" s="38">
        <v>299871</v>
      </c>
      <c r="L187" s="749" t="s">
        <v>87</v>
      </c>
      <c r="M187" s="749" t="s">
        <v>49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>x</v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39"/>
      <c r="AD187" s="739"/>
    </row>
    <row r="188" spans="1:30" s="225" customFormat="1" ht="15.75" customHeight="1">
      <c r="A188" s="218" t="str">
        <f>IF(B188&lt;&gt;"",IF(AND(B188&gt;=_TM1,B188&lt;=_TM2,OR(TH!L188="1111",TH!M188="1111")),TH!D188,""),"")</f>
        <v/>
      </c>
      <c r="B188" s="36">
        <f t="shared" si="7"/>
        <v>8</v>
      </c>
      <c r="C188" s="194">
        <f t="shared" si="8"/>
        <v>41493</v>
      </c>
      <c r="D188" s="194"/>
      <c r="E188" s="204">
        <v>41493</v>
      </c>
      <c r="F188" s="202" t="s">
        <v>557</v>
      </c>
      <c r="G188" s="883" t="s">
        <v>560</v>
      </c>
      <c r="H188" s="7" t="s">
        <v>556</v>
      </c>
      <c r="I188" s="276"/>
      <c r="J188" s="278"/>
      <c r="K188" s="748">
        <v>29987</v>
      </c>
      <c r="L188" s="749" t="s">
        <v>9</v>
      </c>
      <c r="M188" s="749" t="s">
        <v>49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>x</v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B188" s="739">
        <v>12</v>
      </c>
      <c r="AD188" s="739"/>
    </row>
    <row r="189" spans="1:30" s="225" customFormat="1" ht="15.75" customHeight="1">
      <c r="A189" s="218" t="str">
        <f>IF(B189&lt;&gt;"",IF(AND(B189&gt;=_TM1,B189&lt;=_TM2,OR(TH!L189="1111",TH!M189="1111")),TH!D189,""),"")</f>
        <v/>
      </c>
      <c r="B189" s="36">
        <f t="shared" si="7"/>
        <v>7</v>
      </c>
      <c r="C189" s="194">
        <f t="shared" si="8"/>
        <v>41465</v>
      </c>
      <c r="D189" s="194"/>
      <c r="E189" s="204">
        <v>41465</v>
      </c>
      <c r="F189" s="202" t="s">
        <v>554</v>
      </c>
      <c r="G189" s="883" t="s">
        <v>561</v>
      </c>
      <c r="H189" s="7" t="s">
        <v>556</v>
      </c>
      <c r="I189" s="276"/>
      <c r="J189" s="278"/>
      <c r="K189" s="748">
        <f>471793+454546</f>
        <v>926339</v>
      </c>
      <c r="L189" s="749" t="s">
        <v>87</v>
      </c>
      <c r="M189" s="749" t="s">
        <v>49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>x</v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39"/>
      <c r="AC189" s="739"/>
    </row>
    <row r="190" spans="1:30" s="225" customFormat="1" ht="15.75" customHeight="1">
      <c r="A190" s="218" t="str">
        <f>IF(B190&lt;&gt;"",IF(AND(B190&gt;=_TM1,B190&lt;=_TM2,OR(TH!L190="1111",TH!M190="1111")),TH!D190,""),"")</f>
        <v/>
      </c>
      <c r="B190" s="36">
        <f t="shared" si="7"/>
        <v>7</v>
      </c>
      <c r="C190" s="194">
        <f t="shared" si="8"/>
        <v>41465</v>
      </c>
      <c r="D190" s="194"/>
      <c r="E190" s="204">
        <v>41465</v>
      </c>
      <c r="F190" s="202" t="s">
        <v>557</v>
      </c>
      <c r="G190" s="883" t="s">
        <v>561</v>
      </c>
      <c r="H190" s="7" t="s">
        <v>556</v>
      </c>
      <c r="I190" s="277"/>
      <c r="J190" s="278"/>
      <c r="K190" s="38">
        <f>47179+45454</f>
        <v>92633</v>
      </c>
      <c r="L190" s="749" t="s">
        <v>9</v>
      </c>
      <c r="M190" s="749" t="s">
        <v>49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/>
      </c>
      <c r="Q190" s="55" t="str">
        <f>IF(AND($M190=$O$7,$B190&lt;'111'!$N$11),"x","")</f>
        <v>x</v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/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39">
        <v>9</v>
      </c>
      <c r="AC190" s="739"/>
    </row>
    <row r="191" spans="1:30" s="225" customFormat="1" ht="15.75" customHeight="1">
      <c r="A191" s="218" t="str">
        <f>IF(B191&lt;&gt;"",IF(AND(B191&gt;=_TM1,B191&lt;=_TM2,OR(TH!L191="1111",TH!M191="1111")),TH!D191,""),"")</f>
        <v/>
      </c>
      <c r="B191" s="36">
        <f t="shared" si="7"/>
        <v>10</v>
      </c>
      <c r="C191" s="194">
        <f t="shared" si="8"/>
        <v>41577</v>
      </c>
      <c r="D191" s="194"/>
      <c r="E191" s="204">
        <v>41577</v>
      </c>
      <c r="F191" s="202" t="s">
        <v>547</v>
      </c>
      <c r="G191" s="883" t="s">
        <v>562</v>
      </c>
      <c r="H191" s="7" t="s">
        <v>549</v>
      </c>
      <c r="I191" s="277"/>
      <c r="J191" s="278"/>
      <c r="K191" s="38">
        <v>1616900</v>
      </c>
      <c r="L191" s="749" t="s">
        <v>87</v>
      </c>
      <c r="M191" s="749" t="s">
        <v>49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>x</v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39"/>
    </row>
    <row r="192" spans="1:30" s="739" customFormat="1" ht="15.75" customHeight="1">
      <c r="A192" s="218" t="str">
        <f>IF(B192&lt;&gt;"",IF(AND(B192&gt;=_TM1,B192&lt;=_TM2,OR(TH!L192="1111",TH!M192="1111")),TH!D192,""),"")</f>
        <v/>
      </c>
      <c r="B192" s="36">
        <f t="shared" si="7"/>
        <v>10</v>
      </c>
      <c r="C192" s="194">
        <f t="shared" si="8"/>
        <v>41577</v>
      </c>
      <c r="D192" s="194"/>
      <c r="E192" s="204">
        <v>41577</v>
      </c>
      <c r="F192" s="202" t="s">
        <v>550</v>
      </c>
      <c r="G192" s="883" t="s">
        <v>562</v>
      </c>
      <c r="H192" s="7" t="s">
        <v>549</v>
      </c>
      <c r="I192" s="277"/>
      <c r="J192" s="278"/>
      <c r="K192" s="38">
        <v>161690</v>
      </c>
      <c r="L192" s="749" t="s">
        <v>9</v>
      </c>
      <c r="M192" s="749" t="s">
        <v>49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>x</v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B192" s="739">
        <v>12</v>
      </c>
      <c r="AC192" s="225"/>
    </row>
    <row r="193" spans="1:30" s="739" customFormat="1" ht="15.75" customHeight="1">
      <c r="A193" s="218" t="str">
        <f>IF(B193&lt;&gt;"",IF(AND(B193&gt;=_TM1,B193&lt;=_TM2,OR(TH!L193="1111",TH!M193="1111")),TH!D193,""),"")</f>
        <v/>
      </c>
      <c r="B193" s="36">
        <f t="shared" si="7"/>
        <v>12</v>
      </c>
      <c r="C193" s="194">
        <f t="shared" si="8"/>
        <v>41639</v>
      </c>
      <c r="D193" s="194"/>
      <c r="E193" s="204">
        <v>41639</v>
      </c>
      <c r="F193" s="202" t="s">
        <v>547</v>
      </c>
      <c r="G193" s="883" t="s">
        <v>563</v>
      </c>
      <c r="H193" s="7" t="s">
        <v>549</v>
      </c>
      <c r="I193" s="276"/>
      <c r="J193" s="278"/>
      <c r="K193" s="748">
        <v>1136048</v>
      </c>
      <c r="L193" s="749" t="s">
        <v>87</v>
      </c>
      <c r="M193" s="749" t="s">
        <v>49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>x</v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5"/>
    </row>
    <row r="194" spans="1:30" s="739" customFormat="1" ht="15.75" customHeight="1">
      <c r="A194" s="218" t="str">
        <f>IF(B194&lt;&gt;"",IF(AND(B194&gt;=_TM1,B194&lt;=_TM2,OR(TH!L194="1111",TH!M194="1111")),TH!D194,""),"")</f>
        <v/>
      </c>
      <c r="B194" s="36">
        <f t="shared" si="7"/>
        <v>12</v>
      </c>
      <c r="C194" s="194">
        <f t="shared" si="8"/>
        <v>41639</v>
      </c>
      <c r="D194" s="194"/>
      <c r="E194" s="204">
        <v>41639</v>
      </c>
      <c r="F194" s="202" t="s">
        <v>550</v>
      </c>
      <c r="G194" s="883" t="s">
        <v>563</v>
      </c>
      <c r="H194" s="7" t="s">
        <v>549</v>
      </c>
      <c r="I194" s="277"/>
      <c r="J194" s="278"/>
      <c r="K194" s="38">
        <v>113605</v>
      </c>
      <c r="L194" s="749" t="s">
        <v>9</v>
      </c>
      <c r="M194" s="749" t="s">
        <v>49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>x</v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5">
        <v>12</v>
      </c>
      <c r="AC194" s="225"/>
      <c r="AD194" s="225"/>
    </row>
    <row r="195" spans="1:30" s="225" customFormat="1" ht="15.75" customHeight="1">
      <c r="A195" s="218" t="str">
        <f>IF(B195&lt;&gt;"",IF(AND(B195&gt;=_TM1,B195&lt;=_TM2,OR(TH!L195="1111",TH!M195="1111")),TH!D195,""),"")</f>
        <v/>
      </c>
      <c r="B195" s="36">
        <f t="shared" si="7"/>
        <v>5</v>
      </c>
      <c r="C195" s="194">
        <f t="shared" si="8"/>
        <v>41403</v>
      </c>
      <c r="D195" s="194"/>
      <c r="E195" s="204">
        <v>41403</v>
      </c>
      <c r="F195" s="202" t="s">
        <v>564</v>
      </c>
      <c r="G195" s="883" t="s">
        <v>565</v>
      </c>
      <c r="H195" s="7" t="s">
        <v>566</v>
      </c>
      <c r="I195" s="277"/>
      <c r="J195" s="278"/>
      <c r="K195" s="38">
        <v>556300</v>
      </c>
      <c r="L195" s="749" t="s">
        <v>87</v>
      </c>
      <c r="M195" s="749" t="s">
        <v>49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>x</v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/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>x</v>
      </c>
      <c r="AB195" s="739"/>
      <c r="AC195" s="739"/>
    </row>
    <row r="196" spans="1:30" s="225" customFormat="1" ht="15.75" customHeight="1">
      <c r="A196" s="218" t="str">
        <f>IF(B196&lt;&gt;"",IF(AND(B196&gt;=_TM1,B196&lt;=_TM2,OR(TH!L196="1111",TH!M196="1111")),TH!D196,""),"")</f>
        <v/>
      </c>
      <c r="B196" s="36">
        <f t="shared" si="7"/>
        <v>6</v>
      </c>
      <c r="C196" s="194">
        <f t="shared" si="8"/>
        <v>41445</v>
      </c>
      <c r="D196" s="194"/>
      <c r="E196" s="204">
        <v>41445</v>
      </c>
      <c r="F196" s="202" t="s">
        <v>564</v>
      </c>
      <c r="G196" s="883" t="s">
        <v>567</v>
      </c>
      <c r="H196" s="7" t="s">
        <v>568</v>
      </c>
      <c r="I196" s="277"/>
      <c r="J196" s="278"/>
      <c r="K196" s="38">
        <v>400000</v>
      </c>
      <c r="L196" s="749" t="s">
        <v>87</v>
      </c>
      <c r="M196" s="749" t="s">
        <v>49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>x</v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>x</v>
      </c>
    </row>
    <row r="197" spans="1:30" s="225" customFormat="1" ht="15.75" customHeight="1">
      <c r="A197" s="218" t="str">
        <f>IF(B197&lt;&gt;"",IF(AND(B197&gt;=_TM1,B197&lt;=_TM2,OR(TH!L197="1111",TH!M197="1111")),TH!D197,""),"")</f>
        <v/>
      </c>
      <c r="B197" s="36">
        <f t="shared" si="7"/>
        <v>1</v>
      </c>
      <c r="C197" s="194">
        <v>41276</v>
      </c>
      <c r="D197" s="194"/>
      <c r="E197" s="204">
        <v>41235</v>
      </c>
      <c r="F197" s="202" t="s">
        <v>453</v>
      </c>
      <c r="G197" s="883" t="s">
        <v>569</v>
      </c>
      <c r="H197" s="7" t="s">
        <v>492</v>
      </c>
      <c r="I197" s="276">
        <v>72</v>
      </c>
      <c r="J197" s="278">
        <v>42000</v>
      </c>
      <c r="K197" s="38">
        <f>ROUND(I197*J197,0)</f>
        <v>3024000</v>
      </c>
      <c r="L197" s="749" t="s">
        <v>193</v>
      </c>
      <c r="M197" s="749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39"/>
    </row>
    <row r="198" spans="1:30" s="225" customFormat="1" ht="15.75" customHeight="1">
      <c r="A198" s="218" t="str">
        <f>IF(B198&lt;&gt;"",IF(AND(B198&gt;=_TM1,B198&lt;=_TM2,OR(TH!L198="1111",TH!M198="1111")),TH!D198,""),"")</f>
        <v/>
      </c>
      <c r="B198" s="36">
        <f t="shared" si="7"/>
        <v>1</v>
      </c>
      <c r="C198" s="194">
        <v>41276</v>
      </c>
      <c r="D198" s="194"/>
      <c r="E198" s="204">
        <v>41235</v>
      </c>
      <c r="F198" s="202" t="s">
        <v>570</v>
      </c>
      <c r="G198" s="883" t="s">
        <v>569</v>
      </c>
      <c r="H198" s="7" t="s">
        <v>492</v>
      </c>
      <c r="I198" s="277"/>
      <c r="J198" s="278"/>
      <c r="K198" s="748">
        <v>302400</v>
      </c>
      <c r="L198" s="749" t="s">
        <v>9</v>
      </c>
      <c r="M198" s="749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  <c r="AB198" s="225" t="s">
        <v>19</v>
      </c>
    </row>
    <row r="199" spans="1:30" s="225" customFormat="1" ht="15.75" customHeight="1">
      <c r="A199" s="218">
        <f>IF(B199&lt;&gt;"",IF(AND(B199&gt;=_TM1,B199&lt;=_TM2,OR(TH!L199="1111",TH!M199="1111")),TH!D199,""),"")</f>
        <v>0</v>
      </c>
      <c r="B199" s="36">
        <f t="shared" si="7"/>
        <v>1</v>
      </c>
      <c r="C199" s="194">
        <v>41276</v>
      </c>
      <c r="D199" s="194"/>
      <c r="E199" s="204">
        <v>41235</v>
      </c>
      <c r="F199" s="202" t="s">
        <v>533</v>
      </c>
      <c r="G199" s="883" t="s">
        <v>569</v>
      </c>
      <c r="H199" s="7" t="s">
        <v>492</v>
      </c>
      <c r="I199" s="277"/>
      <c r="J199" s="278"/>
      <c r="K199" s="748">
        <v>3326400</v>
      </c>
      <c r="L199" s="749" t="s">
        <v>8</v>
      </c>
      <c r="M199" s="749" t="s">
        <v>49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/>
      </c>
      <c r="P199" s="55" t="str">
        <f>IF(AND($L199=$O$7,$B199&lt;'111'!$N$11),"x","")</f>
        <v/>
      </c>
      <c r="Q199" s="55" t="str">
        <f>IF(AND($M199=$O$7,$B199&lt;'111'!$N$11),"x","")</f>
        <v>x</v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39"/>
      <c r="AD199" s="739"/>
    </row>
    <row r="200" spans="1:30" s="225" customFormat="1" ht="15.75" customHeight="1">
      <c r="A200" s="218" t="str">
        <f>IF(B200&lt;&gt;"",IF(AND(B200&gt;=_TM1,B200&lt;=_TM2,OR(TH!L200="1111",TH!M200="1111")),TH!D200,""),"")</f>
        <v/>
      </c>
      <c r="B200" s="36">
        <f t="shared" si="7"/>
        <v>1</v>
      </c>
      <c r="C200" s="194">
        <f t="shared" si="8"/>
        <v>41281</v>
      </c>
      <c r="D200" s="194"/>
      <c r="E200" s="204">
        <v>41281</v>
      </c>
      <c r="F200" s="202" t="s">
        <v>491</v>
      </c>
      <c r="G200" s="883" t="s">
        <v>571</v>
      </c>
      <c r="H200" s="7" t="s">
        <v>572</v>
      </c>
      <c r="I200" s="277">
        <v>50</v>
      </c>
      <c r="J200" s="278">
        <v>25000</v>
      </c>
      <c r="K200" s="38">
        <f>ROUND(I200*J200,0)</f>
        <v>1250000</v>
      </c>
      <c r="L200" s="749" t="s">
        <v>193</v>
      </c>
      <c r="M200" s="749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>x</v>
      </c>
      <c r="Z200" s="55" t="str">
        <f>IF(AND(OR(LEFT(TH!L200,2)="15",LEFT(TH!M200,2)="15"),TK!$E$7=TH!F200),"x","")</f>
        <v>x</v>
      </c>
      <c r="AA200" s="55" t="str">
        <f>IF(AND(B200&lt;=NKC!$N$8,B200&gt;=NKC!$M$8),"x","")</f>
        <v/>
      </c>
      <c r="AB200" s="739"/>
      <c r="AC200" s="739"/>
      <c r="AD200" s="739"/>
    </row>
    <row r="201" spans="1:30" s="739" customFormat="1" ht="15.75" customHeight="1">
      <c r="A201" s="218" t="str">
        <f>IF(B201&lt;&gt;"",IF(AND(B201&gt;=_TM1,B201&lt;=_TM2,OR(TH!L201="1111",TH!M201="1111")),TH!D201,""),"")</f>
        <v/>
      </c>
      <c r="B201" s="36">
        <f t="shared" si="7"/>
        <v>1</v>
      </c>
      <c r="C201" s="194">
        <f t="shared" si="8"/>
        <v>41281</v>
      </c>
      <c r="D201" s="194"/>
      <c r="E201" s="204">
        <v>41281</v>
      </c>
      <c r="F201" s="202" t="s">
        <v>573</v>
      </c>
      <c r="G201" s="883" t="s">
        <v>571</v>
      </c>
      <c r="H201" s="7" t="s">
        <v>572</v>
      </c>
      <c r="I201" s="277"/>
      <c r="J201" s="278"/>
      <c r="K201" s="38">
        <v>125000</v>
      </c>
      <c r="L201" s="749" t="s">
        <v>9</v>
      </c>
      <c r="M201" s="749" t="s">
        <v>8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/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  <c r="AB201" s="739">
        <v>1</v>
      </c>
    </row>
    <row r="202" spans="1:30" s="739" customFormat="1" ht="15.75" customHeight="1">
      <c r="A202" s="218">
        <f>IF(B202&lt;&gt;"",IF(AND(B202&gt;=_TM1,B202&lt;=_TM2,OR(TH!L202="1111",TH!M202="1111")),TH!D202,""),"")</f>
        <v>0</v>
      </c>
      <c r="B202" s="36">
        <f t="shared" si="7"/>
        <v>1</v>
      </c>
      <c r="C202" s="194">
        <f t="shared" si="8"/>
        <v>41281</v>
      </c>
      <c r="D202" s="194"/>
      <c r="E202" s="204">
        <v>41281</v>
      </c>
      <c r="F202" s="202" t="s">
        <v>533</v>
      </c>
      <c r="G202" s="883" t="s">
        <v>571</v>
      </c>
      <c r="H202" s="7" t="s">
        <v>572</v>
      </c>
      <c r="I202" s="277"/>
      <c r="J202" s="278"/>
      <c r="K202" s="38">
        <v>1375000</v>
      </c>
      <c r="L202" s="749" t="s">
        <v>8</v>
      </c>
      <c r="M202" s="749" t="s">
        <v>49</v>
      </c>
      <c r="N202" s="55" t="str">
        <f>IF(AND('331-CT'!$E$7=TH!H202,OR(L202="331",M202="331")),"x","")</f>
        <v/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>x</v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5"/>
    </row>
    <row r="203" spans="1:30" s="739" customFormat="1" ht="15.75" customHeight="1">
      <c r="A203" s="218" t="str">
        <f>IF(B203&lt;&gt;"",IF(AND(B203&gt;=_TM1,B203&lt;=_TM2,OR(TH!L203="1111",TH!M203="1111")),TH!D203,""),"")</f>
        <v/>
      </c>
      <c r="B203" s="36">
        <f t="shared" si="7"/>
        <v>11</v>
      </c>
      <c r="C203" s="194">
        <f t="shared" si="8"/>
        <v>41600</v>
      </c>
      <c r="D203" s="194"/>
      <c r="E203" s="204">
        <v>41600</v>
      </c>
      <c r="F203" s="202" t="s">
        <v>574</v>
      </c>
      <c r="G203" s="883" t="s">
        <v>575</v>
      </c>
      <c r="H203" s="7" t="s">
        <v>576</v>
      </c>
      <c r="I203" s="277"/>
      <c r="J203" s="278"/>
      <c r="K203" s="38">
        <v>1027273</v>
      </c>
      <c r="L203" s="749" t="s">
        <v>87</v>
      </c>
      <c r="M203" s="749" t="s">
        <v>49</v>
      </c>
      <c r="N203" s="55" t="str">
        <f>IF(AND('331-CT'!$E$7=TH!H203,OR(L203="331",M203="331")),"x","")</f>
        <v/>
      </c>
      <c r="O203" s="55" t="str">
        <f>IF(AND($B203&gt;='111'!$N$11,$B203&lt;='111'!$O$11,OR($L203=$O$7,$M203=$O$7)),"x","")</f>
        <v>x</v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5"/>
    </row>
    <row r="204" spans="1:30" s="739" customFormat="1" ht="15.75" customHeight="1">
      <c r="A204" s="218" t="str">
        <f>IF(B204&lt;&gt;"",IF(AND(B204&gt;=_TM1,B204&lt;=_TM2,OR(TH!L204="1111",TH!M204="1111")),TH!D204,""),"")</f>
        <v/>
      </c>
      <c r="B204" s="36">
        <f t="shared" si="7"/>
        <v>11</v>
      </c>
      <c r="C204" s="194">
        <f t="shared" si="8"/>
        <v>41600</v>
      </c>
      <c r="D204" s="194"/>
      <c r="E204" s="204">
        <v>41600</v>
      </c>
      <c r="F204" s="202" t="s">
        <v>577</v>
      </c>
      <c r="G204" s="883" t="s">
        <v>575</v>
      </c>
      <c r="H204" s="7" t="s">
        <v>576</v>
      </c>
      <c r="I204" s="277"/>
      <c r="J204" s="278"/>
      <c r="K204" s="38">
        <v>102727</v>
      </c>
      <c r="L204" s="749" t="s">
        <v>9</v>
      </c>
      <c r="M204" s="749" t="s">
        <v>49</v>
      </c>
      <c r="N204" s="55" t="str">
        <f>IF(AND('331-CT'!$E$7=TH!H204,OR(L204="331",M204="331")),"x","")</f>
        <v/>
      </c>
      <c r="O204" s="55" t="str">
        <f>IF(AND($B204&gt;='111'!$N$11,$B204&lt;='111'!$O$11,OR($L204=$O$7,$M204=$O$7)),"x","")</f>
        <v>x</v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B204" s="739">
        <v>12</v>
      </c>
      <c r="AC204" s="225"/>
    </row>
    <row r="205" spans="1:30" s="739" customFormat="1" ht="15.75" customHeight="1">
      <c r="A205" s="218" t="str">
        <f>IF(B205&lt;&gt;"",IF(AND(B205&gt;=_TM1,B205&lt;=_TM2,OR(TH!L205="1111",TH!M205="1111")),TH!D205,""),"")</f>
        <v/>
      </c>
      <c r="B205" s="36">
        <f t="shared" si="7"/>
        <v>7</v>
      </c>
      <c r="C205" s="194">
        <f t="shared" si="8"/>
        <v>41471</v>
      </c>
      <c r="D205" s="194"/>
      <c r="E205" s="204">
        <v>41471</v>
      </c>
      <c r="F205" s="202" t="s">
        <v>578</v>
      </c>
      <c r="G205" s="883" t="s">
        <v>579</v>
      </c>
      <c r="H205" s="7" t="s">
        <v>580</v>
      </c>
      <c r="I205" s="277"/>
      <c r="J205" s="278"/>
      <c r="K205" s="38">
        <v>850000</v>
      </c>
      <c r="L205" s="749" t="s">
        <v>87</v>
      </c>
      <c r="M205" s="749" t="s">
        <v>49</v>
      </c>
      <c r="N205" s="55" t="str">
        <f>IF(AND('331-CT'!$E$7=TH!H205,OR(L205="331",M205="331")),"x","")</f>
        <v/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>x</v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5"/>
      <c r="AC205" s="225"/>
    </row>
    <row r="206" spans="1:30" s="739" customFormat="1" ht="15.75" customHeight="1">
      <c r="A206" s="218" t="str">
        <f>IF(B206&lt;&gt;"",IF(AND(B206&gt;=_TM1,B206&lt;=_TM2,OR(TH!L206="1111",TH!M206="1111")),TH!D206,""),"")</f>
        <v/>
      </c>
      <c r="B206" s="36">
        <f t="shared" si="7"/>
        <v>7</v>
      </c>
      <c r="C206" s="194">
        <f t="shared" si="8"/>
        <v>41471</v>
      </c>
      <c r="D206" s="194"/>
      <c r="E206" s="204">
        <v>41471</v>
      </c>
      <c r="F206" s="202" t="s">
        <v>581</v>
      </c>
      <c r="G206" s="883" t="s">
        <v>579</v>
      </c>
      <c r="H206" s="7" t="s">
        <v>580</v>
      </c>
      <c r="I206" s="276"/>
      <c r="J206" s="278"/>
      <c r="K206" s="748">
        <v>85000</v>
      </c>
      <c r="L206" s="749" t="s">
        <v>9</v>
      </c>
      <c r="M206" s="749" t="s">
        <v>49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>x</v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  <c r="AB206" s="739">
        <v>9</v>
      </c>
    </row>
    <row r="207" spans="1:30" s="739" customFormat="1" ht="15.75" customHeight="1">
      <c r="A207" s="218" t="str">
        <f>IF(B207&lt;&gt;"",IF(AND(B207&gt;=_TM1,B207&lt;=_TM2,OR(TH!L207="1111",TH!M207="1111")),TH!D207,""),"")</f>
        <v/>
      </c>
      <c r="B207" s="36">
        <f t="shared" si="7"/>
        <v>11</v>
      </c>
      <c r="C207" s="194">
        <f t="shared" si="8"/>
        <v>41607</v>
      </c>
      <c r="D207" s="194"/>
      <c r="E207" s="204">
        <v>41607</v>
      </c>
      <c r="F207" s="202" t="s">
        <v>251</v>
      </c>
      <c r="G207" s="883" t="s">
        <v>582</v>
      </c>
      <c r="H207" s="7" t="s">
        <v>583</v>
      </c>
      <c r="I207" s="277">
        <v>240</v>
      </c>
      <c r="J207" s="278">
        <v>6060</v>
      </c>
      <c r="K207" s="38">
        <f>ROUND(I207*J207,0)</f>
        <v>1454400</v>
      </c>
      <c r="L207" s="749" t="s">
        <v>199</v>
      </c>
      <c r="M207" s="749" t="s">
        <v>49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>x</v>
      </c>
      <c r="P207" s="55" t="str">
        <f>IF(AND($L207=$O$7,$B207&lt;'111'!$N$11),"x","")</f>
        <v/>
      </c>
      <c r="Q207" s="55" t="str">
        <f>IF(AND($M207=$O$7,$B207&lt;'111'!$N$11),"x","")</f>
        <v/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5"/>
    </row>
    <row r="208" spans="1:30" s="739" customFormat="1" ht="15.75" customHeight="1">
      <c r="A208" s="218" t="str">
        <f>IF(B208&lt;&gt;"",IF(AND(B208&gt;=_TM1,B208&lt;=_TM2,OR(TH!L208="1111",TH!M208="1111")),TH!D208,""),"")</f>
        <v/>
      </c>
      <c r="B208" s="36">
        <f t="shared" si="7"/>
        <v>11</v>
      </c>
      <c r="C208" s="194">
        <f t="shared" si="8"/>
        <v>41607</v>
      </c>
      <c r="D208" s="194"/>
      <c r="E208" s="204">
        <v>41607</v>
      </c>
      <c r="F208" s="202" t="s">
        <v>584</v>
      </c>
      <c r="G208" s="883" t="s">
        <v>582</v>
      </c>
      <c r="H208" s="7" t="s">
        <v>583</v>
      </c>
      <c r="I208" s="277"/>
      <c r="J208" s="278"/>
      <c r="K208" s="38">
        <v>145440</v>
      </c>
      <c r="L208" s="749" t="s">
        <v>9</v>
      </c>
      <c r="M208" s="749" t="s">
        <v>49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>x</v>
      </c>
      <c r="P208" s="55" t="str">
        <f>IF(AND($L208=$O$7,$B208&lt;'111'!$N$11),"x","")</f>
        <v/>
      </c>
      <c r="Q208" s="55" t="str">
        <f>IF(AND($M208=$O$7,$B208&lt;'111'!$N$11),"x","")</f>
        <v/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5">
        <v>12</v>
      </c>
      <c r="AC208" s="225"/>
      <c r="AD208" s="225"/>
    </row>
    <row r="209" spans="1:30" s="739" customFormat="1" ht="15.75" customHeight="1">
      <c r="A209" s="218" t="str">
        <f>IF(B209&lt;&gt;"",IF(AND(B209&gt;=_TM1,B209&lt;=_TM2,OR(TH!L209="1111",TH!M209="1111")),TH!D209,""),"")</f>
        <v/>
      </c>
      <c r="B209" s="36">
        <f t="shared" si="7"/>
        <v>12</v>
      </c>
      <c r="C209" s="194">
        <f t="shared" si="8"/>
        <v>41625</v>
      </c>
      <c r="D209" s="194"/>
      <c r="E209" s="204">
        <v>41625</v>
      </c>
      <c r="F209" s="202" t="s">
        <v>585</v>
      </c>
      <c r="G209" s="883" t="s">
        <v>586</v>
      </c>
      <c r="H209" s="7" t="s">
        <v>587</v>
      </c>
      <c r="I209" s="277">
        <v>100</v>
      </c>
      <c r="J209" s="278">
        <v>17500</v>
      </c>
      <c r="K209" s="38">
        <f>ROUND(I209*J209,0)</f>
        <v>1750000</v>
      </c>
      <c r="L209" s="749" t="s">
        <v>199</v>
      </c>
      <c r="M209" s="749" t="s">
        <v>49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>x</v>
      </c>
      <c r="P209" s="55" t="str">
        <f>IF(AND($L209=$O$7,$B209&lt;'111'!$N$11),"x","")</f>
        <v/>
      </c>
      <c r="Q209" s="55" t="str">
        <f>IF(AND($M209=$O$7,$B209&lt;'111'!$N$11),"x","")</f>
        <v/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5"/>
    </row>
    <row r="210" spans="1:30" s="739" customFormat="1" ht="15.75" customHeight="1">
      <c r="A210" s="218" t="str">
        <f>IF(B210&lt;&gt;"",IF(AND(B210&gt;=_TM1,B210&lt;=_TM2,OR(TH!L210="1111",TH!M210="1111")),TH!D210,""),"")</f>
        <v/>
      </c>
      <c r="B210" s="36">
        <f t="shared" si="7"/>
        <v>12</v>
      </c>
      <c r="C210" s="194">
        <f t="shared" si="8"/>
        <v>41625</v>
      </c>
      <c r="D210" s="194"/>
      <c r="E210" s="204">
        <v>41625</v>
      </c>
      <c r="F210" s="202" t="s">
        <v>588</v>
      </c>
      <c r="G210" s="883" t="s">
        <v>586</v>
      </c>
      <c r="H210" s="7" t="s">
        <v>587</v>
      </c>
      <c r="I210" s="277"/>
      <c r="J210" s="278"/>
      <c r="K210" s="38">
        <v>175000</v>
      </c>
      <c r="L210" s="749" t="s">
        <v>9</v>
      </c>
      <c r="M210" s="749" t="s">
        <v>49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>x</v>
      </c>
      <c r="P210" s="55" t="str">
        <f>IF(AND($L210=$O$7,$B210&lt;'111'!$N$11),"x","")</f>
        <v/>
      </c>
      <c r="Q210" s="55" t="str">
        <f>IF(AND($M210=$O$7,$B210&lt;'111'!$N$11),"x","")</f>
        <v/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5">
        <v>12</v>
      </c>
      <c r="AC210" s="225"/>
      <c r="AD210" s="225"/>
    </row>
    <row r="211" spans="1:30" s="739" customFormat="1" ht="15.75" customHeight="1">
      <c r="A211" s="218" t="str">
        <f>IF(B211&lt;&gt;"",IF(AND(B211&gt;=_TM1,B211&lt;=_TM2,OR(TH!L211="1111",TH!M211="1111")),TH!D211,""),"")</f>
        <v/>
      </c>
      <c r="B211" s="36">
        <f t="shared" si="7"/>
        <v>12</v>
      </c>
      <c r="C211" s="194">
        <f t="shared" si="8"/>
        <v>41613</v>
      </c>
      <c r="D211" s="194"/>
      <c r="E211" s="204">
        <v>41613</v>
      </c>
      <c r="F211" s="202" t="s">
        <v>453</v>
      </c>
      <c r="G211" s="883" t="s">
        <v>589</v>
      </c>
      <c r="H211" s="7" t="s">
        <v>492</v>
      </c>
      <c r="I211" s="276">
        <v>48</v>
      </c>
      <c r="J211" s="278">
        <v>44000</v>
      </c>
      <c r="K211" s="38">
        <f>ROUND(I211*J211,0)</f>
        <v>2112000</v>
      </c>
      <c r="L211" s="749" t="s">
        <v>193</v>
      </c>
      <c r="M211" s="749" t="s">
        <v>8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/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39" customFormat="1" ht="15.75" customHeight="1">
      <c r="A212" s="218" t="str">
        <f>IF(B212&lt;&gt;"",IF(AND(B212&gt;=_TM1,B212&lt;=_TM2,OR(TH!L212="1111",TH!M212="1111")),TH!D212,""),"")</f>
        <v/>
      </c>
      <c r="B212" s="36">
        <f t="shared" si="7"/>
        <v>12</v>
      </c>
      <c r="C212" s="194">
        <f t="shared" si="8"/>
        <v>41613</v>
      </c>
      <c r="D212" s="194"/>
      <c r="E212" s="204">
        <v>41613</v>
      </c>
      <c r="F212" s="202" t="s">
        <v>570</v>
      </c>
      <c r="G212" s="883" t="s">
        <v>589</v>
      </c>
      <c r="H212" s="7" t="s">
        <v>492</v>
      </c>
      <c r="I212" s="277"/>
      <c r="J212" s="278"/>
      <c r="K212" s="748">
        <v>211200</v>
      </c>
      <c r="L212" s="749" t="s">
        <v>9</v>
      </c>
      <c r="M212" s="749" t="s">
        <v>8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/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/>
      </c>
      <c r="AB212" s="739">
        <v>12</v>
      </c>
    </row>
    <row r="213" spans="1:30" s="739" customFormat="1" ht="15.75" customHeight="1">
      <c r="A213" s="218" t="str">
        <f>IF(B213&lt;&gt;"",IF(AND(B213&gt;=_TM1,B213&lt;=_TM2,OR(TH!L213="1111",TH!M213="1111")),TH!D213,""),"")</f>
        <v/>
      </c>
      <c r="B213" s="36">
        <f t="shared" si="7"/>
        <v>12</v>
      </c>
      <c r="C213" s="194">
        <f t="shared" si="8"/>
        <v>41613</v>
      </c>
      <c r="D213" s="194"/>
      <c r="E213" s="204">
        <v>41613</v>
      </c>
      <c r="F213" s="202" t="s">
        <v>533</v>
      </c>
      <c r="G213" s="883" t="s">
        <v>589</v>
      </c>
      <c r="H213" s="7" t="s">
        <v>492</v>
      </c>
      <c r="I213" s="277"/>
      <c r="J213" s="278"/>
      <c r="K213" s="748">
        <v>2323200</v>
      </c>
      <c r="L213" s="749" t="s">
        <v>8</v>
      </c>
      <c r="M213" s="749" t="s">
        <v>49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>x</v>
      </c>
      <c r="P213" s="55" t="str">
        <f>IF(AND($L213=$O$7,$B213&lt;'111'!$N$11),"x","")</f>
        <v/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/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/>
      </c>
    </row>
    <row r="214" spans="1:30" s="739" customFormat="1" ht="15.75" customHeight="1">
      <c r="A214" s="218" t="str">
        <f>IF(B214&lt;&gt;"",IF(AND(B214&gt;=_TM1,B214&lt;=_TM2,OR(TH!L214="1111",TH!M214="1111")),TH!D214,""),"")</f>
        <v/>
      </c>
      <c r="B214" s="36">
        <f t="shared" si="7"/>
        <v>12</v>
      </c>
      <c r="C214" s="194">
        <f t="shared" si="8"/>
        <v>41616</v>
      </c>
      <c r="D214" s="194"/>
      <c r="E214" s="937">
        <v>41616</v>
      </c>
      <c r="F214" s="202" t="s">
        <v>574</v>
      </c>
      <c r="G214" s="883" t="s">
        <v>590</v>
      </c>
      <c r="H214" s="7" t="s">
        <v>591</v>
      </c>
      <c r="I214" s="276"/>
      <c r="J214" s="278"/>
      <c r="K214" s="38">
        <v>1413637</v>
      </c>
      <c r="L214" s="749" t="s">
        <v>87</v>
      </c>
      <c r="M214" s="749" t="s">
        <v>49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>x</v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/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/>
      </c>
      <c r="AB214" s="225"/>
      <c r="AC214" s="225"/>
    </row>
    <row r="215" spans="1:30" s="739" customFormat="1" ht="15.75" customHeight="1">
      <c r="A215" s="218" t="str">
        <f>IF(B215&lt;&gt;"",IF(AND(B215&gt;=_TM1,B215&lt;=_TM2,OR(TH!L215="1111",TH!M215="1111")),TH!D215,""),"")</f>
        <v/>
      </c>
      <c r="B215" s="36">
        <f t="shared" si="7"/>
        <v>12</v>
      </c>
      <c r="C215" s="194">
        <f t="shared" si="8"/>
        <v>41616</v>
      </c>
      <c r="D215" s="194"/>
      <c r="E215" s="937">
        <v>41616</v>
      </c>
      <c r="F215" s="202" t="s">
        <v>577</v>
      </c>
      <c r="G215" s="883" t="s">
        <v>590</v>
      </c>
      <c r="H215" s="7" t="s">
        <v>591</v>
      </c>
      <c r="I215" s="277"/>
      <c r="J215" s="278"/>
      <c r="K215" s="38">
        <v>141363</v>
      </c>
      <c r="L215" s="749" t="s">
        <v>9</v>
      </c>
      <c r="M215" s="749" t="s">
        <v>49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>x</v>
      </c>
      <c r="P215" s="55" t="str">
        <f>IF(AND($L215=$O$7,$B215&lt;'111'!$N$11),"x","")</f>
        <v/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/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/>
      </c>
      <c r="AB215" s="739">
        <v>12</v>
      </c>
    </row>
    <row r="216" spans="1:30" s="739" customFormat="1" ht="15.75" customHeight="1">
      <c r="A216" s="218" t="str">
        <f>IF(B216&lt;&gt;"",IF(AND(B216&gt;=_TM1,B216&lt;=_TM2,OR(TH!L216="1111",TH!M216="1111")),TH!D216,""),"")</f>
        <v/>
      </c>
      <c r="B216" s="36">
        <f t="shared" ref="B216:B255" si="9">IF(C216&lt;&gt;"",MONTH(C216),"")</f>
        <v>11</v>
      </c>
      <c r="C216" s="194">
        <f t="shared" si="8"/>
        <v>41589</v>
      </c>
      <c r="D216" s="194"/>
      <c r="E216" s="204">
        <v>41589</v>
      </c>
      <c r="F216" s="202" t="s">
        <v>564</v>
      </c>
      <c r="G216" s="883" t="s">
        <v>592</v>
      </c>
      <c r="H216" s="7" t="s">
        <v>593</v>
      </c>
      <c r="I216" s="277"/>
      <c r="J216" s="278"/>
      <c r="K216" s="38">
        <v>293364</v>
      </c>
      <c r="L216" s="749" t="s">
        <v>87</v>
      </c>
      <c r="M216" s="749" t="s">
        <v>49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>x</v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/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/>
      </c>
    </row>
    <row r="217" spans="1:30" s="739" customFormat="1" ht="15.75" customHeight="1">
      <c r="A217" s="218" t="str">
        <f>IF(B217&lt;&gt;"",IF(AND(B217&gt;=_TM1,B217&lt;=_TM2,OR(TH!L217="1111",TH!M217="1111")),TH!D217,""),"")</f>
        <v/>
      </c>
      <c r="B217" s="36">
        <f t="shared" si="9"/>
        <v>11</v>
      </c>
      <c r="C217" s="194">
        <f t="shared" ref="C217:C255" si="10">E217</f>
        <v>41589</v>
      </c>
      <c r="D217" s="194"/>
      <c r="E217" s="204">
        <v>41589</v>
      </c>
      <c r="F217" s="202" t="s">
        <v>594</v>
      </c>
      <c r="G217" s="883" t="s">
        <v>592</v>
      </c>
      <c r="H217" s="7" t="s">
        <v>593</v>
      </c>
      <c r="I217" s="277"/>
      <c r="J217" s="278"/>
      <c r="K217" s="38">
        <v>29336</v>
      </c>
      <c r="L217" s="749" t="s">
        <v>9</v>
      </c>
      <c r="M217" s="749" t="s">
        <v>49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>x</v>
      </c>
      <c r="P217" s="55" t="str">
        <f>IF(AND($L217=$O$7,$B217&lt;'111'!$N$11),"x","")</f>
        <v/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/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/>
      </c>
      <c r="AB217" s="739">
        <v>12</v>
      </c>
      <c r="AC217" s="225"/>
    </row>
    <row r="218" spans="1:30" s="739" customFormat="1" ht="15.75" customHeight="1">
      <c r="A218" s="218" t="str">
        <f>IF(B218&lt;&gt;"",IF(AND(B218&gt;=_TM1,B218&lt;=_TM2,OR(TH!L218="1111",TH!M218="1111")),TH!D218,""),"")</f>
        <v/>
      </c>
      <c r="B218" s="36">
        <f t="shared" si="9"/>
        <v>11</v>
      </c>
      <c r="C218" s="194">
        <f t="shared" si="10"/>
        <v>41604</v>
      </c>
      <c r="D218" s="194"/>
      <c r="E218" s="194">
        <v>41604</v>
      </c>
      <c r="F218" s="202" t="s">
        <v>599</v>
      </c>
      <c r="G218" s="883" t="s">
        <v>596</v>
      </c>
      <c r="H218" s="7" t="s">
        <v>595</v>
      </c>
      <c r="I218" s="276"/>
      <c r="J218" s="276"/>
      <c r="K218" s="748">
        <v>4025000</v>
      </c>
      <c r="L218" s="749" t="s">
        <v>199</v>
      </c>
      <c r="M218" s="749" t="s">
        <v>49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>x</v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/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/>
      </c>
      <c r="AB218" s="225"/>
      <c r="AC218" s="225"/>
    </row>
    <row r="219" spans="1:30" s="739" customFormat="1" ht="15.75" customHeight="1">
      <c r="A219" s="218" t="str">
        <f>IF(B219&lt;&gt;"",IF(AND(B219&gt;=_TM1,B219&lt;=_TM2,OR(TH!L219="1111",TH!M219="1111")),TH!D219,""),"")</f>
        <v/>
      </c>
      <c r="B219" s="36">
        <f t="shared" si="9"/>
        <v>11</v>
      </c>
      <c r="C219" s="194">
        <f t="shared" si="10"/>
        <v>41604</v>
      </c>
      <c r="D219" s="194"/>
      <c r="E219" s="194">
        <v>41604</v>
      </c>
      <c r="F219" s="202" t="s">
        <v>600</v>
      </c>
      <c r="G219" s="883" t="s">
        <v>596</v>
      </c>
      <c r="H219" s="7" t="s">
        <v>595</v>
      </c>
      <c r="I219" s="276"/>
      <c r="J219" s="276"/>
      <c r="K219" s="748">
        <v>402500</v>
      </c>
      <c r="L219" s="749" t="s">
        <v>9</v>
      </c>
      <c r="M219" s="749" t="s">
        <v>49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>x</v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/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/>
      </c>
      <c r="AB219" s="739">
        <v>12</v>
      </c>
    </row>
    <row r="220" spans="1:30" s="739" customFormat="1" ht="15.75" customHeight="1">
      <c r="A220" s="218" t="str">
        <f>IF(B220&lt;&gt;"",IF(AND(B220&gt;=_TM1,B220&lt;=_TM2,OR(TH!L220="1111",TH!M220="1111")),TH!D220,""),"")</f>
        <v/>
      </c>
      <c r="B220" s="36">
        <f t="shared" si="9"/>
        <v>12</v>
      </c>
      <c r="C220" s="194">
        <f t="shared" si="10"/>
        <v>41615</v>
      </c>
      <c r="D220" s="194"/>
      <c r="E220" s="37">
        <v>41615</v>
      </c>
      <c r="F220" s="202" t="s">
        <v>599</v>
      </c>
      <c r="G220" s="626" t="s">
        <v>597</v>
      </c>
      <c r="H220" s="7" t="s">
        <v>595</v>
      </c>
      <c r="I220" s="276"/>
      <c r="J220" s="276"/>
      <c r="K220" s="748">
        <v>2120000</v>
      </c>
      <c r="L220" s="749" t="s">
        <v>199</v>
      </c>
      <c r="M220" s="749" t="s">
        <v>49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>x</v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/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/>
      </c>
      <c r="AB220" s="225"/>
      <c r="AC220" s="225"/>
    </row>
    <row r="221" spans="1:30" s="739" customFormat="1" ht="15.75" customHeight="1">
      <c r="A221" s="218" t="str">
        <f>IF(B221&lt;&gt;"",IF(AND(B221&gt;=_TM1,B221&lt;=_TM2,OR(TH!L221="1111",TH!M221="1111")),TH!D221,""),"")</f>
        <v/>
      </c>
      <c r="B221" s="36">
        <f t="shared" si="9"/>
        <v>12</v>
      </c>
      <c r="C221" s="194">
        <f t="shared" si="10"/>
        <v>41615</v>
      </c>
      <c r="D221" s="194"/>
      <c r="E221" s="37">
        <v>41615</v>
      </c>
      <c r="F221" s="202" t="s">
        <v>600</v>
      </c>
      <c r="G221" s="626" t="s">
        <v>597</v>
      </c>
      <c r="H221" s="7" t="s">
        <v>595</v>
      </c>
      <c r="I221" s="276"/>
      <c r="J221" s="276"/>
      <c r="K221" s="748">
        <v>212000</v>
      </c>
      <c r="L221" s="749" t="s">
        <v>9</v>
      </c>
      <c r="M221" s="749" t="s">
        <v>49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>x</v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/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/>
      </c>
      <c r="AB221" s="225">
        <v>12</v>
      </c>
      <c r="AC221" s="225"/>
    </row>
    <row r="222" spans="1:30" s="739" customFormat="1" ht="15.75" customHeight="1">
      <c r="A222" s="218" t="str">
        <f>IF(B222&lt;&gt;"",IF(AND(B222&gt;=_TM1,B222&lt;=_TM2,OR(TH!L222="1111",TH!M222="1111")),TH!D222,""),"")</f>
        <v/>
      </c>
      <c r="B222" s="36">
        <f t="shared" si="9"/>
        <v>12</v>
      </c>
      <c r="C222" s="194">
        <f t="shared" si="10"/>
        <v>41625</v>
      </c>
      <c r="D222" s="194"/>
      <c r="E222" s="37">
        <v>41625</v>
      </c>
      <c r="F222" s="202" t="s">
        <v>599</v>
      </c>
      <c r="G222" s="626" t="s">
        <v>598</v>
      </c>
      <c r="H222" s="7" t="s">
        <v>595</v>
      </c>
      <c r="I222" s="276"/>
      <c r="J222" s="276"/>
      <c r="K222" s="748">
        <v>2850000</v>
      </c>
      <c r="L222" s="749" t="s">
        <v>199</v>
      </c>
      <c r="M222" s="749" t="s">
        <v>49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>x</v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/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/>
      </c>
      <c r="AD222" s="225"/>
    </row>
    <row r="223" spans="1:30" s="739" customFormat="1" ht="15.75" customHeight="1">
      <c r="A223" s="218" t="str">
        <f>IF(B223&lt;&gt;"",IF(AND(B223&gt;=_TM1,B223&lt;=_TM2,OR(TH!L223="1111",TH!M223="1111")),TH!D223,""),"")</f>
        <v/>
      </c>
      <c r="B223" s="36">
        <f t="shared" si="9"/>
        <v>12</v>
      </c>
      <c r="C223" s="194">
        <f t="shared" si="10"/>
        <v>41625</v>
      </c>
      <c r="D223" s="194"/>
      <c r="E223" s="37">
        <v>41625</v>
      </c>
      <c r="F223" s="202" t="s">
        <v>600</v>
      </c>
      <c r="G223" s="626" t="s">
        <v>598</v>
      </c>
      <c r="H223" s="7" t="s">
        <v>595</v>
      </c>
      <c r="I223" s="276"/>
      <c r="J223" s="276"/>
      <c r="K223" s="748">
        <v>285000</v>
      </c>
      <c r="L223" s="749" t="s">
        <v>9</v>
      </c>
      <c r="M223" s="749" t="s">
        <v>49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>x</v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/>
      </c>
      <c r="AB223" s="225">
        <v>12</v>
      </c>
      <c r="AC223" s="225"/>
      <c r="AD223" s="225"/>
    </row>
    <row r="224" spans="1:30" s="739" customFormat="1" ht="15.75" customHeight="1">
      <c r="A224" s="218">
        <f>IF(B224&lt;&gt;"",IF(AND(B224&gt;=_TM1,B224&lt;=_TM2,OR(TH!L224="1111",TH!M224="1111")),TH!D224,""),"")</f>
        <v>0</v>
      </c>
      <c r="B224" s="36">
        <f t="shared" si="9"/>
        <v>1</v>
      </c>
      <c r="C224" s="194">
        <f t="shared" si="10"/>
        <v>41303</v>
      </c>
      <c r="D224" s="194"/>
      <c r="E224" s="37">
        <v>41303</v>
      </c>
      <c r="F224" s="202" t="s">
        <v>599</v>
      </c>
      <c r="G224" s="626" t="s">
        <v>602</v>
      </c>
      <c r="H224" s="7" t="s">
        <v>601</v>
      </c>
      <c r="I224" s="276"/>
      <c r="J224" s="276"/>
      <c r="K224" s="748">
        <v>2600000</v>
      </c>
      <c r="L224" s="749" t="s">
        <v>199</v>
      </c>
      <c r="M224" s="749" t="s">
        <v>49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>x</v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/>
      </c>
      <c r="AC224" s="225"/>
      <c r="AD224" s="225"/>
    </row>
    <row r="225" spans="1:30" s="739" customFormat="1" ht="15.75" customHeight="1">
      <c r="A225" s="218">
        <f>IF(B225&lt;&gt;"",IF(AND(B225&gt;=_TM1,B225&lt;=_TM2,OR(TH!L225="1111",TH!M225="1111")),TH!D225,""),"")</f>
        <v>0</v>
      </c>
      <c r="B225" s="36">
        <f t="shared" si="9"/>
        <v>1</v>
      </c>
      <c r="C225" s="194">
        <f t="shared" si="10"/>
        <v>41303</v>
      </c>
      <c r="D225" s="194"/>
      <c r="E225" s="37">
        <v>41303</v>
      </c>
      <c r="F225" s="202" t="s">
        <v>600</v>
      </c>
      <c r="G225" s="626" t="s">
        <v>602</v>
      </c>
      <c r="H225" s="7" t="s">
        <v>601</v>
      </c>
      <c r="I225" s="276"/>
      <c r="J225" s="276"/>
      <c r="K225" s="748">
        <v>260000</v>
      </c>
      <c r="L225" s="749" t="s">
        <v>9</v>
      </c>
      <c r="M225" s="749" t="s">
        <v>49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>x</v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/>
      </c>
      <c r="AB225" s="225">
        <v>1</v>
      </c>
      <c r="AC225" s="225"/>
      <c r="AD225" s="225"/>
    </row>
    <row r="226" spans="1:30" s="739" customFormat="1" ht="15.75" customHeight="1">
      <c r="A226" s="218">
        <f>IF(B226&lt;&gt;"",IF(AND(B226&gt;=_TM1,B226&lt;=_TM2,OR(TH!L226="1111",TH!M226="1111")),TH!D226,""),"")</f>
        <v>0</v>
      </c>
      <c r="B226" s="36">
        <f t="shared" si="9"/>
        <v>3</v>
      </c>
      <c r="C226" s="194">
        <f t="shared" si="10"/>
        <v>41352</v>
      </c>
      <c r="D226" s="194"/>
      <c r="E226" s="37">
        <v>41352</v>
      </c>
      <c r="F226" s="202" t="s">
        <v>599</v>
      </c>
      <c r="G226" s="626" t="s">
        <v>603</v>
      </c>
      <c r="H226" s="7" t="s">
        <v>601</v>
      </c>
      <c r="I226" s="276"/>
      <c r="J226" s="276"/>
      <c r="K226" s="38">
        <v>4160000</v>
      </c>
      <c r="L226" s="749" t="s">
        <v>199</v>
      </c>
      <c r="M226" s="749" t="s">
        <v>49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>x</v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/>
      </c>
      <c r="AC226" s="225"/>
      <c r="AD226" s="225"/>
    </row>
    <row r="227" spans="1:30" s="739" customFormat="1" ht="15.75" customHeight="1">
      <c r="A227" s="218">
        <f>IF(B227&lt;&gt;"",IF(AND(B227&gt;=_TM1,B227&lt;=_TM2,OR(TH!L227="1111",TH!M227="1111")),TH!D227,""),"")</f>
        <v>0</v>
      </c>
      <c r="B227" s="36">
        <f t="shared" si="9"/>
        <v>3</v>
      </c>
      <c r="C227" s="194">
        <f t="shared" si="10"/>
        <v>41352</v>
      </c>
      <c r="D227" s="194"/>
      <c r="E227" s="37">
        <v>41352</v>
      </c>
      <c r="F227" s="202" t="s">
        <v>600</v>
      </c>
      <c r="G227" s="626" t="s">
        <v>603</v>
      </c>
      <c r="H227" s="7" t="s">
        <v>601</v>
      </c>
      <c r="I227" s="276"/>
      <c r="J227" s="276"/>
      <c r="K227" s="748">
        <v>416000</v>
      </c>
      <c r="L227" s="749" t="s">
        <v>9</v>
      </c>
      <c r="M227" s="749" t="s">
        <v>49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>x</v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/>
      </c>
      <c r="AB227" s="739">
        <v>3</v>
      </c>
      <c r="AC227" s="225"/>
    </row>
    <row r="228" spans="1:30" s="739" customFormat="1" ht="15.75" customHeight="1">
      <c r="A228" s="218">
        <f>IF(B228&lt;&gt;"",IF(AND(B228&gt;=_TM1,B228&lt;=_TM2,OR(TH!L228="1111",TH!M228="1111")),TH!D228,""),"")</f>
        <v>0</v>
      </c>
      <c r="B228" s="36">
        <f t="shared" si="9"/>
        <v>3</v>
      </c>
      <c r="C228" s="194">
        <f t="shared" si="10"/>
        <v>41362</v>
      </c>
      <c r="D228" s="194"/>
      <c r="E228" s="194">
        <v>41362</v>
      </c>
      <c r="F228" s="202" t="s">
        <v>599</v>
      </c>
      <c r="G228" s="883" t="s">
        <v>604</v>
      </c>
      <c r="H228" s="7" t="s">
        <v>601</v>
      </c>
      <c r="I228" s="276"/>
      <c r="J228" s="276"/>
      <c r="K228" s="748">
        <v>1560000</v>
      </c>
      <c r="L228" s="749" t="s">
        <v>199</v>
      </c>
      <c r="M228" s="749" t="s">
        <v>49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>x</v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/>
      </c>
      <c r="AC228" s="225"/>
    </row>
    <row r="229" spans="1:30" s="739" customFormat="1" ht="15.75" customHeight="1">
      <c r="A229" s="218">
        <f>IF(B229&lt;&gt;"",IF(AND(B229&gt;=_TM1,B229&lt;=_TM2,OR(TH!L229="1111",TH!M229="1111")),TH!D229,""),"")</f>
        <v>0</v>
      </c>
      <c r="B229" s="36">
        <f t="shared" si="9"/>
        <v>3</v>
      </c>
      <c r="C229" s="194">
        <f t="shared" si="10"/>
        <v>41362</v>
      </c>
      <c r="D229" s="194"/>
      <c r="E229" s="194">
        <v>41362</v>
      </c>
      <c r="F229" s="202" t="s">
        <v>600</v>
      </c>
      <c r="G229" s="883" t="s">
        <v>604</v>
      </c>
      <c r="H229" s="7" t="s">
        <v>601</v>
      </c>
      <c r="I229" s="276"/>
      <c r="J229" s="276"/>
      <c r="K229" s="748">
        <v>156000</v>
      </c>
      <c r="L229" s="749" t="s">
        <v>9</v>
      </c>
      <c r="M229" s="749" t="s">
        <v>49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>x</v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/>
      </c>
      <c r="AB229" s="739">
        <v>3</v>
      </c>
      <c r="AC229" s="225"/>
    </row>
    <row r="230" spans="1:30" s="739" customFormat="1" ht="15.75" customHeight="1">
      <c r="A230" s="218">
        <f>IF(B230&lt;&gt;"",IF(AND(B230&gt;=_TM1,B230&lt;=_TM2,OR(TH!L230="1111",TH!M230="1111")),TH!D230,""),"")</f>
        <v>0</v>
      </c>
      <c r="B230" s="36">
        <f t="shared" si="9"/>
        <v>3</v>
      </c>
      <c r="C230" s="194">
        <f t="shared" si="10"/>
        <v>41363</v>
      </c>
      <c r="D230" s="194"/>
      <c r="E230" s="37">
        <v>41363</v>
      </c>
      <c r="F230" s="202" t="s">
        <v>599</v>
      </c>
      <c r="G230" s="626" t="s">
        <v>605</v>
      </c>
      <c r="H230" s="7" t="s">
        <v>601</v>
      </c>
      <c r="I230" s="276"/>
      <c r="J230" s="276"/>
      <c r="K230" s="748">
        <v>1320000</v>
      </c>
      <c r="L230" s="749" t="s">
        <v>199</v>
      </c>
      <c r="M230" s="749" t="s">
        <v>49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>x</v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/>
      </c>
      <c r="AC230" s="225"/>
      <c r="AD230" s="225"/>
    </row>
    <row r="231" spans="1:30" s="739" customFormat="1" ht="15.75" customHeight="1">
      <c r="A231" s="218">
        <f>IF(B231&lt;&gt;"",IF(AND(B231&gt;=_TM1,B231&lt;=_TM2,OR(TH!L231="1111",TH!M231="1111")),TH!D231,""),"")</f>
        <v>0</v>
      </c>
      <c r="B231" s="36">
        <f t="shared" si="9"/>
        <v>3</v>
      </c>
      <c r="C231" s="194">
        <f t="shared" si="10"/>
        <v>41363</v>
      </c>
      <c r="D231" s="194"/>
      <c r="E231" s="37">
        <v>41363</v>
      </c>
      <c r="F231" s="202" t="s">
        <v>600</v>
      </c>
      <c r="G231" s="626" t="s">
        <v>605</v>
      </c>
      <c r="H231" s="7" t="s">
        <v>601</v>
      </c>
      <c r="I231" s="277"/>
      <c r="J231" s="277"/>
      <c r="K231" s="748">
        <v>132000</v>
      </c>
      <c r="L231" s="749" t="s">
        <v>9</v>
      </c>
      <c r="M231" s="749" t="s">
        <v>49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>x</v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/>
      </c>
      <c r="AB231" s="225">
        <v>3</v>
      </c>
      <c r="AC231" s="225"/>
      <c r="AD231" s="225"/>
    </row>
    <row r="232" spans="1:30" s="739" customFormat="1" ht="15.75" customHeight="1">
      <c r="A232" s="218" t="str">
        <f>IF(B232&lt;&gt;"",IF(AND(B232&gt;=_TM1,B232&lt;=_TM2,OR(TH!L232="1111",TH!M232="1111")),TH!D232,""),"")</f>
        <v/>
      </c>
      <c r="B232" s="36">
        <f t="shared" si="9"/>
        <v>5</v>
      </c>
      <c r="C232" s="194">
        <f t="shared" si="10"/>
        <v>41401</v>
      </c>
      <c r="D232" s="194"/>
      <c r="E232" s="37">
        <v>41401</v>
      </c>
      <c r="F232" s="202" t="s">
        <v>599</v>
      </c>
      <c r="G232" s="626" t="s">
        <v>606</v>
      </c>
      <c r="H232" s="7" t="s">
        <v>601</v>
      </c>
      <c r="I232" s="276"/>
      <c r="J232" s="276"/>
      <c r="K232" s="748">
        <v>3380000</v>
      </c>
      <c r="L232" s="749" t="s">
        <v>199</v>
      </c>
      <c r="M232" s="749" t="s">
        <v>49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>x</v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>x</v>
      </c>
      <c r="AB232" s="225"/>
      <c r="AC232" s="225"/>
      <c r="AD232" s="225"/>
    </row>
    <row r="233" spans="1:30" s="739" customFormat="1" ht="15.75" customHeight="1">
      <c r="A233" s="218" t="str">
        <f>IF(B233&lt;&gt;"",IF(AND(B233&gt;=_TM1,B233&lt;=_TM2,OR(TH!L233="1111",TH!M233="1111")),TH!D233,""),"")</f>
        <v/>
      </c>
      <c r="B233" s="36">
        <f t="shared" si="9"/>
        <v>5</v>
      </c>
      <c r="C233" s="194">
        <f t="shared" si="10"/>
        <v>41401</v>
      </c>
      <c r="D233" s="194"/>
      <c r="E233" s="37">
        <v>41401</v>
      </c>
      <c r="F233" s="202" t="s">
        <v>600</v>
      </c>
      <c r="G233" s="626" t="s">
        <v>606</v>
      </c>
      <c r="H233" s="7" t="s">
        <v>601</v>
      </c>
      <c r="I233" s="277"/>
      <c r="J233" s="277"/>
      <c r="K233" s="748">
        <v>338000</v>
      </c>
      <c r="L233" s="749" t="s">
        <v>9</v>
      </c>
      <c r="M233" s="749" t="s">
        <v>49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>x</v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>x</v>
      </c>
      <c r="AB233" s="225">
        <v>5</v>
      </c>
      <c r="AC233" s="225"/>
      <c r="AD233" s="225"/>
    </row>
    <row r="234" spans="1:30" s="739" customFormat="1" ht="15.75" customHeight="1">
      <c r="A234" s="218" t="str">
        <f>IF(B234&lt;&gt;"",IF(AND(B234&gt;=_TM1,B234&lt;=_TM2,OR(TH!L234="1111",TH!M234="1111")),TH!D234,""),"")</f>
        <v/>
      </c>
      <c r="B234" s="36">
        <f t="shared" si="9"/>
        <v>5</v>
      </c>
      <c r="C234" s="37">
        <f t="shared" si="10"/>
        <v>41403</v>
      </c>
      <c r="D234" s="194"/>
      <c r="E234" s="37">
        <v>41403</v>
      </c>
      <c r="F234" s="202" t="s">
        <v>599</v>
      </c>
      <c r="G234" s="626" t="s">
        <v>607</v>
      </c>
      <c r="H234" s="7" t="s">
        <v>601</v>
      </c>
      <c r="I234" s="276"/>
      <c r="J234" s="276"/>
      <c r="K234" s="748">
        <v>3640000</v>
      </c>
      <c r="L234" s="749" t="s">
        <v>199</v>
      </c>
      <c r="M234" s="749" t="s">
        <v>49</v>
      </c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>x</v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>x</v>
      </c>
      <c r="AB234" s="225"/>
      <c r="AC234" s="225"/>
      <c r="AD234" s="225"/>
    </row>
    <row r="235" spans="1:30" s="739" customFormat="1" ht="15.75" customHeight="1">
      <c r="A235" s="218" t="str">
        <f>IF(B235&lt;&gt;"",IF(AND(B235&gt;=_TM1,B235&lt;=_TM2,OR(TH!L235="1111",TH!M235="1111")),TH!D235,""),"")</f>
        <v/>
      </c>
      <c r="B235" s="36">
        <f t="shared" si="9"/>
        <v>5</v>
      </c>
      <c r="C235" s="37">
        <f t="shared" si="10"/>
        <v>41403</v>
      </c>
      <c r="D235" s="194"/>
      <c r="E235" s="37">
        <v>41403</v>
      </c>
      <c r="F235" s="202" t="s">
        <v>600</v>
      </c>
      <c r="G235" s="626" t="s">
        <v>607</v>
      </c>
      <c r="H235" s="7" t="s">
        <v>601</v>
      </c>
      <c r="I235" s="277"/>
      <c r="J235" s="277"/>
      <c r="K235" s="748">
        <v>364000</v>
      </c>
      <c r="L235" s="749" t="s">
        <v>9</v>
      </c>
      <c r="M235" s="749" t="s">
        <v>49</v>
      </c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>x</v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>x</v>
      </c>
      <c r="AB235" s="225">
        <v>9</v>
      </c>
      <c r="AC235" s="225"/>
      <c r="AD235" s="225"/>
    </row>
    <row r="236" spans="1:30" s="739" customFormat="1" ht="15.75" customHeight="1">
      <c r="A236" s="218" t="str">
        <f>IF(B236&lt;&gt;"",IF(AND(B236&gt;=_TM1,B236&lt;=_TM2,OR(TH!L236="1111",TH!M236="1111")),TH!D236,""),"")</f>
        <v/>
      </c>
      <c r="B236" s="36">
        <f t="shared" si="9"/>
        <v>7</v>
      </c>
      <c r="C236" s="37">
        <f t="shared" si="10"/>
        <v>41480</v>
      </c>
      <c r="D236" s="194"/>
      <c r="E236" s="37">
        <v>41480</v>
      </c>
      <c r="F236" s="202" t="s">
        <v>599</v>
      </c>
      <c r="G236" s="626" t="s">
        <v>608</v>
      </c>
      <c r="H236" s="7" t="s">
        <v>601</v>
      </c>
      <c r="I236" s="276"/>
      <c r="J236" s="276"/>
      <c r="K236" s="748">
        <v>660000</v>
      </c>
      <c r="L236" s="749" t="s">
        <v>199</v>
      </c>
      <c r="M236" s="749" t="s">
        <v>49</v>
      </c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>x</v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/>
      </c>
      <c r="AB236" s="225"/>
      <c r="AC236" s="225"/>
      <c r="AD236" s="225"/>
    </row>
    <row r="237" spans="1:30" s="739" customFormat="1" ht="15.75" customHeight="1">
      <c r="A237" s="218" t="str">
        <f>IF(B237&lt;&gt;"",IF(AND(B237&gt;=_TM1,B237&lt;=_TM2,OR(TH!L237="1111",TH!M237="1111")),TH!D237,""),"")</f>
        <v/>
      </c>
      <c r="B237" s="36">
        <f t="shared" si="9"/>
        <v>7</v>
      </c>
      <c r="C237" s="37">
        <f t="shared" si="10"/>
        <v>41480</v>
      </c>
      <c r="D237" s="194"/>
      <c r="E237" s="37">
        <v>41480</v>
      </c>
      <c r="F237" s="202" t="s">
        <v>600</v>
      </c>
      <c r="G237" s="626" t="s">
        <v>608</v>
      </c>
      <c r="H237" s="7" t="s">
        <v>601</v>
      </c>
      <c r="I237" s="277"/>
      <c r="J237" s="277"/>
      <c r="K237" s="748">
        <v>66000</v>
      </c>
      <c r="L237" s="749" t="s">
        <v>9</v>
      </c>
      <c r="M237" s="749" t="s">
        <v>49</v>
      </c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>x</v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/>
      </c>
      <c r="AB237" s="225">
        <v>9</v>
      </c>
      <c r="AC237" s="225"/>
      <c r="AD237" s="225"/>
    </row>
    <row r="238" spans="1:30" s="739" customFormat="1" ht="15.75" customHeight="1">
      <c r="A238" s="218" t="str">
        <f>IF(B238&lt;&gt;"",IF(AND(B238&gt;=_TM1,B238&lt;=_TM2,OR(TH!L238="1111",TH!M238="1111")),TH!D238,""),"")</f>
        <v/>
      </c>
      <c r="B238" s="36">
        <f t="shared" si="9"/>
        <v>7</v>
      </c>
      <c r="C238" s="37">
        <f t="shared" si="10"/>
        <v>41479</v>
      </c>
      <c r="D238" s="194"/>
      <c r="E238" s="37">
        <v>41479</v>
      </c>
      <c r="F238" s="202" t="s">
        <v>599</v>
      </c>
      <c r="G238" s="626" t="s">
        <v>609</v>
      </c>
      <c r="H238" s="7" t="s">
        <v>601</v>
      </c>
      <c r="I238" s="276"/>
      <c r="J238" s="276"/>
      <c r="K238" s="748">
        <v>2800000</v>
      </c>
      <c r="L238" s="749" t="s">
        <v>199</v>
      </c>
      <c r="M238" s="749" t="s">
        <v>49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>x</v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/>
      </c>
      <c r="AC238" s="225"/>
      <c r="AD238" s="225"/>
    </row>
    <row r="239" spans="1:30" s="739" customFormat="1" ht="15.75" customHeight="1">
      <c r="A239" s="218" t="str">
        <f>IF(B239&lt;&gt;"",IF(AND(B239&gt;=_TM1,B239&lt;=_TM2,OR(TH!L239="1111",TH!M239="1111")),TH!D239,""),"")</f>
        <v/>
      </c>
      <c r="B239" s="36">
        <f t="shared" si="9"/>
        <v>7</v>
      </c>
      <c r="C239" s="37">
        <f t="shared" si="10"/>
        <v>41479</v>
      </c>
      <c r="D239" s="194"/>
      <c r="E239" s="37">
        <v>41479</v>
      </c>
      <c r="F239" s="202" t="s">
        <v>600</v>
      </c>
      <c r="G239" s="626" t="s">
        <v>609</v>
      </c>
      <c r="H239" s="7" t="s">
        <v>601</v>
      </c>
      <c r="I239" s="277"/>
      <c r="J239" s="277"/>
      <c r="K239" s="748">
        <v>280000</v>
      </c>
      <c r="L239" s="749" t="s">
        <v>9</v>
      </c>
      <c r="M239" s="749" t="s">
        <v>49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>x</v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/>
      </c>
      <c r="AB239" s="225">
        <v>9</v>
      </c>
      <c r="AC239" s="225"/>
      <c r="AD239" s="225"/>
    </row>
    <row r="240" spans="1:30" s="739" customFormat="1" ht="15.75" customHeight="1">
      <c r="A240" s="218" t="str">
        <f>IF(B240&lt;&gt;"",IF(AND(B240&gt;=_TM1,B240&lt;=_TM2,OR(TH!L240="1111",TH!M240="1111")),TH!D240,""),"")</f>
        <v/>
      </c>
      <c r="B240" s="36">
        <f t="shared" si="9"/>
        <v>8</v>
      </c>
      <c r="C240" s="37">
        <f t="shared" si="10"/>
        <v>41496</v>
      </c>
      <c r="D240" s="194"/>
      <c r="E240" s="37">
        <v>41496</v>
      </c>
      <c r="F240" s="202" t="s">
        <v>599</v>
      </c>
      <c r="G240" s="626" t="s">
        <v>610</v>
      </c>
      <c r="H240" s="7" t="s">
        <v>601</v>
      </c>
      <c r="I240" s="276"/>
      <c r="J240" s="276"/>
      <c r="K240" s="748">
        <v>3900000</v>
      </c>
      <c r="L240" s="749" t="s">
        <v>199</v>
      </c>
      <c r="M240" s="749" t="s">
        <v>49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>x</v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/>
      </c>
      <c r="AC240" s="225"/>
      <c r="AD240" s="225"/>
    </row>
    <row r="241" spans="1:30" s="739" customFormat="1" ht="15.75" customHeight="1">
      <c r="A241" s="218" t="str">
        <f>IF(B241&lt;&gt;"",IF(AND(B241&gt;=_TM1,B241&lt;=_TM2,OR(TH!L241="1111",TH!M241="1111")),TH!D241,""),"")</f>
        <v/>
      </c>
      <c r="B241" s="36">
        <f t="shared" si="9"/>
        <v>8</v>
      </c>
      <c r="C241" s="37">
        <f t="shared" si="10"/>
        <v>41496</v>
      </c>
      <c r="D241" s="194"/>
      <c r="E241" s="37">
        <v>41496</v>
      </c>
      <c r="F241" s="202" t="s">
        <v>600</v>
      </c>
      <c r="G241" s="626" t="s">
        <v>610</v>
      </c>
      <c r="H241" s="7" t="s">
        <v>601</v>
      </c>
      <c r="I241" s="277"/>
      <c r="J241" s="277"/>
      <c r="K241" s="748">
        <v>390000</v>
      </c>
      <c r="L241" s="749" t="s">
        <v>9</v>
      </c>
      <c r="M241" s="749" t="s">
        <v>49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>x</v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/>
      </c>
      <c r="AB241" s="225">
        <v>9</v>
      </c>
      <c r="AC241" s="225"/>
      <c r="AD241" s="225"/>
    </row>
    <row r="242" spans="1:30" s="739" customFormat="1" ht="15.75" customHeight="1">
      <c r="A242" s="218" t="str">
        <f>IF(B242&lt;&gt;"",IF(AND(B242&gt;=_TM1,B242&lt;=_TM2,OR(TH!L242="1111",TH!M242="1111")),TH!D242,""),"")</f>
        <v/>
      </c>
      <c r="B242" s="36">
        <f t="shared" si="9"/>
        <v>8</v>
      </c>
      <c r="C242" s="37">
        <f t="shared" si="10"/>
        <v>41509</v>
      </c>
      <c r="D242" s="194"/>
      <c r="E242" s="37">
        <v>41509</v>
      </c>
      <c r="F242" s="202" t="s">
        <v>599</v>
      </c>
      <c r="G242" s="626" t="s">
        <v>611</v>
      </c>
      <c r="H242" s="7" t="s">
        <v>601</v>
      </c>
      <c r="I242" s="276"/>
      <c r="J242" s="276"/>
      <c r="K242" s="748">
        <v>1000000</v>
      </c>
      <c r="L242" s="749" t="s">
        <v>199</v>
      </c>
      <c r="M242" s="749" t="s">
        <v>49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>x</v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/>
      </c>
      <c r="AC242" s="225"/>
      <c r="AD242" s="225"/>
    </row>
    <row r="243" spans="1:30" s="739" customFormat="1" ht="15.75" customHeight="1">
      <c r="A243" s="218" t="str">
        <f>IF(B243&lt;&gt;"",IF(AND(B243&gt;=_TM1,B243&lt;=_TM2,OR(TH!L243="1111",TH!M243="1111")),TH!D243,""),"")</f>
        <v/>
      </c>
      <c r="B243" s="36">
        <f t="shared" si="9"/>
        <v>8</v>
      </c>
      <c r="C243" s="37">
        <f t="shared" si="10"/>
        <v>41509</v>
      </c>
      <c r="D243" s="194"/>
      <c r="E243" s="37">
        <v>41509</v>
      </c>
      <c r="F243" s="202" t="s">
        <v>600</v>
      </c>
      <c r="G243" s="626" t="s">
        <v>611</v>
      </c>
      <c r="H243" s="7" t="s">
        <v>601</v>
      </c>
      <c r="I243" s="277"/>
      <c r="J243" s="277"/>
      <c r="K243" s="748">
        <v>100000</v>
      </c>
      <c r="L243" s="749" t="s">
        <v>9</v>
      </c>
      <c r="M243" s="749" t="s">
        <v>49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>x</v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/>
      </c>
      <c r="AB243" s="225">
        <v>9</v>
      </c>
      <c r="AC243" s="225"/>
      <c r="AD243" s="225"/>
    </row>
    <row r="244" spans="1:30" s="739" customFormat="1" ht="15.75" customHeight="1">
      <c r="A244" s="218" t="str">
        <f>IF(B244&lt;&gt;"",IF(AND(B244&gt;=_TM1,B244&lt;=_TM2,OR(TH!L244="1111",TH!M244="1111")),TH!D244,""),"")</f>
        <v/>
      </c>
      <c r="B244" s="36">
        <f t="shared" si="9"/>
        <v>9</v>
      </c>
      <c r="C244" s="37">
        <f t="shared" si="10"/>
        <v>41540</v>
      </c>
      <c r="D244" s="194"/>
      <c r="E244" s="37">
        <v>41540</v>
      </c>
      <c r="F244" s="202" t="s">
        <v>599</v>
      </c>
      <c r="G244" s="626" t="s">
        <v>612</v>
      </c>
      <c r="H244" s="7" t="s">
        <v>601</v>
      </c>
      <c r="I244" s="276"/>
      <c r="J244" s="276"/>
      <c r="K244" s="748">
        <v>1680000</v>
      </c>
      <c r="L244" s="749" t="s">
        <v>199</v>
      </c>
      <c r="M244" s="749" t="s">
        <v>49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>x</v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/>
      </c>
      <c r="AB244" s="225"/>
      <c r="AC244" s="225"/>
      <c r="AD244" s="225"/>
    </row>
    <row r="245" spans="1:30" s="739" customFormat="1" ht="15.75" customHeight="1">
      <c r="A245" s="218" t="str">
        <f>IF(B245&lt;&gt;"",IF(AND(B245&gt;=_TM1,B245&lt;=_TM2,OR(TH!L245="1111",TH!M245="1111")),TH!D245,""),"")</f>
        <v/>
      </c>
      <c r="B245" s="36">
        <f t="shared" si="9"/>
        <v>9</v>
      </c>
      <c r="C245" s="37">
        <f t="shared" si="10"/>
        <v>41540</v>
      </c>
      <c r="D245" s="194"/>
      <c r="E245" s="37">
        <v>41540</v>
      </c>
      <c r="F245" s="202" t="s">
        <v>600</v>
      </c>
      <c r="G245" s="626" t="s">
        <v>612</v>
      </c>
      <c r="H245" s="7" t="s">
        <v>601</v>
      </c>
      <c r="I245" s="277"/>
      <c r="J245" s="277"/>
      <c r="K245" s="748">
        <v>168000</v>
      </c>
      <c r="L245" s="749" t="s">
        <v>9</v>
      </c>
      <c r="M245" s="749" t="s">
        <v>49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>x</v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/>
      </c>
      <c r="AB245" s="225">
        <v>9</v>
      </c>
      <c r="AC245" s="225"/>
      <c r="AD245" s="225"/>
    </row>
    <row r="246" spans="1:30" s="739" customFormat="1" ht="15.75" customHeight="1">
      <c r="A246" s="218" t="str">
        <f>IF(B246&lt;&gt;"",IF(AND(B246&gt;=_TM1,B246&lt;=_TM2,OR(TH!L246="1111",TH!M246="1111")),TH!D246,""),"")</f>
        <v/>
      </c>
      <c r="B246" s="36">
        <f t="shared" si="9"/>
        <v>9</v>
      </c>
      <c r="C246" s="37">
        <f t="shared" si="10"/>
        <v>41543</v>
      </c>
      <c r="D246" s="194"/>
      <c r="E246" s="37">
        <v>41543</v>
      </c>
      <c r="F246" s="202" t="s">
        <v>599</v>
      </c>
      <c r="G246" s="626" t="s">
        <v>613</v>
      </c>
      <c r="H246" s="7" t="s">
        <v>601</v>
      </c>
      <c r="I246" s="276"/>
      <c r="J246" s="276"/>
      <c r="K246" s="748">
        <v>4020000</v>
      </c>
      <c r="L246" s="749" t="s">
        <v>199</v>
      </c>
      <c r="M246" s="749" t="s">
        <v>49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>x</v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/>
      </c>
      <c r="AB246" s="225"/>
      <c r="AC246" s="225"/>
      <c r="AD246" s="225"/>
    </row>
    <row r="247" spans="1:30" s="739" customFormat="1" ht="15.75" customHeight="1">
      <c r="A247" s="218" t="str">
        <f>IF(B247&lt;&gt;"",IF(AND(B247&gt;=_TM1,B247&lt;=_TM2,OR(TH!L247="1111",TH!M247="1111")),TH!D247,""),"")</f>
        <v/>
      </c>
      <c r="B247" s="36">
        <f t="shared" si="9"/>
        <v>9</v>
      </c>
      <c r="C247" s="37">
        <f t="shared" si="10"/>
        <v>41543</v>
      </c>
      <c r="D247" s="194"/>
      <c r="E247" s="37">
        <v>41543</v>
      </c>
      <c r="F247" s="202" t="s">
        <v>600</v>
      </c>
      <c r="G247" s="626" t="s">
        <v>613</v>
      </c>
      <c r="H247" s="7" t="s">
        <v>601</v>
      </c>
      <c r="I247" s="277"/>
      <c r="J247" s="277"/>
      <c r="K247" s="748">
        <v>402000</v>
      </c>
      <c r="L247" s="749" t="s">
        <v>9</v>
      </c>
      <c r="M247" s="749" t="s">
        <v>49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>x</v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/>
      </c>
      <c r="AB247" s="225">
        <v>9</v>
      </c>
      <c r="AC247" s="225"/>
      <c r="AD247" s="225"/>
    </row>
    <row r="248" spans="1:30" s="739" customFormat="1" ht="15.75" customHeight="1">
      <c r="A248" s="218" t="str">
        <f>IF(B248&lt;&gt;"",IF(AND(B248&gt;=_TM1,B248&lt;=_TM2,OR(TH!L248="1111",TH!M248="1111")),TH!D248,""),"")</f>
        <v/>
      </c>
      <c r="B248" s="36">
        <f t="shared" si="9"/>
        <v>9</v>
      </c>
      <c r="C248" s="37">
        <f t="shared" si="10"/>
        <v>41544</v>
      </c>
      <c r="D248" s="194"/>
      <c r="E248" s="37">
        <v>41544</v>
      </c>
      <c r="F248" s="202" t="s">
        <v>599</v>
      </c>
      <c r="G248" s="626" t="s">
        <v>614</v>
      </c>
      <c r="H248" s="7" t="s">
        <v>601</v>
      </c>
      <c r="I248" s="276"/>
      <c r="J248" s="276"/>
      <c r="K248" s="748">
        <v>3920000</v>
      </c>
      <c r="L248" s="749" t="s">
        <v>199</v>
      </c>
      <c r="M248" s="749" t="s">
        <v>49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>x</v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/>
      </c>
      <c r="AB248" s="225"/>
      <c r="AC248" s="225"/>
      <c r="AD248" s="225"/>
    </row>
    <row r="249" spans="1:30" s="739" customFormat="1" ht="15.75" customHeight="1">
      <c r="A249" s="218" t="str">
        <f>IF(B249&lt;&gt;"",IF(AND(B249&gt;=_TM1,B249&lt;=_TM2,OR(TH!L249="1111",TH!M249="1111")),TH!D249,""),"")</f>
        <v/>
      </c>
      <c r="B249" s="36">
        <f t="shared" si="9"/>
        <v>9</v>
      </c>
      <c r="C249" s="37">
        <f t="shared" si="10"/>
        <v>41544</v>
      </c>
      <c r="D249" s="194"/>
      <c r="E249" s="37">
        <v>41544</v>
      </c>
      <c r="F249" s="202" t="s">
        <v>600</v>
      </c>
      <c r="G249" s="626" t="s">
        <v>614</v>
      </c>
      <c r="H249" s="7" t="s">
        <v>601</v>
      </c>
      <c r="I249" s="277"/>
      <c r="J249" s="277"/>
      <c r="K249" s="748">
        <v>392000</v>
      </c>
      <c r="L249" s="749" t="s">
        <v>9</v>
      </c>
      <c r="M249" s="749" t="s">
        <v>49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>x</v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/>
      </c>
      <c r="AB249" s="739">
        <v>9</v>
      </c>
      <c r="AC249" s="225"/>
    </row>
    <row r="250" spans="1:30" s="739" customFormat="1" ht="15.75" customHeight="1">
      <c r="A250" s="218" t="str">
        <f>IF(B250&lt;&gt;"",IF(AND(B250&gt;=_TM1,B250&lt;=_TM2,OR(TH!L250="1111",TH!M250="1111")),TH!D250,""),"")</f>
        <v/>
      </c>
      <c r="B250" s="36">
        <f t="shared" si="9"/>
        <v>9</v>
      </c>
      <c r="C250" s="37">
        <f t="shared" si="10"/>
        <v>41547</v>
      </c>
      <c r="D250" s="194"/>
      <c r="E250" s="37">
        <v>41547</v>
      </c>
      <c r="F250" s="202" t="s">
        <v>599</v>
      </c>
      <c r="G250" s="626" t="s">
        <v>615</v>
      </c>
      <c r="H250" s="7" t="s">
        <v>601</v>
      </c>
      <c r="I250" s="276"/>
      <c r="J250" s="276"/>
      <c r="K250" s="748">
        <v>1520000</v>
      </c>
      <c r="L250" s="749" t="s">
        <v>199</v>
      </c>
      <c r="M250" s="749" t="s">
        <v>49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>x</v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/>
      </c>
      <c r="AB250" s="225"/>
      <c r="AC250" s="225"/>
      <c r="AD250" s="225"/>
    </row>
    <row r="251" spans="1:30" s="739" customFormat="1" ht="15.75" customHeight="1">
      <c r="A251" s="218" t="str">
        <f>IF(B251&lt;&gt;"",IF(AND(B251&gt;=_TM1,B251&lt;=_TM2,OR(TH!L251="1111",TH!M251="1111")),TH!D251,""),"")</f>
        <v/>
      </c>
      <c r="B251" s="36">
        <f t="shared" si="9"/>
        <v>9</v>
      </c>
      <c r="C251" s="37">
        <f t="shared" si="10"/>
        <v>41547</v>
      </c>
      <c r="D251" s="194"/>
      <c r="E251" s="37">
        <v>41547</v>
      </c>
      <c r="F251" s="202" t="s">
        <v>600</v>
      </c>
      <c r="G251" s="626" t="s">
        <v>615</v>
      </c>
      <c r="H251" s="7" t="s">
        <v>601</v>
      </c>
      <c r="I251" s="277"/>
      <c r="J251" s="277"/>
      <c r="K251" s="748">
        <v>152000</v>
      </c>
      <c r="L251" s="749" t="s">
        <v>9</v>
      </c>
      <c r="M251" s="749" t="s">
        <v>49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>x</v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/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/>
      </c>
      <c r="AB251" s="739">
        <v>9</v>
      </c>
    </row>
    <row r="252" spans="1:30" s="739" customFormat="1" ht="15.75" customHeight="1">
      <c r="A252" s="218" t="str">
        <f>IF(B252&lt;&gt;"",IF(AND(B252&gt;=_TM1,B252&lt;=_TM2,OR(TH!L252="1111",TH!M252="1111")),TH!D252,""),"")</f>
        <v/>
      </c>
      <c r="B252" s="36">
        <f t="shared" si="9"/>
        <v>10</v>
      </c>
      <c r="C252" s="37">
        <f t="shared" si="10"/>
        <v>41577</v>
      </c>
      <c r="D252" s="194"/>
      <c r="E252" s="37">
        <v>41577</v>
      </c>
      <c r="F252" s="202" t="s">
        <v>599</v>
      </c>
      <c r="G252" s="626" t="s">
        <v>616</v>
      </c>
      <c r="H252" s="7" t="s">
        <v>601</v>
      </c>
      <c r="I252" s="276"/>
      <c r="J252" s="276"/>
      <c r="K252" s="748">
        <v>11940000</v>
      </c>
      <c r="L252" s="749" t="s">
        <v>199</v>
      </c>
      <c r="M252" s="749" t="s">
        <v>49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>x</v>
      </c>
      <c r="P252" s="55" t="str">
        <f>IF(AND($L252=$O$7,$B252&lt;'111'!$N$11),"x","")</f>
        <v/>
      </c>
      <c r="Q252" s="55" t="str">
        <f>IF(AND($M252=$O$7,$B252&lt;'111'!$N$11),"x","")</f>
        <v/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/>
      </c>
      <c r="AB252" s="225"/>
      <c r="AC252" s="225"/>
      <c r="AD252" s="225"/>
    </row>
    <row r="253" spans="1:30" s="739" customFormat="1" ht="15.75" customHeight="1">
      <c r="A253" s="218" t="str">
        <f>IF(B253&lt;&gt;"",IF(AND(B253&gt;=_TM1,B253&lt;=_TM2,OR(TH!L253="1111",TH!M253="1111")),TH!D253,""),"")</f>
        <v/>
      </c>
      <c r="B253" s="36">
        <f t="shared" si="9"/>
        <v>10</v>
      </c>
      <c r="C253" s="37">
        <f t="shared" si="10"/>
        <v>41577</v>
      </c>
      <c r="D253" s="194"/>
      <c r="E253" s="37">
        <v>41577</v>
      </c>
      <c r="F253" s="202" t="s">
        <v>600</v>
      </c>
      <c r="G253" s="626" t="s">
        <v>616</v>
      </c>
      <c r="H253" s="7" t="s">
        <v>601</v>
      </c>
      <c r="I253" s="277"/>
      <c r="J253" s="277"/>
      <c r="K253" s="748">
        <v>1194000</v>
      </c>
      <c r="L253" s="749" t="s">
        <v>9</v>
      </c>
      <c r="M253" s="749" t="s">
        <v>49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>x</v>
      </c>
      <c r="P253" s="55" t="str">
        <f>IF(AND($L253=$O$7,$B253&lt;'111'!$N$11),"x","")</f>
        <v/>
      </c>
      <c r="Q253" s="55" t="str">
        <f>IF(AND($M253=$O$7,$B253&lt;'111'!$N$11),"x","")</f>
        <v/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/>
      </c>
      <c r="AB253" s="739">
        <v>12</v>
      </c>
      <c r="AD253" s="225"/>
    </row>
    <row r="254" spans="1:30" s="739" customFormat="1" ht="15.75" customHeight="1">
      <c r="A254" s="218" t="str">
        <f>IF(B254&lt;&gt;"",IF(AND(B254&gt;=_TM1,B254&lt;=_TM2,OR(TH!L254="1111",TH!M254="1111")),TH!D254,""),"")</f>
        <v/>
      </c>
      <c r="B254" s="36">
        <f t="shared" si="9"/>
        <v>11</v>
      </c>
      <c r="C254" s="37">
        <f t="shared" si="10"/>
        <v>41591</v>
      </c>
      <c r="D254" s="194"/>
      <c r="E254" s="37">
        <v>41591</v>
      </c>
      <c r="F254" s="202" t="s">
        <v>599</v>
      </c>
      <c r="G254" s="626" t="s">
        <v>617</v>
      </c>
      <c r="H254" s="7" t="s">
        <v>601</v>
      </c>
      <c r="I254" s="276"/>
      <c r="J254" s="276"/>
      <c r="K254" s="748">
        <v>1360000</v>
      </c>
      <c r="L254" s="749" t="s">
        <v>199</v>
      </c>
      <c r="M254" s="749" t="s">
        <v>49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>x</v>
      </c>
      <c r="P254" s="55" t="str">
        <f>IF(AND($L254=$O$7,$B254&lt;'111'!$N$11),"x","")</f>
        <v/>
      </c>
      <c r="Q254" s="55" t="str">
        <f>IF(AND($M254=$O$7,$B254&lt;'111'!$N$11),"x","")</f>
        <v/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/>
      </c>
      <c r="AB254" s="225"/>
      <c r="AC254" s="225"/>
      <c r="AD254" s="225"/>
    </row>
    <row r="255" spans="1:30" s="739" customFormat="1" ht="15.75" customHeight="1">
      <c r="A255" s="218" t="str">
        <f>IF(B255&lt;&gt;"",IF(AND(B255&gt;=_TM1,B255&lt;=_TM2,OR(TH!L255="1111",TH!M255="1111")),TH!D255,""),"")</f>
        <v/>
      </c>
      <c r="B255" s="36">
        <f t="shared" si="9"/>
        <v>11</v>
      </c>
      <c r="C255" s="37">
        <f t="shared" si="10"/>
        <v>41591</v>
      </c>
      <c r="D255" s="194"/>
      <c r="E255" s="37">
        <v>41591</v>
      </c>
      <c r="F255" s="202" t="s">
        <v>600</v>
      </c>
      <c r="G255" s="626" t="s">
        <v>617</v>
      </c>
      <c r="H255" s="7" t="s">
        <v>601</v>
      </c>
      <c r="I255" s="277"/>
      <c r="J255" s="277"/>
      <c r="K255" s="748">
        <v>136000</v>
      </c>
      <c r="L255" s="749" t="s">
        <v>9</v>
      </c>
      <c r="M255" s="749" t="s">
        <v>49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>x</v>
      </c>
      <c r="P255" s="55" t="str">
        <f>IF(AND($L255=$O$7,$B255&lt;'111'!$N$11),"x","")</f>
        <v/>
      </c>
      <c r="Q255" s="55" t="str">
        <f>IF(AND($M255=$O$7,$B255&lt;'111'!$N$11),"x","")</f>
        <v/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/>
      </c>
      <c r="AB255" s="739">
        <v>12</v>
      </c>
      <c r="AD255" s="225"/>
    </row>
    <row r="256" spans="1:30" s="739" customFormat="1" ht="15.75" customHeight="1">
      <c r="A256" s="218" t="str">
        <f>IF(B256&lt;&gt;"",IF(AND(B256&gt;=_TM1,B256&lt;=_TM2,OR(TH!L275="1111",TH!M275="1111")),TH!D275,""),"")</f>
        <v/>
      </c>
      <c r="B256" s="36">
        <f t="shared" ref="B256:B287" si="11">IF(C256&lt;&gt;"",MONTH(C256),"")</f>
        <v>1</v>
      </c>
      <c r="C256" s="37">
        <f t="shared" ref="C256:C287" si="12">E256</f>
        <v>41276</v>
      </c>
      <c r="D256" s="194"/>
      <c r="E256" s="37">
        <v>41276</v>
      </c>
      <c r="F256" s="40" t="s">
        <v>640</v>
      </c>
      <c r="G256" s="626" t="s">
        <v>639</v>
      </c>
      <c r="H256" s="45" t="s">
        <v>507</v>
      </c>
      <c r="I256" s="276">
        <v>203</v>
      </c>
      <c r="J256" s="276">
        <v>20765</v>
      </c>
      <c r="K256" s="38">
        <f>ROUND(I256*J256,0)</f>
        <v>4215295</v>
      </c>
      <c r="L256" s="39" t="s">
        <v>191</v>
      </c>
      <c r="M256" s="39" t="s">
        <v>8</v>
      </c>
      <c r="N256" s="55" t="str">
        <f>IF(AND('331-CT'!$E$7=TH!H275,OR(L256="331",M256="331")),"x","")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/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IF(OR(TH!L275=TH!$V$7,M256=TH!$V$7),"x","")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IF(AND(B256&gt;='IN-NX'!$P$3,B256&lt;='IN-NX'!$Q$3,'IN-NX'!$D$7=D256,OR(LEFT(TH!L275,2)="15",LEFT(TH!M275,2)="15")),"x","")</f>
        <v/>
      </c>
      <c r="Y256" s="55" t="str">
        <f>IF(AND(OR(LEFT(TH!L275,2)="15",LEFT(TH!M275,2)="15"),'152-CT'!$J$8=TH!F275),"x","")</f>
        <v/>
      </c>
      <c r="Z256" s="55" t="str">
        <f>IF(AND(OR(LEFT(TH!L275,2)="15",LEFT(TH!M275,2)="15"),TK!$E$7=TH!F275),"x","")</f>
        <v/>
      </c>
      <c r="AA256" s="55" t="str">
        <f>IF(AND(B256&lt;=NKC!$N$8,B256&gt;=NKC!$M$8),"x","")</f>
        <v/>
      </c>
      <c r="AB256" s="225"/>
      <c r="AC256" s="225"/>
      <c r="AD256" s="225"/>
    </row>
    <row r="257" spans="1:30" s="739" customFormat="1" ht="15.75" customHeight="1">
      <c r="A257" s="218" t="str">
        <f>IF(B257&lt;&gt;"",IF(AND(B257&gt;=_TM1,B257&lt;=_TM2,OR(TH!L276="1111",TH!M276="1111")),TH!D276,""),"")</f>
        <v/>
      </c>
      <c r="B257" s="36">
        <f t="shared" si="11"/>
        <v>1</v>
      </c>
      <c r="C257" s="37">
        <f t="shared" si="12"/>
        <v>41276</v>
      </c>
      <c r="D257" s="194"/>
      <c r="E257" s="37">
        <v>41276</v>
      </c>
      <c r="F257" s="40" t="s">
        <v>641</v>
      </c>
      <c r="G257" s="626" t="s">
        <v>639</v>
      </c>
      <c r="H257" s="45" t="s">
        <v>507</v>
      </c>
      <c r="I257" s="276">
        <v>201</v>
      </c>
      <c r="J257" s="276">
        <v>17438</v>
      </c>
      <c r="K257" s="38">
        <f>ROUND(I257*J257,0)</f>
        <v>3505038</v>
      </c>
      <c r="L257" s="39" t="s">
        <v>191</v>
      </c>
      <c r="M257" s="39" t="s">
        <v>8</v>
      </c>
      <c r="N257" s="55" t="str">
        <f>IF(AND('331-CT'!$E$7=TH!H276,OR(L257="331",M257="331")),"x","")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/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IF(OR(TH!L276=TH!$V$7,M257=TH!$V$7),"x","")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IF(AND(B257&gt;='IN-NX'!$P$3,B257&lt;='IN-NX'!$Q$3,'IN-NX'!$D$7=D257,OR(LEFT(TH!L276,2)="15",LEFT(TH!M276,2)="15")),"x","")</f>
        <v/>
      </c>
      <c r="Y257" s="55" t="str">
        <f>IF(AND(OR(LEFT(TH!L276,2)="15",LEFT(TH!M276,2)="15"),'152-CT'!$J$8=TH!F276),"x","")</f>
        <v/>
      </c>
      <c r="Z257" s="55" t="str">
        <f>IF(AND(OR(LEFT(TH!L276,2)="15",LEFT(TH!M276,2)="15"),TK!$E$7=TH!F276),"x","")</f>
        <v/>
      </c>
      <c r="AA257" s="55" t="str">
        <f>IF(AND(B257&lt;=NKC!$N$8,B257&gt;=NKC!$M$8),"x","")</f>
        <v/>
      </c>
      <c r="AB257" s="225"/>
      <c r="AC257" s="225"/>
      <c r="AD257" s="225"/>
    </row>
    <row r="258" spans="1:30" s="739" customFormat="1" ht="15.75" customHeight="1">
      <c r="A258" s="218" t="str">
        <f>IF(B258&lt;&gt;"",IF(AND(B258&gt;=_TM1,B258&lt;=_TM2,OR(TH!L277="1111",TH!M277="1111")),TH!D277,""),"")</f>
        <v/>
      </c>
      <c r="B258" s="36">
        <f t="shared" si="11"/>
        <v>1</v>
      </c>
      <c r="C258" s="37">
        <f t="shared" si="12"/>
        <v>41276</v>
      </c>
      <c r="D258" s="194"/>
      <c r="E258" s="37">
        <v>41276</v>
      </c>
      <c r="F258" s="40" t="s">
        <v>642</v>
      </c>
      <c r="G258" s="626" t="s">
        <v>639</v>
      </c>
      <c r="H258" s="45" t="s">
        <v>507</v>
      </c>
      <c r="I258" s="278">
        <v>260</v>
      </c>
      <c r="J258" s="278">
        <v>16626</v>
      </c>
      <c r="K258" s="38">
        <f>ROUND(I258*J258,0)</f>
        <v>4322760</v>
      </c>
      <c r="L258" s="39" t="s">
        <v>191</v>
      </c>
      <c r="M258" s="39" t="s">
        <v>8</v>
      </c>
      <c r="N258" s="55" t="str">
        <f>IF(AND('331-CT'!$E$7=TH!H277,OR(L258="331",M258="331")),"x","")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/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IF(OR(TH!L277=TH!$V$7,M258=TH!$V$7),"x","")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IF(AND(B258&gt;='IN-NX'!$P$3,B258&lt;='IN-NX'!$Q$3,'IN-NX'!$D$7=D258,OR(LEFT(TH!L277,2)="15",LEFT(TH!M277,2)="15")),"x","")</f>
        <v/>
      </c>
      <c r="Y258" s="55" t="str">
        <f>IF(AND(OR(LEFT(TH!L277,2)="15",LEFT(TH!M277,2)="15"),'152-CT'!$J$8=TH!F277),"x","")</f>
        <v/>
      </c>
      <c r="Z258" s="55" t="str">
        <f>IF(AND(OR(LEFT(TH!L277,2)="15",LEFT(TH!M277,2)="15"),TK!$E$7=TH!F277),"x","")</f>
        <v/>
      </c>
      <c r="AA258" s="55" t="str">
        <f>IF(AND(B258&lt;=NKC!$N$8,B258&gt;=NKC!$M$8),"x","")</f>
        <v/>
      </c>
      <c r="AB258" s="225"/>
      <c r="AC258" s="225"/>
      <c r="AD258" s="225"/>
    </row>
    <row r="259" spans="1:30" s="739" customFormat="1" ht="15.75" customHeight="1">
      <c r="A259" s="218" t="str">
        <f>IF(B259&lt;&gt;"",IF(AND(B259&gt;=_TM1,B259&lt;=_TM2,OR(TH!L278="1111",TH!M278="1111")),TH!D278,""),"")</f>
        <v/>
      </c>
      <c r="B259" s="36">
        <f t="shared" si="11"/>
        <v>1</v>
      </c>
      <c r="C259" s="37">
        <f t="shared" si="12"/>
        <v>41276</v>
      </c>
      <c r="D259" s="194"/>
      <c r="E259" s="37">
        <v>41276</v>
      </c>
      <c r="F259" s="40" t="s">
        <v>638</v>
      </c>
      <c r="G259" s="626" t="s">
        <v>639</v>
      </c>
      <c r="H259" s="45" t="s">
        <v>507</v>
      </c>
      <c r="I259" s="276"/>
      <c r="J259" s="276"/>
      <c r="K259" s="38">
        <v>1204310</v>
      </c>
      <c r="L259" s="39" t="s">
        <v>9</v>
      </c>
      <c r="M259" s="39" t="s">
        <v>8</v>
      </c>
      <c r="N259" s="55" t="str">
        <f>IF(AND('331-CT'!$E$7=TH!H278,OR(L259="331",M259="331")),"x","")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IF(OR(TH!L278=TH!$V$7,M259=TH!$V$7),"x","")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IF(AND(B259&gt;='IN-NX'!$P$3,B259&lt;='IN-NX'!$Q$3,'IN-NX'!$D$7=D259,OR(LEFT(TH!L278,2)="15",LEFT(TH!M278,2)="15")),"x","")</f>
        <v/>
      </c>
      <c r="Y259" s="55" t="str">
        <f>IF(AND(OR(LEFT(TH!L278,2)="15",LEFT(TH!M278,2)="15"),'152-CT'!$J$8=TH!F278),"x","")</f>
        <v/>
      </c>
      <c r="Z259" s="55" t="str">
        <f>IF(AND(OR(LEFT(TH!L278,2)="15",LEFT(TH!M278,2)="15"),TK!$E$7=TH!F278),"x","")</f>
        <v/>
      </c>
      <c r="AA259" s="55" t="str">
        <f>IF(AND(B259&lt;=NKC!$N$8,B259&gt;=NKC!$M$8),"x","")</f>
        <v/>
      </c>
      <c r="AB259" s="225">
        <v>1</v>
      </c>
      <c r="AC259" s="225"/>
      <c r="AD259" s="225"/>
    </row>
    <row r="260" spans="1:30" s="739" customFormat="1" ht="15.75" customHeight="1">
      <c r="A260" s="218" t="str">
        <f>IF(B260&lt;&gt;"",IF(AND(B260&gt;=_TM1,B260&lt;=_TM2,OR(TH!L279="1111",TH!M279="1111")),TH!D279,""),"")</f>
        <v/>
      </c>
      <c r="B260" s="36">
        <f t="shared" si="11"/>
        <v>1</v>
      </c>
      <c r="C260" s="37">
        <f t="shared" si="12"/>
        <v>41277</v>
      </c>
      <c r="D260" s="194"/>
      <c r="E260" s="37">
        <v>41277</v>
      </c>
      <c r="F260" s="40" t="s">
        <v>644</v>
      </c>
      <c r="G260" s="626" t="s">
        <v>643</v>
      </c>
      <c r="H260" s="45" t="s">
        <v>507</v>
      </c>
      <c r="I260" s="278">
        <v>258</v>
      </c>
      <c r="J260" s="278">
        <v>19896</v>
      </c>
      <c r="K260" s="38">
        <f>ROUND(I260*J260,0)</f>
        <v>5133168</v>
      </c>
      <c r="L260" s="39" t="s">
        <v>191</v>
      </c>
      <c r="M260" s="39" t="s">
        <v>8</v>
      </c>
      <c r="N260" s="55" t="str">
        <f>IF(AND('331-CT'!$E$7=TH!H279,OR(L260="331",M260="331")),"x","")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IF(OR(TH!L279=TH!$V$7,M260=TH!$V$7),"x","")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IF(AND(B260&gt;='IN-NX'!$P$3,B260&lt;='IN-NX'!$Q$3,'IN-NX'!$D$7=D260,OR(LEFT(TH!L279,2)="15",LEFT(TH!M279,2)="15")),"x","")</f>
        <v/>
      </c>
      <c r="Y260" s="55" t="str">
        <f>IF(AND(OR(LEFT(TH!L279,2)="15",LEFT(TH!M279,2)="15"),'152-CT'!$J$8=TH!F279),"x","")</f>
        <v/>
      </c>
      <c r="Z260" s="55" t="str">
        <f>IF(AND(OR(LEFT(TH!L279,2)="15",LEFT(TH!M279,2)="15"),TK!$E$7=TH!F279),"x","")</f>
        <v/>
      </c>
      <c r="AA260" s="55" t="str">
        <f>IF(AND(B260&lt;=NKC!$N$8,B260&gt;=NKC!$M$8),"x","")</f>
        <v/>
      </c>
      <c r="AB260" s="225"/>
      <c r="AC260" s="225"/>
      <c r="AD260" s="225"/>
    </row>
    <row r="261" spans="1:30" s="225" customFormat="1" ht="15.75" customHeight="1">
      <c r="A261" s="218" t="str">
        <f>IF(B261&lt;&gt;"",IF(AND(B261&gt;=_TM1,B261&lt;=_TM2,OR(TH!L280="1111",TH!M280="1111")),TH!D280,""),"")</f>
        <v/>
      </c>
      <c r="B261" s="36">
        <f t="shared" si="11"/>
        <v>1</v>
      </c>
      <c r="C261" s="37">
        <f t="shared" si="12"/>
        <v>41277</v>
      </c>
      <c r="D261" s="194"/>
      <c r="E261" s="37">
        <v>41277</v>
      </c>
      <c r="F261" s="40" t="s">
        <v>645</v>
      </c>
      <c r="G261" s="626" t="s">
        <v>643</v>
      </c>
      <c r="H261" s="45" t="s">
        <v>507</v>
      </c>
      <c r="I261" s="276">
        <v>505</v>
      </c>
      <c r="J261" s="276">
        <v>29568</v>
      </c>
      <c r="K261" s="38">
        <f>ROUND(I261*J261,0)</f>
        <v>14931840</v>
      </c>
      <c r="L261" s="39" t="s">
        <v>191</v>
      </c>
      <c r="M261" s="39" t="s">
        <v>8</v>
      </c>
      <c r="N261" s="55" t="str">
        <f>IF(AND('331-CT'!$E$7=TH!H280,OR(L261="331",M261="331")),"x","")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IF(OR(TH!L280=TH!$V$7,M261=TH!$V$7),"x","")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IF(AND(B261&gt;='IN-NX'!$P$3,B261&lt;='IN-NX'!$Q$3,'IN-NX'!$D$7=D261,OR(LEFT(TH!L280,2)="15",LEFT(TH!M280,2)="15")),"x","")</f>
        <v/>
      </c>
      <c r="Y261" s="55" t="str">
        <f>IF(AND(OR(LEFT(TH!L280,2)="15",LEFT(TH!M280,2)="15"),'152-CT'!$J$8=TH!F280),"x","")</f>
        <v/>
      </c>
      <c r="Z261" s="55" t="str">
        <f>IF(AND(OR(LEFT(TH!L280,2)="15",LEFT(TH!M280,2)="15"),TK!$E$7=TH!F280),"x","")</f>
        <v/>
      </c>
      <c r="AA261" s="55" t="str">
        <f>IF(AND(B261&lt;=NKC!$N$8,B261&gt;=NKC!$M$8),"x","")</f>
        <v/>
      </c>
      <c r="AD261" s="739"/>
    </row>
    <row r="262" spans="1:30" s="225" customFormat="1" ht="15.75" customHeight="1">
      <c r="A262" s="218" t="str">
        <f>IF(B262&lt;&gt;"",IF(AND(B262&gt;=_TM1,B262&lt;=_TM2,OR(TH!L281="1111",TH!M281="1111")),TH!D281,""),"")</f>
        <v/>
      </c>
      <c r="B262" s="36">
        <f t="shared" si="11"/>
        <v>1</v>
      </c>
      <c r="C262" s="37">
        <f t="shared" si="12"/>
        <v>41277</v>
      </c>
      <c r="D262" s="194"/>
      <c r="E262" s="37">
        <v>41277</v>
      </c>
      <c r="F262" s="40" t="s">
        <v>638</v>
      </c>
      <c r="G262" s="626" t="s">
        <v>643</v>
      </c>
      <c r="H262" s="45" t="s">
        <v>507</v>
      </c>
      <c r="I262" s="276"/>
      <c r="J262" s="276"/>
      <c r="K262" s="38">
        <v>2006501</v>
      </c>
      <c r="L262" s="39" t="s">
        <v>9</v>
      </c>
      <c r="M262" s="39" t="s">
        <v>8</v>
      </c>
      <c r="N262" s="55" t="str">
        <f>IF(AND('331-CT'!$E$7=TH!H281,OR(L262="331",M262="331")),"x","")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IF(OR(TH!L281=TH!$V$7,M262=TH!$V$7),"x","")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IF(AND(B262&gt;='IN-NX'!$P$3,B262&lt;='IN-NX'!$Q$3,'IN-NX'!$D$7=D262,OR(LEFT(TH!L281,2)="15",LEFT(TH!M281,2)="15")),"x","")</f>
        <v/>
      </c>
      <c r="Y262" s="55" t="str">
        <f>IF(AND(OR(LEFT(TH!L281,2)="15",LEFT(TH!M281,2)="15"),'152-CT'!$J$8=TH!F281),"x","")</f>
        <v/>
      </c>
      <c r="Z262" s="55" t="str">
        <f>IF(AND(OR(LEFT(TH!L281,2)="15",LEFT(TH!M281,2)="15"),TK!$E$7=TH!F281),"x","")</f>
        <v/>
      </c>
      <c r="AA262" s="55" t="str">
        <f>IF(AND(B262&lt;=NKC!$N$8,B262&gt;=NKC!$M$8),"x","")</f>
        <v/>
      </c>
      <c r="AB262" s="225">
        <v>1</v>
      </c>
      <c r="AD262" s="739"/>
    </row>
    <row r="263" spans="1:30" s="225" customFormat="1" ht="15.75" customHeight="1">
      <c r="A263" s="218" t="str">
        <f>IF(B263&lt;&gt;"",IF(AND(B263&gt;=_TM1,B263&lt;=_TM2,OR(TH!L282="1111",TH!M282="1111")),TH!D282,""),"")</f>
        <v/>
      </c>
      <c r="B263" s="36">
        <f t="shared" si="11"/>
        <v>1</v>
      </c>
      <c r="C263" s="37">
        <f t="shared" si="12"/>
        <v>41278</v>
      </c>
      <c r="D263" s="194"/>
      <c r="E263" s="37">
        <v>41278</v>
      </c>
      <c r="F263" s="40" t="s">
        <v>646</v>
      </c>
      <c r="G263" s="626" t="s">
        <v>647</v>
      </c>
      <c r="H263" s="45" t="s">
        <v>507</v>
      </c>
      <c r="I263" s="276">
        <v>515</v>
      </c>
      <c r="J263" s="276">
        <v>8978</v>
      </c>
      <c r="K263" s="38">
        <f>ROUND(I263*J263,0)</f>
        <v>4623670</v>
      </c>
      <c r="L263" s="39" t="s">
        <v>191</v>
      </c>
      <c r="M263" s="39" t="s">
        <v>8</v>
      </c>
      <c r="N263" s="55" t="str">
        <f>IF(AND('331-CT'!$E$7=TH!H282,OR(L263="331",M263="331")),"x","")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IF(OR(TH!L282=TH!$V$7,M263=TH!$V$7),"x","")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IF(AND(B263&gt;='IN-NX'!$P$3,B263&lt;='IN-NX'!$Q$3,'IN-NX'!$D$7=D263,OR(LEFT(TH!L282,2)="15",LEFT(TH!M282,2)="15")),"x","")</f>
        <v/>
      </c>
      <c r="Y263" s="55" t="str">
        <f>IF(AND(OR(LEFT(TH!L282,2)="15",LEFT(TH!M282,2)="15"),'152-CT'!$J$8=TH!F282),"x","")</f>
        <v/>
      </c>
      <c r="Z263" s="55" t="str">
        <f>IF(AND(OR(LEFT(TH!L282,2)="15",LEFT(TH!M282,2)="15"),TK!$E$7=TH!F282),"x","")</f>
        <v/>
      </c>
      <c r="AA263" s="55" t="str">
        <f>IF(AND(B263&lt;=NKC!$N$8,B263&gt;=NKC!$M$8),"x","")</f>
        <v/>
      </c>
      <c r="AD263" s="739"/>
    </row>
    <row r="264" spans="1:30" s="739" customFormat="1" ht="15.75" customHeight="1">
      <c r="A264" s="218" t="str">
        <f>IF(B264&lt;&gt;"",IF(AND(B264&gt;=_TM1,B264&lt;=_TM2,OR(TH!L283="1111",TH!M283="1111")),TH!D283,""),"")</f>
        <v/>
      </c>
      <c r="B264" s="36">
        <f t="shared" si="11"/>
        <v>1</v>
      </c>
      <c r="C264" s="37">
        <f t="shared" si="12"/>
        <v>41278</v>
      </c>
      <c r="D264" s="194"/>
      <c r="E264" s="37">
        <v>41278</v>
      </c>
      <c r="F264" s="40" t="s">
        <v>638</v>
      </c>
      <c r="G264" s="626" t="s">
        <v>647</v>
      </c>
      <c r="H264" s="45" t="s">
        <v>507</v>
      </c>
      <c r="I264" s="276"/>
      <c r="J264" s="276"/>
      <c r="K264" s="38">
        <v>462367</v>
      </c>
      <c r="L264" s="39" t="s">
        <v>9</v>
      </c>
      <c r="M264" s="39" t="s">
        <v>8</v>
      </c>
      <c r="N264" s="55" t="str">
        <f>IF(AND('331-CT'!$E$7=TH!H283,OR(L264="331",M264="331")),"x","")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IF(OR(TH!L283=TH!$V$7,M264=TH!$V$7),"x","")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IF(AND(B264&gt;='IN-NX'!$P$3,B264&lt;='IN-NX'!$Q$3,'IN-NX'!$D$7=D264,OR(LEFT(TH!L283,2)="15",LEFT(TH!M283,2)="15")),"x","")</f>
        <v/>
      </c>
      <c r="Y264" s="55" t="str">
        <f>IF(AND(OR(LEFT(TH!L283,2)="15",LEFT(TH!M283,2)="15"),'152-CT'!$J$8=TH!F283),"x","")</f>
        <v/>
      </c>
      <c r="Z264" s="55" t="str">
        <f>IF(AND(OR(LEFT(TH!L283,2)="15",LEFT(TH!M283,2)="15"),TK!$E$7=TH!F283),"x","")</f>
        <v/>
      </c>
      <c r="AA264" s="55" t="str">
        <f>IF(AND(B264&lt;=NKC!$N$8,B264&gt;=NKC!$M$8),"x","")</f>
        <v/>
      </c>
      <c r="AB264" s="225">
        <v>1</v>
      </c>
      <c r="AC264" s="225"/>
      <c r="AD264" s="225"/>
    </row>
    <row r="265" spans="1:30" s="739" customFormat="1" ht="15.75" customHeight="1">
      <c r="A265" s="218" t="str">
        <f>IF(B265&lt;&gt;"",IF(AND(B265&gt;=_TM1,B265&lt;=_TM2,OR(TH!L284="1111",TH!M284="1111")),TH!D284,""),"")</f>
        <v/>
      </c>
      <c r="B265" s="36">
        <f t="shared" si="11"/>
        <v>1</v>
      </c>
      <c r="C265" s="37">
        <f t="shared" si="12"/>
        <v>41282</v>
      </c>
      <c r="D265" s="194"/>
      <c r="E265" s="111">
        <v>41282</v>
      </c>
      <c r="F265" s="40" t="s">
        <v>648</v>
      </c>
      <c r="G265" s="626" t="s">
        <v>653</v>
      </c>
      <c r="H265" s="45" t="s">
        <v>507</v>
      </c>
      <c r="I265" s="279">
        <v>121</v>
      </c>
      <c r="J265" s="279">
        <v>13625</v>
      </c>
      <c r="K265" s="38">
        <f>ROUND(I265*J265,0)</f>
        <v>1648625</v>
      </c>
      <c r="L265" s="39" t="s">
        <v>191</v>
      </c>
      <c r="M265" s="39" t="s">
        <v>8</v>
      </c>
      <c r="N265" s="55" t="str">
        <f>IF(AND('331-CT'!$E$7=TH!H284,OR(L265="331",M265="331")),"x","")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IF(OR(TH!L284=TH!$V$7,M265=TH!$V$7),"x","")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IF(AND(B265&gt;='IN-NX'!$P$3,B265&lt;='IN-NX'!$Q$3,'IN-NX'!$D$7=D265,OR(LEFT(TH!L284,2)="15",LEFT(TH!M284,2)="15")),"x","")</f>
        <v/>
      </c>
      <c r="Y265" s="55" t="str">
        <f>IF(AND(OR(LEFT(TH!L284,2)="15",LEFT(TH!M284,2)="15"),'152-CT'!$J$8=TH!F284),"x","")</f>
        <v/>
      </c>
      <c r="Z265" s="55" t="str">
        <f>IF(AND(OR(LEFT(TH!L284,2)="15",LEFT(TH!M284,2)="15"),TK!$E$7=TH!F284),"x","")</f>
        <v/>
      </c>
      <c r="AA265" s="55" t="str">
        <f>IF(AND(B265&lt;=NKC!$N$8,B265&gt;=NKC!$M$8),"x","")</f>
        <v/>
      </c>
      <c r="AB265" s="225"/>
      <c r="AC265" s="225"/>
    </row>
    <row r="266" spans="1:30" s="739" customFormat="1" ht="15.75" customHeight="1">
      <c r="A266" s="218" t="str">
        <f>IF(B266&lt;&gt;"",IF(AND(B266&gt;=_TM1,B266&lt;=_TM2,OR(TH!L285="1111",TH!M285="1111")),TH!D285,""),"")</f>
        <v/>
      </c>
      <c r="B266" s="36">
        <f t="shared" si="11"/>
        <v>1</v>
      </c>
      <c r="C266" s="37">
        <f t="shared" si="12"/>
        <v>41282</v>
      </c>
      <c r="D266" s="194"/>
      <c r="E266" s="111">
        <v>41282</v>
      </c>
      <c r="F266" s="40" t="s">
        <v>649</v>
      </c>
      <c r="G266" s="626" t="s">
        <v>653</v>
      </c>
      <c r="H266" s="45" t="s">
        <v>507</v>
      </c>
      <c r="I266" s="276">
        <v>100</v>
      </c>
      <c r="J266" s="276">
        <v>23890</v>
      </c>
      <c r="K266" s="38">
        <f>ROUND(I266*J266,0)</f>
        <v>2389000</v>
      </c>
      <c r="L266" s="39" t="s">
        <v>191</v>
      </c>
      <c r="M266" s="39" t="s">
        <v>8</v>
      </c>
      <c r="N266" s="55" t="str">
        <f>IF(AND('331-CT'!$E$7=TH!H285,OR(L266="331",M266="331")),"x","")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IF(OR(TH!L285=TH!$V$7,M266=TH!$V$7),"x","")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IF(AND(B266&gt;='IN-NX'!$P$3,B266&lt;='IN-NX'!$Q$3,'IN-NX'!$D$7=D266,OR(LEFT(TH!L285,2)="15",LEFT(TH!M285,2)="15")),"x","")</f>
        <v/>
      </c>
      <c r="Y266" s="55" t="str">
        <f>IF(AND(OR(LEFT(TH!L285,2)="15",LEFT(TH!M285,2)="15"),'152-CT'!$J$8=TH!F285),"x","")</f>
        <v/>
      </c>
      <c r="Z266" s="55" t="str">
        <f>IF(AND(OR(LEFT(TH!L285,2)="15",LEFT(TH!M285,2)="15"),TK!$E$7=TH!F285),"x","")</f>
        <v/>
      </c>
      <c r="AA266" s="55" t="str">
        <f>IF(AND(B266&lt;=NKC!$N$8,B266&gt;=NKC!$M$8),"x","")</f>
        <v/>
      </c>
      <c r="AB266" s="225"/>
      <c r="AC266" s="225"/>
    </row>
    <row r="267" spans="1:30" s="739" customFormat="1" ht="15.75" customHeight="1">
      <c r="A267" s="218" t="str">
        <f>IF(B267&lt;&gt;"",IF(AND(B267&gt;=_TM1,B267&lt;=_TM2,OR(TH!L286="1111",TH!M286="1111")),TH!D286,""),"")</f>
        <v/>
      </c>
      <c r="B267" s="36">
        <f t="shared" si="11"/>
        <v>1</v>
      </c>
      <c r="C267" s="37">
        <f t="shared" si="12"/>
        <v>41282</v>
      </c>
      <c r="D267" s="194"/>
      <c r="E267" s="111">
        <v>41282</v>
      </c>
      <c r="F267" s="40" t="s">
        <v>650</v>
      </c>
      <c r="G267" s="626" t="s">
        <v>653</v>
      </c>
      <c r="H267" s="45" t="s">
        <v>507</v>
      </c>
      <c r="I267" s="276">
        <v>100</v>
      </c>
      <c r="J267" s="276">
        <v>25603</v>
      </c>
      <c r="K267" s="38">
        <f>ROUND(I267*J267,0)</f>
        <v>2560300</v>
      </c>
      <c r="L267" s="39" t="s">
        <v>191</v>
      </c>
      <c r="M267" s="39" t="s">
        <v>8</v>
      </c>
      <c r="N267" s="55" t="str">
        <f>IF(AND('331-CT'!$E$7=TH!H286,OR(L267="331",M267="331")),"x","")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IF(OR(TH!L286=TH!$V$7,M267=TH!$V$7),"x","")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IF(AND(B267&gt;='IN-NX'!$P$3,B267&lt;='IN-NX'!$Q$3,'IN-NX'!$D$7=D267,OR(LEFT(TH!L286,2)="15",LEFT(TH!M286,2)="15")),"x","")</f>
        <v/>
      </c>
      <c r="Y267" s="55" t="str">
        <f>IF(AND(OR(LEFT(TH!L286,2)="15",LEFT(TH!M286,2)="15"),'152-CT'!$J$8=TH!F286),"x","")</f>
        <v/>
      </c>
      <c r="Z267" s="55" t="str">
        <f>IF(AND(OR(LEFT(TH!L286,2)="15",LEFT(TH!M286,2)="15"),TK!$E$7=TH!F286),"x","")</f>
        <v/>
      </c>
      <c r="AA267" s="55" t="str">
        <f>IF(AND(B267&lt;=NKC!$N$8,B267&gt;=NKC!$M$8),"x","")</f>
        <v/>
      </c>
      <c r="AB267" s="225"/>
      <c r="AC267" s="225"/>
      <c r="AD267" s="225"/>
    </row>
    <row r="268" spans="1:30" s="739" customFormat="1" ht="15.75" customHeight="1">
      <c r="A268" s="218" t="str">
        <f>IF(B268&lt;&gt;"",IF(AND(B268&gt;=_TM1,B268&lt;=_TM2,OR(TH!L287="1111",TH!M287="1111")),TH!D287,""),"")</f>
        <v/>
      </c>
      <c r="B268" s="36">
        <f t="shared" si="11"/>
        <v>1</v>
      </c>
      <c r="C268" s="37">
        <f t="shared" si="12"/>
        <v>41282</v>
      </c>
      <c r="D268" s="194"/>
      <c r="E268" s="111">
        <v>41282</v>
      </c>
      <c r="F268" s="40" t="s">
        <v>651</v>
      </c>
      <c r="G268" s="626" t="s">
        <v>653</v>
      </c>
      <c r="H268" s="45" t="s">
        <v>507</v>
      </c>
      <c r="I268" s="277">
        <v>244</v>
      </c>
      <c r="J268" s="276">
        <v>17722</v>
      </c>
      <c r="K268" s="38">
        <f>ROUND(I268*J268,0)</f>
        <v>4324168</v>
      </c>
      <c r="L268" s="39" t="s">
        <v>191</v>
      </c>
      <c r="M268" s="39" t="s">
        <v>8</v>
      </c>
      <c r="N268" s="55" t="str">
        <f>IF(AND('331-CT'!$E$7=TH!H287,OR(L268="331",M268="331")),"x","")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IF(OR(TH!L287=TH!$V$7,M268=TH!$V$7),"x","")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IF(AND(B268&gt;='IN-NX'!$P$3,B268&lt;='IN-NX'!$Q$3,'IN-NX'!$D$7=D268,OR(LEFT(TH!L287,2)="15",LEFT(TH!M287,2)="15")),"x","")</f>
        <v/>
      </c>
      <c r="Y268" s="55" t="str">
        <f>IF(AND(OR(LEFT(TH!L287,2)="15",LEFT(TH!M287,2)="15"),'152-CT'!$J$8=TH!F287),"x","")</f>
        <v/>
      </c>
      <c r="Z268" s="55" t="str">
        <f>IF(AND(OR(LEFT(TH!L287,2)="15",LEFT(TH!M287,2)="15"),TK!$E$7=TH!F287),"x","")</f>
        <v/>
      </c>
      <c r="AA268" s="55" t="str">
        <f>IF(AND(B268&lt;=NKC!$N$8,B268&gt;=NKC!$M$8),"x","")</f>
        <v/>
      </c>
      <c r="AC268" s="225"/>
    </row>
    <row r="269" spans="1:30" s="739" customFormat="1" ht="15.75" customHeight="1">
      <c r="A269" s="218" t="str">
        <f>IF(B269&lt;&gt;"",IF(AND(B269&gt;=_TM1,B269&lt;=_TM2,OR(TH!L288="1111",TH!M288="1111")),TH!D288,""),"")</f>
        <v/>
      </c>
      <c r="B269" s="36">
        <f t="shared" si="11"/>
        <v>1</v>
      </c>
      <c r="C269" s="37">
        <f t="shared" si="12"/>
        <v>41282</v>
      </c>
      <c r="D269" s="194"/>
      <c r="E269" s="111">
        <v>41282</v>
      </c>
      <c r="F269" s="40" t="s">
        <v>652</v>
      </c>
      <c r="G269" s="626" t="s">
        <v>653</v>
      </c>
      <c r="H269" s="45" t="s">
        <v>507</v>
      </c>
      <c r="I269" s="277">
        <v>206</v>
      </c>
      <c r="J269" s="276">
        <v>19958</v>
      </c>
      <c r="K269" s="38">
        <f>ROUND(I269*J269,0)</f>
        <v>4111348</v>
      </c>
      <c r="L269" s="39" t="s">
        <v>191</v>
      </c>
      <c r="M269" s="39" t="s">
        <v>8</v>
      </c>
      <c r="N269" s="55" t="str">
        <f>IF(AND('331-CT'!$E$7=TH!H288,OR(L269="331",M269="331")),"x","")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IF(OR(TH!L288=TH!$V$7,M269=TH!$V$7),"x","")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IF(AND(B269&gt;='IN-NX'!$P$3,B269&lt;='IN-NX'!$Q$3,'IN-NX'!$D$7=D269,OR(LEFT(TH!L288,2)="15",LEFT(TH!M288,2)="15")),"x","")</f>
        <v/>
      </c>
      <c r="Y269" s="55" t="str">
        <f>IF(AND(OR(LEFT(TH!L288,2)="15",LEFT(TH!M288,2)="15"),'152-CT'!$J$8=TH!F288),"x","")</f>
        <v/>
      </c>
      <c r="Z269" s="55" t="str">
        <f>IF(AND(OR(LEFT(TH!L288,2)="15",LEFT(TH!M288,2)="15"),TK!$E$7=TH!F288),"x","")</f>
        <v/>
      </c>
      <c r="AA269" s="55" t="str">
        <f>IF(AND(B269&lt;=NKC!$N$8,B269&gt;=NKC!$M$8),"x","")</f>
        <v/>
      </c>
      <c r="AB269" s="225"/>
      <c r="AC269" s="225"/>
    </row>
    <row r="270" spans="1:30" s="739" customFormat="1" ht="15.75" customHeight="1">
      <c r="A270" s="218" t="str">
        <f>IF(B270&lt;&gt;"",IF(AND(B270&gt;=_TM1,B270&lt;=_TM2,OR(TH!L289="1111",TH!M289="1111")),TH!D289,""),"")</f>
        <v/>
      </c>
      <c r="B270" s="36">
        <f t="shared" si="11"/>
        <v>1</v>
      </c>
      <c r="C270" s="37">
        <f t="shared" si="12"/>
        <v>41282</v>
      </c>
      <c r="D270" s="194"/>
      <c r="E270" s="111">
        <v>41282</v>
      </c>
      <c r="F270" s="40" t="s">
        <v>638</v>
      </c>
      <c r="G270" s="626" t="s">
        <v>653</v>
      </c>
      <c r="H270" s="45" t="s">
        <v>507</v>
      </c>
      <c r="I270" s="277"/>
      <c r="J270" s="276"/>
      <c r="K270" s="38">
        <v>1503344</v>
      </c>
      <c r="L270" s="39" t="s">
        <v>9</v>
      </c>
      <c r="M270" s="39" t="s">
        <v>8</v>
      </c>
      <c r="N270" s="55" t="str">
        <f>IF(AND('331-CT'!$E$7=TH!H289,OR(L270="331",M270="331")),"x","")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IF(OR(TH!L289=TH!$V$7,M270=TH!$V$7),"x","")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IF(AND(B270&gt;='IN-NX'!$P$3,B270&lt;='IN-NX'!$Q$3,'IN-NX'!$D$7=D270,OR(LEFT(TH!L289,2)="15",LEFT(TH!M289,2)="15")),"x","")</f>
        <v/>
      </c>
      <c r="Y270" s="55" t="str">
        <f>IF(AND(OR(LEFT(TH!L289,2)="15",LEFT(TH!M289,2)="15"),'152-CT'!$J$8=TH!F289),"x","")</f>
        <v/>
      </c>
      <c r="Z270" s="55" t="str">
        <f>IF(AND(OR(LEFT(TH!L289,2)="15",LEFT(TH!M289,2)="15"),TK!$E$7=TH!F289),"x","")</f>
        <v/>
      </c>
      <c r="AA270" s="55" t="str">
        <f>IF(AND(B270&lt;=NKC!$N$8,B270&gt;=NKC!$M$8),"x","")</f>
        <v/>
      </c>
      <c r="AB270" s="739">
        <v>1</v>
      </c>
      <c r="AC270" s="225"/>
    </row>
    <row r="271" spans="1:30" s="739" customFormat="1" ht="15.75" customHeight="1">
      <c r="A271" s="218" t="str">
        <f>IF(B271&lt;&gt;"",IF(AND(B271&gt;=_TM1,B271&lt;=_TM2,OR(TH!L290="1111",TH!M290="1111")),TH!D290,""),"")</f>
        <v/>
      </c>
      <c r="B271" s="36">
        <f t="shared" si="11"/>
        <v>1</v>
      </c>
      <c r="C271" s="37">
        <f t="shared" si="12"/>
        <v>41282</v>
      </c>
      <c r="D271" s="194"/>
      <c r="E271" s="111">
        <v>41282</v>
      </c>
      <c r="F271" s="40" t="s">
        <v>655</v>
      </c>
      <c r="G271" s="623" t="s">
        <v>654</v>
      </c>
      <c r="H271" s="45" t="s">
        <v>507</v>
      </c>
      <c r="I271" s="277">
        <v>300</v>
      </c>
      <c r="J271" s="276">
        <v>21888</v>
      </c>
      <c r="K271" s="38">
        <f>ROUND(I271*J271,0)</f>
        <v>6566400</v>
      </c>
      <c r="L271" s="39" t="s">
        <v>191</v>
      </c>
      <c r="M271" s="39" t="s">
        <v>8</v>
      </c>
      <c r="N271" s="55" t="str">
        <f>IF(AND('331-CT'!$E$7=TH!H290,OR(L271="331",M271="331")),"x","")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IF(OR(TH!L290=TH!$V$7,M271=TH!$V$7),"x","")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IF(AND(B271&gt;='IN-NX'!$P$3,B271&lt;='IN-NX'!$Q$3,'IN-NX'!$D$7=D271,OR(LEFT(TH!L290,2)="15",LEFT(TH!M290,2)="15")),"x","")</f>
        <v/>
      </c>
      <c r="Y271" s="55" t="str">
        <f>IF(AND(OR(LEFT(TH!L290,2)="15",LEFT(TH!M290,2)="15"),'152-CT'!$J$8=TH!F290),"x","")</f>
        <v/>
      </c>
      <c r="Z271" s="55" t="str">
        <f>IF(AND(OR(LEFT(TH!L290,2)="15",LEFT(TH!M290,2)="15"),TK!$E$7=TH!F290),"x","")</f>
        <v/>
      </c>
      <c r="AA271" s="55" t="str">
        <f>IF(AND(B271&lt;=NKC!$N$8,B271&gt;=NKC!$M$8),"x","")</f>
        <v/>
      </c>
      <c r="AC271" s="225"/>
    </row>
    <row r="272" spans="1:30" s="739" customFormat="1" ht="15.75" customHeight="1">
      <c r="A272" s="218" t="str">
        <f>IF(B272&lt;&gt;"",IF(AND(B272&gt;=_TM1,B272&lt;=_TM2,OR(TH!L291="1111",TH!M291="1111")),TH!D291,""),"")</f>
        <v/>
      </c>
      <c r="B272" s="36">
        <f t="shared" si="11"/>
        <v>1</v>
      </c>
      <c r="C272" s="37">
        <f t="shared" si="12"/>
        <v>41282</v>
      </c>
      <c r="D272" s="194"/>
      <c r="E272" s="111">
        <v>41282</v>
      </c>
      <c r="F272" s="40" t="s">
        <v>656</v>
      </c>
      <c r="G272" s="623" t="s">
        <v>654</v>
      </c>
      <c r="H272" s="45" t="s">
        <v>507</v>
      </c>
      <c r="I272" s="276">
        <v>90</v>
      </c>
      <c r="J272" s="276">
        <v>13306</v>
      </c>
      <c r="K272" s="38">
        <f>ROUND(I272*J272,0)</f>
        <v>1197540</v>
      </c>
      <c r="L272" s="39" t="s">
        <v>191</v>
      </c>
      <c r="M272" s="39" t="s">
        <v>8</v>
      </c>
      <c r="N272" s="55" t="str">
        <f>IF(AND('331-CT'!$E$7=TH!H291,OR(L272="331",M272="331")),"x","")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IF(OR(TH!L291=TH!$V$7,M272=TH!$V$7),"x","")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IF(AND(B272&gt;='IN-NX'!$P$3,B272&lt;='IN-NX'!$Q$3,'IN-NX'!$D$7=D272,OR(LEFT(TH!L291,2)="15",LEFT(TH!M291,2)="15")),"x","")</f>
        <v/>
      </c>
      <c r="Y272" s="55" t="str">
        <f>IF(AND(OR(LEFT(TH!L291,2)="15",LEFT(TH!M291,2)="15"),'152-CT'!$J$8=TH!F291),"x","")</f>
        <v/>
      </c>
      <c r="Z272" s="55" t="str">
        <f>IF(AND(OR(LEFT(TH!L291,2)="15",LEFT(TH!M291,2)="15"),TK!$E$7=TH!F291),"x","")</f>
        <v/>
      </c>
      <c r="AA272" s="55" t="str">
        <f>IF(AND(B272&lt;=NKC!$N$8,B272&gt;=NKC!$M$8),"x","")</f>
        <v/>
      </c>
      <c r="AC272" s="225"/>
    </row>
    <row r="273" spans="1:30" s="225" customFormat="1" ht="15.75" customHeight="1">
      <c r="A273" s="218" t="str">
        <f>IF(B273&lt;&gt;"",IF(AND(B273&gt;=_TM1,B273&lt;=_TM2,OR(TH!L292="1111",TH!M292="1111")),TH!D292,""),"")</f>
        <v/>
      </c>
      <c r="B273" s="36">
        <f t="shared" si="11"/>
        <v>1</v>
      </c>
      <c r="C273" s="37">
        <f t="shared" si="12"/>
        <v>41282</v>
      </c>
      <c r="D273" s="194"/>
      <c r="E273" s="111">
        <v>41282</v>
      </c>
      <c r="F273" s="40" t="s">
        <v>657</v>
      </c>
      <c r="G273" s="623" t="s">
        <v>654</v>
      </c>
      <c r="H273" s="45" t="s">
        <v>507</v>
      </c>
      <c r="I273" s="276">
        <v>336</v>
      </c>
      <c r="J273" s="276">
        <v>20553</v>
      </c>
      <c r="K273" s="38">
        <f>ROUND(I273*J273,0)</f>
        <v>6905808</v>
      </c>
      <c r="L273" s="39" t="s">
        <v>191</v>
      </c>
      <c r="M273" s="39" t="s">
        <v>8</v>
      </c>
      <c r="N273" s="55" t="str">
        <f>IF(AND('331-CT'!$E$7=TH!H292,OR(L273="331",M273="331")),"x","")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IF(OR(TH!L292=TH!$V$7,M273=TH!$V$7),"x","")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IF(AND(B273&gt;='IN-NX'!$P$3,B273&lt;='IN-NX'!$Q$3,'IN-NX'!$D$7=D273,OR(LEFT(TH!L292,2)="15",LEFT(TH!M292,2)="15")),"x","")</f>
        <v/>
      </c>
      <c r="Y273" s="55" t="str">
        <f>IF(AND(OR(LEFT(TH!L292,2)="15",LEFT(TH!M292,2)="15"),'152-CT'!$J$8=TH!F292),"x","")</f>
        <v/>
      </c>
      <c r="Z273" s="55" t="str">
        <f>IF(AND(OR(LEFT(TH!L292,2)="15",LEFT(TH!M292,2)="15"),TK!$E$7=TH!F292),"x","")</f>
        <v/>
      </c>
      <c r="AA273" s="55" t="str">
        <f>IF(AND(B273&lt;=NKC!$N$8,B273&gt;=NKC!$M$8),"x","")</f>
        <v/>
      </c>
      <c r="AB273" s="739"/>
      <c r="AD273" s="739"/>
    </row>
    <row r="274" spans="1:30" s="225" customFormat="1" ht="15.75" customHeight="1">
      <c r="A274" s="218" t="str">
        <f>IF(B274&lt;&gt;"",IF(AND(B274&gt;=_TM1,B274&lt;=_TM2,OR(TH!L293="1111",TH!M293="1111")),TH!D293,""),"")</f>
        <v/>
      </c>
      <c r="B274" s="36">
        <f t="shared" si="11"/>
        <v>1</v>
      </c>
      <c r="C274" s="37">
        <f t="shared" si="12"/>
        <v>41282</v>
      </c>
      <c r="D274" s="194"/>
      <c r="E274" s="111">
        <v>41282</v>
      </c>
      <c r="F274" s="40" t="s">
        <v>638</v>
      </c>
      <c r="G274" s="623" t="s">
        <v>654</v>
      </c>
      <c r="H274" s="45" t="s">
        <v>507</v>
      </c>
      <c r="I274" s="276"/>
      <c r="J274" s="276"/>
      <c r="K274" s="38">
        <v>1466975</v>
      </c>
      <c r="L274" s="39" t="s">
        <v>9</v>
      </c>
      <c r="M274" s="39" t="s">
        <v>8</v>
      </c>
      <c r="N274" s="55" t="str">
        <f>IF(AND('331-CT'!$E$7=TH!H293,OR(L274="331",M274="331")),"x","")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IF(OR(TH!L293=TH!$V$7,M274=TH!$V$7),"x","")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IF(AND(B274&gt;='IN-NX'!$P$3,B274&lt;='IN-NX'!$Q$3,'IN-NX'!$D$7=D274,OR(LEFT(TH!L293,2)="15",LEFT(TH!M293,2)="15")),"x","")</f>
        <v/>
      </c>
      <c r="Y274" s="55" t="str">
        <f>IF(AND(OR(LEFT(TH!L293,2)="15",LEFT(TH!M293,2)="15"),'152-CT'!$J$8=TH!F293),"x","")</f>
        <v/>
      </c>
      <c r="Z274" s="55" t="str">
        <f>IF(AND(OR(LEFT(TH!L293,2)="15",LEFT(TH!M293,2)="15"),TK!$E$7=TH!F293),"x","")</f>
        <v/>
      </c>
      <c r="AA274" s="55" t="str">
        <f>IF(AND(B274&lt;=NKC!$N$8,B274&gt;=NKC!$M$8),"x","")</f>
        <v/>
      </c>
      <c r="AB274" s="739">
        <v>1</v>
      </c>
      <c r="AD274" s="739"/>
    </row>
    <row r="275" spans="1:30" s="225" customFormat="1" ht="15.75" customHeight="1">
      <c r="A275" s="218" t="str">
        <f>IF(B275&lt;&gt;"",IF(AND(B275&gt;=_TM1,B275&lt;=_TM2,OR(TH!L294="1111",TH!M294="1111")),TH!D294,""),"")</f>
        <v/>
      </c>
      <c r="B275" s="36">
        <f t="shared" si="11"/>
        <v>1</v>
      </c>
      <c r="C275" s="37">
        <f t="shared" si="12"/>
        <v>41283</v>
      </c>
      <c r="D275" s="194"/>
      <c r="E275" s="111">
        <v>41283</v>
      </c>
      <c r="F275" s="40" t="s">
        <v>656</v>
      </c>
      <c r="G275" s="883" t="s">
        <v>658</v>
      </c>
      <c r="H275" s="45" t="s">
        <v>507</v>
      </c>
      <c r="I275" s="276">
        <v>152</v>
      </c>
      <c r="J275" s="276">
        <v>13306</v>
      </c>
      <c r="K275" s="38">
        <f>ROUND(I275*J275,0)</f>
        <v>2022512</v>
      </c>
      <c r="L275" s="39" t="s">
        <v>191</v>
      </c>
      <c r="M275" s="39" t="s">
        <v>8</v>
      </c>
      <c r="N275" s="55" t="str">
        <f>IF(AND('331-CT'!$E$7=TH!H294,OR(L275="331",M275="331")),"x","")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IF(OR(TH!L294=TH!$V$7,M275=TH!$V$7),"x","")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IF(AND(B275&gt;='IN-NX'!$P$3,B275&lt;='IN-NX'!$Q$3,'IN-NX'!$D$7=D275,OR(LEFT(TH!L294,2)="15",LEFT(TH!M294,2)="15")),"x","")</f>
        <v/>
      </c>
      <c r="Y275" s="55" t="str">
        <f>IF(AND(OR(LEFT(TH!L294,2)="15",LEFT(TH!M294,2)="15"),'152-CT'!$J$8=TH!F294),"x","")</f>
        <v/>
      </c>
      <c r="Z275" s="55" t="str">
        <f>IF(AND(OR(LEFT(TH!L294,2)="15",LEFT(TH!M294,2)="15"),TK!$E$7=TH!F294),"x","")</f>
        <v/>
      </c>
      <c r="AA275" s="55" t="str">
        <f>IF(AND(B275&lt;=NKC!$N$8,B275&gt;=NKC!$M$8),"x","")</f>
        <v/>
      </c>
      <c r="AB275" s="739"/>
      <c r="AC275" s="739"/>
      <c r="AD275" s="739"/>
    </row>
    <row r="276" spans="1:30" s="225" customFormat="1" ht="15.75" customHeight="1">
      <c r="A276" s="218" t="str">
        <f>IF(B276&lt;&gt;"",IF(AND(B276&gt;=_TM1,B276&lt;=_TM2,OR(TH!L295="1111",TH!M295="1111")),TH!D295,""),"")</f>
        <v/>
      </c>
      <c r="B276" s="36">
        <f t="shared" si="11"/>
        <v>1</v>
      </c>
      <c r="C276" s="37">
        <f t="shared" si="12"/>
        <v>41283</v>
      </c>
      <c r="D276" s="194"/>
      <c r="E276" s="111">
        <v>41283</v>
      </c>
      <c r="F276" s="40" t="s">
        <v>655</v>
      </c>
      <c r="G276" s="883" t="s">
        <v>658</v>
      </c>
      <c r="H276" s="45" t="s">
        <v>507</v>
      </c>
      <c r="I276" s="276">
        <v>212</v>
      </c>
      <c r="J276" s="276">
        <v>21888</v>
      </c>
      <c r="K276" s="38">
        <f>ROUND(I276*J276,0)</f>
        <v>4640256</v>
      </c>
      <c r="L276" s="39" t="s">
        <v>191</v>
      </c>
      <c r="M276" s="39" t="s">
        <v>8</v>
      </c>
      <c r="N276" s="55" t="str">
        <f>IF(AND('331-CT'!$E$7=TH!H295,OR(L276="331",M276="331")),"x","")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IF(OR(TH!L295=TH!$V$7,M276=TH!$V$7),"x","")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IF(AND(B276&gt;='IN-NX'!$P$3,B276&lt;='IN-NX'!$Q$3,'IN-NX'!$D$7=D276,OR(LEFT(TH!L295,2)="15",LEFT(TH!M295,2)="15")),"x","")</f>
        <v/>
      </c>
      <c r="Y276" s="55" t="str">
        <f>IF(AND(OR(LEFT(TH!L295,2)="15",LEFT(TH!M295,2)="15"),'152-CT'!$J$8=TH!F295),"x","")</f>
        <v/>
      </c>
      <c r="Z276" s="55" t="str">
        <f>IF(AND(OR(LEFT(TH!L295,2)="15",LEFT(TH!M295,2)="15"),TK!$E$7=TH!F295),"x","")</f>
        <v/>
      </c>
      <c r="AA276" s="55" t="str">
        <f>IF(AND(B276&lt;=NKC!$N$8,B276&gt;=NKC!$M$8),"x","")</f>
        <v/>
      </c>
      <c r="AB276" s="739"/>
      <c r="AD276" s="739"/>
    </row>
    <row r="277" spans="1:30" s="225" customFormat="1" ht="15.75" customHeight="1">
      <c r="A277" s="218" t="str">
        <f>IF(B277&lt;&gt;"",IF(AND(B277&gt;=_TM1,B277&lt;=_TM2,OR(TH!L296="1111",TH!M296="1111")),TH!D296,""),"")</f>
        <v/>
      </c>
      <c r="B277" s="36">
        <f t="shared" si="11"/>
        <v>1</v>
      </c>
      <c r="C277" s="37">
        <f t="shared" si="12"/>
        <v>41283</v>
      </c>
      <c r="D277" s="194"/>
      <c r="E277" s="111">
        <v>41283</v>
      </c>
      <c r="F277" s="40" t="s">
        <v>660</v>
      </c>
      <c r="G277" s="883" t="s">
        <v>658</v>
      </c>
      <c r="H277" s="45" t="s">
        <v>507</v>
      </c>
      <c r="I277" s="276">
        <v>137</v>
      </c>
      <c r="J277" s="276">
        <v>18605</v>
      </c>
      <c r="K277" s="38">
        <f>ROUND(I277*J277,0)</f>
        <v>2548885</v>
      </c>
      <c r="L277" s="39" t="s">
        <v>191</v>
      </c>
      <c r="M277" s="39" t="s">
        <v>8</v>
      </c>
      <c r="N277" s="55" t="str">
        <f>IF(AND('331-CT'!$E$7=TH!H296,OR(L277="331",M277="331")),"x","")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IF(OR(TH!L296=TH!$V$7,M277=TH!$V$7),"x","")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IF(AND(B277&gt;='IN-NX'!$P$3,B277&lt;='IN-NX'!$Q$3,'IN-NX'!$D$7=D277,OR(LEFT(TH!L296,2)="15",LEFT(TH!M296,2)="15")),"x","")</f>
        <v/>
      </c>
      <c r="Y277" s="55" t="str">
        <f>IF(AND(OR(LEFT(TH!L296,2)="15",LEFT(TH!M296,2)="15"),'152-CT'!$J$8=TH!F296),"x","")</f>
        <v/>
      </c>
      <c r="Z277" s="55" t="str">
        <f>IF(AND(OR(LEFT(TH!L296,2)="15",LEFT(TH!M296,2)="15"),TK!$E$7=TH!F296),"x","")</f>
        <v/>
      </c>
      <c r="AA277" s="55" t="str">
        <f>IF(AND(B277&lt;=NKC!$N$8,B277&gt;=NKC!$M$8),"x","")</f>
        <v/>
      </c>
      <c r="AB277" s="739"/>
      <c r="AD277" s="739"/>
    </row>
    <row r="278" spans="1:30" s="225" customFormat="1" ht="15.75" customHeight="1">
      <c r="A278" s="218" t="str">
        <f>IF(B278&lt;&gt;"",IF(AND(B278&gt;=_TM1,B278&lt;=_TM2,OR(TH!L297="1111",TH!M297="1111")),TH!D297,""),"")</f>
        <v/>
      </c>
      <c r="B278" s="36">
        <f t="shared" si="11"/>
        <v>1</v>
      </c>
      <c r="C278" s="37">
        <f t="shared" si="12"/>
        <v>41283</v>
      </c>
      <c r="D278" s="194"/>
      <c r="E278" s="111">
        <v>41283</v>
      </c>
      <c r="F278" s="40" t="s">
        <v>638</v>
      </c>
      <c r="G278" s="883" t="s">
        <v>658</v>
      </c>
      <c r="H278" s="45" t="s">
        <v>507</v>
      </c>
      <c r="I278" s="276"/>
      <c r="J278" s="276"/>
      <c r="K278" s="38">
        <v>921166</v>
      </c>
      <c r="L278" s="39" t="s">
        <v>9</v>
      </c>
      <c r="M278" s="39" t="s">
        <v>8</v>
      </c>
      <c r="N278" s="55" t="str">
        <f>IF(AND('331-CT'!$E$7=TH!H297,OR(L278="331",M278="331")),"x","")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IF(OR(TH!L297=TH!$V$7,M278=TH!$V$7),"x","")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IF(AND(B278&gt;='IN-NX'!$P$3,B278&lt;='IN-NX'!$Q$3,'IN-NX'!$D$7=D278,OR(LEFT(TH!L297,2)="15",LEFT(TH!M297,2)="15")),"x","")</f>
        <v/>
      </c>
      <c r="Y278" s="55" t="str">
        <f>IF(AND(OR(LEFT(TH!L297,2)="15",LEFT(TH!M297,2)="15"),'152-CT'!$J$8=TH!F297),"x","")</f>
        <v/>
      </c>
      <c r="Z278" s="55" t="str">
        <f>IF(AND(OR(LEFT(TH!L297,2)="15",LEFT(TH!M297,2)="15"),TK!$E$7=TH!F297),"x","")</f>
        <v/>
      </c>
      <c r="AA278" s="55" t="str">
        <f>IF(AND(B278&lt;=NKC!$N$8,B278&gt;=NKC!$M$8),"x","")</f>
        <v/>
      </c>
      <c r="AB278" s="739">
        <v>1</v>
      </c>
      <c r="AD278" s="739"/>
    </row>
    <row r="279" spans="1:30" s="225" customFormat="1" ht="15.75" customHeight="1">
      <c r="A279" s="218" t="str">
        <f>IF(B279&lt;&gt;"",IF(AND(B279&gt;=_TM1,B279&lt;=_TM2,OR(TH!L298="1111",TH!M298="1111")),TH!D298,""),"")</f>
        <v/>
      </c>
      <c r="B279" s="36">
        <f t="shared" si="11"/>
        <v>1</v>
      </c>
      <c r="C279" s="37">
        <f t="shared" si="12"/>
        <v>41285</v>
      </c>
      <c r="D279" s="194"/>
      <c r="E279" s="37">
        <v>41285</v>
      </c>
      <c r="F279" s="40" t="s">
        <v>659</v>
      </c>
      <c r="G279" s="626" t="s">
        <v>661</v>
      </c>
      <c r="H279" s="45" t="s">
        <v>507</v>
      </c>
      <c r="I279" s="278">
        <v>140</v>
      </c>
      <c r="J279" s="278">
        <v>38966</v>
      </c>
      <c r="K279" s="38">
        <f>ROUND(I279*J279,0)</f>
        <v>5455240</v>
      </c>
      <c r="L279" s="39" t="s">
        <v>191</v>
      </c>
      <c r="M279" s="39" t="s">
        <v>8</v>
      </c>
      <c r="N279" s="55" t="str">
        <f>IF(AND('331-CT'!$E$7=TH!H298,OR(L279="331",M279="331")),"x","")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IF(OR(TH!L298=TH!$V$7,M279=TH!$V$7),"x","")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IF(AND(B279&gt;='IN-NX'!$P$3,B279&lt;='IN-NX'!$Q$3,'IN-NX'!$D$7=D279,OR(LEFT(TH!L298,2)="15",LEFT(TH!M298,2)="15")),"x","")</f>
        <v/>
      </c>
      <c r="Y279" s="55" t="str">
        <f>IF(AND(OR(LEFT(TH!L298,2)="15",LEFT(TH!M298,2)="15"),'152-CT'!$J$8=TH!F298),"x","")</f>
        <v/>
      </c>
      <c r="Z279" s="55" t="str">
        <f>IF(AND(OR(LEFT(TH!L298,2)="15",LEFT(TH!M298,2)="15"),TK!$E$7=TH!F298),"x","")</f>
        <v/>
      </c>
      <c r="AA279" s="55" t="str">
        <f>IF(AND(B279&lt;=NKC!$N$8,B279&gt;=NKC!$M$8),"x","")</f>
        <v/>
      </c>
    </row>
    <row r="280" spans="1:30" s="225" customFormat="1" ht="15.75" customHeight="1">
      <c r="A280" s="218" t="str">
        <f>IF(B280&lt;&gt;"",IF(AND(B280&gt;=_TM1,B280&lt;=_TM2,OR(TH!L299="1111",TH!M299="1111")),TH!D299,""),"")</f>
        <v/>
      </c>
      <c r="B280" s="36">
        <f t="shared" si="11"/>
        <v>1</v>
      </c>
      <c r="C280" s="37">
        <f t="shared" si="12"/>
        <v>41285</v>
      </c>
      <c r="D280" s="194"/>
      <c r="E280" s="37">
        <v>41285</v>
      </c>
      <c r="F280" s="40" t="s">
        <v>645</v>
      </c>
      <c r="G280" s="626" t="s">
        <v>661</v>
      </c>
      <c r="H280" s="45" t="s">
        <v>507</v>
      </c>
      <c r="I280" s="278">
        <v>167</v>
      </c>
      <c r="J280" s="278">
        <v>29568</v>
      </c>
      <c r="K280" s="38">
        <f>ROUND(I280*J280,0)</f>
        <v>4937856</v>
      </c>
      <c r="L280" s="39" t="s">
        <v>191</v>
      </c>
      <c r="M280" s="39" t="s">
        <v>8</v>
      </c>
      <c r="N280" s="55" t="str">
        <f>IF(AND('331-CT'!$E$7=TH!H299,OR(L280="331",M280="331")),"x","")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IF(OR(TH!L299=TH!$V$7,M280=TH!$V$7),"x","")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IF(AND(B280&gt;='IN-NX'!$P$3,B280&lt;='IN-NX'!$Q$3,'IN-NX'!$D$7=D280,OR(LEFT(TH!L299,2)="15",LEFT(TH!M299,2)="15")),"x","")</f>
        <v/>
      </c>
      <c r="Y280" s="55" t="str">
        <f>IF(AND(OR(LEFT(TH!L299,2)="15",LEFT(TH!M299,2)="15"),'152-CT'!$J$8=TH!F299),"x","")</f>
        <v/>
      </c>
      <c r="Z280" s="55" t="str">
        <f>IF(AND(OR(LEFT(TH!L299,2)="15",LEFT(TH!M299,2)="15"),TK!$E$7=TH!F299),"x","")</f>
        <v/>
      </c>
      <c r="AA280" s="55" t="str">
        <f>IF(AND(B280&lt;=NKC!$N$8,B280&gt;=NKC!$M$8),"x","")</f>
        <v/>
      </c>
      <c r="AB280" s="739"/>
    </row>
    <row r="281" spans="1:30" s="225" customFormat="1" ht="15.75" customHeight="1">
      <c r="A281" s="218" t="str">
        <f>IF(B281&lt;&gt;"",IF(AND(B281&gt;=_TM1,B281&lt;=_TM2,OR(TH!L300="1111",TH!M300="1111")),TH!D300,""),"")</f>
        <v/>
      </c>
      <c r="B281" s="36">
        <f t="shared" si="11"/>
        <v>1</v>
      </c>
      <c r="C281" s="37">
        <f t="shared" si="12"/>
        <v>41285</v>
      </c>
      <c r="D281" s="194"/>
      <c r="E281" s="37">
        <v>41285</v>
      </c>
      <c r="F281" s="40" t="s">
        <v>638</v>
      </c>
      <c r="G281" s="626" t="s">
        <v>661</v>
      </c>
      <c r="H281" s="45" t="s">
        <v>507</v>
      </c>
      <c r="I281" s="276"/>
      <c r="J281" s="276"/>
      <c r="K281" s="38">
        <v>1039310</v>
      </c>
      <c r="L281" s="39" t="s">
        <v>9</v>
      </c>
      <c r="M281" s="39" t="s">
        <v>8</v>
      </c>
      <c r="N281" s="55" t="str">
        <f>IF(AND('331-CT'!$E$7=TH!H300,OR(L281="331",M281="331")),"x","")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IF(OR(TH!L300=TH!$V$7,M281=TH!$V$7),"x","")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IF(AND(B281&gt;='IN-NX'!$P$3,B281&lt;='IN-NX'!$Q$3,'IN-NX'!$D$7=D281,OR(LEFT(TH!L300,2)="15",LEFT(TH!M300,2)="15")),"x","")</f>
        <v/>
      </c>
      <c r="Y281" s="55" t="str">
        <f>IF(AND(OR(LEFT(TH!L300,2)="15",LEFT(TH!M300,2)="15"),'152-CT'!$J$8=TH!F300),"x","")</f>
        <v/>
      </c>
      <c r="Z281" s="55" t="str">
        <f>IF(AND(OR(LEFT(TH!L300,2)="15",LEFT(TH!M300,2)="15"),TK!$E$7=TH!F300),"x","")</f>
        <v/>
      </c>
      <c r="AA281" s="55" t="str">
        <f>IF(AND(B281&lt;=NKC!$N$8,B281&gt;=NKC!$M$8),"x","")</f>
        <v/>
      </c>
      <c r="AB281" s="739">
        <v>1</v>
      </c>
      <c r="AD281" s="739"/>
    </row>
    <row r="282" spans="1:30" s="225" customFormat="1" ht="15.75" customHeight="1">
      <c r="A282" s="218" t="str">
        <f>IF(B282&lt;&gt;"",IF(AND(B282&gt;=_TM1,B282&lt;=_TM2,OR(TH!L301="1111",TH!M301="1111")),TH!D301,""),"")</f>
        <v/>
      </c>
      <c r="B282" s="36">
        <f t="shared" si="11"/>
        <v>1</v>
      </c>
      <c r="C282" s="37">
        <f t="shared" si="12"/>
        <v>41286</v>
      </c>
      <c r="D282" s="194"/>
      <c r="E282" s="37">
        <v>41286</v>
      </c>
      <c r="F282" s="40" t="s">
        <v>663</v>
      </c>
      <c r="G282" s="883" t="s">
        <v>662</v>
      </c>
      <c r="H282" s="45" t="s">
        <v>507</v>
      </c>
      <c r="I282" s="276">
        <v>275</v>
      </c>
      <c r="J282" s="276">
        <v>19270</v>
      </c>
      <c r="K282" s="38">
        <f>ROUND(I282*J282,0)</f>
        <v>5299250</v>
      </c>
      <c r="L282" s="39" t="s">
        <v>191</v>
      </c>
      <c r="M282" s="39" t="s">
        <v>8</v>
      </c>
      <c r="N282" s="55" t="str">
        <f>IF(AND('331-CT'!$E$7=TH!H301,OR(L282="331",M282="331")),"x","")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IF(OR(TH!L301=TH!$V$7,M282=TH!$V$7),"x","")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IF(AND(B282&gt;='IN-NX'!$P$3,B282&lt;='IN-NX'!$Q$3,'IN-NX'!$D$7=D282,OR(LEFT(TH!L301,2)="15",LEFT(TH!M301,2)="15")),"x","")</f>
        <v/>
      </c>
      <c r="Y282" s="55" t="str">
        <f>IF(AND(OR(LEFT(TH!L301,2)="15",LEFT(TH!M301,2)="15"),'152-CT'!$J$8=TH!F301),"x","")</f>
        <v/>
      </c>
      <c r="Z282" s="55" t="str">
        <f>IF(AND(OR(LEFT(TH!L301,2)="15",LEFT(TH!M301,2)="15"),TK!$E$7=TH!F301),"x","")</f>
        <v/>
      </c>
      <c r="AA282" s="55" t="str">
        <f>IF(AND(B282&lt;=NKC!$N$8,B282&gt;=NKC!$M$8),"x","")</f>
        <v/>
      </c>
      <c r="AB282" s="739"/>
      <c r="AD282" s="739"/>
    </row>
    <row r="283" spans="1:30" s="225" customFormat="1" ht="15.75" customHeight="1">
      <c r="A283" s="218" t="str">
        <f>IF(B283&lt;&gt;"",IF(AND(B283&gt;=_TM1,B283&lt;=_TM2,OR(TH!L302="1111",TH!M302="1111")),TH!D302,""),"")</f>
        <v/>
      </c>
      <c r="B283" s="36">
        <f t="shared" si="11"/>
        <v>1</v>
      </c>
      <c r="C283" s="37">
        <f t="shared" si="12"/>
        <v>41286</v>
      </c>
      <c r="D283" s="194"/>
      <c r="E283" s="37">
        <v>41286</v>
      </c>
      <c r="F283" s="40" t="s">
        <v>664</v>
      </c>
      <c r="G283" s="883" t="s">
        <v>662</v>
      </c>
      <c r="H283" s="45" t="s">
        <v>507</v>
      </c>
      <c r="I283" s="276">
        <v>259</v>
      </c>
      <c r="J283" s="276">
        <v>17473</v>
      </c>
      <c r="K283" s="38">
        <f>ROUND(I283*J283,0)</f>
        <v>4525507</v>
      </c>
      <c r="L283" s="39" t="s">
        <v>191</v>
      </c>
      <c r="M283" s="39" t="s">
        <v>8</v>
      </c>
      <c r="N283" s="55" t="str">
        <f>IF(AND('331-CT'!$E$7=TH!H302,OR(L283="331",M283="331")),"x","")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IF(OR(TH!L302=TH!$V$7,M283=TH!$V$7),"x","")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IF(AND(B283&gt;='IN-NX'!$P$3,B283&lt;='IN-NX'!$Q$3,'IN-NX'!$D$7=D283,OR(LEFT(TH!L302,2)="15",LEFT(TH!M302,2)="15")),"x","")</f>
        <v/>
      </c>
      <c r="Y283" s="55" t="str">
        <f>IF(AND(OR(LEFT(TH!L302,2)="15",LEFT(TH!M302,2)="15"),'152-CT'!$J$8=TH!F302),"x","")</f>
        <v/>
      </c>
      <c r="Z283" s="55" t="str">
        <f>IF(AND(OR(LEFT(TH!L302,2)="15",LEFT(TH!M302,2)="15"),TK!$E$7=TH!F302),"x","")</f>
        <v/>
      </c>
      <c r="AA283" s="55" t="str">
        <f>IF(AND(B283&lt;=NKC!$N$8,B283&gt;=NKC!$M$8),"x","")</f>
        <v/>
      </c>
      <c r="AB283" s="739"/>
      <c r="AD283" s="739"/>
    </row>
    <row r="284" spans="1:30" s="225" customFormat="1" ht="15.75" customHeight="1">
      <c r="A284" s="218" t="str">
        <f>IF(B284&lt;&gt;"",IF(AND(B284&gt;=_TM1,B284&lt;=_TM2,OR(TH!L303="1111",TH!M303="1111")),TH!D303,""),"")</f>
        <v/>
      </c>
      <c r="B284" s="36">
        <f t="shared" si="11"/>
        <v>1</v>
      </c>
      <c r="C284" s="37">
        <f t="shared" si="12"/>
        <v>41286</v>
      </c>
      <c r="D284" s="194"/>
      <c r="E284" s="37">
        <v>41286</v>
      </c>
      <c r="F284" s="40" t="s">
        <v>665</v>
      </c>
      <c r="G284" s="883" t="s">
        <v>662</v>
      </c>
      <c r="H284" s="45" t="s">
        <v>507</v>
      </c>
      <c r="I284" s="276">
        <v>302</v>
      </c>
      <c r="J284" s="276">
        <v>8461</v>
      </c>
      <c r="K284" s="38">
        <f>ROUND(I284*J284,0)</f>
        <v>2555222</v>
      </c>
      <c r="L284" s="39" t="s">
        <v>191</v>
      </c>
      <c r="M284" s="39" t="s">
        <v>8</v>
      </c>
      <c r="N284" s="55" t="str">
        <f>IF(AND('331-CT'!$E$7=TH!H303,OR(L284="331",M284="331")),"x","")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IF(OR(TH!L303=TH!$V$7,M284=TH!$V$7),"x","")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IF(AND(B284&gt;='IN-NX'!$P$3,B284&lt;='IN-NX'!$Q$3,'IN-NX'!$D$7=D284,OR(LEFT(TH!L303,2)="15",LEFT(TH!M303,2)="15")),"x","")</f>
        <v/>
      </c>
      <c r="Y284" s="55" t="str">
        <f>IF(AND(OR(LEFT(TH!L303,2)="15",LEFT(TH!M303,2)="15"),'152-CT'!$J$8=TH!F303),"x","")</f>
        <v/>
      </c>
      <c r="Z284" s="55" t="str">
        <f>IF(AND(OR(LEFT(TH!L303,2)="15",LEFT(TH!M303,2)="15"),TK!$E$7=TH!F303),"x","")</f>
        <v/>
      </c>
      <c r="AA284" s="55" t="str">
        <f>IF(AND(B284&lt;=NKC!$N$8,B284&gt;=NKC!$M$8),"x","")</f>
        <v/>
      </c>
    </row>
    <row r="285" spans="1:30" s="225" customFormat="1" ht="15.75" customHeight="1">
      <c r="A285" s="218" t="str">
        <f>IF(B285&lt;&gt;"",IF(AND(B285&gt;=_TM1,B285&lt;=_TM2,OR(TH!L304="1111",TH!M304="1111")),TH!D304,""),"")</f>
        <v/>
      </c>
      <c r="B285" s="36">
        <f t="shared" si="11"/>
        <v>1</v>
      </c>
      <c r="C285" s="37">
        <f t="shared" si="12"/>
        <v>41286</v>
      </c>
      <c r="D285" s="194"/>
      <c r="E285" s="37">
        <v>41286</v>
      </c>
      <c r="F285" s="40" t="s">
        <v>638</v>
      </c>
      <c r="G285" s="883" t="s">
        <v>662</v>
      </c>
      <c r="H285" s="45" t="s">
        <v>507</v>
      </c>
      <c r="I285" s="276"/>
      <c r="J285" s="276"/>
      <c r="K285" s="38">
        <v>1237998</v>
      </c>
      <c r="L285" s="39" t="s">
        <v>9</v>
      </c>
      <c r="M285" s="39" t="s">
        <v>8</v>
      </c>
      <c r="N285" s="55" t="str">
        <f>IF(AND('331-CT'!$E$7=TH!H304,OR(L285="331",M285="331")),"x","")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IF(OR(TH!L304=TH!$V$7,M285=TH!$V$7),"x","")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IF(AND(B285&gt;='IN-NX'!$P$3,B285&lt;='IN-NX'!$Q$3,'IN-NX'!$D$7=D285,OR(LEFT(TH!L304,2)="15",LEFT(TH!M304,2)="15")),"x","")</f>
        <v/>
      </c>
      <c r="Y285" s="55" t="str">
        <f>IF(AND(OR(LEFT(TH!L304,2)="15",LEFT(TH!M304,2)="15"),'152-CT'!$J$8=TH!F304),"x","")</f>
        <v/>
      </c>
      <c r="Z285" s="55" t="str">
        <f>IF(AND(OR(LEFT(TH!L304,2)="15",LEFT(TH!M304,2)="15"),TK!$E$7=TH!F304),"x","")</f>
        <v/>
      </c>
      <c r="AA285" s="55" t="str">
        <f>IF(AND(B285&lt;=NKC!$N$8,B285&gt;=NKC!$M$8),"x","")</f>
        <v/>
      </c>
      <c r="AB285" s="739">
        <v>1</v>
      </c>
    </row>
    <row r="286" spans="1:30" s="225" customFormat="1" ht="15.75" customHeight="1">
      <c r="A286" s="218" t="str">
        <f>IF(B286&lt;&gt;"",IF(AND(B286&gt;=_TM1,B286&lt;=_TM2,OR(TH!L305="1111",TH!M305="1111")),TH!D305,""),"")</f>
        <v/>
      </c>
      <c r="B286" s="36">
        <f t="shared" si="11"/>
        <v>1</v>
      </c>
      <c r="C286" s="37">
        <f t="shared" si="12"/>
        <v>41290</v>
      </c>
      <c r="D286" s="194"/>
      <c r="E286" s="111">
        <v>41290</v>
      </c>
      <c r="F286" s="40" t="s">
        <v>667</v>
      </c>
      <c r="G286" s="626" t="s">
        <v>666</v>
      </c>
      <c r="H286" s="45" t="s">
        <v>507</v>
      </c>
      <c r="I286" s="276">
        <v>130</v>
      </c>
      <c r="J286" s="276">
        <v>7274</v>
      </c>
      <c r="K286" s="38">
        <f t="shared" ref="K286:K292" si="13">ROUND(I286*J286,0)</f>
        <v>945620</v>
      </c>
      <c r="L286" s="39" t="s">
        <v>191</v>
      </c>
      <c r="M286" s="39" t="s">
        <v>8</v>
      </c>
      <c r="N286" s="55" t="str">
        <f>IF(AND('331-CT'!$E$7=TH!H305,OR(L286="331",M286="331")),"x","")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IF(OR(TH!L305=TH!$V$7,M286=TH!$V$7),"x","")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IF(AND(B286&gt;='IN-NX'!$P$3,B286&lt;='IN-NX'!$Q$3,'IN-NX'!$D$7=D286,OR(LEFT(TH!L305,2)="15",LEFT(TH!M305,2)="15")),"x","")</f>
        <v/>
      </c>
      <c r="Y286" s="55" t="str">
        <f>IF(AND(OR(LEFT(TH!L305,2)="15",LEFT(TH!M305,2)="15"),'152-CT'!$J$8=TH!F305),"x","")</f>
        <v/>
      </c>
      <c r="Z286" s="55" t="str">
        <f>IF(AND(OR(LEFT(TH!L305,2)="15",LEFT(TH!M305,2)="15"),TK!$E$7=TH!F305),"x","")</f>
        <v/>
      </c>
      <c r="AA286" s="55" t="str">
        <f>IF(AND(B286&lt;=NKC!$N$8,B286&gt;=NKC!$M$8),"x","")</f>
        <v/>
      </c>
    </row>
    <row r="287" spans="1:30" s="225" customFormat="1" ht="15.75" customHeight="1">
      <c r="A287" s="218" t="str">
        <f>IF(B287&lt;&gt;"",IF(AND(B287&gt;=_TM1,B287&lt;=_TM2,OR(TH!L306="1111",TH!M306="1111")),TH!D306,""),"")</f>
        <v/>
      </c>
      <c r="B287" s="36">
        <f t="shared" si="11"/>
        <v>1</v>
      </c>
      <c r="C287" s="37">
        <f t="shared" si="12"/>
        <v>41290</v>
      </c>
      <c r="D287" s="194"/>
      <c r="E287" s="111">
        <v>41290</v>
      </c>
      <c r="F287" s="40" t="s">
        <v>668</v>
      </c>
      <c r="G287" s="626" t="s">
        <v>666</v>
      </c>
      <c r="H287" s="45" t="s">
        <v>507</v>
      </c>
      <c r="I287" s="276">
        <v>106</v>
      </c>
      <c r="J287" s="276">
        <v>10886</v>
      </c>
      <c r="K287" s="38">
        <f t="shared" si="13"/>
        <v>1153916</v>
      </c>
      <c r="L287" s="39" t="s">
        <v>191</v>
      </c>
      <c r="M287" s="39" t="s">
        <v>8</v>
      </c>
      <c r="N287" s="55" t="str">
        <f>IF(AND('331-CT'!$E$7=TH!H306,OR(L287="331",M287="331")),"x","")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IF(OR(TH!L306=TH!$V$7,M287=TH!$V$7),"x","")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IF(AND(B287&gt;='IN-NX'!$P$3,B287&lt;='IN-NX'!$Q$3,'IN-NX'!$D$7=D287,OR(LEFT(TH!L306,2)="15",LEFT(TH!M306,2)="15")),"x","")</f>
        <v/>
      </c>
      <c r="Y287" s="55" t="str">
        <f>IF(AND(OR(LEFT(TH!L306,2)="15",LEFT(TH!M306,2)="15"),'152-CT'!$J$8=TH!F306),"x","")</f>
        <v/>
      </c>
      <c r="Z287" s="55" t="str">
        <f>IF(AND(OR(LEFT(TH!L306,2)="15",LEFT(TH!M306,2)="15"),TK!$E$7=TH!F306),"x","")</f>
        <v/>
      </c>
      <c r="AA287" s="55" t="str">
        <f>IF(AND(B287&lt;=NKC!$N$8,B287&gt;=NKC!$M$8),"x","")</f>
        <v/>
      </c>
    </row>
    <row r="288" spans="1:30" s="225" customFormat="1" ht="15.75" customHeight="1">
      <c r="A288" s="218" t="str">
        <f>IF(B288&lt;&gt;"",IF(AND(B288&gt;=_TM1,B288&lt;=_TM2,OR(TH!L307="1111",TH!M307="1111")),TH!D307,""),"")</f>
        <v/>
      </c>
      <c r="B288" s="36">
        <f t="shared" ref="B288:B319" si="14">IF(C288&lt;&gt;"",MONTH(C288),"")</f>
        <v>1</v>
      </c>
      <c r="C288" s="37">
        <f t="shared" ref="C288:C319" si="15">E288</f>
        <v>41290</v>
      </c>
      <c r="D288" s="194"/>
      <c r="E288" s="111">
        <v>41290</v>
      </c>
      <c r="F288" s="40" t="s">
        <v>669</v>
      </c>
      <c r="G288" s="626" t="s">
        <v>666</v>
      </c>
      <c r="H288" s="45" t="s">
        <v>507</v>
      </c>
      <c r="I288" s="277">
        <v>101</v>
      </c>
      <c r="J288" s="277">
        <v>9324</v>
      </c>
      <c r="K288" s="38">
        <f t="shared" si="13"/>
        <v>941724</v>
      </c>
      <c r="L288" s="39" t="s">
        <v>191</v>
      </c>
      <c r="M288" s="39" t="s">
        <v>8</v>
      </c>
      <c r="N288" s="55" t="str">
        <f>IF(AND('331-CT'!$E$7=TH!H307,OR(L288="331",M288="331")),"x","")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IF(OR(TH!L307=TH!$V$7,M288=TH!$V$7),"x","")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IF(AND(B288&gt;='IN-NX'!$P$3,B288&lt;='IN-NX'!$Q$3,'IN-NX'!$D$7=D288,OR(LEFT(TH!L307,2)="15",LEFT(TH!M307,2)="15")),"x","")</f>
        <v/>
      </c>
      <c r="Y288" s="55" t="str">
        <f>IF(AND(OR(LEFT(TH!L307,2)="15",LEFT(TH!M307,2)="15"),'152-CT'!$J$8=TH!F307),"x","")</f>
        <v/>
      </c>
      <c r="Z288" s="55" t="str">
        <f>IF(AND(OR(LEFT(TH!L307,2)="15",LEFT(TH!M307,2)="15"),TK!$E$7=TH!F307),"x","")</f>
        <v/>
      </c>
      <c r="AA288" s="55" t="str">
        <f>IF(AND(B288&lt;=NKC!$N$8,B288&gt;=NKC!$M$8),"x","")</f>
        <v/>
      </c>
    </row>
    <row r="289" spans="1:30" s="225" customFormat="1" ht="15.75" customHeight="1">
      <c r="A289" s="218" t="str">
        <f>IF(B289&lt;&gt;"",IF(AND(B289&gt;=_TM1,B289&lt;=_TM2,OR(TH!L308="1111",TH!M308="1111")),TH!D308,""),"")</f>
        <v/>
      </c>
      <c r="B289" s="36">
        <f t="shared" si="14"/>
        <v>1</v>
      </c>
      <c r="C289" s="37">
        <f t="shared" si="15"/>
        <v>41290</v>
      </c>
      <c r="D289" s="194"/>
      <c r="E289" s="111">
        <v>41290</v>
      </c>
      <c r="F289" s="40" t="s">
        <v>670</v>
      </c>
      <c r="G289" s="626" t="s">
        <v>666</v>
      </c>
      <c r="H289" s="45" t="s">
        <v>507</v>
      </c>
      <c r="I289" s="276">
        <v>106</v>
      </c>
      <c r="J289" s="276">
        <v>12528</v>
      </c>
      <c r="K289" s="38">
        <f t="shared" si="13"/>
        <v>1327968</v>
      </c>
      <c r="L289" s="39" t="s">
        <v>191</v>
      </c>
      <c r="M289" s="39" t="s">
        <v>8</v>
      </c>
      <c r="N289" s="55" t="str">
        <f>IF(AND('331-CT'!$E$7=TH!H308,OR(L289="331",M289="331")),"x","")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IF(OR(TH!L308=TH!$V$7,M289=TH!$V$7),"x","")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IF(AND(B289&gt;='IN-NX'!$P$3,B289&lt;='IN-NX'!$Q$3,'IN-NX'!$D$7=D289,OR(LEFT(TH!L308,2)="15",LEFT(TH!M308,2)="15")),"x","")</f>
        <v/>
      </c>
      <c r="Y289" s="55" t="str">
        <f>IF(AND(OR(LEFT(TH!L308,2)="15",LEFT(TH!M308,2)="15"),'152-CT'!$J$8=TH!F308),"x","")</f>
        <v/>
      </c>
      <c r="Z289" s="55" t="str">
        <f>IF(AND(OR(LEFT(TH!L308,2)="15",LEFT(TH!M308,2)="15"),TK!$E$7=TH!F308),"x","")</f>
        <v/>
      </c>
      <c r="AA289" s="55" t="str">
        <f>IF(AND(B289&lt;=NKC!$N$8,B289&gt;=NKC!$M$8),"x","")</f>
        <v/>
      </c>
      <c r="AB289" s="739"/>
      <c r="AD289" s="739"/>
    </row>
    <row r="290" spans="1:30" s="225" customFormat="1" ht="15.75" customHeight="1">
      <c r="A290" s="218" t="str">
        <f>IF(B290&lt;&gt;"",IF(AND(B290&gt;=_TM1,B290&lt;=_TM2,OR(TH!L309="1111",TH!M309="1111")),TH!D309,""),"")</f>
        <v/>
      </c>
      <c r="B290" s="36">
        <f t="shared" si="14"/>
        <v>1</v>
      </c>
      <c r="C290" s="37">
        <f t="shared" si="15"/>
        <v>41290</v>
      </c>
      <c r="D290" s="194"/>
      <c r="E290" s="111">
        <v>41290</v>
      </c>
      <c r="F290" s="40" t="s">
        <v>671</v>
      </c>
      <c r="G290" s="626" t="s">
        <v>666</v>
      </c>
      <c r="H290" s="45" t="s">
        <v>507</v>
      </c>
      <c r="I290" s="276">
        <v>149</v>
      </c>
      <c r="J290" s="276">
        <v>12010</v>
      </c>
      <c r="K290" s="38">
        <f t="shared" si="13"/>
        <v>1789490</v>
      </c>
      <c r="L290" s="39" t="s">
        <v>191</v>
      </c>
      <c r="M290" s="39" t="s">
        <v>8</v>
      </c>
      <c r="N290" s="55" t="str">
        <f>IF(AND('331-CT'!$E$7=TH!H309,OR(L290="331",M290="331")),"x","")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IF(OR(TH!L309=TH!$V$7,M290=TH!$V$7),"x","")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IF(AND(B290&gt;='IN-NX'!$P$3,B290&lt;='IN-NX'!$Q$3,'IN-NX'!$D$7=D290,OR(LEFT(TH!L309,2)="15",LEFT(TH!M309,2)="15")),"x","")</f>
        <v/>
      </c>
      <c r="Y290" s="55" t="str">
        <f>IF(AND(OR(LEFT(TH!L309,2)="15",LEFT(TH!M309,2)="15"),'152-CT'!$J$8=TH!F309),"x","")</f>
        <v/>
      </c>
      <c r="Z290" s="55" t="str">
        <f>IF(AND(OR(LEFT(TH!L309,2)="15",LEFT(TH!M309,2)="15"),TK!$E$7=TH!F309),"x","")</f>
        <v/>
      </c>
      <c r="AA290" s="55" t="str">
        <f>IF(AND(B290&lt;=NKC!$N$8,B290&gt;=NKC!$M$8),"x","")</f>
        <v/>
      </c>
    </row>
    <row r="291" spans="1:30" s="225" customFormat="1" ht="15.75" customHeight="1">
      <c r="A291" s="218" t="str">
        <f>IF(B291&lt;&gt;"",IF(AND(B291&gt;=_TM1,B291&lt;=_TM2,OR(TH!L310="1111",TH!M310="1111")),TH!D310,""),"")</f>
        <v/>
      </c>
      <c r="B291" s="36">
        <f t="shared" si="14"/>
        <v>1</v>
      </c>
      <c r="C291" s="37">
        <f t="shared" si="15"/>
        <v>41290</v>
      </c>
      <c r="D291" s="194"/>
      <c r="E291" s="111">
        <v>41290</v>
      </c>
      <c r="F291" s="40" t="s">
        <v>672</v>
      </c>
      <c r="G291" s="626" t="s">
        <v>666</v>
      </c>
      <c r="H291" s="45" t="s">
        <v>507</v>
      </c>
      <c r="I291" s="276">
        <v>101</v>
      </c>
      <c r="J291" s="276">
        <v>22982</v>
      </c>
      <c r="K291" s="38">
        <f t="shared" si="13"/>
        <v>2321182</v>
      </c>
      <c r="L291" s="39" t="s">
        <v>191</v>
      </c>
      <c r="M291" s="39" t="s">
        <v>8</v>
      </c>
      <c r="N291" s="55" t="str">
        <f>IF(AND('331-CT'!$E$7=TH!H310,OR(L291="331",M291="331")),"x","")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IF(OR(TH!L310=TH!$V$7,M291=TH!$V$7),"x","")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IF(AND(B291&gt;='IN-NX'!$P$3,B291&lt;='IN-NX'!$Q$3,'IN-NX'!$D$7=D291,OR(LEFT(TH!L310,2)="15",LEFT(TH!M310,2)="15")),"x","")</f>
        <v/>
      </c>
      <c r="Y291" s="55" t="str">
        <f>IF(AND(OR(LEFT(TH!L310,2)="15",LEFT(TH!M310,2)="15"),'152-CT'!$J$8=TH!F310),"x","")</f>
        <v/>
      </c>
      <c r="Z291" s="55" t="str">
        <f>IF(AND(OR(LEFT(TH!L310,2)="15",LEFT(TH!M310,2)="15"),TK!$E$7=TH!F310),"x","")</f>
        <v/>
      </c>
      <c r="AA291" s="55" t="str">
        <f>IF(AND(B291&lt;=NKC!$N$8,B291&gt;=NKC!$M$8),"x","")</f>
        <v/>
      </c>
      <c r="AB291" s="739"/>
      <c r="AC291" s="739"/>
    </row>
    <row r="292" spans="1:30" s="225" customFormat="1" ht="15.75" customHeight="1">
      <c r="A292" s="218" t="str">
        <f>IF(B292&lt;&gt;"",IF(AND(B292&gt;=_TM1,B292&lt;=_TM2,OR(TH!L311="1111",TH!M311="1111")),TH!D311,""),"")</f>
        <v/>
      </c>
      <c r="B292" s="36">
        <f t="shared" si="14"/>
        <v>1</v>
      </c>
      <c r="C292" s="37">
        <f t="shared" si="15"/>
        <v>41290</v>
      </c>
      <c r="D292" s="194"/>
      <c r="E292" s="111">
        <v>41290</v>
      </c>
      <c r="F292" s="40" t="s">
        <v>673</v>
      </c>
      <c r="G292" s="626" t="s">
        <v>666</v>
      </c>
      <c r="H292" s="45" t="s">
        <v>507</v>
      </c>
      <c r="I292" s="276">
        <v>203</v>
      </c>
      <c r="J292" s="276">
        <v>22277</v>
      </c>
      <c r="K292" s="38">
        <f t="shared" si="13"/>
        <v>4522231</v>
      </c>
      <c r="L292" s="39" t="s">
        <v>191</v>
      </c>
      <c r="M292" s="39" t="s">
        <v>8</v>
      </c>
      <c r="N292" s="55" t="str">
        <f>IF(AND('331-CT'!$E$7=TH!H311,OR(L292="331",M292="331")),"x","")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IF(OR(TH!L311=TH!$V$7,M292=TH!$V$7),"x","")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IF(AND(B292&gt;='IN-NX'!$P$3,B292&lt;='IN-NX'!$Q$3,'IN-NX'!$D$7=D292,OR(LEFT(TH!L311,2)="15",LEFT(TH!M311,2)="15")),"x","")</f>
        <v/>
      </c>
      <c r="Y292" s="55" t="str">
        <f>IF(AND(OR(LEFT(TH!L311,2)="15",LEFT(TH!M311,2)="15"),'152-CT'!$J$8=TH!F311),"x","")</f>
        <v/>
      </c>
      <c r="Z292" s="55" t="str">
        <f>IF(AND(OR(LEFT(TH!L311,2)="15",LEFT(TH!M311,2)="15"),TK!$E$7=TH!F311),"x","")</f>
        <v/>
      </c>
      <c r="AA292" s="55" t="str">
        <f>IF(AND(B292&lt;=NKC!$N$8,B292&gt;=NKC!$M$8),"x","")</f>
        <v/>
      </c>
      <c r="AD292" s="739"/>
    </row>
    <row r="293" spans="1:30" s="225" customFormat="1" ht="15.75" customHeight="1">
      <c r="A293" s="218" t="str">
        <f>IF(B293&lt;&gt;"",IF(AND(B293&gt;=_TM1,B293&lt;=_TM2,OR(TH!L312="1111",TH!M312="1111")),TH!D312,""),"")</f>
        <v/>
      </c>
      <c r="B293" s="36">
        <f t="shared" si="14"/>
        <v>1</v>
      </c>
      <c r="C293" s="37">
        <f t="shared" si="15"/>
        <v>41290</v>
      </c>
      <c r="D293" s="194"/>
      <c r="E293" s="111">
        <v>41290</v>
      </c>
      <c r="F293" s="40" t="s">
        <v>638</v>
      </c>
      <c r="G293" s="626" t="s">
        <v>666</v>
      </c>
      <c r="H293" s="45" t="s">
        <v>507</v>
      </c>
      <c r="I293" s="276"/>
      <c r="J293" s="276"/>
      <c r="K293" s="38">
        <v>1300213</v>
      </c>
      <c r="L293" s="39" t="s">
        <v>9</v>
      </c>
      <c r="M293" s="39" t="s">
        <v>8</v>
      </c>
      <c r="N293" s="55" t="str">
        <f>IF(AND('331-CT'!$E$7=TH!H312,OR(L293="331",M293="331")),"x","")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IF(OR(TH!L312=TH!$V$7,M293=TH!$V$7),"x","")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IF(AND(B293&gt;='IN-NX'!$P$3,B293&lt;='IN-NX'!$Q$3,'IN-NX'!$D$7=D293,OR(LEFT(TH!L312,2)="15",LEFT(TH!M312,2)="15")),"x","")</f>
        <v/>
      </c>
      <c r="Y293" s="55" t="str">
        <f>IF(AND(OR(LEFT(TH!L312,2)="15",LEFT(TH!M312,2)="15"),'152-CT'!$J$8=TH!F312),"x","")</f>
        <v/>
      </c>
      <c r="Z293" s="55" t="str">
        <f>IF(AND(OR(LEFT(TH!L312,2)="15",LEFT(TH!M312,2)="15"),TK!$E$7=TH!F312),"x","")</f>
        <v/>
      </c>
      <c r="AA293" s="55" t="str">
        <f>IF(AND(B293&lt;=NKC!$N$8,B293&gt;=NKC!$M$8),"x","")</f>
        <v/>
      </c>
      <c r="AB293" s="225">
        <v>1</v>
      </c>
      <c r="AD293" s="739"/>
    </row>
    <row r="294" spans="1:30" s="225" customFormat="1" ht="15.75" customHeight="1">
      <c r="A294" s="218" t="str">
        <f>IF(B294&lt;&gt;"",IF(AND(B294&gt;=_TM1,B294&lt;=_TM2,OR(TH!L313="1111",TH!M313="1111")),TH!D313,""),"")</f>
        <v/>
      </c>
      <c r="B294" s="36">
        <f t="shared" si="14"/>
        <v>1</v>
      </c>
      <c r="C294" s="37">
        <f t="shared" si="15"/>
        <v>41291</v>
      </c>
      <c r="D294" s="194"/>
      <c r="E294" s="111">
        <v>41291</v>
      </c>
      <c r="F294" s="40" t="s">
        <v>675</v>
      </c>
      <c r="G294" s="626" t="s">
        <v>674</v>
      </c>
      <c r="H294" s="45" t="s">
        <v>507</v>
      </c>
      <c r="I294" s="276">
        <v>114</v>
      </c>
      <c r="J294" s="276">
        <v>21888</v>
      </c>
      <c r="K294" s="38">
        <f>ROUND(I294*J294,0)</f>
        <v>2495232</v>
      </c>
      <c r="L294" s="39" t="s">
        <v>191</v>
      </c>
      <c r="M294" s="39" t="s">
        <v>8</v>
      </c>
      <c r="N294" s="55" t="str">
        <f>IF(AND('331-CT'!$E$7=TH!H313,OR(L294="331",M294="331")),"x","")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IF(OR(TH!L313=TH!$V$7,M294=TH!$V$7),"x","")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IF(AND(B294&gt;='IN-NX'!$P$3,B294&lt;='IN-NX'!$Q$3,'IN-NX'!$D$7=D294,OR(LEFT(TH!L313,2)="15",LEFT(TH!M313,2)="15")),"x","")</f>
        <v/>
      </c>
      <c r="Y294" s="55" t="str">
        <f>IF(AND(OR(LEFT(TH!L313,2)="15",LEFT(TH!M313,2)="15"),'152-CT'!$J$8=TH!F313),"x","")</f>
        <v/>
      </c>
      <c r="Z294" s="55" t="str">
        <f>IF(AND(OR(LEFT(TH!L313,2)="15",LEFT(TH!M313,2)="15"),TK!$E$7=TH!F313),"x","")</f>
        <v/>
      </c>
      <c r="AA294" s="55" t="str">
        <f>IF(AND(B294&lt;=NKC!$N$8,B294&gt;=NKC!$M$8),"x","")</f>
        <v/>
      </c>
    </row>
    <row r="295" spans="1:30" s="225" customFormat="1" ht="15.75" customHeight="1">
      <c r="A295" s="218" t="str">
        <f>IF(B295&lt;&gt;"",IF(AND(B295&gt;=_TM1,B295&lt;=_TM2,OR(TH!L314="1111",TH!M314="1111")),TH!D314,""),"")</f>
        <v/>
      </c>
      <c r="B295" s="36">
        <f t="shared" si="14"/>
        <v>1</v>
      </c>
      <c r="C295" s="37">
        <f t="shared" si="15"/>
        <v>41291</v>
      </c>
      <c r="D295" s="194"/>
      <c r="E295" s="111">
        <v>41291</v>
      </c>
      <c r="F295" s="40" t="s">
        <v>677</v>
      </c>
      <c r="G295" s="626" t="s">
        <v>674</v>
      </c>
      <c r="H295" s="45" t="s">
        <v>507</v>
      </c>
      <c r="I295" s="276">
        <v>142</v>
      </c>
      <c r="J295" s="276">
        <v>18617</v>
      </c>
      <c r="K295" s="38">
        <f>ROUND(I295*J295,0)</f>
        <v>2643614</v>
      </c>
      <c r="L295" s="39" t="s">
        <v>191</v>
      </c>
      <c r="M295" s="39" t="s">
        <v>8</v>
      </c>
      <c r="N295" s="55" t="str">
        <f>IF(AND('331-CT'!$E$7=TH!H314,OR(L295="331",M295="331")),"x","")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IF(OR(TH!L314=TH!$V$7,M295=TH!$V$7),"x","")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IF(AND(B295&gt;='IN-NX'!$P$3,B295&lt;='IN-NX'!$Q$3,'IN-NX'!$D$7=D295,OR(LEFT(TH!L314,2)="15",LEFT(TH!M314,2)="15")),"x","")</f>
        <v/>
      </c>
      <c r="Y295" s="55" t="str">
        <f>IF(AND(OR(LEFT(TH!L314,2)="15",LEFT(TH!M314,2)="15"),'152-CT'!$J$8=TH!F314),"x","")</f>
        <v/>
      </c>
      <c r="Z295" s="55" t="str">
        <f>IF(AND(OR(LEFT(TH!L314,2)="15",LEFT(TH!M314,2)="15"),TK!$E$7=TH!F314),"x","")</f>
        <v/>
      </c>
      <c r="AA295" s="55" t="str">
        <f>IF(AND(B295&lt;=NKC!$N$8,B295&gt;=NKC!$M$8),"x","")</f>
        <v/>
      </c>
      <c r="AD295" s="739"/>
    </row>
    <row r="296" spans="1:30" s="225" customFormat="1" ht="15.75" customHeight="1">
      <c r="A296" s="218" t="str">
        <f>IF(B296&lt;&gt;"",IF(AND(B296&gt;=_TM1,B296&lt;=_TM2,OR(TH!L315="1111",TH!M315="1111")),TH!D315,""),"")</f>
        <v/>
      </c>
      <c r="B296" s="36">
        <f t="shared" si="14"/>
        <v>1</v>
      </c>
      <c r="C296" s="37">
        <f t="shared" si="15"/>
        <v>41291</v>
      </c>
      <c r="D296" s="194"/>
      <c r="E296" s="111">
        <v>41291</v>
      </c>
      <c r="F296" s="40" t="s">
        <v>678</v>
      </c>
      <c r="G296" s="626" t="s">
        <v>674</v>
      </c>
      <c r="H296" s="45" t="s">
        <v>507</v>
      </c>
      <c r="I296" s="276">
        <v>497</v>
      </c>
      <c r="J296" s="276">
        <v>11416</v>
      </c>
      <c r="K296" s="38">
        <f>ROUND(I296*J296,0)</f>
        <v>5673752</v>
      </c>
      <c r="L296" s="39" t="s">
        <v>191</v>
      </c>
      <c r="M296" s="39" t="s">
        <v>8</v>
      </c>
      <c r="N296" s="55" t="str">
        <f>IF(AND('331-CT'!$E$7=TH!H315,OR(L296="331",M296="331")),"x","")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IF(OR(TH!L315=TH!$V$7,M296=TH!$V$7),"x","")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IF(AND(B296&gt;='IN-NX'!$P$3,B296&lt;='IN-NX'!$Q$3,'IN-NX'!$D$7=D296,OR(LEFT(TH!L315,2)="15",LEFT(TH!M315,2)="15")),"x","")</f>
        <v/>
      </c>
      <c r="Y296" s="55" t="str">
        <f>IF(AND(OR(LEFT(TH!L315,2)="15",LEFT(TH!M315,2)="15"),'152-CT'!$J$8=TH!F315),"x","")</f>
        <v/>
      </c>
      <c r="Z296" s="55" t="str">
        <f>IF(AND(OR(LEFT(TH!L315,2)="15",LEFT(TH!M315,2)="15"),TK!$E$7=TH!F315),"x","")</f>
        <v/>
      </c>
      <c r="AA296" s="55" t="str">
        <f>IF(AND(B296&lt;=NKC!$N$8,B296&gt;=NKC!$M$8),"x","")</f>
        <v/>
      </c>
      <c r="AB296" s="739"/>
      <c r="AD296" s="739"/>
    </row>
    <row r="297" spans="1:30" s="225" customFormat="1" ht="15.75" customHeight="1">
      <c r="A297" s="218" t="str">
        <f>IF(B297&lt;&gt;"",IF(AND(B297&gt;=_TM1,B297&lt;=_TM2,OR(TH!L316="1111",TH!M316="1111")),TH!D316,""),"")</f>
        <v/>
      </c>
      <c r="B297" s="36">
        <f t="shared" si="14"/>
        <v>1</v>
      </c>
      <c r="C297" s="37">
        <f t="shared" si="15"/>
        <v>41291</v>
      </c>
      <c r="D297" s="194"/>
      <c r="E297" s="111">
        <v>41291</v>
      </c>
      <c r="F297" s="40" t="s">
        <v>676</v>
      </c>
      <c r="G297" s="626" t="s">
        <v>674</v>
      </c>
      <c r="H297" s="45" t="s">
        <v>507</v>
      </c>
      <c r="I297" s="276">
        <v>50</v>
      </c>
      <c r="J297" s="276">
        <v>15713</v>
      </c>
      <c r="K297" s="38">
        <f>ROUND(I297*J297,0)</f>
        <v>785650</v>
      </c>
      <c r="L297" s="39" t="s">
        <v>191</v>
      </c>
      <c r="M297" s="39" t="s">
        <v>8</v>
      </c>
      <c r="N297" s="55" t="str">
        <f>IF(AND('331-CT'!$E$7=TH!H316,OR(L297="331",M297="331")),"x","")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IF(OR(TH!L316=TH!$V$7,M297=TH!$V$7),"x","")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IF(AND(B297&gt;='IN-NX'!$P$3,B297&lt;='IN-NX'!$Q$3,'IN-NX'!$D$7=D297,OR(LEFT(TH!L316,2)="15",LEFT(TH!M316,2)="15")),"x","")</f>
        <v/>
      </c>
      <c r="Y297" s="55" t="str">
        <f>IF(AND(OR(LEFT(TH!L316,2)="15",LEFT(TH!M316,2)="15"),'152-CT'!$J$8=TH!F316),"x","")</f>
        <v/>
      </c>
      <c r="Z297" s="55" t="str">
        <f>IF(AND(OR(LEFT(TH!L316,2)="15",LEFT(TH!M316,2)="15"),TK!$E$7=TH!F316),"x","")</f>
        <v/>
      </c>
      <c r="AA297" s="55" t="str">
        <f>IF(AND(B297&lt;=NKC!$N$8,B297&gt;=NKC!$M$8),"x","")</f>
        <v/>
      </c>
    </row>
    <row r="298" spans="1:30" s="225" customFormat="1" ht="15.75" customHeight="1">
      <c r="A298" s="218" t="str">
        <f>IF(B298&lt;&gt;"",IF(AND(B298&gt;=_TM1,B298&lt;=_TM2,OR(TH!L317="1111",TH!M317="1111")),TH!D317,""),"")</f>
        <v/>
      </c>
      <c r="B298" s="36">
        <f t="shared" si="14"/>
        <v>1</v>
      </c>
      <c r="C298" s="37">
        <f t="shared" si="15"/>
        <v>41291</v>
      </c>
      <c r="D298" s="194"/>
      <c r="E298" s="111">
        <v>41291</v>
      </c>
      <c r="F298" s="40" t="s">
        <v>638</v>
      </c>
      <c r="G298" s="626" t="s">
        <v>674</v>
      </c>
      <c r="H298" s="45" t="s">
        <v>507</v>
      </c>
      <c r="I298" s="276"/>
      <c r="J298" s="276"/>
      <c r="K298" s="38">
        <v>1159824</v>
      </c>
      <c r="L298" s="39" t="s">
        <v>9</v>
      </c>
      <c r="M298" s="39" t="s">
        <v>8</v>
      </c>
      <c r="N298" s="55" t="str">
        <f>IF(AND('331-CT'!$E$7=TH!H317,OR(L298="331",M298="331")),"x","")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IF(OR(TH!L317=TH!$V$7,M298=TH!$V$7),"x","")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IF(AND(B298&gt;='IN-NX'!$P$3,B298&lt;='IN-NX'!$Q$3,'IN-NX'!$D$7=D298,OR(LEFT(TH!L317,2)="15",LEFT(TH!M317,2)="15")),"x","")</f>
        <v/>
      </c>
      <c r="Y298" s="55" t="str">
        <f>IF(AND(OR(LEFT(TH!L317,2)="15",LEFT(TH!M317,2)="15"),'152-CT'!$J$8=TH!F317),"x","")</f>
        <v/>
      </c>
      <c r="Z298" s="55" t="str">
        <f>IF(AND(OR(LEFT(TH!L317,2)="15",LEFT(TH!M317,2)="15"),TK!$E$7=TH!F317),"x","")</f>
        <v/>
      </c>
      <c r="AA298" s="55" t="str">
        <f>IF(AND(B298&lt;=NKC!$N$8,B298&gt;=NKC!$M$8),"x","")</f>
        <v/>
      </c>
      <c r="AB298" s="225">
        <v>1</v>
      </c>
    </row>
    <row r="299" spans="1:30" s="225" customFormat="1" ht="15.75" customHeight="1">
      <c r="A299" s="218" t="str">
        <f>IF(B299&lt;&gt;"",IF(AND(B299&gt;=_TM1,B299&lt;=_TM2,OR(TH!L318="1111",TH!M318="1111")),TH!D318,""),"")</f>
        <v/>
      </c>
      <c r="B299" s="36">
        <f t="shared" si="14"/>
        <v>1</v>
      </c>
      <c r="C299" s="37">
        <f t="shared" si="15"/>
        <v>41292</v>
      </c>
      <c r="D299" s="194"/>
      <c r="E299" s="111">
        <v>41292</v>
      </c>
      <c r="F299" s="40" t="s">
        <v>680</v>
      </c>
      <c r="G299" s="626" t="s">
        <v>679</v>
      </c>
      <c r="H299" s="45" t="s">
        <v>507</v>
      </c>
      <c r="I299" s="276">
        <v>251</v>
      </c>
      <c r="J299" s="276">
        <v>19514</v>
      </c>
      <c r="K299" s="38">
        <f>ROUND(I299*J299,0)</f>
        <v>4898014</v>
      </c>
      <c r="L299" s="39" t="s">
        <v>191</v>
      </c>
      <c r="M299" s="39" t="s">
        <v>8</v>
      </c>
      <c r="N299" s="55" t="str">
        <f>IF(AND('331-CT'!$E$7=TH!H318,OR(L299="331",M299="331")),"x","")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IF(OR(TH!L318=TH!$V$7,M299=TH!$V$7),"x","")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IF(AND(B299&gt;='IN-NX'!$P$3,B299&lt;='IN-NX'!$Q$3,'IN-NX'!$D$7=D299,OR(LEFT(TH!L318,2)="15",LEFT(TH!M318,2)="15")),"x","")</f>
        <v/>
      </c>
      <c r="Y299" s="55" t="str">
        <f>IF(AND(OR(LEFT(TH!L318,2)="15",LEFT(TH!M318,2)="15"),'152-CT'!$J$8=TH!F318),"x","")</f>
        <v/>
      </c>
      <c r="Z299" s="55" t="str">
        <f>IF(AND(OR(LEFT(TH!L318,2)="15",LEFT(TH!M318,2)="15"),TK!$E$7=TH!F318),"x","")</f>
        <v/>
      </c>
      <c r="AA299" s="55" t="str">
        <f>IF(AND(B299&lt;=NKC!$N$8,B299&gt;=NKC!$M$8),"x","")</f>
        <v/>
      </c>
      <c r="AB299" s="739"/>
      <c r="AD299" s="739"/>
    </row>
    <row r="300" spans="1:30" s="225" customFormat="1" ht="15.75" customHeight="1">
      <c r="A300" s="218" t="str">
        <f>IF(B300&lt;&gt;"",IF(AND(B300&gt;=_TM1,B300&lt;=_TM2,OR(TH!L319="1111",TH!M319="1111")),TH!D319,""),"")</f>
        <v/>
      </c>
      <c r="B300" s="36">
        <f t="shared" si="14"/>
        <v>1</v>
      </c>
      <c r="C300" s="37">
        <f t="shared" si="15"/>
        <v>41292</v>
      </c>
      <c r="D300" s="194"/>
      <c r="E300" s="111">
        <v>41292</v>
      </c>
      <c r="F300" s="40" t="s">
        <v>681</v>
      </c>
      <c r="G300" s="626" t="s">
        <v>679</v>
      </c>
      <c r="H300" s="45" t="s">
        <v>507</v>
      </c>
      <c r="I300" s="276">
        <v>250</v>
      </c>
      <c r="J300" s="276">
        <v>31288</v>
      </c>
      <c r="K300" s="38">
        <f>ROUND(I300*J300,0)</f>
        <v>7822000</v>
      </c>
      <c r="L300" s="39" t="s">
        <v>191</v>
      </c>
      <c r="M300" s="39" t="s">
        <v>8</v>
      </c>
      <c r="N300" s="55" t="str">
        <f>IF(AND('331-CT'!$E$7=TH!H319,OR(L300="331",M300="331")),"x","")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IF(OR(TH!L319=TH!$V$7,M300=TH!$V$7),"x","")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IF(AND(B300&gt;='IN-NX'!$P$3,B300&lt;='IN-NX'!$Q$3,'IN-NX'!$D$7=D300,OR(LEFT(TH!L319,2)="15",LEFT(TH!M319,2)="15")),"x","")</f>
        <v/>
      </c>
      <c r="Y300" s="55" t="str">
        <f>IF(AND(OR(LEFT(TH!L319,2)="15",LEFT(TH!M319,2)="15"),'152-CT'!$J$8=TH!F319),"x","")</f>
        <v/>
      </c>
      <c r="Z300" s="55" t="str">
        <f>IF(AND(OR(LEFT(TH!L319,2)="15",LEFT(TH!M319,2)="15"),TK!$E$7=TH!F319),"x","")</f>
        <v/>
      </c>
      <c r="AA300" s="55" t="str">
        <f>IF(AND(B300&lt;=NKC!$N$8,B300&gt;=NKC!$M$8),"x","")</f>
        <v/>
      </c>
      <c r="AB300" s="739"/>
      <c r="AD300" s="739"/>
    </row>
    <row r="301" spans="1:30" s="225" customFormat="1" ht="15.75" customHeight="1">
      <c r="A301" s="218" t="str">
        <f>IF(B301&lt;&gt;"",IF(AND(B301&gt;=_TM1,B301&lt;=_TM2,OR(TH!L320="1111",TH!M320="1111")),TH!D320,""),"")</f>
        <v/>
      </c>
      <c r="B301" s="36">
        <f t="shared" si="14"/>
        <v>1</v>
      </c>
      <c r="C301" s="37">
        <f t="shared" si="15"/>
        <v>41292</v>
      </c>
      <c r="D301" s="194"/>
      <c r="E301" s="111">
        <v>41292</v>
      </c>
      <c r="F301" s="40" t="s">
        <v>638</v>
      </c>
      <c r="G301" s="626" t="s">
        <v>679</v>
      </c>
      <c r="H301" s="45" t="s">
        <v>507</v>
      </c>
      <c r="I301" s="276"/>
      <c r="J301" s="276"/>
      <c r="K301" s="38">
        <v>1272001</v>
      </c>
      <c r="L301" s="39" t="s">
        <v>9</v>
      </c>
      <c r="M301" s="39" t="s">
        <v>8</v>
      </c>
      <c r="N301" s="55" t="str">
        <f>IF(AND('331-CT'!$E$7=TH!H320,OR(L301="331",M301="331")),"x","")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IF(OR(TH!L320=TH!$V$7,M301=TH!$V$7),"x","")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IF(AND(B301&gt;='IN-NX'!$P$3,B301&lt;='IN-NX'!$Q$3,'IN-NX'!$D$7=D301,OR(LEFT(TH!L320,2)="15",LEFT(TH!M320,2)="15")),"x","")</f>
        <v/>
      </c>
      <c r="Y301" s="55" t="str">
        <f>IF(AND(OR(LEFT(TH!L320,2)="15",LEFT(TH!M320,2)="15"),'152-CT'!$J$8=TH!F320),"x","")</f>
        <v/>
      </c>
      <c r="Z301" s="55" t="str">
        <f>IF(AND(OR(LEFT(TH!L320,2)="15",LEFT(TH!M320,2)="15"),TK!$E$7=TH!F320),"x","")</f>
        <v/>
      </c>
      <c r="AA301" s="55" t="str">
        <f>IF(AND(B301&lt;=NKC!$N$8,B301&gt;=NKC!$M$8),"x","")</f>
        <v/>
      </c>
      <c r="AB301" s="739">
        <v>1</v>
      </c>
      <c r="AD301" s="739"/>
    </row>
    <row r="302" spans="1:30" s="225" customFormat="1" ht="15.75" customHeight="1">
      <c r="A302" s="218" t="str">
        <f>IF(B302&lt;&gt;"",IF(AND(B302&gt;=_TM1,B302&lt;=_TM2,OR(TH!L321="1111",TH!M321="1111")),TH!D321,""),"")</f>
        <v/>
      </c>
      <c r="B302" s="36">
        <f t="shared" si="14"/>
        <v>1</v>
      </c>
      <c r="C302" s="37">
        <f t="shared" si="15"/>
        <v>41295</v>
      </c>
      <c r="D302" s="194"/>
      <c r="E302" s="194">
        <v>41295</v>
      </c>
      <c r="F302" s="40" t="s">
        <v>683</v>
      </c>
      <c r="G302" s="626" t="s">
        <v>682</v>
      </c>
      <c r="H302" s="45" t="s">
        <v>507</v>
      </c>
      <c r="I302" s="276">
        <v>685</v>
      </c>
      <c r="J302" s="276">
        <v>8385</v>
      </c>
      <c r="K302" s="38">
        <f>ROUND(I302*J302,0)</f>
        <v>5743725</v>
      </c>
      <c r="L302" s="39" t="s">
        <v>191</v>
      </c>
      <c r="M302" s="39" t="s">
        <v>8</v>
      </c>
      <c r="N302" s="55" t="str">
        <f>IF(AND('331-CT'!$E$7=TH!H321,OR(L302="331",M302="331")),"x","")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IF(OR(TH!L321=TH!$V$7,M302=TH!$V$7),"x","")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IF(AND(B302&gt;='IN-NX'!$P$3,B302&lt;='IN-NX'!$Q$3,'IN-NX'!$D$7=D302,OR(LEFT(TH!L321,2)="15",LEFT(TH!M321,2)="15")),"x","")</f>
        <v/>
      </c>
      <c r="Y302" s="55" t="str">
        <f>IF(AND(OR(LEFT(TH!L321,2)="15",LEFT(TH!M321,2)="15"),'152-CT'!$J$8=TH!F321),"x","")</f>
        <v/>
      </c>
      <c r="Z302" s="55" t="str">
        <f>IF(AND(OR(LEFT(TH!L321,2)="15",LEFT(TH!M321,2)="15"),TK!$E$7=TH!F321),"x","")</f>
        <v/>
      </c>
      <c r="AA302" s="55" t="str">
        <f>IF(AND(B302&lt;=NKC!$N$8,B302&gt;=NKC!$M$8),"x","")</f>
        <v/>
      </c>
      <c r="AB302" s="739"/>
      <c r="AC302" s="739"/>
      <c r="AD302" s="739"/>
    </row>
    <row r="303" spans="1:30" s="225" customFormat="1" ht="15.75" customHeight="1">
      <c r="A303" s="218" t="str">
        <f>IF(B303&lt;&gt;"",IF(AND(B303&gt;=_TM1,B303&lt;=_TM2,OR(TH!L322="1111",TH!M322="1111")),TH!D322,""),"")</f>
        <v/>
      </c>
      <c r="B303" s="36">
        <f t="shared" si="14"/>
        <v>1</v>
      </c>
      <c r="C303" s="37">
        <f t="shared" si="15"/>
        <v>41295</v>
      </c>
      <c r="D303" s="194"/>
      <c r="E303" s="194">
        <v>41295</v>
      </c>
      <c r="F303" s="40" t="s">
        <v>684</v>
      </c>
      <c r="G303" s="626" t="s">
        <v>682</v>
      </c>
      <c r="H303" s="45" t="s">
        <v>507</v>
      </c>
      <c r="I303" s="276">
        <v>241</v>
      </c>
      <c r="J303" s="276">
        <v>14784</v>
      </c>
      <c r="K303" s="38">
        <f>ROUND(I303*J303,0)</f>
        <v>3562944</v>
      </c>
      <c r="L303" s="39" t="s">
        <v>191</v>
      </c>
      <c r="M303" s="39" t="s">
        <v>8</v>
      </c>
      <c r="N303" s="55" t="str">
        <f>IF(AND('331-CT'!$E$7=TH!H322,OR(L303="331",M303="331")),"x","")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IF(OR(TH!L322=TH!$V$7,M303=TH!$V$7),"x","")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IF(AND(B303&gt;='IN-NX'!$P$3,B303&lt;='IN-NX'!$Q$3,'IN-NX'!$D$7=D303,OR(LEFT(TH!L322,2)="15",LEFT(TH!M322,2)="15")),"x","")</f>
        <v/>
      </c>
      <c r="Y303" s="55" t="str">
        <f>IF(AND(OR(LEFT(TH!L322,2)="15",LEFT(TH!M322,2)="15"),'152-CT'!$J$8=TH!F322),"x","")</f>
        <v/>
      </c>
      <c r="Z303" s="55" t="str">
        <f>IF(AND(OR(LEFT(TH!L322,2)="15",LEFT(TH!M322,2)="15"),TK!$E$7=TH!F322),"x","")</f>
        <v/>
      </c>
      <c r="AA303" s="55" t="str">
        <f>IF(AND(B303&lt;=NKC!$N$8,B303&gt;=NKC!$M$8),"x","")</f>
        <v/>
      </c>
      <c r="AB303" s="739"/>
      <c r="AD303" s="739"/>
    </row>
    <row r="304" spans="1:30" s="225" customFormat="1" ht="15.75" customHeight="1">
      <c r="A304" s="218" t="str">
        <f>IF(B304&lt;&gt;"",IF(AND(B304&gt;=_TM1,B304&lt;=_TM2,OR(TH!L323="1111",TH!M323="1111")),TH!D323,""),"")</f>
        <v/>
      </c>
      <c r="B304" s="36">
        <f t="shared" si="14"/>
        <v>1</v>
      </c>
      <c r="C304" s="37">
        <f t="shared" si="15"/>
        <v>41295</v>
      </c>
      <c r="D304" s="194"/>
      <c r="E304" s="194">
        <v>41295</v>
      </c>
      <c r="F304" s="40" t="s">
        <v>638</v>
      </c>
      <c r="G304" s="626" t="s">
        <v>682</v>
      </c>
      <c r="H304" s="45" t="s">
        <v>507</v>
      </c>
      <c r="I304" s="276"/>
      <c r="J304" s="276"/>
      <c r="K304" s="38">
        <v>930667</v>
      </c>
      <c r="L304" s="39" t="s">
        <v>9</v>
      </c>
      <c r="M304" s="39" t="s">
        <v>8</v>
      </c>
      <c r="N304" s="55" t="str">
        <f>IF(AND('331-CT'!$E$7=TH!H323,OR(L304="331",M304="331")),"x","")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IF(OR(TH!L323=TH!$V$7,M304=TH!$V$7),"x","")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IF(AND(B304&gt;='IN-NX'!$P$3,B304&lt;='IN-NX'!$Q$3,'IN-NX'!$D$7=D304,OR(LEFT(TH!L323,2)="15",LEFT(TH!M323,2)="15")),"x","")</f>
        <v/>
      </c>
      <c r="Y304" s="55" t="str">
        <f>IF(AND(OR(LEFT(TH!L323,2)="15",LEFT(TH!M323,2)="15"),'152-CT'!$J$8=TH!F323),"x","")</f>
        <v/>
      </c>
      <c r="Z304" s="55" t="str">
        <f>IF(AND(OR(LEFT(TH!L323,2)="15",LEFT(TH!M323,2)="15"),TK!$E$7=TH!F323),"x","")</f>
        <v/>
      </c>
      <c r="AA304" s="55" t="str">
        <f>IF(AND(B304&lt;=NKC!$N$8,B304&gt;=NKC!$M$8),"x","")</f>
        <v/>
      </c>
      <c r="AB304" s="225">
        <v>1</v>
      </c>
    </row>
    <row r="305" spans="1:30" s="225" customFormat="1" ht="15.75" customHeight="1">
      <c r="A305" s="218" t="str">
        <f>IF(B305&lt;&gt;"",IF(AND(B305&gt;=_TM1,B305&lt;=_TM2,OR(TH!L324="1111",TH!M324="1111")),TH!D324,""),"")</f>
        <v/>
      </c>
      <c r="B305" s="36">
        <f t="shared" si="14"/>
        <v>1</v>
      </c>
      <c r="C305" s="37">
        <f t="shared" si="15"/>
        <v>41298</v>
      </c>
      <c r="D305" s="194"/>
      <c r="E305" s="37">
        <v>41298</v>
      </c>
      <c r="F305" s="40" t="s">
        <v>663</v>
      </c>
      <c r="G305" s="626" t="s">
        <v>685</v>
      </c>
      <c r="H305" s="45" t="s">
        <v>507</v>
      </c>
      <c r="I305" s="276">
        <v>199</v>
      </c>
      <c r="J305" s="276">
        <v>19270</v>
      </c>
      <c r="K305" s="38">
        <f>ROUND(I305*J305,0)</f>
        <v>3834730</v>
      </c>
      <c r="L305" s="39" t="s">
        <v>191</v>
      </c>
      <c r="M305" s="39" t="s">
        <v>8</v>
      </c>
      <c r="N305" s="55" t="str">
        <f>IF(AND('331-CT'!$E$7=TH!H324,OR(L305="331",M305="331")),"x","")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IF(OR(TH!L324=TH!$V$7,M305=TH!$V$7),"x","")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IF(AND(B305&gt;='IN-NX'!$P$3,B305&lt;='IN-NX'!$Q$3,'IN-NX'!$D$7=D305,OR(LEFT(TH!L324,2)="15",LEFT(TH!M324,2)="15")),"x","")</f>
        <v/>
      </c>
      <c r="Y305" s="55" t="str">
        <f>IF(AND(OR(LEFT(TH!L324,2)="15",LEFT(TH!M324,2)="15"),'152-CT'!$J$8=TH!F324),"x","")</f>
        <v/>
      </c>
      <c r="Z305" s="55" t="str">
        <f>IF(AND(OR(LEFT(TH!L324,2)="15",LEFT(TH!M324,2)="15"),TK!$E$7=TH!F324),"x","")</f>
        <v/>
      </c>
      <c r="AA305" s="55" t="str">
        <f>IF(AND(B305&lt;=NKC!$N$8,B305&gt;=NKC!$M$8),"x","")</f>
        <v/>
      </c>
    </row>
    <row r="306" spans="1:30" s="225" customFormat="1" ht="15.75" customHeight="1">
      <c r="A306" s="218" t="str">
        <f>IF(B306&lt;&gt;"",IF(AND(B306&gt;=_TM1,B306&lt;=_TM2,OR(TH!L325="1111",TH!M325="1111")),TH!D325,""),"")</f>
        <v/>
      </c>
      <c r="B306" s="36">
        <f t="shared" si="14"/>
        <v>1</v>
      </c>
      <c r="C306" s="37">
        <f t="shared" si="15"/>
        <v>41298</v>
      </c>
      <c r="D306" s="194"/>
      <c r="E306" s="37">
        <v>41298</v>
      </c>
      <c r="F306" s="40" t="s">
        <v>646</v>
      </c>
      <c r="G306" s="626" t="s">
        <v>685</v>
      </c>
      <c r="H306" s="45" t="s">
        <v>507</v>
      </c>
      <c r="I306" s="276">
        <v>500</v>
      </c>
      <c r="J306" s="276">
        <v>8505</v>
      </c>
      <c r="K306" s="38">
        <f>ROUND(I306*J306,0)</f>
        <v>4252500</v>
      </c>
      <c r="L306" s="39" t="s">
        <v>191</v>
      </c>
      <c r="M306" s="39" t="s">
        <v>8</v>
      </c>
      <c r="N306" s="55" t="str">
        <f>IF(AND('331-CT'!$E$7=TH!H325,OR(L306="331",M306="331")),"x","")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IF(OR(TH!L325=TH!$V$7,M306=TH!$V$7),"x","")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IF(AND(B306&gt;='IN-NX'!$P$3,B306&lt;='IN-NX'!$Q$3,'IN-NX'!$D$7=D306,OR(LEFT(TH!L325,2)="15",LEFT(TH!M325,2)="15")),"x","")</f>
        <v/>
      </c>
      <c r="Y306" s="55" t="str">
        <f>IF(AND(OR(LEFT(TH!L325,2)="15",LEFT(TH!M325,2)="15"),'152-CT'!$J$8=TH!F325),"x","")</f>
        <v/>
      </c>
      <c r="Z306" s="55" t="str">
        <f>IF(AND(OR(LEFT(TH!L325,2)="15",LEFT(TH!M325,2)="15"),TK!$E$7=TH!F325),"x","")</f>
        <v/>
      </c>
      <c r="AA306" s="55" t="str">
        <f>IF(AND(B306&lt;=NKC!$N$8,B306&gt;=NKC!$M$8),"x","")</f>
        <v/>
      </c>
      <c r="AB306" s="739"/>
      <c r="AD306" s="739"/>
    </row>
    <row r="307" spans="1:30" s="225" customFormat="1" ht="15.75" customHeight="1">
      <c r="A307" s="218" t="str">
        <f>IF(B307&lt;&gt;"",IF(AND(B307&gt;=_TM1,B307&lt;=_TM2,OR(TH!L326="1111",TH!M326="1111")),TH!D326,""),"")</f>
        <v/>
      </c>
      <c r="B307" s="36">
        <f t="shared" si="14"/>
        <v>1</v>
      </c>
      <c r="C307" s="37">
        <f t="shared" si="15"/>
        <v>41298</v>
      </c>
      <c r="D307" s="194"/>
      <c r="E307" s="37">
        <v>41298</v>
      </c>
      <c r="F307" s="40" t="s">
        <v>638</v>
      </c>
      <c r="G307" s="626" t="s">
        <v>685</v>
      </c>
      <c r="H307" s="45" t="s">
        <v>507</v>
      </c>
      <c r="I307" s="276"/>
      <c r="J307" s="276"/>
      <c r="K307" s="38">
        <v>808723</v>
      </c>
      <c r="L307" s="39" t="s">
        <v>9</v>
      </c>
      <c r="M307" s="39" t="s">
        <v>8</v>
      </c>
      <c r="N307" s="55" t="str">
        <f>IF(AND('331-CT'!$E$7=TH!H326,OR(L307="331",M307="331")),"x","")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IF(OR(TH!L326=TH!$V$7,M307=TH!$V$7),"x","")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IF(AND(B307&gt;='IN-NX'!$P$3,B307&lt;='IN-NX'!$Q$3,'IN-NX'!$D$7=D307,OR(LEFT(TH!L326,2)="15",LEFT(TH!M326,2)="15")),"x","")</f>
        <v/>
      </c>
      <c r="Y307" s="55" t="str">
        <f>IF(AND(OR(LEFT(TH!L326,2)="15",LEFT(TH!M326,2)="15"),'152-CT'!$J$8=TH!F326),"x","")</f>
        <v/>
      </c>
      <c r="Z307" s="55" t="str">
        <f>IF(AND(OR(LEFT(TH!L326,2)="15",LEFT(TH!M326,2)="15"),TK!$E$7=TH!F326),"x","")</f>
        <v/>
      </c>
      <c r="AA307" s="55" t="str">
        <f>IF(AND(B307&lt;=NKC!$N$8,B307&gt;=NKC!$M$8),"x","")</f>
        <v/>
      </c>
      <c r="AB307" s="739">
        <v>1</v>
      </c>
      <c r="AD307" s="739"/>
    </row>
    <row r="308" spans="1:30" s="225" customFormat="1" ht="15.75" customHeight="1">
      <c r="A308" s="218" t="str">
        <f>IF(B308&lt;&gt;"",IF(AND(B308&gt;=_TM1,B308&lt;=_TM2,OR(TH!L327="1111",TH!M327="1111")),TH!D327,""),"")</f>
        <v/>
      </c>
      <c r="B308" s="36">
        <f t="shared" si="14"/>
        <v>1</v>
      </c>
      <c r="C308" s="37">
        <f t="shared" si="15"/>
        <v>41302</v>
      </c>
      <c r="D308" s="194"/>
      <c r="E308" s="194">
        <v>41302</v>
      </c>
      <c r="F308" s="40" t="s">
        <v>688</v>
      </c>
      <c r="G308" s="883" t="s">
        <v>686</v>
      </c>
      <c r="H308" s="45" t="s">
        <v>507</v>
      </c>
      <c r="I308" s="276">
        <v>201</v>
      </c>
      <c r="J308" s="276">
        <v>13517</v>
      </c>
      <c r="K308" s="38">
        <f>ROUND(I308*J308,0)</f>
        <v>2716917</v>
      </c>
      <c r="L308" s="39" t="s">
        <v>191</v>
      </c>
      <c r="M308" s="39" t="s">
        <v>8</v>
      </c>
      <c r="N308" s="55" t="str">
        <f>IF(AND('331-CT'!$E$7=TH!H327,OR(L308="331",M308="331")),"x","")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IF(OR(TH!L327=TH!$V$7,M308=TH!$V$7),"x","")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IF(AND(B308&gt;='IN-NX'!$P$3,B308&lt;='IN-NX'!$Q$3,'IN-NX'!$D$7=D308,OR(LEFT(TH!L327,2)="15",LEFT(TH!M327,2)="15")),"x","")</f>
        <v/>
      </c>
      <c r="Y308" s="55" t="str">
        <f>IF(AND(OR(LEFT(TH!L327,2)="15",LEFT(TH!M327,2)="15"),'152-CT'!$J$8=TH!F327),"x","")</f>
        <v/>
      </c>
      <c r="Z308" s="55" t="str">
        <f>IF(AND(OR(LEFT(TH!L327,2)="15",LEFT(TH!M327,2)="15"),TK!$E$7=TH!F327),"x","")</f>
        <v/>
      </c>
      <c r="AA308" s="55" t="str">
        <f>IF(AND(B308&lt;=NKC!$N$8,B308&gt;=NKC!$M$8),"x","")</f>
        <v/>
      </c>
      <c r="AB308" s="739"/>
      <c r="AC308" s="739"/>
      <c r="AD308" s="739"/>
    </row>
    <row r="309" spans="1:30" s="225" customFormat="1" ht="15.75" customHeight="1">
      <c r="A309" s="218" t="str">
        <f>IF(B309&lt;&gt;"",IF(AND(B309&gt;=_TM1,B309&lt;=_TM2,OR(TH!L328="1111",TH!M328="1111")),TH!D328,""),"")</f>
        <v/>
      </c>
      <c r="B309" s="36">
        <f t="shared" si="14"/>
        <v>1</v>
      </c>
      <c r="C309" s="37">
        <f t="shared" si="15"/>
        <v>41302</v>
      </c>
      <c r="D309" s="194"/>
      <c r="E309" s="194">
        <v>41302</v>
      </c>
      <c r="F309" s="40" t="s">
        <v>689</v>
      </c>
      <c r="G309" s="883" t="s">
        <v>686</v>
      </c>
      <c r="H309" s="45" t="s">
        <v>507</v>
      </c>
      <c r="I309" s="276">
        <v>192</v>
      </c>
      <c r="J309" s="276">
        <v>11126</v>
      </c>
      <c r="K309" s="38">
        <f>ROUND(I309*J309,0)</f>
        <v>2136192</v>
      </c>
      <c r="L309" s="39" t="s">
        <v>191</v>
      </c>
      <c r="M309" s="39" t="s">
        <v>8</v>
      </c>
      <c r="N309" s="55" t="str">
        <f>IF(AND('331-CT'!$E$7=TH!H328,OR(L309="331",M309="331")),"x","")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IF(OR(TH!L328=TH!$V$7,M309=TH!$V$7),"x","")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IF(AND(B309&gt;='IN-NX'!$P$3,B309&lt;='IN-NX'!$Q$3,'IN-NX'!$D$7=D309,OR(LEFT(TH!L328,2)="15",LEFT(TH!M328,2)="15")),"x","")</f>
        <v/>
      </c>
      <c r="Y309" s="55" t="str">
        <f>IF(AND(OR(LEFT(TH!L328,2)="15",LEFT(TH!M328,2)="15"),'152-CT'!$J$8=TH!F328),"x","")</f>
        <v/>
      </c>
      <c r="Z309" s="55" t="str">
        <f>IF(AND(OR(LEFT(TH!L328,2)="15",LEFT(TH!M328,2)="15"),TK!$E$7=TH!F328),"x","")</f>
        <v/>
      </c>
      <c r="AA309" s="55" t="str">
        <f>IF(AND(B309&lt;=NKC!$N$8,B309&gt;=NKC!$M$8),"x","")</f>
        <v/>
      </c>
    </row>
    <row r="310" spans="1:30" s="225" customFormat="1" ht="15.75" customHeight="1">
      <c r="A310" s="218" t="str">
        <f>IF(B310&lt;&gt;"",IF(AND(B310&gt;=_TM1,B310&lt;=_TM2,OR(TH!L329="1111",TH!M329="1111")),TH!D329,""),"")</f>
        <v/>
      </c>
      <c r="B310" s="36">
        <f t="shared" si="14"/>
        <v>1</v>
      </c>
      <c r="C310" s="37">
        <f t="shared" si="15"/>
        <v>41302</v>
      </c>
      <c r="D310" s="194"/>
      <c r="E310" s="194">
        <v>41302</v>
      </c>
      <c r="F310" s="40" t="s">
        <v>684</v>
      </c>
      <c r="G310" s="883" t="s">
        <v>686</v>
      </c>
      <c r="H310" s="45" t="s">
        <v>507</v>
      </c>
      <c r="I310" s="276">
        <v>378</v>
      </c>
      <c r="J310" s="276">
        <v>14784</v>
      </c>
      <c r="K310" s="38">
        <f>ROUND(I310*J310,0)</f>
        <v>5588352</v>
      </c>
      <c r="L310" s="39" t="s">
        <v>191</v>
      </c>
      <c r="M310" s="39" t="s">
        <v>8</v>
      </c>
      <c r="N310" s="55" t="str">
        <f>IF(AND('331-CT'!$E$7=TH!H329,OR(L310="331",M310="331")),"x","")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IF(OR(TH!L329=TH!$V$7,M310=TH!$V$7),"x","")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IF(AND(B310&gt;='IN-NX'!$P$3,B310&lt;='IN-NX'!$Q$3,'IN-NX'!$D$7=D310,OR(LEFT(TH!L329,2)="15",LEFT(TH!M329,2)="15")),"x","")</f>
        <v/>
      </c>
      <c r="Y310" s="55" t="str">
        <f>IF(AND(OR(LEFT(TH!L329,2)="15",LEFT(TH!M329,2)="15"),'152-CT'!$J$8=TH!F329),"x","")</f>
        <v/>
      </c>
      <c r="Z310" s="55" t="str">
        <f>IF(AND(OR(LEFT(TH!L329,2)="15",LEFT(TH!M329,2)="15"),TK!$E$7=TH!F329),"x","")</f>
        <v/>
      </c>
      <c r="AA310" s="55" t="str">
        <f>IF(AND(B310&lt;=NKC!$N$8,B310&gt;=NKC!$M$8),"x","")</f>
        <v/>
      </c>
    </row>
    <row r="311" spans="1:30" s="225" customFormat="1" ht="15.75" customHeight="1">
      <c r="A311" s="218" t="str">
        <f>IF(B311&lt;&gt;"",IF(AND(B311&gt;=_TM1,B311&lt;=_TM2,OR(TH!L330="1111",TH!M330="1111")),TH!D330,""),"")</f>
        <v/>
      </c>
      <c r="B311" s="36">
        <f t="shared" si="14"/>
        <v>1</v>
      </c>
      <c r="C311" s="37">
        <f t="shared" si="15"/>
        <v>41302</v>
      </c>
      <c r="D311" s="194"/>
      <c r="E311" s="194">
        <v>41302</v>
      </c>
      <c r="F311" s="40" t="s">
        <v>690</v>
      </c>
      <c r="G311" s="883" t="s">
        <v>686</v>
      </c>
      <c r="H311" s="45" t="s">
        <v>507</v>
      </c>
      <c r="I311" s="276">
        <v>505</v>
      </c>
      <c r="J311" s="276">
        <v>13465</v>
      </c>
      <c r="K311" s="38">
        <f>ROUND(I311*J311,0)</f>
        <v>6799825</v>
      </c>
      <c r="L311" s="39" t="s">
        <v>191</v>
      </c>
      <c r="M311" s="39" t="s">
        <v>8</v>
      </c>
      <c r="N311" s="55" t="str">
        <f>IF(AND('331-CT'!$E$7=TH!H330,OR(L311="331",M311="331")),"x","")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/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IF(OR(TH!L330=TH!$V$7,M311=TH!$V$7),"x","")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IF(AND(B311&gt;='IN-NX'!$P$3,B311&lt;='IN-NX'!$Q$3,'IN-NX'!$D$7=D311,OR(LEFT(TH!L330,2)="15",LEFT(TH!M330,2)="15")),"x","")</f>
        <v/>
      </c>
      <c r="Y311" s="55" t="str">
        <f>IF(AND(OR(LEFT(TH!L330,2)="15",LEFT(TH!M330,2)="15"),'152-CT'!$J$8=TH!F330),"x","")</f>
        <v/>
      </c>
      <c r="Z311" s="55" t="str">
        <f>IF(AND(OR(LEFT(TH!L330,2)="15",LEFT(TH!M330,2)="15"),TK!$E$7=TH!F330),"x","")</f>
        <v/>
      </c>
      <c r="AA311" s="55" t="str">
        <f>IF(AND(B311&lt;=NKC!$N$8,B311&gt;=NKC!$M$8),"x","")</f>
        <v/>
      </c>
      <c r="AB311" s="739"/>
      <c r="AC311" s="739"/>
      <c r="AD311" s="739"/>
    </row>
    <row r="312" spans="1:30" s="225" customFormat="1" ht="15.75" customHeight="1">
      <c r="A312" s="218" t="str">
        <f>IF(B312&lt;&gt;"",IF(AND(B312&gt;=_TM1,B312&lt;=_TM2,OR(TH!L331="1111",TH!M331="1111")),TH!D331,""),"")</f>
        <v/>
      </c>
      <c r="B312" s="36">
        <f t="shared" si="14"/>
        <v>1</v>
      </c>
      <c r="C312" s="37">
        <f t="shared" si="15"/>
        <v>41302</v>
      </c>
      <c r="D312" s="194"/>
      <c r="E312" s="194">
        <v>41302</v>
      </c>
      <c r="F312" s="40" t="s">
        <v>638</v>
      </c>
      <c r="G312" s="883" t="s">
        <v>686</v>
      </c>
      <c r="H312" s="45" t="s">
        <v>507</v>
      </c>
      <c r="I312" s="276"/>
      <c r="J312" s="276"/>
      <c r="K312" s="38">
        <v>1724129</v>
      </c>
      <c r="L312" s="39" t="s">
        <v>9</v>
      </c>
      <c r="M312" s="39" t="s">
        <v>8</v>
      </c>
      <c r="N312" s="55" t="str">
        <f>IF(AND('331-CT'!$E$7=TH!H331,OR(L312="331",M312="331")),"x","")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/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IF(OR(TH!L331=TH!$V$7,M312=TH!$V$7),"x","")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IF(AND(B312&gt;='IN-NX'!$P$3,B312&lt;='IN-NX'!$Q$3,'IN-NX'!$D$7=D312,OR(LEFT(TH!L331,2)="15",LEFT(TH!M331,2)="15")),"x","")</f>
        <v/>
      </c>
      <c r="Y312" s="55" t="str">
        <f>IF(AND(OR(LEFT(TH!L331,2)="15",LEFT(TH!M331,2)="15"),'152-CT'!$J$8=TH!F331),"x","")</f>
        <v/>
      </c>
      <c r="Z312" s="55" t="str">
        <f>IF(AND(OR(LEFT(TH!L331,2)="15",LEFT(TH!M331,2)="15"),TK!$E$7=TH!F331),"x","")</f>
        <v/>
      </c>
      <c r="AA312" s="55" t="str">
        <f>IF(AND(B312&lt;=NKC!$N$8,B312&gt;=NKC!$M$8),"x","")</f>
        <v/>
      </c>
      <c r="AB312" s="739">
        <v>1</v>
      </c>
      <c r="AC312" s="739"/>
      <c r="AD312" s="739"/>
    </row>
    <row r="313" spans="1:30" s="225" customFormat="1" ht="15.75" customHeight="1">
      <c r="A313" s="218" t="str">
        <f>IF(B313&lt;&gt;"",IF(AND(B313&gt;=_TM1,B313&lt;=_TM2,OR(TH!L332="1111",TH!M332="1111")),TH!D332,""),"")</f>
        <v/>
      </c>
      <c r="B313" s="36">
        <f t="shared" si="14"/>
        <v>1</v>
      </c>
      <c r="C313" s="37">
        <f t="shared" si="15"/>
        <v>41303</v>
      </c>
      <c r="D313" s="194"/>
      <c r="E313" s="194">
        <v>41303</v>
      </c>
      <c r="F313" s="40" t="s">
        <v>691</v>
      </c>
      <c r="G313" s="883" t="s">
        <v>687</v>
      </c>
      <c r="H313" s="45" t="s">
        <v>507</v>
      </c>
      <c r="I313" s="276">
        <v>235</v>
      </c>
      <c r="J313" s="276">
        <v>36234</v>
      </c>
      <c r="K313" s="38">
        <f>ROUND(I313*J313,0)</f>
        <v>8514990</v>
      </c>
      <c r="L313" s="39" t="s">
        <v>191</v>
      </c>
      <c r="M313" s="39" t="s">
        <v>8</v>
      </c>
      <c r="N313" s="55" t="str">
        <f>IF(AND('331-CT'!$E$7=TH!H332,OR(L313="331",M313="331")),"x","")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/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/>
      </c>
      <c r="U313" s="55" t="str">
        <f>IF(AND('3411-CT'!$F$9=H313,OR(LEFT(L313,3)=$U$7,LEFT(M313,3)=$U$7)),"x","")</f>
        <v/>
      </c>
      <c r="V313" s="55" t="str">
        <f>IF(OR(TH!L332=TH!$V$7,M313=TH!$V$7),"x","")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IF(AND(B313&gt;='IN-NX'!$P$3,B313&lt;='IN-NX'!$Q$3,'IN-NX'!$D$7=D313,OR(LEFT(TH!L332,2)="15",LEFT(TH!M332,2)="15")),"x","")</f>
        <v/>
      </c>
      <c r="Y313" s="55" t="str">
        <f>IF(AND(OR(LEFT(TH!L332,2)="15",LEFT(TH!M332,2)="15"),'152-CT'!$J$8=TH!F332),"x","")</f>
        <v/>
      </c>
      <c r="Z313" s="55" t="str">
        <f>IF(AND(OR(LEFT(TH!L332,2)="15",LEFT(TH!M332,2)="15"),TK!$E$7=TH!F332),"x","")</f>
        <v/>
      </c>
      <c r="AA313" s="55" t="str">
        <f>IF(AND(B313&lt;=NKC!$N$8,B313&gt;=NKC!$M$8),"x","")</f>
        <v/>
      </c>
      <c r="AB313" s="739"/>
      <c r="AD313" s="739"/>
    </row>
    <row r="314" spans="1:30" s="225" customFormat="1" ht="15.75" customHeight="1">
      <c r="A314" s="218" t="str">
        <f>IF(B314&lt;&gt;"",IF(AND(B314&gt;=_TM1,B314&lt;=_TM2,OR(TH!L333="1111",TH!M333="1111")),TH!D333,""),"")</f>
        <v/>
      </c>
      <c r="B314" s="36">
        <f t="shared" si="14"/>
        <v>1</v>
      </c>
      <c r="C314" s="37">
        <f t="shared" si="15"/>
        <v>41303</v>
      </c>
      <c r="D314" s="194"/>
      <c r="E314" s="194">
        <v>41303</v>
      </c>
      <c r="F314" s="40" t="s">
        <v>638</v>
      </c>
      <c r="G314" s="883" t="s">
        <v>687</v>
      </c>
      <c r="H314" s="45" t="s">
        <v>507</v>
      </c>
      <c r="I314" s="276"/>
      <c r="J314" s="276"/>
      <c r="K314" s="38">
        <v>851499</v>
      </c>
      <c r="L314" s="39" t="s">
        <v>9</v>
      </c>
      <c r="M314" s="39" t="s">
        <v>8</v>
      </c>
      <c r="N314" s="55" t="str">
        <f>IF(AND('331-CT'!$E$7=TH!H333,OR(L314="331",M314="331")),"x","")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/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IF(OR(TH!L333=TH!$V$7,M314=TH!$V$7),"x","")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IF(AND(B314&gt;='IN-NX'!$P$3,B314&lt;='IN-NX'!$Q$3,'IN-NX'!$D$7=D314,OR(LEFT(TH!L333,2)="15",LEFT(TH!M333,2)="15")),"x","")</f>
        <v/>
      </c>
      <c r="Y314" s="55" t="str">
        <f>IF(AND(OR(LEFT(TH!L333,2)="15",LEFT(TH!M333,2)="15"),'152-CT'!$J$8=TH!F333),"x","")</f>
        <v/>
      </c>
      <c r="Z314" s="55" t="str">
        <f>IF(AND(OR(LEFT(TH!L333,2)="15",LEFT(TH!M333,2)="15"),TK!$E$7=TH!F333),"x","")</f>
        <v/>
      </c>
      <c r="AA314" s="55" t="str">
        <f>IF(AND(B314&lt;=NKC!$N$8,B314&gt;=NKC!$M$8),"x","")</f>
        <v/>
      </c>
      <c r="AB314" s="739">
        <v>1</v>
      </c>
      <c r="AD314" s="739"/>
    </row>
    <row r="315" spans="1:30" s="225" customFormat="1" ht="15.75" customHeight="1">
      <c r="A315" s="218" t="str">
        <f>IF(B315&lt;&gt;"",IF(AND(B315&gt;=_TM1,B315&lt;=_TM2,OR(TH!L334="1111",TH!M334="1111")),TH!D334,""),"")</f>
        <v/>
      </c>
      <c r="B315" s="36">
        <f t="shared" si="14"/>
        <v>1</v>
      </c>
      <c r="C315" s="37">
        <f t="shared" si="15"/>
        <v>41303</v>
      </c>
      <c r="D315" s="194"/>
      <c r="E315" s="194">
        <v>41303</v>
      </c>
      <c r="F315" s="40" t="s">
        <v>665</v>
      </c>
      <c r="G315" s="883" t="s">
        <v>692</v>
      </c>
      <c r="H315" s="45" t="s">
        <v>507</v>
      </c>
      <c r="I315" s="276">
        <v>410</v>
      </c>
      <c r="J315" s="276">
        <v>8461</v>
      </c>
      <c r="K315" s="38">
        <f>ROUND(I315*J315,0)</f>
        <v>3469010</v>
      </c>
      <c r="L315" s="39" t="s">
        <v>191</v>
      </c>
      <c r="M315" s="39" t="s">
        <v>8</v>
      </c>
      <c r="N315" s="55" t="str">
        <f>IF(AND('331-CT'!$E$7=TH!H334,OR(L315="331",M315="331")),"x","")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IF(OR(TH!L334=TH!$V$7,M315=TH!$V$7),"x","")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IF(AND(B315&gt;='IN-NX'!$P$3,B315&lt;='IN-NX'!$Q$3,'IN-NX'!$D$7=D315,OR(LEFT(TH!L334,2)="15",LEFT(TH!M334,2)="15")),"x","")</f>
        <v/>
      </c>
      <c r="Y315" s="55" t="str">
        <f>IF(AND(OR(LEFT(TH!L334,2)="15",LEFT(TH!M334,2)="15"),'152-CT'!$J$8=TH!F334),"x","")</f>
        <v/>
      </c>
      <c r="Z315" s="55" t="str">
        <f>IF(AND(OR(LEFT(TH!L334,2)="15",LEFT(TH!M334,2)="15"),TK!$E$7=TH!F334),"x","")</f>
        <v/>
      </c>
      <c r="AA315" s="55" t="str">
        <f>IF(AND(B315&lt;=NKC!$N$8,B315&gt;=NKC!$M$8),"x","")</f>
        <v/>
      </c>
      <c r="AB315" s="739"/>
      <c r="AD315" s="739"/>
    </row>
    <row r="316" spans="1:30" s="225" customFormat="1" ht="15.75" customHeight="1">
      <c r="A316" s="218" t="str">
        <f>IF(B316&lt;&gt;"",IF(AND(B316&gt;=_TM1,B316&lt;=_TM2,OR(TH!L335="1111",TH!M335="1111")),TH!D335,""),"")</f>
        <v/>
      </c>
      <c r="B316" s="36">
        <f t="shared" si="14"/>
        <v>1</v>
      </c>
      <c r="C316" s="37">
        <f t="shared" si="15"/>
        <v>41303</v>
      </c>
      <c r="D316" s="194"/>
      <c r="E316" s="194">
        <v>41303</v>
      </c>
      <c r="F316" s="40" t="s">
        <v>693</v>
      </c>
      <c r="G316" s="883" t="s">
        <v>692</v>
      </c>
      <c r="H316" s="45" t="s">
        <v>507</v>
      </c>
      <c r="I316" s="276">
        <v>308</v>
      </c>
      <c r="J316" s="276">
        <v>20420</v>
      </c>
      <c r="K316" s="38">
        <f>ROUND(I316*J316,0)</f>
        <v>6289360</v>
      </c>
      <c r="L316" s="39" t="s">
        <v>191</v>
      </c>
      <c r="M316" s="39" t="s">
        <v>8</v>
      </c>
      <c r="N316" s="55" t="str">
        <f>IF(AND('331-CT'!$E$7=TH!H335,OR(L316="331",M316="331")),"x","")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IF(OR(TH!L335=TH!$V$7,M316=TH!$V$7),"x","")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IF(AND(B316&gt;='IN-NX'!$P$3,B316&lt;='IN-NX'!$Q$3,'IN-NX'!$D$7=D316,OR(LEFT(TH!L335,2)="15",LEFT(TH!M335,2)="15")),"x","")</f>
        <v/>
      </c>
      <c r="Y316" s="55" t="str">
        <f>IF(AND(OR(LEFT(TH!L335,2)="15",LEFT(TH!M335,2)="15"),'152-CT'!$J$8=TH!F335),"x","")</f>
        <v/>
      </c>
      <c r="Z316" s="55" t="str">
        <f>IF(AND(OR(LEFT(TH!L335,2)="15",LEFT(TH!M335,2)="15"),TK!$E$7=TH!F335),"x","")</f>
        <v/>
      </c>
      <c r="AA316" s="55" t="str">
        <f>IF(AND(B316&lt;=NKC!$N$8,B316&gt;=NKC!$M$8),"x","")</f>
        <v/>
      </c>
    </row>
    <row r="317" spans="1:30" s="225" customFormat="1" ht="15.75" customHeight="1">
      <c r="A317" s="218" t="str">
        <f>IF(B317&lt;&gt;"",IF(AND(B317&gt;=_TM1,B317&lt;=_TM2,OR(TH!L336="1111",TH!M336="1111")),TH!D336,""),"")</f>
        <v/>
      </c>
      <c r="B317" s="36">
        <f t="shared" si="14"/>
        <v>1</v>
      </c>
      <c r="C317" s="37">
        <f t="shared" si="15"/>
        <v>41303</v>
      </c>
      <c r="D317" s="194"/>
      <c r="E317" s="194">
        <v>41303</v>
      </c>
      <c r="F317" s="40" t="s">
        <v>638</v>
      </c>
      <c r="G317" s="883" t="s">
        <v>692</v>
      </c>
      <c r="H317" s="45" t="s">
        <v>507</v>
      </c>
      <c r="I317" s="276"/>
      <c r="J317" s="276"/>
      <c r="K317" s="38">
        <v>975837</v>
      </c>
      <c r="L317" s="39" t="s">
        <v>9</v>
      </c>
      <c r="M317" s="39" t="s">
        <v>8</v>
      </c>
      <c r="N317" s="55" t="str">
        <f>IF(AND('331-CT'!$E$7=TH!H336,OR(L317="331",M317="331")),"x","")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IF(OR(TH!L336=TH!$V$7,M317=TH!$V$7),"x","")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IF(AND(B317&gt;='IN-NX'!$P$3,B317&lt;='IN-NX'!$Q$3,'IN-NX'!$D$7=D317,OR(LEFT(TH!L336,2)="15",LEFT(TH!M336,2)="15")),"x","")</f>
        <v/>
      </c>
      <c r="Y317" s="55" t="str">
        <f>IF(AND(OR(LEFT(TH!L336,2)="15",LEFT(TH!M336,2)="15"),'152-CT'!$J$8=TH!F336),"x","")</f>
        <v/>
      </c>
      <c r="Z317" s="55" t="str">
        <f>IF(AND(OR(LEFT(TH!L336,2)="15",LEFT(TH!M336,2)="15"),TK!$E$7=TH!F336),"x","")</f>
        <v/>
      </c>
      <c r="AA317" s="55" t="str">
        <f>IF(AND(B317&lt;=NKC!$N$8,B317&gt;=NKC!$M$8),"x","")</f>
        <v/>
      </c>
      <c r="AB317" s="225">
        <v>1</v>
      </c>
    </row>
    <row r="318" spans="1:30" s="225" customFormat="1" ht="15.75" customHeight="1">
      <c r="A318" s="218" t="str">
        <f>IF(B318&lt;&gt;"",IF(AND(B318&gt;=_TM1,B318&lt;=_TM2,OR(TH!L337="1111",TH!M337="1111")),TH!D337,""),"")</f>
        <v/>
      </c>
      <c r="B318" s="36">
        <f t="shared" si="14"/>
        <v>1</v>
      </c>
      <c r="C318" s="37">
        <f t="shared" si="15"/>
        <v>41304</v>
      </c>
      <c r="D318" s="194"/>
      <c r="E318" s="194">
        <v>41304</v>
      </c>
      <c r="F318" s="40" t="s">
        <v>693</v>
      </c>
      <c r="G318" s="626" t="s">
        <v>694</v>
      </c>
      <c r="H318" s="45" t="s">
        <v>507</v>
      </c>
      <c r="I318" s="276">
        <v>270</v>
      </c>
      <c r="J318" s="276">
        <v>20420</v>
      </c>
      <c r="K318" s="38">
        <f>ROUND(I318*J318,0)</f>
        <v>5513400</v>
      </c>
      <c r="L318" s="39" t="s">
        <v>191</v>
      </c>
      <c r="M318" s="39" t="s">
        <v>8</v>
      </c>
      <c r="N318" s="55" t="str">
        <f>IF(AND('331-CT'!$E$7=TH!H337,OR(L318="331",M318="331")),"x","")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IF(OR(TH!L337=TH!$V$7,M318=TH!$V$7),"x","")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IF(AND(B318&gt;='IN-NX'!$P$3,B318&lt;='IN-NX'!$Q$3,'IN-NX'!$D$7=D318,OR(LEFT(TH!L337,2)="15",LEFT(TH!M337,2)="15")),"x","")</f>
        <v/>
      </c>
      <c r="Y318" s="55" t="str">
        <f>IF(AND(OR(LEFT(TH!L337,2)="15",LEFT(TH!M337,2)="15"),'152-CT'!$J$8=TH!F337),"x","")</f>
        <v/>
      </c>
      <c r="Z318" s="55" t="str">
        <f>IF(AND(OR(LEFT(TH!L337,2)="15",LEFT(TH!M337,2)="15"),TK!$E$7=TH!F337),"x","")</f>
        <v/>
      </c>
      <c r="AA318" s="55" t="str">
        <f>IF(AND(B318&lt;=NKC!$N$8,B318&gt;=NKC!$M$8),"x","")</f>
        <v/>
      </c>
    </row>
    <row r="319" spans="1:30" s="225" customFormat="1" ht="15.75" customHeight="1">
      <c r="A319" s="218" t="str">
        <f>IF(B319&lt;&gt;"",IF(AND(B319&gt;=_TM1,B319&lt;=_TM2,OR(TH!L338="1111",TH!M338="1111")),TH!D338,""),"")</f>
        <v/>
      </c>
      <c r="B319" s="36">
        <f t="shared" si="14"/>
        <v>1</v>
      </c>
      <c r="C319" s="37">
        <f t="shared" si="15"/>
        <v>41304</v>
      </c>
      <c r="D319" s="194"/>
      <c r="E319" s="194">
        <v>41304</v>
      </c>
      <c r="F319" s="40" t="s">
        <v>638</v>
      </c>
      <c r="G319" s="626" t="s">
        <v>694</v>
      </c>
      <c r="H319" s="45" t="s">
        <v>507</v>
      </c>
      <c r="I319" s="276"/>
      <c r="J319" s="276"/>
      <c r="K319" s="38">
        <v>551340</v>
      </c>
      <c r="L319" s="39" t="s">
        <v>9</v>
      </c>
      <c r="M319" s="39" t="s">
        <v>8</v>
      </c>
      <c r="N319" s="55" t="str">
        <f>IF(AND('331-CT'!$E$7=TH!H338,OR(L319="331",M319="331")),"x","")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IF(OR(TH!L338=TH!$V$7,M319=TH!$V$7),"x","")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IF(AND(B319&gt;='IN-NX'!$P$3,B319&lt;='IN-NX'!$Q$3,'IN-NX'!$D$7=D319,OR(LEFT(TH!L338,2)="15",LEFT(TH!M338,2)="15")),"x","")</f>
        <v/>
      </c>
      <c r="Y319" s="55" t="str">
        <f>IF(AND(OR(LEFT(TH!L338,2)="15",LEFT(TH!M338,2)="15"),'152-CT'!$J$8=TH!F338),"x","")</f>
        <v/>
      </c>
      <c r="Z319" s="55" t="str">
        <f>IF(AND(OR(LEFT(TH!L338,2)="15",LEFT(TH!M338,2)="15"),TK!$E$7=TH!F338),"x","")</f>
        <v/>
      </c>
      <c r="AA319" s="55" t="str">
        <f>IF(AND(B319&lt;=NKC!$N$8,B319&gt;=NKC!$M$8),"x","")</f>
        <v/>
      </c>
      <c r="AB319" s="225">
        <v>1</v>
      </c>
    </row>
    <row r="320" spans="1:30" s="225" customFormat="1" ht="15.75" customHeight="1">
      <c r="A320" s="218" t="str">
        <f>IF(B320&lt;&gt;"",IF(AND(B320&gt;=_TM1,B320&lt;=_TM2,OR(TH!L339="1111",TH!M339="1111")),TH!D339,""),"")</f>
        <v/>
      </c>
      <c r="B320" s="36">
        <f t="shared" ref="B320:B351" si="16">IF(C320&lt;&gt;"",MONTH(C320),"")</f>
        <v>4</v>
      </c>
      <c r="C320" s="37">
        <f t="shared" ref="C320:C351" si="17">E320</f>
        <v>41376</v>
      </c>
      <c r="D320" s="194"/>
      <c r="E320" s="37">
        <v>41376</v>
      </c>
      <c r="F320" s="40" t="s">
        <v>697</v>
      </c>
      <c r="G320" s="623" t="s">
        <v>696</v>
      </c>
      <c r="H320" s="45" t="s">
        <v>695</v>
      </c>
      <c r="I320" s="276">
        <v>350</v>
      </c>
      <c r="J320" s="276">
        <v>7823</v>
      </c>
      <c r="K320" s="38">
        <f>ROUND(I320*J320,0)</f>
        <v>2738050</v>
      </c>
      <c r="L320" s="39" t="s">
        <v>191</v>
      </c>
      <c r="M320" s="39" t="s">
        <v>8</v>
      </c>
      <c r="N320" s="55" t="str">
        <f>IF(AND('331-CT'!$E$7=TH!H339,OR(L320="331",M320="331")),"x","")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IF(OR(TH!L339=TH!$V$7,M320=TH!$V$7),"x","")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IF(AND(B320&gt;='IN-NX'!$P$3,B320&lt;='IN-NX'!$Q$3,'IN-NX'!$D$7=D320,OR(LEFT(TH!L339,2)="15",LEFT(TH!M339,2)="15")),"x","")</f>
        <v/>
      </c>
      <c r="Y320" s="55" t="str">
        <f>IF(AND(OR(LEFT(TH!L339,2)="15",LEFT(TH!M339,2)="15"),'152-CT'!$J$8=TH!F339),"x","")</f>
        <v/>
      </c>
      <c r="Z320" s="55" t="str">
        <f>IF(AND(OR(LEFT(TH!L339,2)="15",LEFT(TH!M339,2)="15"),TK!$E$7=TH!F339),"x","")</f>
        <v/>
      </c>
      <c r="AA320" s="55" t="str">
        <f>IF(AND(B320&lt;=NKC!$N$8,B320&gt;=NKC!$M$8),"x","")</f>
        <v>x</v>
      </c>
    </row>
    <row r="321" spans="1:30" s="225" customFormat="1" ht="15.75" customHeight="1">
      <c r="A321" s="218" t="str">
        <f>IF(B321&lt;&gt;"",IF(AND(B321&gt;=_TM1,B321&lt;=_TM2,OR(TH!L340="1111",TH!M340="1111")),TH!D340,""),"")</f>
        <v/>
      </c>
      <c r="B321" s="36">
        <f t="shared" si="16"/>
        <v>4</v>
      </c>
      <c r="C321" s="37">
        <f t="shared" si="17"/>
        <v>41376</v>
      </c>
      <c r="D321" s="194"/>
      <c r="E321" s="37">
        <v>41376</v>
      </c>
      <c r="F321" s="40" t="s">
        <v>698</v>
      </c>
      <c r="G321" s="623" t="s">
        <v>696</v>
      </c>
      <c r="H321" s="45" t="s">
        <v>695</v>
      </c>
      <c r="I321" s="276">
        <v>500</v>
      </c>
      <c r="J321" s="276">
        <v>19312</v>
      </c>
      <c r="K321" s="38">
        <f>ROUND(I321*J321,0)</f>
        <v>9656000</v>
      </c>
      <c r="L321" s="39" t="s">
        <v>191</v>
      </c>
      <c r="M321" s="39" t="s">
        <v>8</v>
      </c>
      <c r="N321" s="55" t="str">
        <f>IF(AND('331-CT'!$E$7=TH!H340,OR(L321="331",M321="331")),"x","")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IF(OR(TH!L340=TH!$V$7,M321=TH!$V$7),"x","")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IF(AND(B321&gt;='IN-NX'!$P$3,B321&lt;='IN-NX'!$Q$3,'IN-NX'!$D$7=D321,OR(LEFT(TH!L340,2)="15",LEFT(TH!M340,2)="15")),"x","")</f>
        <v/>
      </c>
      <c r="Y321" s="55" t="str">
        <f>IF(AND(OR(LEFT(TH!L340,2)="15",LEFT(TH!M340,2)="15"),'152-CT'!$J$8=TH!F340),"x","")</f>
        <v/>
      </c>
      <c r="Z321" s="55" t="str">
        <f>IF(AND(OR(LEFT(TH!L340,2)="15",LEFT(TH!M340,2)="15"),TK!$E$7=TH!F340),"x","")</f>
        <v/>
      </c>
      <c r="AA321" s="55" t="str">
        <f>IF(AND(B321&lt;=NKC!$N$8,B321&gt;=NKC!$M$8),"x","")</f>
        <v>x</v>
      </c>
    </row>
    <row r="322" spans="1:30" s="225" customFormat="1" ht="15.75" customHeight="1">
      <c r="A322" s="218" t="str">
        <f>IF(B322&lt;&gt;"",IF(AND(B322&gt;=_TM1,B322&lt;=_TM2,OR(TH!L341="1111",TH!M341="1111")),TH!D341,""),"")</f>
        <v/>
      </c>
      <c r="B322" s="36">
        <f t="shared" si="16"/>
        <v>4</v>
      </c>
      <c r="C322" s="37">
        <f t="shared" si="17"/>
        <v>41376</v>
      </c>
      <c r="D322" s="194"/>
      <c r="E322" s="37">
        <v>41376</v>
      </c>
      <c r="F322" s="40" t="s">
        <v>699</v>
      </c>
      <c r="G322" s="623" t="s">
        <v>696</v>
      </c>
      <c r="H322" s="45" t="s">
        <v>695</v>
      </c>
      <c r="I322" s="276">
        <v>250</v>
      </c>
      <c r="J322" s="276">
        <v>17792</v>
      </c>
      <c r="K322" s="38">
        <f>ROUND(I322*J322,0)</f>
        <v>4448000</v>
      </c>
      <c r="L322" s="39" t="s">
        <v>191</v>
      </c>
      <c r="M322" s="39" t="s">
        <v>8</v>
      </c>
      <c r="N322" s="55" t="str">
        <f>IF(AND('331-CT'!$E$7=TH!H341,OR(L322="331",M322="331")),"x","")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IF(OR(TH!L341=TH!$V$7,M322=TH!$V$7),"x","")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IF(AND(B322&gt;='IN-NX'!$P$3,B322&lt;='IN-NX'!$Q$3,'IN-NX'!$D$7=D322,OR(LEFT(TH!L341,2)="15",LEFT(TH!M341,2)="15")),"x","")</f>
        <v/>
      </c>
      <c r="Y322" s="55" t="str">
        <f>IF(AND(OR(LEFT(TH!L341,2)="15",LEFT(TH!M341,2)="15"),'152-CT'!$J$8=TH!F341),"x","")</f>
        <v/>
      </c>
      <c r="Z322" s="55" t="str">
        <f>IF(AND(OR(LEFT(TH!L341,2)="15",LEFT(TH!M341,2)="15"),TK!$E$7=TH!F341),"x","")</f>
        <v/>
      </c>
      <c r="AA322" s="55" t="str">
        <f>IF(AND(B322&lt;=NKC!$N$8,B322&gt;=NKC!$M$8),"x","")</f>
        <v>x</v>
      </c>
    </row>
    <row r="323" spans="1:30" s="225" customFormat="1" ht="15.75" customHeight="1">
      <c r="A323" s="218" t="str">
        <f>IF(B323&lt;&gt;"",IF(AND(B323&gt;=_TM1,B323&lt;=_TM2,OR(TH!L342="1111",TH!M342="1111")),TH!D342,""),"")</f>
        <v/>
      </c>
      <c r="B323" s="36">
        <f t="shared" si="16"/>
        <v>4</v>
      </c>
      <c r="C323" s="37">
        <f t="shared" si="17"/>
        <v>41376</v>
      </c>
      <c r="D323" s="194"/>
      <c r="E323" s="37">
        <v>41376</v>
      </c>
      <c r="F323" s="40" t="s">
        <v>638</v>
      </c>
      <c r="G323" s="623" t="s">
        <v>696</v>
      </c>
      <c r="H323" s="45" t="s">
        <v>695</v>
      </c>
      <c r="I323" s="276"/>
      <c r="J323" s="276"/>
      <c r="K323" s="38">
        <v>1684205</v>
      </c>
      <c r="L323" s="39" t="s">
        <v>9</v>
      </c>
      <c r="M323" s="39" t="s">
        <v>8</v>
      </c>
      <c r="N323" s="55" t="str">
        <f>IF(AND('331-CT'!$E$7=TH!H342,OR(L323="331",M323="331")),"x","")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IF(OR(TH!L342=TH!$V$7,M323=TH!$V$7),"x","")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IF(AND(B323&gt;='IN-NX'!$P$3,B323&lt;='IN-NX'!$Q$3,'IN-NX'!$D$7=D323,OR(LEFT(TH!L342,2)="15",LEFT(TH!M342,2)="15")),"x","")</f>
        <v/>
      </c>
      <c r="Y323" s="55" t="str">
        <f>IF(AND(OR(LEFT(TH!L342,2)="15",LEFT(TH!M342,2)="15"),'152-CT'!$J$8=TH!F342),"x","")</f>
        <v/>
      </c>
      <c r="Z323" s="55" t="str">
        <f>IF(AND(OR(LEFT(TH!L342,2)="15",LEFT(TH!M342,2)="15"),TK!$E$7=TH!F342),"x","")</f>
        <v/>
      </c>
      <c r="AA323" s="55" t="str">
        <f>IF(AND(B323&lt;=NKC!$N$8,B323&gt;=NKC!$M$8),"x","")</f>
        <v>x</v>
      </c>
      <c r="AB323" s="225">
        <v>4</v>
      </c>
    </row>
    <row r="324" spans="1:30" s="225" customFormat="1" ht="15.75" customHeight="1">
      <c r="A324" s="218" t="str">
        <f>IF(B324&lt;&gt;"",IF(AND(B324&gt;=_TM1,B324&lt;=_TM2,OR(TH!L343="1111",TH!M343="1111")),TH!D343,""),"")</f>
        <v/>
      </c>
      <c r="B324" s="36">
        <f t="shared" si="16"/>
        <v>4</v>
      </c>
      <c r="C324" s="37">
        <f t="shared" si="17"/>
        <v>41387</v>
      </c>
      <c r="D324" s="194"/>
      <c r="E324" s="37">
        <v>41387</v>
      </c>
      <c r="F324" s="40" t="s">
        <v>701</v>
      </c>
      <c r="G324" s="626" t="s">
        <v>700</v>
      </c>
      <c r="H324" s="45" t="s">
        <v>695</v>
      </c>
      <c r="I324" s="276">
        <v>530</v>
      </c>
      <c r="J324" s="276">
        <v>7400</v>
      </c>
      <c r="K324" s="38">
        <f>ROUND(I324*J324,0)</f>
        <v>3922000</v>
      </c>
      <c r="L324" s="39" t="s">
        <v>191</v>
      </c>
      <c r="M324" s="39" t="s">
        <v>8</v>
      </c>
      <c r="N324" s="55" t="str">
        <f>IF(AND('331-CT'!$E$7=TH!H343,OR(L324="331",M324="331")),"x","")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IF(OR(TH!L343=TH!$V$7,M324=TH!$V$7),"x","")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IF(AND(B324&gt;='IN-NX'!$P$3,B324&lt;='IN-NX'!$Q$3,'IN-NX'!$D$7=D324,OR(LEFT(TH!L343,2)="15",LEFT(TH!M343,2)="15")),"x","")</f>
        <v/>
      </c>
      <c r="Y324" s="55" t="str">
        <f>IF(AND(OR(LEFT(TH!L343,2)="15",LEFT(TH!M343,2)="15"),'152-CT'!$J$8=TH!F343),"x","")</f>
        <v/>
      </c>
      <c r="Z324" s="55" t="str">
        <f>IF(AND(OR(LEFT(TH!L343,2)="15",LEFT(TH!M343,2)="15"),TK!$E$7=TH!F343),"x","")</f>
        <v/>
      </c>
      <c r="AA324" s="55" t="str">
        <f>IF(AND(B324&lt;=NKC!$N$8,B324&gt;=NKC!$M$8),"x","")</f>
        <v>x</v>
      </c>
    </row>
    <row r="325" spans="1:30" s="225" customFormat="1" ht="15.75" customHeight="1">
      <c r="A325" s="218" t="str">
        <f>IF(B325&lt;&gt;"",IF(AND(B325&gt;=_TM1,B325&lt;=_TM2,OR(TH!L344="1111",TH!M344="1111")),TH!D344,""),"")</f>
        <v/>
      </c>
      <c r="B325" s="36">
        <f t="shared" si="16"/>
        <v>4</v>
      </c>
      <c r="C325" s="37">
        <f t="shared" si="17"/>
        <v>41387</v>
      </c>
      <c r="D325" s="194"/>
      <c r="E325" s="37">
        <v>41387</v>
      </c>
      <c r="F325" s="40" t="s">
        <v>702</v>
      </c>
      <c r="G325" s="626" t="s">
        <v>700</v>
      </c>
      <c r="H325" s="45" t="s">
        <v>695</v>
      </c>
      <c r="I325" s="276">
        <v>105</v>
      </c>
      <c r="J325" s="276">
        <v>6600</v>
      </c>
      <c r="K325" s="38">
        <f>ROUND(I325*J325,0)</f>
        <v>693000</v>
      </c>
      <c r="L325" s="39" t="s">
        <v>191</v>
      </c>
      <c r="M325" s="39" t="s">
        <v>8</v>
      </c>
      <c r="N325" s="55" t="str">
        <f>IF(AND('331-CT'!$E$7=TH!H344,OR(L325="331",M325="331")),"x","")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IF(OR(TH!L344=TH!$V$7,M325=TH!$V$7),"x","")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IF(AND(B325&gt;='IN-NX'!$P$3,B325&lt;='IN-NX'!$Q$3,'IN-NX'!$D$7=D325,OR(LEFT(TH!L344,2)="15",LEFT(TH!M344,2)="15")),"x","")</f>
        <v/>
      </c>
      <c r="Y325" s="55" t="str">
        <f>IF(AND(OR(LEFT(TH!L344,2)="15",LEFT(TH!M344,2)="15"),'152-CT'!$J$8=TH!F344),"x","")</f>
        <v/>
      </c>
      <c r="Z325" s="55" t="str">
        <f>IF(AND(OR(LEFT(TH!L344,2)="15",LEFT(TH!M344,2)="15"),TK!$E$7=TH!F344),"x","")</f>
        <v/>
      </c>
      <c r="AA325" s="55" t="str">
        <f>IF(AND(B325&lt;=NKC!$N$8,B325&gt;=NKC!$M$8),"x","")</f>
        <v>x</v>
      </c>
    </row>
    <row r="326" spans="1:30" s="225" customFormat="1" ht="15.75" customHeight="1">
      <c r="A326" s="218" t="str">
        <f>IF(B326&lt;&gt;"",IF(AND(B326&gt;=_TM1,B326&lt;=_TM2,OR(TH!L345="1111",TH!M345="1111")),TH!D345,""),"")</f>
        <v/>
      </c>
      <c r="B326" s="36">
        <f t="shared" si="16"/>
        <v>4</v>
      </c>
      <c r="C326" s="37">
        <f t="shared" si="17"/>
        <v>41387</v>
      </c>
      <c r="D326" s="194"/>
      <c r="E326" s="37">
        <v>41387</v>
      </c>
      <c r="F326" s="40" t="s">
        <v>703</v>
      </c>
      <c r="G326" s="626" t="s">
        <v>700</v>
      </c>
      <c r="H326" s="45" t="s">
        <v>695</v>
      </c>
      <c r="I326" s="276">
        <v>215</v>
      </c>
      <c r="J326" s="276">
        <v>9200</v>
      </c>
      <c r="K326" s="38">
        <f>ROUND(I326*J326,0)</f>
        <v>1978000</v>
      </c>
      <c r="L326" s="39" t="s">
        <v>191</v>
      </c>
      <c r="M326" s="39" t="s">
        <v>8</v>
      </c>
      <c r="N326" s="55" t="str">
        <f>IF(AND('331-CT'!$E$7=TH!H345,OR(L326="331",M326="331")),"x","")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IF(OR(TH!L345=TH!$V$7,M326=TH!$V$7),"x","")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IF(AND(B326&gt;='IN-NX'!$P$3,B326&lt;='IN-NX'!$Q$3,'IN-NX'!$D$7=D326,OR(LEFT(TH!L345,2)="15",LEFT(TH!M345,2)="15")),"x","")</f>
        <v/>
      </c>
      <c r="Y326" s="55" t="str">
        <f>IF(AND(OR(LEFT(TH!L345,2)="15",LEFT(TH!M345,2)="15"),'152-CT'!$J$8=TH!F345),"x","")</f>
        <v/>
      </c>
      <c r="Z326" s="55" t="str">
        <f>IF(AND(OR(LEFT(TH!L345,2)="15",LEFT(TH!M345,2)="15"),TK!$E$7=TH!F345),"x","")</f>
        <v/>
      </c>
      <c r="AA326" s="55" t="str">
        <f>IF(AND(B326&lt;=NKC!$N$8,B326&gt;=NKC!$M$8),"x","")</f>
        <v>x</v>
      </c>
      <c r="AB326" s="739"/>
      <c r="AD326" s="739"/>
    </row>
    <row r="327" spans="1:30" s="225" customFormat="1" ht="15.75" customHeight="1">
      <c r="A327" s="218" t="str">
        <f>IF(B327&lt;&gt;"",IF(AND(B327&gt;=_TM1,B327&lt;=_TM2,OR(TH!L346="1111",TH!M346="1111")),TH!D346,""),"")</f>
        <v/>
      </c>
      <c r="B327" s="36">
        <f t="shared" si="16"/>
        <v>4</v>
      </c>
      <c r="C327" s="37">
        <f t="shared" si="17"/>
        <v>41387</v>
      </c>
      <c r="D327" s="194"/>
      <c r="E327" s="37">
        <v>41387</v>
      </c>
      <c r="F327" s="40" t="s">
        <v>704</v>
      </c>
      <c r="G327" s="626" t="s">
        <v>700</v>
      </c>
      <c r="H327" s="45" t="s">
        <v>695</v>
      </c>
      <c r="I327" s="276">
        <v>2000</v>
      </c>
      <c r="J327" s="276">
        <v>5700</v>
      </c>
      <c r="K327" s="38">
        <f>ROUND(I327*J327,0)</f>
        <v>11400000</v>
      </c>
      <c r="L327" s="39" t="s">
        <v>191</v>
      </c>
      <c r="M327" s="39" t="s">
        <v>8</v>
      </c>
      <c r="N327" s="55" t="str">
        <f>IF(AND('331-CT'!$E$7=TH!H346,OR(L327="331",M327="331")),"x","")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IF(OR(TH!L346=TH!$V$7,M327=TH!$V$7),"x","")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IF(AND(B327&gt;='IN-NX'!$P$3,B327&lt;='IN-NX'!$Q$3,'IN-NX'!$D$7=D327,OR(LEFT(TH!L346,2)="15",LEFT(TH!M346,2)="15")),"x","")</f>
        <v/>
      </c>
      <c r="Y327" s="55" t="str">
        <f>IF(AND(OR(LEFT(TH!L346,2)="15",LEFT(TH!M346,2)="15"),'152-CT'!$J$8=TH!F346),"x","")</f>
        <v/>
      </c>
      <c r="Z327" s="55" t="str">
        <f>IF(AND(OR(LEFT(TH!L346,2)="15",LEFT(TH!M346,2)="15"),TK!$E$7=TH!F346),"x","")</f>
        <v/>
      </c>
      <c r="AA327" s="55" t="str">
        <f>IF(AND(B327&lt;=NKC!$N$8,B327&gt;=NKC!$M$8),"x","")</f>
        <v>x</v>
      </c>
      <c r="AB327" s="739"/>
      <c r="AD327" s="739"/>
    </row>
    <row r="328" spans="1:30" s="225" customFormat="1" ht="15.75" customHeight="1">
      <c r="A328" s="218" t="str">
        <f>IF(B328&lt;&gt;"",IF(AND(B328&gt;=_TM1,B328&lt;=_TM2,OR(TH!L347="1111",TH!M347="1111")),TH!D347,""),"")</f>
        <v/>
      </c>
      <c r="B328" s="36">
        <f t="shared" si="16"/>
        <v>4</v>
      </c>
      <c r="C328" s="37">
        <f t="shared" si="17"/>
        <v>41387</v>
      </c>
      <c r="D328" s="194"/>
      <c r="E328" s="37">
        <v>41387</v>
      </c>
      <c r="F328" s="40" t="s">
        <v>638</v>
      </c>
      <c r="G328" s="626" t="s">
        <v>700</v>
      </c>
      <c r="H328" s="45" t="s">
        <v>695</v>
      </c>
      <c r="I328" s="276"/>
      <c r="J328" s="276"/>
      <c r="K328" s="38">
        <v>1799300</v>
      </c>
      <c r="L328" s="39" t="s">
        <v>9</v>
      </c>
      <c r="M328" s="39" t="s">
        <v>8</v>
      </c>
      <c r="N328" s="55" t="str">
        <f>IF(AND('331-CT'!$E$7=TH!H347,OR(L328="331",M328="331")),"x","")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/>
      </c>
      <c r="U328" s="55" t="str">
        <f>IF(AND('3411-CT'!$F$9=H328,OR(LEFT(L328,3)=$U$7,LEFT(M328,3)=$U$7)),"x","")</f>
        <v/>
      </c>
      <c r="V328" s="55" t="str">
        <f>IF(OR(TH!L347=TH!$V$7,M328=TH!$V$7),"x","")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IF(AND(B328&gt;='IN-NX'!$P$3,B328&lt;='IN-NX'!$Q$3,'IN-NX'!$D$7=D328,OR(LEFT(TH!L347,2)="15",LEFT(TH!M347,2)="15")),"x","")</f>
        <v/>
      </c>
      <c r="Y328" s="55" t="str">
        <f>IF(AND(OR(LEFT(TH!L347,2)="15",LEFT(TH!M347,2)="15"),'152-CT'!$J$8=TH!F347),"x","")</f>
        <v/>
      </c>
      <c r="Z328" s="55" t="str">
        <f>IF(AND(OR(LEFT(TH!L347,2)="15",LEFT(TH!M347,2)="15"),TK!$E$7=TH!F347),"x","")</f>
        <v/>
      </c>
      <c r="AA328" s="55" t="str">
        <f>IF(AND(B328&lt;=NKC!$N$8,B328&gt;=NKC!$M$8),"x","")</f>
        <v>x</v>
      </c>
      <c r="AB328" s="739">
        <v>4</v>
      </c>
      <c r="AD328" s="739"/>
    </row>
    <row r="329" spans="1:30" s="225" customFormat="1" ht="15.75" customHeight="1">
      <c r="A329" s="218" t="str">
        <f>IF(B329&lt;&gt;"",IF(AND(B329&gt;=_TM1,B329&lt;=_TM2,OR(TH!L348="1111",TH!M348="1111")),TH!D348,""),"")</f>
        <v/>
      </c>
      <c r="B329" s="36">
        <f t="shared" si="16"/>
        <v>4</v>
      </c>
      <c r="C329" s="37">
        <f t="shared" si="17"/>
        <v>41393</v>
      </c>
      <c r="D329" s="194"/>
      <c r="E329" s="194">
        <v>41393</v>
      </c>
      <c r="F329" s="40" t="s">
        <v>706</v>
      </c>
      <c r="G329" s="883" t="s">
        <v>705</v>
      </c>
      <c r="H329" s="45" t="s">
        <v>695</v>
      </c>
      <c r="I329" s="276">
        <v>50</v>
      </c>
      <c r="J329" s="276">
        <v>24098</v>
      </c>
      <c r="K329" s="38">
        <f t="shared" ref="K329:K335" si="18">ROUND(I329*J329,0)</f>
        <v>1204900</v>
      </c>
      <c r="L329" s="39" t="s">
        <v>191</v>
      </c>
      <c r="M329" s="39" t="s">
        <v>8</v>
      </c>
      <c r="N329" s="55" t="str">
        <f>IF(AND('331-CT'!$E$7=TH!H348,OR(L329="331",M329="331")),"x","")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/>
      </c>
      <c r="U329" s="55" t="str">
        <f>IF(AND('3411-CT'!$F$9=H329,OR(LEFT(L329,3)=$U$7,LEFT(M329,3)=$U$7)),"x","")</f>
        <v/>
      </c>
      <c r="V329" s="55" t="str">
        <f>IF(OR(TH!L348=TH!$V$7,M329=TH!$V$7),"x","")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IF(AND(B329&gt;='IN-NX'!$P$3,B329&lt;='IN-NX'!$Q$3,'IN-NX'!$D$7=D329,OR(LEFT(TH!L348,2)="15",LEFT(TH!M348,2)="15")),"x","")</f>
        <v/>
      </c>
      <c r="Y329" s="55" t="str">
        <f>IF(AND(OR(LEFT(TH!L348,2)="15",LEFT(TH!M348,2)="15"),'152-CT'!$J$8=TH!F348),"x","")</f>
        <v/>
      </c>
      <c r="Z329" s="55" t="str">
        <f>IF(AND(OR(LEFT(TH!L348,2)="15",LEFT(TH!M348,2)="15"),TK!$E$7=TH!F348),"x","")</f>
        <v/>
      </c>
      <c r="AA329" s="55" t="str">
        <f>IF(AND(B329&lt;=NKC!$N$8,B329&gt;=NKC!$M$8),"x","")</f>
        <v>x</v>
      </c>
      <c r="AB329" s="739"/>
    </row>
    <row r="330" spans="1:30" s="225" customFormat="1" ht="15.75" customHeight="1">
      <c r="A330" s="218" t="str">
        <f>IF(B330&lt;&gt;"",IF(AND(B330&gt;=_TM1,B330&lt;=_TM2,OR(TH!L349="1111",TH!M349="1111")),TH!D349,""),"")</f>
        <v/>
      </c>
      <c r="B330" s="36">
        <f t="shared" si="16"/>
        <v>4</v>
      </c>
      <c r="C330" s="37">
        <f t="shared" si="17"/>
        <v>41393</v>
      </c>
      <c r="D330" s="194"/>
      <c r="E330" s="194">
        <v>41393</v>
      </c>
      <c r="F330" s="40" t="s">
        <v>707</v>
      </c>
      <c r="G330" s="883" t="s">
        <v>705</v>
      </c>
      <c r="H330" s="45" t="s">
        <v>695</v>
      </c>
      <c r="I330" s="276">
        <v>50</v>
      </c>
      <c r="J330" s="276">
        <v>22812</v>
      </c>
      <c r="K330" s="38">
        <f t="shared" si="18"/>
        <v>1140600</v>
      </c>
      <c r="L330" s="39" t="s">
        <v>191</v>
      </c>
      <c r="M330" s="39" t="s">
        <v>8</v>
      </c>
      <c r="N330" s="55" t="str">
        <f>IF(AND('331-CT'!$E$7=TH!H349,OR(L330="331",M330="331")),"x","")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/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IF(OR(TH!L349=TH!$V$7,M330=TH!$V$7),"x","")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IF(AND(B330&gt;='IN-NX'!$P$3,B330&lt;='IN-NX'!$Q$3,'IN-NX'!$D$7=D330,OR(LEFT(TH!L349,2)="15",LEFT(TH!M349,2)="15")),"x","")</f>
        <v/>
      </c>
      <c r="Y330" s="55" t="str">
        <f>IF(AND(OR(LEFT(TH!L349,2)="15",LEFT(TH!M349,2)="15"),'152-CT'!$J$8=TH!F349),"x","")</f>
        <v/>
      </c>
      <c r="Z330" s="55" t="str">
        <f>IF(AND(OR(LEFT(TH!L349,2)="15",LEFT(TH!M349,2)="15"),TK!$E$7=TH!F349),"x","")</f>
        <v/>
      </c>
      <c r="AA330" s="55" t="str">
        <f>IF(AND(B330&lt;=NKC!$N$8,B330&gt;=NKC!$M$8),"x","")</f>
        <v>x</v>
      </c>
    </row>
    <row r="331" spans="1:30" s="225" customFormat="1" ht="15.75" customHeight="1">
      <c r="A331" s="218" t="str">
        <f>IF(B331&lt;&gt;"",IF(AND(B331&gt;=_TM1,B331&lt;=_TM2,OR(TH!L350="1111",TH!M350="1111")),TH!D350,""),"")</f>
        <v/>
      </c>
      <c r="B331" s="36">
        <f t="shared" si="16"/>
        <v>4</v>
      </c>
      <c r="C331" s="37">
        <f t="shared" si="17"/>
        <v>41393</v>
      </c>
      <c r="D331" s="194"/>
      <c r="E331" s="194">
        <v>41393</v>
      </c>
      <c r="F331" s="40" t="s">
        <v>708</v>
      </c>
      <c r="G331" s="883" t="s">
        <v>705</v>
      </c>
      <c r="H331" s="45" t="s">
        <v>695</v>
      </c>
      <c r="I331" s="276">
        <v>50</v>
      </c>
      <c r="J331" s="276">
        <v>20420</v>
      </c>
      <c r="K331" s="38">
        <f t="shared" si="18"/>
        <v>1021000</v>
      </c>
      <c r="L331" s="39" t="s">
        <v>191</v>
      </c>
      <c r="M331" s="39" t="s">
        <v>8</v>
      </c>
      <c r="N331" s="55" t="str">
        <f>IF(AND('331-CT'!$E$7=TH!H350,OR(L331="331",M331="331")),"x","")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/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IF(OR(TH!L350=TH!$V$7,M331=TH!$V$7),"x","")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IF(AND(B331&gt;='IN-NX'!$P$3,B331&lt;='IN-NX'!$Q$3,'IN-NX'!$D$7=D331,OR(LEFT(TH!L350,2)="15",LEFT(TH!M350,2)="15")),"x","")</f>
        <v/>
      </c>
      <c r="Y331" s="55" t="str">
        <f>IF(AND(OR(LEFT(TH!L350,2)="15",LEFT(TH!M350,2)="15"),'152-CT'!$J$8=TH!F350),"x","")</f>
        <v/>
      </c>
      <c r="Z331" s="55" t="str">
        <f>IF(AND(OR(LEFT(TH!L350,2)="15",LEFT(TH!M350,2)="15"),TK!$E$7=TH!F350),"x","")</f>
        <v/>
      </c>
      <c r="AA331" s="55" t="str">
        <f>IF(AND(B331&lt;=NKC!$N$8,B331&gt;=NKC!$M$8),"x","")</f>
        <v>x</v>
      </c>
    </row>
    <row r="332" spans="1:30" s="225" customFormat="1" ht="15.75" customHeight="1">
      <c r="A332" s="218" t="str">
        <f>IF(B332&lt;&gt;"",IF(AND(B332&gt;=_TM1,B332&lt;=_TM2,OR(TH!L351="1111",TH!M351="1111")),TH!D351,""),"")</f>
        <v/>
      </c>
      <c r="B332" s="36">
        <f t="shared" si="16"/>
        <v>4</v>
      </c>
      <c r="C332" s="37">
        <f t="shared" si="17"/>
        <v>41393</v>
      </c>
      <c r="D332" s="194"/>
      <c r="E332" s="194">
        <v>41393</v>
      </c>
      <c r="F332" s="40" t="s">
        <v>709</v>
      </c>
      <c r="G332" s="883" t="s">
        <v>705</v>
      </c>
      <c r="H332" s="45" t="s">
        <v>695</v>
      </c>
      <c r="I332" s="276">
        <v>135</v>
      </c>
      <c r="J332" s="276">
        <v>12665</v>
      </c>
      <c r="K332" s="38">
        <f t="shared" si="18"/>
        <v>1709775</v>
      </c>
      <c r="L332" s="39" t="s">
        <v>191</v>
      </c>
      <c r="M332" s="39" t="s">
        <v>8</v>
      </c>
      <c r="N332" s="55" t="str">
        <f>IF(AND('331-CT'!$E$7=TH!H351,OR(L332="331",M332="331")),"x","")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IF(OR(TH!L351=TH!$V$7,M332=TH!$V$7),"x","")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IF(AND(B332&gt;='IN-NX'!$P$3,B332&lt;='IN-NX'!$Q$3,'IN-NX'!$D$7=D332,OR(LEFT(TH!L351,2)="15",LEFT(TH!M351,2)="15")),"x","")</f>
        <v/>
      </c>
      <c r="Y332" s="55" t="str">
        <f>IF(AND(OR(LEFT(TH!L351,2)="15",LEFT(TH!M351,2)="15"),'152-CT'!$J$8=TH!F351),"x","")</f>
        <v/>
      </c>
      <c r="Z332" s="55" t="str">
        <f>IF(AND(OR(LEFT(TH!L351,2)="15",LEFT(TH!M351,2)="15"),TK!$E$7=TH!F351),"x","")</f>
        <v/>
      </c>
      <c r="AA332" s="55" t="str">
        <f>IF(AND(B332&lt;=NKC!$N$8,B332&gt;=NKC!$M$8),"x","")</f>
        <v>x</v>
      </c>
    </row>
    <row r="333" spans="1:30" s="225" customFormat="1" ht="15.75" customHeight="1">
      <c r="A333" s="218" t="str">
        <f>IF(B333&lt;&gt;"",IF(AND(B333&gt;=_TM1,B333&lt;=_TM2,OR(TH!L352="1111",TH!M352="1111")),TH!D352,""),"")</f>
        <v/>
      </c>
      <c r="B333" s="36">
        <f t="shared" si="16"/>
        <v>4</v>
      </c>
      <c r="C333" s="37">
        <f t="shared" si="17"/>
        <v>41393</v>
      </c>
      <c r="D333" s="194"/>
      <c r="E333" s="194">
        <v>41393</v>
      </c>
      <c r="F333" s="40" t="s">
        <v>710</v>
      </c>
      <c r="G333" s="883" t="s">
        <v>705</v>
      </c>
      <c r="H333" s="45" t="s">
        <v>695</v>
      </c>
      <c r="I333" s="276">
        <v>265</v>
      </c>
      <c r="J333" s="276">
        <v>13832</v>
      </c>
      <c r="K333" s="38">
        <f t="shared" si="18"/>
        <v>3665480</v>
      </c>
      <c r="L333" s="39" t="s">
        <v>191</v>
      </c>
      <c r="M333" s="39" t="s">
        <v>8</v>
      </c>
      <c r="N333" s="55" t="str">
        <f>IF(AND('331-CT'!$E$7=TH!H352,OR(L333="331",M333="331")),"x","")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IF(OR(TH!L352=TH!$V$7,M333=TH!$V$7),"x","")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IF(AND(B333&gt;='IN-NX'!$P$3,B333&lt;='IN-NX'!$Q$3,'IN-NX'!$D$7=D333,OR(LEFT(TH!L352,2)="15",LEFT(TH!M352,2)="15")),"x","")</f>
        <v/>
      </c>
      <c r="Y333" s="55" t="str">
        <f>IF(AND(OR(LEFT(TH!L352,2)="15",LEFT(TH!M352,2)="15"),'152-CT'!$J$8=TH!F352),"x","")</f>
        <v/>
      </c>
      <c r="Z333" s="55" t="str">
        <f>IF(AND(OR(LEFT(TH!L352,2)="15",LEFT(TH!M352,2)="15"),TK!$E$7=TH!F352),"x","")</f>
        <v/>
      </c>
      <c r="AA333" s="55" t="str">
        <f>IF(AND(B333&lt;=NKC!$N$8,B333&gt;=NKC!$M$8),"x","")</f>
        <v>x</v>
      </c>
    </row>
    <row r="334" spans="1:30" s="225" customFormat="1" ht="15.75" customHeight="1">
      <c r="A334" s="218" t="str">
        <f>IF(B334&lt;&gt;"",IF(AND(B334&gt;=_TM1,B334&lt;=_TM2,OR(TH!L353="1111",TH!M353="1111")),TH!D353,""),"")</f>
        <v/>
      </c>
      <c r="B334" s="36">
        <f t="shared" si="16"/>
        <v>4</v>
      </c>
      <c r="C334" s="37">
        <f t="shared" si="17"/>
        <v>41393</v>
      </c>
      <c r="D334" s="194"/>
      <c r="E334" s="194">
        <v>41393</v>
      </c>
      <c r="F334" s="40" t="s">
        <v>711</v>
      </c>
      <c r="G334" s="883" t="s">
        <v>705</v>
      </c>
      <c r="H334" s="45" t="s">
        <v>695</v>
      </c>
      <c r="I334" s="276">
        <v>265</v>
      </c>
      <c r="J334" s="276">
        <v>14434</v>
      </c>
      <c r="K334" s="38">
        <f t="shared" si="18"/>
        <v>3825010</v>
      </c>
      <c r="L334" s="39" t="s">
        <v>191</v>
      </c>
      <c r="M334" s="39" t="s">
        <v>8</v>
      </c>
      <c r="N334" s="55" t="str">
        <f>IF(AND('331-CT'!$E$7=TH!H353,OR(L334="331",M334="331")),"x","")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IF(OR(TH!L353=TH!$V$7,M334=TH!$V$7),"x","")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IF(AND(B334&gt;='IN-NX'!$P$3,B334&lt;='IN-NX'!$Q$3,'IN-NX'!$D$7=D334,OR(LEFT(TH!L353,2)="15",LEFT(TH!M353,2)="15")),"x","")</f>
        <v/>
      </c>
      <c r="Y334" s="55" t="str">
        <f>IF(AND(OR(LEFT(TH!L353,2)="15",LEFT(TH!M353,2)="15"),'152-CT'!$J$8=TH!F353),"x","")</f>
        <v/>
      </c>
      <c r="Z334" s="55" t="str">
        <f>IF(AND(OR(LEFT(TH!L353,2)="15",LEFT(TH!M353,2)="15"),TK!$E$7=TH!F353),"x","")</f>
        <v/>
      </c>
      <c r="AA334" s="55" t="str">
        <f>IF(AND(B334&lt;=NKC!$N$8,B334&gt;=NKC!$M$8),"x","")</f>
        <v>x</v>
      </c>
    </row>
    <row r="335" spans="1:30" s="225" customFormat="1" ht="15.75" customHeight="1">
      <c r="A335" s="218" t="str">
        <f>IF(B335&lt;&gt;"",IF(AND(B335&gt;=_TM1,B335&lt;=_TM2,OR(TH!L354="1111",TH!M354="1111")),TH!D354,""),"")</f>
        <v/>
      </c>
      <c r="B335" s="36">
        <f t="shared" si="16"/>
        <v>4</v>
      </c>
      <c r="C335" s="37">
        <f t="shared" si="17"/>
        <v>41393</v>
      </c>
      <c r="D335" s="194"/>
      <c r="E335" s="194">
        <v>41393</v>
      </c>
      <c r="F335" s="40" t="s">
        <v>704</v>
      </c>
      <c r="G335" s="883" t="s">
        <v>705</v>
      </c>
      <c r="H335" s="45" t="s">
        <v>695</v>
      </c>
      <c r="I335" s="276">
        <v>500</v>
      </c>
      <c r="J335" s="276">
        <v>11172</v>
      </c>
      <c r="K335" s="38">
        <f t="shared" si="18"/>
        <v>5586000</v>
      </c>
      <c r="L335" s="39" t="s">
        <v>191</v>
      </c>
      <c r="M335" s="39" t="s">
        <v>8</v>
      </c>
      <c r="N335" s="55" t="str">
        <f>IF(AND('331-CT'!$E$7=TH!H354,OR(L335="331",M335="331")),"x","")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IF(OR(TH!L354=TH!$V$7,M335=TH!$V$7),"x","")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IF(AND(B335&gt;='IN-NX'!$P$3,B335&lt;='IN-NX'!$Q$3,'IN-NX'!$D$7=D335,OR(LEFT(TH!L354,2)="15",LEFT(TH!M354,2)="15")),"x","")</f>
        <v/>
      </c>
      <c r="Y335" s="55" t="str">
        <f>IF(AND(OR(LEFT(TH!L354,2)="15",LEFT(TH!M354,2)="15"),'152-CT'!$J$8=TH!F354),"x","")</f>
        <v/>
      </c>
      <c r="Z335" s="55" t="str">
        <f>IF(AND(OR(LEFT(TH!L354,2)="15",LEFT(TH!M354,2)="15"),TK!$E$7=TH!F354),"x","")</f>
        <v/>
      </c>
      <c r="AA335" s="55" t="str">
        <f>IF(AND(B335&lt;=NKC!$N$8,B335&gt;=NKC!$M$8),"x","")</f>
        <v>x</v>
      </c>
      <c r="AB335" s="739"/>
    </row>
    <row r="336" spans="1:30" s="739" customFormat="1" ht="15.75" customHeight="1">
      <c r="A336" s="218" t="str">
        <f>IF(B336&lt;&gt;"",IF(AND(B336&gt;=_TM1,B336&lt;=_TM2,OR(TH!L355="1111",TH!M355="1111")),TH!D355,""),"")</f>
        <v/>
      </c>
      <c r="B336" s="36">
        <f t="shared" si="16"/>
        <v>4</v>
      </c>
      <c r="C336" s="37">
        <f t="shared" si="17"/>
        <v>41393</v>
      </c>
      <c r="D336" s="194"/>
      <c r="E336" s="194">
        <v>41393</v>
      </c>
      <c r="F336" s="40" t="s">
        <v>638</v>
      </c>
      <c r="G336" s="883" t="s">
        <v>705</v>
      </c>
      <c r="H336" s="45" t="s">
        <v>695</v>
      </c>
      <c r="I336" s="276"/>
      <c r="J336" s="276"/>
      <c r="K336" s="38">
        <v>1815276</v>
      </c>
      <c r="L336" s="39" t="s">
        <v>9</v>
      </c>
      <c r="M336" s="39" t="s">
        <v>8</v>
      </c>
      <c r="N336" s="55" t="str">
        <f>IF(AND('331-CT'!$E$7=TH!H355,OR(L336="331",M336="331")),"x","")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IF(OR(TH!L355=TH!$V$7,M336=TH!$V$7),"x","")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IF(AND(B336&gt;='IN-NX'!$P$3,B336&lt;='IN-NX'!$Q$3,'IN-NX'!$D$7=D336,OR(LEFT(TH!L355,2)="15",LEFT(TH!M355,2)="15")),"x","")</f>
        <v/>
      </c>
      <c r="Y336" s="55" t="str">
        <f>IF(AND(OR(LEFT(TH!L355,2)="15",LEFT(TH!M355,2)="15"),'152-CT'!$J$8=TH!F355),"x","")</f>
        <v/>
      </c>
      <c r="Z336" s="55" t="str">
        <f>IF(AND(OR(LEFT(TH!L355,2)="15",LEFT(TH!M355,2)="15"),TK!$E$7=TH!F355),"x","")</f>
        <v/>
      </c>
      <c r="AA336" s="55" t="str">
        <f>IF(AND(B336&lt;=NKC!$N$8,B336&gt;=NKC!$M$8),"x","")</f>
        <v>x</v>
      </c>
      <c r="AB336" s="225">
        <v>5</v>
      </c>
      <c r="AC336" s="225"/>
      <c r="AD336" s="225"/>
    </row>
    <row r="337" spans="1:30" s="739" customFormat="1" ht="15.75" customHeight="1">
      <c r="A337" s="218" t="str">
        <f>IF(B337&lt;&gt;"",IF(AND(B337&gt;=_TM1,B337&lt;=_TM2,OR(TH!L356="1111",TH!M356="1111")),TH!D356,""),"")</f>
        <v/>
      </c>
      <c r="B337" s="36">
        <f t="shared" si="16"/>
        <v>5</v>
      </c>
      <c r="C337" s="37">
        <f t="shared" si="17"/>
        <v>41397</v>
      </c>
      <c r="D337" s="194"/>
      <c r="E337" s="194">
        <v>41397</v>
      </c>
      <c r="F337" s="40" t="s">
        <v>704</v>
      </c>
      <c r="G337" s="883" t="s">
        <v>712</v>
      </c>
      <c r="H337" s="45" t="s">
        <v>695</v>
      </c>
      <c r="I337" s="276">
        <v>1539</v>
      </c>
      <c r="J337" s="276">
        <v>11172</v>
      </c>
      <c r="K337" s="38">
        <f>ROUND(I337*J337,0)</f>
        <v>17193708</v>
      </c>
      <c r="L337" s="39" t="s">
        <v>191</v>
      </c>
      <c r="M337" s="39" t="s">
        <v>8</v>
      </c>
      <c r="N337" s="55" t="str">
        <f>IF(AND('331-CT'!$E$7=TH!H356,OR(L337="331",M337="331")),"x","")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IF(OR(TH!L356=TH!$V$7,M337=TH!$V$7),"x","")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IF(AND(B337&gt;='IN-NX'!$P$3,B337&lt;='IN-NX'!$Q$3,'IN-NX'!$D$7=D337,OR(LEFT(TH!L356,2)="15",LEFT(TH!M356,2)="15")),"x","")</f>
        <v/>
      </c>
      <c r="Y337" s="55" t="str">
        <f>IF(AND(OR(LEFT(TH!L356,2)="15",LEFT(TH!M356,2)="15"),'152-CT'!$J$8=TH!F356),"x","")</f>
        <v/>
      </c>
      <c r="Z337" s="55" t="str">
        <f>IF(AND(OR(LEFT(TH!L356,2)="15",LEFT(TH!M356,2)="15"),TK!$E$7=TH!F356),"x","")</f>
        <v/>
      </c>
      <c r="AA337" s="55" t="str">
        <f>IF(AND(B337&lt;=NKC!$N$8,B337&gt;=NKC!$M$8),"x","")</f>
        <v>x</v>
      </c>
      <c r="AB337" s="225"/>
      <c r="AC337" s="225"/>
      <c r="AD337" s="225"/>
    </row>
    <row r="338" spans="1:30" s="225" customFormat="1" ht="15.75" customHeight="1">
      <c r="A338" s="218" t="str">
        <f>IF(B338&lt;&gt;"",IF(AND(B338&gt;=_TM1,B338&lt;=_TM2,OR(TH!L357="1111",TH!M357="1111")),TH!D357,""),"")</f>
        <v/>
      </c>
      <c r="B338" s="36">
        <f t="shared" si="16"/>
        <v>5</v>
      </c>
      <c r="C338" s="37">
        <f t="shared" si="17"/>
        <v>41397</v>
      </c>
      <c r="D338" s="194"/>
      <c r="E338" s="194">
        <v>41397</v>
      </c>
      <c r="F338" s="40" t="s">
        <v>638</v>
      </c>
      <c r="G338" s="883" t="s">
        <v>712</v>
      </c>
      <c r="H338" s="45" t="s">
        <v>695</v>
      </c>
      <c r="I338" s="276"/>
      <c r="J338" s="276"/>
      <c r="K338" s="38">
        <v>1719370</v>
      </c>
      <c r="L338" s="39" t="s">
        <v>9</v>
      </c>
      <c r="M338" s="39" t="s">
        <v>8</v>
      </c>
      <c r="N338" s="55" t="str">
        <f>IF(AND('331-CT'!$E$7=TH!H357,OR(L338="331",M338="331")),"x","")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IF(OR(TH!L357=TH!$V$7,M338=TH!$V$7),"x","")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IF(AND(B338&gt;='IN-NX'!$P$3,B338&lt;='IN-NX'!$Q$3,'IN-NX'!$D$7=D338,OR(LEFT(TH!L357,2)="15",LEFT(TH!M357,2)="15")),"x","")</f>
        <v/>
      </c>
      <c r="Y338" s="55" t="str">
        <f>IF(AND(OR(LEFT(TH!L357,2)="15",LEFT(TH!M357,2)="15"),'152-CT'!$J$8=TH!F357),"x","")</f>
        <v/>
      </c>
      <c r="Z338" s="55" t="str">
        <f>IF(AND(OR(LEFT(TH!L357,2)="15",LEFT(TH!M357,2)="15"),TK!$E$7=TH!F357),"x","")</f>
        <v/>
      </c>
      <c r="AA338" s="55" t="str">
        <f>IF(AND(B338&lt;=NKC!$N$8,B338&gt;=NKC!$M$8),"x","")</f>
        <v>x</v>
      </c>
      <c r="AB338" s="225">
        <v>5</v>
      </c>
    </row>
    <row r="339" spans="1:30" s="225" customFormat="1" ht="15.75" customHeight="1">
      <c r="A339" s="218" t="str">
        <f>IF(B339&lt;&gt;"",IF(AND(B339&gt;=_TM1,B339&lt;=_TM2,OR(TH!L358="1111",TH!M358="1111")),TH!D358,""),"")</f>
        <v/>
      </c>
      <c r="B339" s="36">
        <f t="shared" si="16"/>
        <v>5</v>
      </c>
      <c r="C339" s="37">
        <f t="shared" si="17"/>
        <v>41402</v>
      </c>
      <c r="D339" s="194"/>
      <c r="E339" s="194">
        <v>41402</v>
      </c>
      <c r="F339" s="40" t="s">
        <v>714</v>
      </c>
      <c r="G339" s="883" t="s">
        <v>713</v>
      </c>
      <c r="H339" s="45" t="s">
        <v>695</v>
      </c>
      <c r="I339" s="276">
        <v>350</v>
      </c>
      <c r="J339" s="276">
        <v>20290</v>
      </c>
      <c r="K339" s="38">
        <f>ROUND(I339*J339,0)</f>
        <v>7101500</v>
      </c>
      <c r="L339" s="39" t="s">
        <v>191</v>
      </c>
      <c r="M339" s="39" t="s">
        <v>8</v>
      </c>
      <c r="N339" s="55" t="str">
        <f>IF(AND('331-CT'!$E$7=TH!H358,OR(L339="331",M339="331")),"x","")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IF(OR(TH!L358=TH!$V$7,M339=TH!$V$7),"x","")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IF(AND(B339&gt;='IN-NX'!$P$3,B339&lt;='IN-NX'!$Q$3,'IN-NX'!$D$7=D339,OR(LEFT(TH!L358,2)="15",LEFT(TH!M358,2)="15")),"x","")</f>
        <v/>
      </c>
      <c r="Y339" s="55" t="str">
        <f>IF(AND(OR(LEFT(TH!L358,2)="15",LEFT(TH!M358,2)="15"),'152-CT'!$J$8=TH!F358),"x","")</f>
        <v/>
      </c>
      <c r="Z339" s="55" t="str">
        <f>IF(AND(OR(LEFT(TH!L358,2)="15",LEFT(TH!M358,2)="15"),TK!$E$7=TH!F358),"x","")</f>
        <v/>
      </c>
      <c r="AA339" s="55" t="str">
        <f>IF(AND(B339&lt;=NKC!$N$8,B339&gt;=NKC!$M$8),"x","")</f>
        <v>x</v>
      </c>
    </row>
    <row r="340" spans="1:30" s="225" customFormat="1" ht="15.75" customHeight="1">
      <c r="A340" s="218" t="str">
        <f>IF(B340&lt;&gt;"",IF(AND(B340&gt;=_TM1,B340&lt;=_TM2,OR(TH!L359="1111",TH!M359="1111")),TH!D359,""),"")</f>
        <v/>
      </c>
      <c r="B340" s="36">
        <f t="shared" si="16"/>
        <v>5</v>
      </c>
      <c r="C340" s="37">
        <f t="shared" si="17"/>
        <v>41402</v>
      </c>
      <c r="D340" s="194"/>
      <c r="E340" s="194">
        <v>41402</v>
      </c>
      <c r="F340" s="40" t="s">
        <v>715</v>
      </c>
      <c r="G340" s="883" t="s">
        <v>713</v>
      </c>
      <c r="H340" s="45" t="s">
        <v>695</v>
      </c>
      <c r="I340" s="276">
        <v>60</v>
      </c>
      <c r="J340" s="276">
        <v>17222</v>
      </c>
      <c r="K340" s="38">
        <f>ROUND(I340*J340,0)</f>
        <v>1033320</v>
      </c>
      <c r="L340" s="39" t="s">
        <v>191</v>
      </c>
      <c r="M340" s="39" t="s">
        <v>8</v>
      </c>
      <c r="N340" s="55" t="str">
        <f>IF(AND('331-CT'!$E$7=TH!H359,OR(L340="331",M340="331")),"x","")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IF(OR(TH!L359=TH!$V$7,M340=TH!$V$7),"x","")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IF(AND(B340&gt;='IN-NX'!$P$3,B340&lt;='IN-NX'!$Q$3,'IN-NX'!$D$7=D340,OR(LEFT(TH!L359,2)="15",LEFT(TH!M359,2)="15")),"x","")</f>
        <v/>
      </c>
      <c r="Y340" s="55" t="str">
        <f>IF(AND(OR(LEFT(TH!L359,2)="15",LEFT(TH!M359,2)="15"),'152-CT'!$J$8=TH!F359),"x","")</f>
        <v/>
      </c>
      <c r="Z340" s="55" t="str">
        <f>IF(AND(OR(LEFT(TH!L359,2)="15",LEFT(TH!M359,2)="15"),TK!$E$7=TH!F359),"x","")</f>
        <v/>
      </c>
      <c r="AA340" s="55" t="str">
        <f>IF(AND(B340&lt;=NKC!$N$8,B340&gt;=NKC!$M$8),"x","")</f>
        <v>x</v>
      </c>
      <c r="AB340" s="739"/>
    </row>
    <row r="341" spans="1:30" s="225" customFormat="1" ht="15.75" customHeight="1">
      <c r="A341" s="218" t="str">
        <f>IF(B341&lt;&gt;"",IF(AND(B341&gt;=_TM1,B341&lt;=_TM2,OR(TH!L360="1111",TH!M360="1111")),TH!D360,""),"")</f>
        <v/>
      </c>
      <c r="B341" s="36">
        <f t="shared" si="16"/>
        <v>5</v>
      </c>
      <c r="C341" s="37">
        <f t="shared" si="17"/>
        <v>41402</v>
      </c>
      <c r="D341" s="194"/>
      <c r="E341" s="194">
        <v>41402</v>
      </c>
      <c r="F341" s="40" t="s">
        <v>716</v>
      </c>
      <c r="G341" s="883" t="s">
        <v>713</v>
      </c>
      <c r="H341" s="45" t="s">
        <v>695</v>
      </c>
      <c r="I341" s="276">
        <v>108</v>
      </c>
      <c r="J341" s="276">
        <v>14978</v>
      </c>
      <c r="K341" s="38">
        <f>ROUND(I341*J341,0)</f>
        <v>1617624</v>
      </c>
      <c r="L341" s="39" t="s">
        <v>191</v>
      </c>
      <c r="M341" s="39" t="s">
        <v>8</v>
      </c>
      <c r="N341" s="55" t="str">
        <f>IF(AND('331-CT'!$E$7=TH!H360,OR(L341="331",M341="331")),"x","")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IF(OR(TH!L360=TH!$V$7,M341=TH!$V$7),"x","")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IF(AND(B341&gt;='IN-NX'!$P$3,B341&lt;='IN-NX'!$Q$3,'IN-NX'!$D$7=D341,OR(LEFT(TH!L360,2)="15",LEFT(TH!M360,2)="15")),"x","")</f>
        <v/>
      </c>
      <c r="Y341" s="55" t="str">
        <f>IF(AND(OR(LEFT(TH!L360,2)="15",LEFT(TH!M360,2)="15"),'152-CT'!$J$8=TH!F360),"x","")</f>
        <v/>
      </c>
      <c r="Z341" s="55" t="str">
        <f>IF(AND(OR(LEFT(TH!L360,2)="15",LEFT(TH!M360,2)="15"),TK!$E$7=TH!F360),"x","")</f>
        <v/>
      </c>
      <c r="AA341" s="55" t="str">
        <f>IF(AND(B341&lt;=NKC!$N$8,B341&gt;=NKC!$M$8),"x","")</f>
        <v>x</v>
      </c>
      <c r="AB341" s="739"/>
      <c r="AC341" s="739"/>
    </row>
    <row r="342" spans="1:30" s="225" customFormat="1" ht="15.75" customHeight="1">
      <c r="A342" s="218" t="str">
        <f>IF(B342&lt;&gt;"",IF(AND(B342&gt;=_TM1,B342&lt;=_TM2,OR(TH!L361="1111",TH!M361="1111")),TH!D361,""),"")</f>
        <v/>
      </c>
      <c r="B342" s="36">
        <f t="shared" si="16"/>
        <v>5</v>
      </c>
      <c r="C342" s="37">
        <f t="shared" si="17"/>
        <v>41402</v>
      </c>
      <c r="D342" s="194"/>
      <c r="E342" s="194">
        <v>41402</v>
      </c>
      <c r="F342" s="40" t="s">
        <v>717</v>
      </c>
      <c r="G342" s="883" t="s">
        <v>713</v>
      </c>
      <c r="H342" s="45" t="s">
        <v>695</v>
      </c>
      <c r="I342" s="276">
        <v>100</v>
      </c>
      <c r="J342" s="276">
        <v>11238</v>
      </c>
      <c r="K342" s="38">
        <f>ROUND(I342*J342,0)</f>
        <v>1123800</v>
      </c>
      <c r="L342" s="39" t="s">
        <v>191</v>
      </c>
      <c r="M342" s="39" t="s">
        <v>8</v>
      </c>
      <c r="N342" s="55" t="str">
        <f>IF(AND('331-CT'!$E$7=TH!H361,OR(L342="331",M342="331")),"x","")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IF(OR(TH!L361=TH!$V$7,M342=TH!$V$7),"x","")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IF(AND(B342&gt;='IN-NX'!$P$3,B342&lt;='IN-NX'!$Q$3,'IN-NX'!$D$7=D342,OR(LEFT(TH!L361,2)="15",LEFT(TH!M361,2)="15")),"x","")</f>
        <v/>
      </c>
      <c r="Y342" s="55" t="str">
        <f>IF(AND(OR(LEFT(TH!L361,2)="15",LEFT(TH!M361,2)="15"),'152-CT'!$J$8=TH!F361),"x","")</f>
        <v/>
      </c>
      <c r="Z342" s="55" t="str">
        <f>IF(AND(OR(LEFT(TH!L361,2)="15",LEFT(TH!M361,2)="15"),TK!$E$7=TH!F361),"x","")</f>
        <v/>
      </c>
      <c r="AA342" s="55" t="str">
        <f>IF(AND(B342&lt;=NKC!$N$8,B342&gt;=NKC!$M$8),"x","")</f>
        <v>x</v>
      </c>
      <c r="AB342" s="739"/>
    </row>
    <row r="343" spans="1:30" s="225" customFormat="1" ht="15.75" customHeight="1">
      <c r="A343" s="218" t="str">
        <f>IF(B343&lt;&gt;"",IF(AND(B343&gt;=_TM1,B343&lt;=_TM2,OR(TH!L362="1111",TH!M362="1111")),TH!D362,""),"")</f>
        <v/>
      </c>
      <c r="B343" s="36">
        <f t="shared" si="16"/>
        <v>5</v>
      </c>
      <c r="C343" s="37">
        <f t="shared" si="17"/>
        <v>41402</v>
      </c>
      <c r="D343" s="194"/>
      <c r="E343" s="194">
        <v>41402</v>
      </c>
      <c r="F343" s="40" t="s">
        <v>718</v>
      </c>
      <c r="G343" s="883" t="s">
        <v>713</v>
      </c>
      <c r="H343" s="45" t="s">
        <v>695</v>
      </c>
      <c r="I343" s="276">
        <v>100</v>
      </c>
      <c r="J343" s="276">
        <v>12629</v>
      </c>
      <c r="K343" s="38">
        <f>ROUND(I343*J343,0)</f>
        <v>1262900</v>
      </c>
      <c r="L343" s="39" t="s">
        <v>191</v>
      </c>
      <c r="M343" s="39" t="s">
        <v>8</v>
      </c>
      <c r="N343" s="55" t="str">
        <f>IF(AND('331-CT'!$E$7=TH!H362,OR(L343="331",M343="331")),"x","")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IF(OR(TH!L362=TH!$V$7,M343=TH!$V$7),"x","")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IF(AND(B343&gt;='IN-NX'!$P$3,B343&lt;='IN-NX'!$Q$3,'IN-NX'!$D$7=D343,OR(LEFT(TH!L362,2)="15",LEFT(TH!M362,2)="15")),"x","")</f>
        <v/>
      </c>
      <c r="Y343" s="55" t="str">
        <f>IF(AND(OR(LEFT(TH!L362,2)="15",LEFT(TH!M362,2)="15"),'152-CT'!$J$8=TH!F362),"x","")</f>
        <v/>
      </c>
      <c r="Z343" s="55" t="str">
        <f>IF(AND(OR(LEFT(TH!L362,2)="15",LEFT(TH!M362,2)="15"),TK!$E$7=TH!F362),"x","")</f>
        <v/>
      </c>
      <c r="AA343" s="55" t="str">
        <f>IF(AND(B343&lt;=NKC!$N$8,B343&gt;=NKC!$M$8),"x","")</f>
        <v>x</v>
      </c>
      <c r="AB343" s="739"/>
    </row>
    <row r="344" spans="1:30" s="739" customFormat="1" ht="15.75" customHeight="1">
      <c r="A344" s="218" t="str">
        <f>IF(B344&lt;&gt;"",IF(AND(B344&gt;=_TM1,B344&lt;=_TM2,OR(TH!L363="1111",TH!M363="1111")),TH!D363,""),"")</f>
        <v/>
      </c>
      <c r="B344" s="36">
        <f t="shared" si="16"/>
        <v>5</v>
      </c>
      <c r="C344" s="37">
        <f t="shared" si="17"/>
        <v>41402</v>
      </c>
      <c r="D344" s="194"/>
      <c r="E344" s="194">
        <v>41402</v>
      </c>
      <c r="F344" s="40" t="s">
        <v>638</v>
      </c>
      <c r="G344" s="883" t="s">
        <v>713</v>
      </c>
      <c r="H344" s="45" t="s">
        <v>695</v>
      </c>
      <c r="I344" s="276"/>
      <c r="J344" s="276"/>
      <c r="K344" s="38">
        <v>1213914</v>
      </c>
      <c r="L344" s="39" t="s">
        <v>9</v>
      </c>
      <c r="M344" s="39" t="s">
        <v>8</v>
      </c>
      <c r="N344" s="55" t="str">
        <f>IF(AND('331-CT'!$E$7=TH!H363,OR(L344="331",M344="331")),"x","")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IF(OR(TH!L363=TH!$V$7,M344=TH!$V$7),"x","")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IF(AND(B344&gt;='IN-NX'!$P$3,B344&lt;='IN-NX'!$Q$3,'IN-NX'!$D$7=D344,OR(LEFT(TH!L363,2)="15",LEFT(TH!M363,2)="15")),"x","")</f>
        <v/>
      </c>
      <c r="Y344" s="55" t="str">
        <f>IF(AND(OR(LEFT(TH!L363,2)="15",LEFT(TH!M363,2)="15"),'152-CT'!$J$8=TH!F363),"x","")</f>
        <v/>
      </c>
      <c r="Z344" s="55" t="str">
        <f>IF(AND(OR(LEFT(TH!L363,2)="15",LEFT(TH!M363,2)="15"),TK!$E$7=TH!F363),"x","")</f>
        <v/>
      </c>
      <c r="AA344" s="55" t="str">
        <f>IF(AND(B344&lt;=NKC!$N$8,B344&gt;=NKC!$M$8),"x","")</f>
        <v>x</v>
      </c>
      <c r="AB344" s="739">
        <v>5</v>
      </c>
      <c r="AC344" s="225"/>
      <c r="AD344" s="225"/>
    </row>
    <row r="345" spans="1:30" s="739" customFormat="1" ht="15.75" customHeight="1">
      <c r="A345" s="218" t="str">
        <f>IF(B345&lt;&gt;"",IF(AND(B345&gt;=_TM1,B345&lt;=_TM2,OR(TH!L364="1111",TH!M364="1111")),TH!D364,""),"")</f>
        <v/>
      </c>
      <c r="B345" s="36">
        <f t="shared" si="16"/>
        <v>5</v>
      </c>
      <c r="C345" s="37">
        <f t="shared" si="17"/>
        <v>41404</v>
      </c>
      <c r="D345" s="194"/>
      <c r="E345" s="194">
        <v>41404</v>
      </c>
      <c r="F345" s="40" t="s">
        <v>720</v>
      </c>
      <c r="G345" s="883" t="s">
        <v>719</v>
      </c>
      <c r="H345" s="45" t="s">
        <v>695</v>
      </c>
      <c r="I345" s="276">
        <v>510</v>
      </c>
      <c r="J345" s="276">
        <v>16375</v>
      </c>
      <c r="K345" s="38">
        <f>ROUND(I345*J345,0)</f>
        <v>8351250</v>
      </c>
      <c r="L345" s="39" t="s">
        <v>191</v>
      </c>
      <c r="M345" s="39" t="s">
        <v>8</v>
      </c>
      <c r="N345" s="55" t="str">
        <f>IF(AND('331-CT'!$E$7=TH!H364,OR(L345="331",M345="331")),"x","")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IF(OR(TH!L364=TH!$V$7,M345=TH!$V$7),"x","")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IF(AND(B345&gt;='IN-NX'!$P$3,B345&lt;='IN-NX'!$Q$3,'IN-NX'!$D$7=D345,OR(LEFT(TH!L364,2)="15",LEFT(TH!M364,2)="15")),"x","")</f>
        <v/>
      </c>
      <c r="Y345" s="55" t="str">
        <f>IF(AND(OR(LEFT(TH!L364,2)="15",LEFT(TH!M364,2)="15"),'152-CT'!$J$8=TH!F364),"x","")</f>
        <v/>
      </c>
      <c r="Z345" s="55" t="str">
        <f>IF(AND(OR(LEFT(TH!L364,2)="15",LEFT(TH!M364,2)="15"),TK!$E$7=TH!F364),"x","")</f>
        <v/>
      </c>
      <c r="AA345" s="55" t="str">
        <f>IF(AND(B345&lt;=NKC!$N$8,B345&gt;=NKC!$M$8),"x","")</f>
        <v>x</v>
      </c>
      <c r="AB345" s="225"/>
      <c r="AC345" s="225"/>
      <c r="AD345" s="225"/>
    </row>
    <row r="346" spans="1:30" s="225" customFormat="1" ht="15.75" customHeight="1">
      <c r="A346" s="218" t="str">
        <f>IF(B346&lt;&gt;"",IF(AND(B346&gt;=_TM1,B346&lt;=_TM2,OR(TH!L365="1111",TH!M365="1111")),TH!D365,""),"")</f>
        <v/>
      </c>
      <c r="B346" s="36">
        <f t="shared" si="16"/>
        <v>5</v>
      </c>
      <c r="C346" s="37">
        <f t="shared" si="17"/>
        <v>41404</v>
      </c>
      <c r="D346" s="194"/>
      <c r="E346" s="194">
        <v>41404</v>
      </c>
      <c r="F346" s="40" t="s">
        <v>721</v>
      </c>
      <c r="G346" s="883" t="s">
        <v>719</v>
      </c>
      <c r="H346" s="45" t="s">
        <v>695</v>
      </c>
      <c r="I346" s="276">
        <v>250</v>
      </c>
      <c r="J346" s="276">
        <v>26903</v>
      </c>
      <c r="K346" s="38">
        <f>ROUND(I346*J346,0)</f>
        <v>6725750</v>
      </c>
      <c r="L346" s="39" t="s">
        <v>191</v>
      </c>
      <c r="M346" s="39" t="s">
        <v>8</v>
      </c>
      <c r="N346" s="55" t="str">
        <f>IF(AND('331-CT'!$E$7=TH!H365,OR(L346="331",M346="331")),"x","")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IF(OR(TH!L365=TH!$V$7,M346=TH!$V$7),"x","")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IF(AND(B346&gt;='IN-NX'!$P$3,B346&lt;='IN-NX'!$Q$3,'IN-NX'!$D$7=D346,OR(LEFT(TH!L365,2)="15",LEFT(TH!M365,2)="15")),"x","")</f>
        <v/>
      </c>
      <c r="Y346" s="55" t="str">
        <f>IF(AND(OR(LEFT(TH!L365,2)="15",LEFT(TH!M365,2)="15"),'152-CT'!$J$8=TH!F365),"x","")</f>
        <v/>
      </c>
      <c r="Z346" s="55" t="str">
        <f>IF(AND(OR(LEFT(TH!L365,2)="15",LEFT(TH!M365,2)="15"),TK!$E$7=TH!F365),"x","")</f>
        <v/>
      </c>
      <c r="AA346" s="55" t="str">
        <f>IF(AND(B346&lt;=NKC!$N$8,B346&gt;=NKC!$M$8),"x","")</f>
        <v>x</v>
      </c>
    </row>
    <row r="347" spans="1:30" s="225" customFormat="1" ht="15.75" customHeight="1">
      <c r="A347" s="218" t="str">
        <f>IF(B347&lt;&gt;"",IF(AND(B347&gt;=_TM1,B347&lt;=_TM2,OR(TH!L366="1111",TH!M366="1111")),TH!D366,""),"")</f>
        <v/>
      </c>
      <c r="B347" s="36">
        <f t="shared" si="16"/>
        <v>5</v>
      </c>
      <c r="C347" s="37">
        <f t="shared" si="17"/>
        <v>41404</v>
      </c>
      <c r="D347" s="194"/>
      <c r="E347" s="194">
        <v>41404</v>
      </c>
      <c r="F347" s="40" t="s">
        <v>638</v>
      </c>
      <c r="G347" s="883" t="s">
        <v>719</v>
      </c>
      <c r="H347" s="45" t="s">
        <v>695</v>
      </c>
      <c r="I347" s="276"/>
      <c r="J347" s="276"/>
      <c r="K347" s="38">
        <v>1507700</v>
      </c>
      <c r="L347" s="39" t="s">
        <v>9</v>
      </c>
      <c r="M347" s="39" t="s">
        <v>8</v>
      </c>
      <c r="N347" s="55" t="str">
        <f>IF(AND('331-CT'!$E$7=TH!H366,OR(L347="331",M347="331")),"x","")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IF(OR(TH!L366=TH!$V$7,M347=TH!$V$7),"x","")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IF(AND(B347&gt;='IN-NX'!$P$3,B347&lt;='IN-NX'!$Q$3,'IN-NX'!$D$7=D347,OR(LEFT(TH!L366,2)="15",LEFT(TH!M366,2)="15")),"x","")</f>
        <v/>
      </c>
      <c r="Y347" s="55" t="str">
        <f>IF(AND(OR(LEFT(TH!L366,2)="15",LEFT(TH!M366,2)="15"),'152-CT'!$J$8=TH!F366),"x","")</f>
        <v/>
      </c>
      <c r="Z347" s="55" t="str">
        <f>IF(AND(OR(LEFT(TH!L366,2)="15",LEFT(TH!M366,2)="15"),TK!$E$7=TH!F366),"x","")</f>
        <v/>
      </c>
      <c r="AA347" s="55" t="str">
        <f>IF(AND(B347&lt;=NKC!$N$8,B347&gt;=NKC!$M$8),"x","")</f>
        <v>x</v>
      </c>
      <c r="AB347" s="739">
        <v>5</v>
      </c>
    </row>
    <row r="348" spans="1:30" s="225" customFormat="1" ht="15.75" customHeight="1">
      <c r="A348" s="218" t="str">
        <f>IF(B348&lt;&gt;"",IF(AND(B348&gt;=_TM1,B348&lt;=_TM2,OR(TH!L367="1111",TH!M367="1111")),TH!D367,""),"")</f>
        <v/>
      </c>
      <c r="B348" s="36">
        <f t="shared" si="16"/>
        <v>5</v>
      </c>
      <c r="C348" s="37">
        <f t="shared" si="17"/>
        <v>41423</v>
      </c>
      <c r="D348" s="194"/>
      <c r="E348" s="194">
        <v>41423</v>
      </c>
      <c r="F348" s="40" t="s">
        <v>723</v>
      </c>
      <c r="G348" s="883" t="s">
        <v>722</v>
      </c>
      <c r="H348" s="45" t="s">
        <v>695</v>
      </c>
      <c r="I348" s="276">
        <v>150</v>
      </c>
      <c r="J348" s="276">
        <v>15456</v>
      </c>
      <c r="K348" s="38">
        <f>ROUND(I348*J348,0)</f>
        <v>2318400</v>
      </c>
      <c r="L348" s="39" t="s">
        <v>191</v>
      </c>
      <c r="M348" s="39" t="s">
        <v>8</v>
      </c>
      <c r="N348" s="55" t="str">
        <f>IF(AND('331-CT'!$E$7=TH!H367,OR(L348="331",M348="331")),"x","")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IF(OR(TH!L367=TH!$V$7,M348=TH!$V$7),"x","")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IF(AND(B348&gt;='IN-NX'!$P$3,B348&lt;='IN-NX'!$Q$3,'IN-NX'!$D$7=D348,OR(LEFT(TH!L367,2)="15",LEFT(TH!M367,2)="15")),"x","")</f>
        <v/>
      </c>
      <c r="Y348" s="55" t="str">
        <f>IF(AND(OR(LEFT(TH!L367,2)="15",LEFT(TH!M367,2)="15"),'152-CT'!$J$8=TH!F367),"x","")</f>
        <v/>
      </c>
      <c r="Z348" s="55" t="str">
        <f>IF(AND(OR(LEFT(TH!L367,2)="15",LEFT(TH!M367,2)="15"),TK!$E$7=TH!F367),"x","")</f>
        <v/>
      </c>
      <c r="AA348" s="55" t="str">
        <f>IF(AND(B348&lt;=NKC!$N$8,B348&gt;=NKC!$M$8),"x","")</f>
        <v>x</v>
      </c>
    </row>
    <row r="349" spans="1:30" s="225" customFormat="1" ht="15.75" customHeight="1">
      <c r="A349" s="218" t="str">
        <f>IF(B349&lt;&gt;"",IF(AND(B349&gt;=_TM1,B349&lt;=_TM2,OR(TH!L368="1111",TH!M368="1111")),TH!D368,""),"")</f>
        <v/>
      </c>
      <c r="B349" s="36">
        <f t="shared" si="16"/>
        <v>5</v>
      </c>
      <c r="C349" s="37">
        <f t="shared" si="17"/>
        <v>41423</v>
      </c>
      <c r="D349" s="194"/>
      <c r="E349" s="194">
        <v>41423</v>
      </c>
      <c r="F349" s="40" t="s">
        <v>724</v>
      </c>
      <c r="G349" s="883" t="s">
        <v>722</v>
      </c>
      <c r="H349" s="45" t="s">
        <v>695</v>
      </c>
      <c r="I349" s="276">
        <v>1280</v>
      </c>
      <c r="J349" s="276">
        <v>10801</v>
      </c>
      <c r="K349" s="38">
        <f>ROUND(I349*J349,0)</f>
        <v>13825280</v>
      </c>
      <c r="L349" s="39" t="s">
        <v>191</v>
      </c>
      <c r="M349" s="39" t="s">
        <v>8</v>
      </c>
      <c r="N349" s="55" t="str">
        <f>IF(AND('331-CT'!$E$7=TH!H368,OR(L349="331",M349="331")),"x","")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IF(OR(TH!L368=TH!$V$7,M349=TH!$V$7),"x","")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IF(AND(B349&gt;='IN-NX'!$P$3,B349&lt;='IN-NX'!$Q$3,'IN-NX'!$D$7=D349,OR(LEFT(TH!L368,2)="15",LEFT(TH!M368,2)="15")),"x","")</f>
        <v/>
      </c>
      <c r="Y349" s="55" t="str">
        <f>IF(AND(OR(LEFT(TH!L368,2)="15",LEFT(TH!M368,2)="15"),'152-CT'!$J$8=TH!F368),"x","")</f>
        <v/>
      </c>
      <c r="Z349" s="55" t="str">
        <f>IF(AND(OR(LEFT(TH!L368,2)="15",LEFT(TH!M368,2)="15"),TK!$E$7=TH!F368),"x","")</f>
        <v/>
      </c>
      <c r="AA349" s="55" t="str">
        <f>IF(AND(B349&lt;=NKC!$N$8,B349&gt;=NKC!$M$8),"x","")</f>
        <v>x</v>
      </c>
    </row>
    <row r="350" spans="1:30" s="225" customFormat="1" ht="15.75" customHeight="1">
      <c r="A350" s="218" t="str">
        <f>IF(B350&lt;&gt;"",IF(AND(B350&gt;=_TM1,B350&lt;=_TM2,OR(TH!L369="1111",TH!M369="1111")),TH!D369,""),"")</f>
        <v/>
      </c>
      <c r="B350" s="36">
        <f t="shared" si="16"/>
        <v>5</v>
      </c>
      <c r="C350" s="37">
        <f t="shared" si="17"/>
        <v>41423</v>
      </c>
      <c r="D350" s="194"/>
      <c r="E350" s="194">
        <v>41423</v>
      </c>
      <c r="F350" s="40" t="s">
        <v>638</v>
      </c>
      <c r="G350" s="883" t="s">
        <v>722</v>
      </c>
      <c r="H350" s="45" t="s">
        <v>695</v>
      </c>
      <c r="I350" s="276"/>
      <c r="J350" s="276"/>
      <c r="K350" s="38">
        <v>1614368</v>
      </c>
      <c r="L350" s="39" t="s">
        <v>9</v>
      </c>
      <c r="M350" s="39" t="s">
        <v>8</v>
      </c>
      <c r="N350" s="55" t="str">
        <f>IF(AND('331-CT'!$E$7=TH!H369,OR(L350="331",M350="331")),"x","")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IF(OR(TH!L369=TH!$V$7,M350=TH!$V$7),"x","")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IF(AND(B350&gt;='IN-NX'!$P$3,B350&lt;='IN-NX'!$Q$3,'IN-NX'!$D$7=D350,OR(LEFT(TH!L369,2)="15",LEFT(TH!M369,2)="15")),"x","")</f>
        <v/>
      </c>
      <c r="Y350" s="55" t="str">
        <f>IF(AND(OR(LEFT(TH!L369,2)="15",LEFT(TH!M369,2)="15"),'152-CT'!$J$8=TH!F369),"x","")</f>
        <v/>
      </c>
      <c r="Z350" s="55" t="str">
        <f>IF(AND(OR(LEFT(TH!L369,2)="15",LEFT(TH!M369,2)="15"),TK!$E$7=TH!F369),"x","")</f>
        <v/>
      </c>
      <c r="AA350" s="55" t="str">
        <f>IF(AND(B350&lt;=NKC!$N$8,B350&gt;=NKC!$M$8),"x","")</f>
        <v>x</v>
      </c>
      <c r="AB350" s="739">
        <v>6</v>
      </c>
      <c r="AC350" s="739"/>
    </row>
    <row r="351" spans="1:30" s="225" customFormat="1" ht="15.75" customHeight="1">
      <c r="A351" s="218" t="str">
        <f>IF(B351&lt;&gt;"",IF(AND(B351&gt;=_TM1,B351&lt;=_TM2,OR(TH!L370="1111",TH!M370="1111")),TH!D370,""),"")</f>
        <v/>
      </c>
      <c r="B351" s="36">
        <f t="shared" si="16"/>
        <v>5</v>
      </c>
      <c r="C351" s="37">
        <f t="shared" si="17"/>
        <v>41424</v>
      </c>
      <c r="D351" s="194"/>
      <c r="E351" s="194">
        <v>41424</v>
      </c>
      <c r="F351" s="40" t="s">
        <v>726</v>
      </c>
      <c r="G351" s="883" t="s">
        <v>725</v>
      </c>
      <c r="H351" s="45" t="s">
        <v>695</v>
      </c>
      <c r="I351" s="276">
        <v>835</v>
      </c>
      <c r="J351" s="276">
        <v>14813</v>
      </c>
      <c r="K351" s="38">
        <f>ROUND(I351*J351,0)</f>
        <v>12368855</v>
      </c>
      <c r="L351" s="39" t="s">
        <v>191</v>
      </c>
      <c r="M351" s="39" t="s">
        <v>8</v>
      </c>
      <c r="N351" s="55" t="str">
        <f>IF(AND('331-CT'!$E$7=TH!H370,OR(L351="331",M351="331")),"x","")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IF(OR(TH!L370=TH!$V$7,M351=TH!$V$7),"x","")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IF(AND(B351&gt;='IN-NX'!$P$3,B351&lt;='IN-NX'!$Q$3,'IN-NX'!$D$7=D351,OR(LEFT(TH!L370,2)="15",LEFT(TH!M370,2)="15")),"x","")</f>
        <v/>
      </c>
      <c r="Y351" s="55" t="str">
        <f>IF(AND(OR(LEFT(TH!L370,2)="15",LEFT(TH!M370,2)="15"),'152-CT'!$J$8=TH!F370),"x","")</f>
        <v/>
      </c>
      <c r="Z351" s="55" t="str">
        <f>IF(AND(OR(LEFT(TH!L370,2)="15",LEFT(TH!M370,2)="15"),TK!$E$7=TH!F370),"x","")</f>
        <v/>
      </c>
      <c r="AA351" s="55" t="str">
        <f>IF(AND(B351&lt;=NKC!$N$8,B351&gt;=NKC!$M$8),"x","")</f>
        <v>x</v>
      </c>
      <c r="AB351" s="739"/>
      <c r="AC351" s="739"/>
      <c r="AD351" s="739"/>
    </row>
    <row r="352" spans="1:30" s="225" customFormat="1" ht="15.75" customHeight="1">
      <c r="A352" s="218" t="str">
        <f>IF(B352&lt;&gt;"",IF(AND(B352&gt;=_TM1,B352&lt;=_TM2,OR(TH!L371="1111",TH!M371="1111")),TH!D371,""),"")</f>
        <v/>
      </c>
      <c r="B352" s="36">
        <f t="shared" ref="B352:B383" si="19">IF(C352&lt;&gt;"",MONTH(C352),"")</f>
        <v>5</v>
      </c>
      <c r="C352" s="37">
        <f t="shared" ref="C352:C383" si="20">E352</f>
        <v>41424</v>
      </c>
      <c r="D352" s="194"/>
      <c r="E352" s="194">
        <v>41424</v>
      </c>
      <c r="F352" s="40" t="s">
        <v>727</v>
      </c>
      <c r="G352" s="883" t="s">
        <v>725</v>
      </c>
      <c r="H352" s="45" t="s">
        <v>695</v>
      </c>
      <c r="I352" s="276">
        <v>150</v>
      </c>
      <c r="J352" s="276">
        <v>10904</v>
      </c>
      <c r="K352" s="38">
        <f>ROUND(I352*J352,0)</f>
        <v>1635600</v>
      </c>
      <c r="L352" s="39" t="s">
        <v>191</v>
      </c>
      <c r="M352" s="39" t="s">
        <v>8</v>
      </c>
      <c r="N352" s="55" t="str">
        <f>IF(AND('331-CT'!$E$7=TH!H371,OR(L352="331",M352="331")),"x","")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IF(OR(TH!L371=TH!$V$7,M352=TH!$V$7),"x","")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IF(AND(B352&gt;='IN-NX'!$P$3,B352&lt;='IN-NX'!$Q$3,'IN-NX'!$D$7=D352,OR(LEFT(TH!L371,2)="15",LEFT(TH!M371,2)="15")),"x","")</f>
        <v/>
      </c>
      <c r="Y352" s="55" t="str">
        <f>IF(AND(OR(LEFT(TH!L371,2)="15",LEFT(TH!M371,2)="15"),'152-CT'!$J$8=TH!F371),"x","")</f>
        <v/>
      </c>
      <c r="Z352" s="55" t="str">
        <f>IF(AND(OR(LEFT(TH!L371,2)="15",LEFT(TH!M371,2)="15"),TK!$E$7=TH!F371),"x","")</f>
        <v/>
      </c>
      <c r="AA352" s="55" t="str">
        <f>IF(AND(B352&lt;=NKC!$N$8,B352&gt;=NKC!$M$8),"x","")</f>
        <v>x</v>
      </c>
    </row>
    <row r="353" spans="1:30" s="225" customFormat="1" ht="15.75" customHeight="1">
      <c r="A353" s="218" t="str">
        <f>IF(B353&lt;&gt;"",IF(AND(B353&gt;=_TM1,B353&lt;=_TM2,OR(TH!L372="1111",TH!M372="1111")),TH!D372,""),"")</f>
        <v/>
      </c>
      <c r="B353" s="36">
        <f t="shared" si="19"/>
        <v>5</v>
      </c>
      <c r="C353" s="37">
        <f t="shared" si="20"/>
        <v>41424</v>
      </c>
      <c r="D353" s="194"/>
      <c r="E353" s="194">
        <v>41424</v>
      </c>
      <c r="F353" s="40" t="s">
        <v>638</v>
      </c>
      <c r="G353" s="883" t="s">
        <v>725</v>
      </c>
      <c r="H353" s="45" t="s">
        <v>695</v>
      </c>
      <c r="I353" s="276"/>
      <c r="J353" s="276"/>
      <c r="K353" s="38">
        <v>1400445</v>
      </c>
      <c r="L353" s="39" t="s">
        <v>9</v>
      </c>
      <c r="M353" s="39" t="s">
        <v>8</v>
      </c>
      <c r="N353" s="55" t="str">
        <f>IF(AND('331-CT'!$E$7=TH!H372,OR(L353="331",M353="331")),"x","")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IF(OR(TH!L372=TH!$V$7,M353=TH!$V$7),"x","")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IF(AND(B353&gt;='IN-NX'!$P$3,B353&lt;='IN-NX'!$Q$3,'IN-NX'!$D$7=D353,OR(LEFT(TH!L372,2)="15",LEFT(TH!M372,2)="15")),"x","")</f>
        <v/>
      </c>
      <c r="Y353" s="55" t="str">
        <f>IF(AND(OR(LEFT(TH!L372,2)="15",LEFT(TH!M372,2)="15"),'152-CT'!$J$8=TH!F372),"x","")</f>
        <v/>
      </c>
      <c r="Z353" s="55" t="str">
        <f>IF(AND(OR(LEFT(TH!L372,2)="15",LEFT(TH!M372,2)="15"),TK!$E$7=TH!F372),"x","")</f>
        <v/>
      </c>
      <c r="AA353" s="55" t="str">
        <f>IF(AND(B353&lt;=NKC!$N$8,B353&gt;=NKC!$M$8),"x","")</f>
        <v>x</v>
      </c>
      <c r="AB353" s="739">
        <v>6</v>
      </c>
    </row>
    <row r="354" spans="1:30" s="225" customFormat="1" ht="15.75" customHeight="1">
      <c r="A354" s="218" t="str">
        <f>IF(B354&lt;&gt;"",IF(AND(B354&gt;=_TM1,B354&lt;=_TM2,OR(TH!L380="1111",TH!M380="1111")),TH!D380,""),"")</f>
        <v/>
      </c>
      <c r="B354" s="36">
        <f t="shared" si="19"/>
        <v>8</v>
      </c>
      <c r="C354" s="37">
        <f t="shared" si="20"/>
        <v>41487</v>
      </c>
      <c r="D354" s="194"/>
      <c r="E354" s="194">
        <v>41487</v>
      </c>
      <c r="F354" s="40" t="s">
        <v>738</v>
      </c>
      <c r="G354" s="883" t="s">
        <v>737</v>
      </c>
      <c r="H354" s="45" t="s">
        <v>736</v>
      </c>
      <c r="I354" s="276">
        <v>650</v>
      </c>
      <c r="J354" s="276">
        <v>9577</v>
      </c>
      <c r="K354" s="38">
        <f>ROUND(I354*J354,0)</f>
        <v>6225050</v>
      </c>
      <c r="L354" s="39" t="s">
        <v>191</v>
      </c>
      <c r="M354" s="39" t="s">
        <v>8</v>
      </c>
      <c r="N354" s="55" t="str">
        <f>IF(AND('331-CT'!$E$7=TH!H380,OR(L354="331",M354="331")),"x","")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IF(OR(TH!L380=TH!$V$7,M354=TH!$V$7),"x","")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IF(AND(B354&gt;='IN-NX'!$P$3,B354&lt;='IN-NX'!$Q$3,'IN-NX'!$D$7=D354,OR(LEFT(TH!L380,2)="15",LEFT(TH!M380,2)="15")),"x","")</f>
        <v/>
      </c>
      <c r="Y354" s="55" t="str">
        <f>IF(AND(OR(LEFT(TH!L380,2)="15",LEFT(TH!M380,2)="15"),'152-CT'!$J$8=TH!F380),"x","")</f>
        <v/>
      </c>
      <c r="Z354" s="55" t="str">
        <f>IF(AND(OR(LEFT(TH!L380,2)="15",LEFT(TH!M380,2)="15"),TK!$E$7=TH!F380),"x","")</f>
        <v/>
      </c>
      <c r="AA354" s="55" t="str">
        <f>IF(AND(B354&lt;=NKC!$N$8,B354&gt;=NKC!$M$8),"x","")</f>
        <v/>
      </c>
      <c r="AB354" s="739"/>
    </row>
    <row r="355" spans="1:30" s="225" customFormat="1" ht="15.75" customHeight="1">
      <c r="A355" s="218" t="str">
        <f>IF(B355&lt;&gt;"",IF(AND(B355&gt;=_TM1,B355&lt;=_TM2,OR(TH!L381="1111",TH!M381="1111")),TH!D381,""),"")</f>
        <v/>
      </c>
      <c r="B355" s="36">
        <f t="shared" si="19"/>
        <v>8</v>
      </c>
      <c r="C355" s="37">
        <f t="shared" si="20"/>
        <v>41487</v>
      </c>
      <c r="D355" s="194"/>
      <c r="E355" s="194">
        <v>41487</v>
      </c>
      <c r="F355" s="40" t="s">
        <v>638</v>
      </c>
      <c r="G355" s="883" t="s">
        <v>737</v>
      </c>
      <c r="H355" s="45" t="s">
        <v>736</v>
      </c>
      <c r="I355" s="276"/>
      <c r="J355" s="276"/>
      <c r="K355" s="38">
        <v>622505</v>
      </c>
      <c r="L355" s="39" t="s">
        <v>9</v>
      </c>
      <c r="M355" s="39" t="s">
        <v>8</v>
      </c>
      <c r="N355" s="55" t="str">
        <f>IF(AND('331-CT'!$E$7=TH!H381,OR(L355="331",M355="331")),"x","")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IF(OR(TH!L381=TH!$V$7,M355=TH!$V$7),"x","")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IF(AND(B355&gt;='IN-NX'!$P$3,B355&lt;='IN-NX'!$Q$3,'IN-NX'!$D$7=D355,OR(LEFT(TH!L381,2)="15",LEFT(TH!M381,2)="15")),"x","")</f>
        <v/>
      </c>
      <c r="Y355" s="55" t="str">
        <f>IF(AND(OR(LEFT(TH!L381,2)="15",LEFT(TH!M381,2)="15"),'152-CT'!$J$8=TH!F381),"x","")</f>
        <v/>
      </c>
      <c r="Z355" s="55" t="str">
        <f>IF(AND(OR(LEFT(TH!L381,2)="15",LEFT(TH!M381,2)="15"),TK!$E$7=TH!F381),"x","")</f>
        <v/>
      </c>
      <c r="AA355" s="55" t="str">
        <f>IF(AND(B355&lt;=NKC!$N$8,B355&gt;=NKC!$M$8),"x","")</f>
        <v/>
      </c>
      <c r="AB355" s="739">
        <v>9</v>
      </c>
      <c r="AD355" s="739"/>
    </row>
    <row r="356" spans="1:30" s="225" customFormat="1" ht="15.75" customHeight="1">
      <c r="A356" s="218" t="str">
        <f>IF(B356&lt;&gt;"",IF(AND(B356&gt;=_TM1,B356&lt;=_TM2,OR(TH!L382="1111",TH!M382="1111")),TH!D382,""),"")</f>
        <v/>
      </c>
      <c r="B356" s="36">
        <f t="shared" si="19"/>
        <v>8</v>
      </c>
      <c r="C356" s="37">
        <f t="shared" si="20"/>
        <v>41502</v>
      </c>
      <c r="D356" s="194"/>
      <c r="E356" s="37">
        <v>41502</v>
      </c>
      <c r="F356" s="40" t="s">
        <v>739</v>
      </c>
      <c r="G356" s="626" t="s">
        <v>740</v>
      </c>
      <c r="H356" s="45" t="s">
        <v>736</v>
      </c>
      <c r="I356" s="276">
        <v>2000</v>
      </c>
      <c r="J356" s="276">
        <v>11722</v>
      </c>
      <c r="K356" s="38">
        <f>ROUND(I356*J356,0)</f>
        <v>23444000</v>
      </c>
      <c r="L356" s="39" t="s">
        <v>191</v>
      </c>
      <c r="M356" s="39" t="s">
        <v>8</v>
      </c>
      <c r="N356" s="55" t="str">
        <f>IF(AND('331-CT'!$E$7=TH!H382,OR(L356="331",M356="331")),"x","")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IF(OR(TH!L382=TH!$V$7,M356=TH!$V$7),"x","")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IF(AND(B356&gt;='IN-NX'!$P$3,B356&lt;='IN-NX'!$Q$3,'IN-NX'!$D$7=D356,OR(LEFT(TH!L382,2)="15",LEFT(TH!M382,2)="15")),"x","")</f>
        <v/>
      </c>
      <c r="Y356" s="55" t="str">
        <f>IF(AND(OR(LEFT(TH!L382,2)="15",LEFT(TH!M382,2)="15"),'152-CT'!$J$8=TH!F382),"x","")</f>
        <v/>
      </c>
      <c r="Z356" s="55" t="str">
        <f>IF(AND(OR(LEFT(TH!L382,2)="15",LEFT(TH!M382,2)="15"),TK!$E$7=TH!F382),"x","")</f>
        <v/>
      </c>
      <c r="AA356" s="55" t="str">
        <f>IF(AND(B356&lt;=NKC!$N$8,B356&gt;=NKC!$M$8),"x","")</f>
        <v/>
      </c>
    </row>
    <row r="357" spans="1:30" s="225" customFormat="1" ht="15.75" customHeight="1">
      <c r="A357" s="218" t="str">
        <f>IF(B357&lt;&gt;"",IF(AND(B357&gt;=_TM1,B357&lt;=_TM2,OR(TH!L383="1111",TH!M383="1111")),TH!D383,""),"")</f>
        <v/>
      </c>
      <c r="B357" s="36">
        <f t="shared" si="19"/>
        <v>8</v>
      </c>
      <c r="C357" s="37">
        <f t="shared" si="20"/>
        <v>41502</v>
      </c>
      <c r="D357" s="194"/>
      <c r="E357" s="37">
        <v>41502</v>
      </c>
      <c r="F357" s="40" t="s">
        <v>638</v>
      </c>
      <c r="G357" s="626" t="s">
        <v>740</v>
      </c>
      <c r="H357" s="45" t="s">
        <v>736</v>
      </c>
      <c r="I357" s="276"/>
      <c r="J357" s="276"/>
      <c r="K357" s="38">
        <v>2344400</v>
      </c>
      <c r="L357" s="39" t="s">
        <v>9</v>
      </c>
      <c r="M357" s="39" t="s">
        <v>8</v>
      </c>
      <c r="N357" s="55" t="str">
        <f>IF(AND('331-CT'!$E$7=TH!H383,OR(L357="331",M357="331")),"x","")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IF(OR(TH!L383=TH!$V$7,M357=TH!$V$7),"x","")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IF(AND(B357&gt;='IN-NX'!$P$3,B357&lt;='IN-NX'!$Q$3,'IN-NX'!$D$7=D357,OR(LEFT(TH!L383,2)="15",LEFT(TH!M383,2)="15")),"x","")</f>
        <v/>
      </c>
      <c r="Y357" s="55" t="str">
        <f>IF(AND(OR(LEFT(TH!L383,2)="15",LEFT(TH!M383,2)="15"),'152-CT'!$J$8=TH!F383),"x","")</f>
        <v/>
      </c>
      <c r="Z357" s="55" t="str">
        <f>IF(AND(OR(LEFT(TH!L383,2)="15",LEFT(TH!M383,2)="15"),TK!$E$7=TH!F383),"x","")</f>
        <v/>
      </c>
      <c r="AA357" s="55" t="str">
        <f>IF(AND(B357&lt;=NKC!$N$8,B357&gt;=NKC!$M$8),"x","")</f>
        <v/>
      </c>
      <c r="AB357" s="225">
        <v>9</v>
      </c>
    </row>
    <row r="358" spans="1:30" s="225" customFormat="1" ht="15.75" customHeight="1">
      <c r="A358" s="218" t="str">
        <f>IF(B358&lt;&gt;"",IF(AND(B358&gt;=_TM1,B358&lt;=_TM2,OR(TH!L384="1111",TH!M384="1111")),TH!D384,""),"")</f>
        <v/>
      </c>
      <c r="B358" s="36">
        <f t="shared" si="19"/>
        <v>8</v>
      </c>
      <c r="C358" s="37">
        <f t="shared" si="20"/>
        <v>41505</v>
      </c>
      <c r="D358" s="194"/>
      <c r="E358" s="194">
        <v>41505</v>
      </c>
      <c r="F358" s="40" t="s">
        <v>741</v>
      </c>
      <c r="G358" s="883" t="s">
        <v>742</v>
      </c>
      <c r="H358" s="45" t="s">
        <v>736</v>
      </c>
      <c r="I358" s="276">
        <v>700</v>
      </c>
      <c r="J358" s="276">
        <v>18709</v>
      </c>
      <c r="K358" s="38">
        <f>ROUND(I358*J358,0)</f>
        <v>13096300</v>
      </c>
      <c r="L358" s="39" t="s">
        <v>191</v>
      </c>
      <c r="M358" s="39" t="s">
        <v>8</v>
      </c>
      <c r="N358" s="55" t="str">
        <f>IF(AND('331-CT'!$E$7=TH!H384,OR(L358="331",M358="331")),"x","")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IF(OR(TH!L384=TH!$V$7,M358=TH!$V$7),"x","")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IF(AND(B358&gt;='IN-NX'!$P$3,B358&lt;='IN-NX'!$Q$3,'IN-NX'!$D$7=D358,OR(LEFT(TH!L384,2)="15",LEFT(TH!M384,2)="15")),"x","")</f>
        <v/>
      </c>
      <c r="Y358" s="55" t="str">
        <f>IF(AND(OR(LEFT(TH!L384,2)="15",LEFT(TH!M384,2)="15"),'152-CT'!$J$8=TH!F384),"x","")</f>
        <v/>
      </c>
      <c r="Z358" s="55" t="str">
        <f>IF(AND(OR(LEFT(TH!L384,2)="15",LEFT(TH!M384,2)="15"),TK!$E$7=TH!F384),"x","")</f>
        <v/>
      </c>
      <c r="AA358" s="55" t="str">
        <f>IF(AND(B358&lt;=NKC!$N$8,B358&gt;=NKC!$M$8),"x","")</f>
        <v/>
      </c>
      <c r="AB358" s="739"/>
      <c r="AC358" s="739"/>
      <c r="AD358" s="739"/>
    </row>
    <row r="359" spans="1:30" s="225" customFormat="1" ht="15.75" customHeight="1">
      <c r="A359" s="218" t="str">
        <f>IF(B359&lt;&gt;"",IF(AND(B359&gt;=_TM1,B359&lt;=_TM2,OR(TH!L385="1111",TH!M385="1111")),TH!D385,""),"")</f>
        <v/>
      </c>
      <c r="B359" s="36">
        <f t="shared" si="19"/>
        <v>8</v>
      </c>
      <c r="C359" s="37">
        <f t="shared" si="20"/>
        <v>41505</v>
      </c>
      <c r="D359" s="37"/>
      <c r="E359" s="194">
        <v>41505</v>
      </c>
      <c r="F359" s="40" t="s">
        <v>638</v>
      </c>
      <c r="G359" s="883" t="s">
        <v>742</v>
      </c>
      <c r="H359" s="45" t="s">
        <v>736</v>
      </c>
      <c r="I359" s="276"/>
      <c r="J359" s="276"/>
      <c r="K359" s="38">
        <v>1309630</v>
      </c>
      <c r="L359" s="39" t="s">
        <v>9</v>
      </c>
      <c r="M359" s="39" t="s">
        <v>8</v>
      </c>
      <c r="N359" s="55" t="str">
        <f>IF(AND('331-CT'!$E$7=TH!H385,OR(L359="331",M359="331")),"x","")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IF(OR(TH!L385=TH!$V$7,M359=TH!$V$7),"x","")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IF(AND(B359&gt;='IN-NX'!$P$3,B359&lt;='IN-NX'!$Q$3,'IN-NX'!$D$7=D359,OR(LEFT(TH!L385,2)="15",LEFT(TH!M385,2)="15")),"x","")</f>
        <v/>
      </c>
      <c r="Y359" s="55" t="str">
        <f>IF(AND(OR(LEFT(TH!L385,2)="15",LEFT(TH!M385,2)="15"),'152-CT'!$J$8=TH!F385),"x","")</f>
        <v/>
      </c>
      <c r="Z359" s="55" t="str">
        <f>IF(AND(OR(LEFT(TH!L385,2)="15",LEFT(TH!M385,2)="15"),TK!$E$7=TH!F385),"x","")</f>
        <v/>
      </c>
      <c r="AA359" s="55" t="str">
        <f>IF(AND(B359&lt;=NKC!$N$8,B359&gt;=NKC!$M$8),"x","")</f>
        <v/>
      </c>
      <c r="AB359" s="739">
        <v>9</v>
      </c>
      <c r="AC359" s="739"/>
      <c r="AD359" s="739"/>
    </row>
    <row r="360" spans="1:30" s="225" customFormat="1" ht="15.75" customHeight="1">
      <c r="A360" s="218" t="str">
        <f>IF(B360&lt;&gt;"",IF(AND(B360&gt;=_TM1,B360&lt;=_TM2,OR(TH!L386="1111",TH!M386="1111")),TH!D386,""),"")</f>
        <v/>
      </c>
      <c r="B360" s="36">
        <f t="shared" si="19"/>
        <v>8</v>
      </c>
      <c r="C360" s="37">
        <f t="shared" si="20"/>
        <v>41506</v>
      </c>
      <c r="D360" s="194"/>
      <c r="E360" s="194">
        <v>41506</v>
      </c>
      <c r="F360" s="40" t="s">
        <v>743</v>
      </c>
      <c r="G360" s="883" t="s">
        <v>744</v>
      </c>
      <c r="H360" s="45" t="s">
        <v>736</v>
      </c>
      <c r="I360" s="276">
        <v>1000</v>
      </c>
      <c r="J360" s="276">
        <v>11197</v>
      </c>
      <c r="K360" s="38">
        <f>ROUND(I360*J360,0)</f>
        <v>11197000</v>
      </c>
      <c r="L360" s="39" t="s">
        <v>191</v>
      </c>
      <c r="M360" s="39" t="s">
        <v>8</v>
      </c>
      <c r="N360" s="55" t="str">
        <f>IF(AND('331-CT'!$E$7=TH!H386,OR(L360="331",M360="331")),"x","")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IF(OR(TH!L386=TH!$V$7,M360=TH!$V$7),"x","")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IF(AND(B360&gt;='IN-NX'!$P$3,B360&lt;='IN-NX'!$Q$3,'IN-NX'!$D$7=D360,OR(LEFT(TH!L386,2)="15",LEFT(TH!M386,2)="15")),"x","")</f>
        <v/>
      </c>
      <c r="Y360" s="55" t="str">
        <f>IF(AND(OR(LEFT(TH!L386,2)="15",LEFT(TH!M386,2)="15"),'152-CT'!$J$8=TH!F386),"x","")</f>
        <v/>
      </c>
      <c r="Z360" s="55" t="str">
        <f>IF(AND(OR(LEFT(TH!L386,2)="15",LEFT(TH!M386,2)="15"),TK!$E$7=TH!F386),"x","")</f>
        <v/>
      </c>
      <c r="AA360" s="55" t="str">
        <f>IF(AND(B360&lt;=NKC!$N$8,B360&gt;=NKC!$M$8),"x","")</f>
        <v/>
      </c>
      <c r="AB360" s="739"/>
      <c r="AC360" s="739"/>
      <c r="AD360" s="739"/>
    </row>
    <row r="361" spans="1:30" s="225" customFormat="1" ht="15.75" customHeight="1">
      <c r="A361" s="218" t="str">
        <f>IF(B361&lt;&gt;"",IF(AND(B361&gt;=_TM1,B361&lt;=_TM2,OR(TH!L387="1111",TH!M387="1111")),TH!D387,""),"")</f>
        <v/>
      </c>
      <c r="B361" s="36">
        <f t="shared" si="19"/>
        <v>8</v>
      </c>
      <c r="C361" s="37">
        <f t="shared" si="20"/>
        <v>41506</v>
      </c>
      <c r="D361" s="194"/>
      <c r="E361" s="194">
        <v>41506</v>
      </c>
      <c r="F361" s="40" t="s">
        <v>638</v>
      </c>
      <c r="G361" s="883" t="s">
        <v>744</v>
      </c>
      <c r="H361" s="45" t="s">
        <v>736</v>
      </c>
      <c r="I361" s="276"/>
      <c r="J361" s="276"/>
      <c r="K361" s="38">
        <v>1119700</v>
      </c>
      <c r="L361" s="39" t="s">
        <v>9</v>
      </c>
      <c r="M361" s="39" t="s">
        <v>8</v>
      </c>
      <c r="N361" s="55" t="str">
        <f>IF(AND('331-CT'!$E$7=TH!H387,OR(L361="331",M361="331")),"x","")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IF(OR(TH!L387=TH!$V$7,M361=TH!$V$7),"x","")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IF(AND(B361&gt;='IN-NX'!$P$3,B361&lt;='IN-NX'!$Q$3,'IN-NX'!$D$7=D361,OR(LEFT(TH!L387,2)="15",LEFT(TH!M387,2)="15")),"x","")</f>
        <v/>
      </c>
      <c r="Y361" s="55" t="str">
        <f>IF(AND(OR(LEFT(TH!L387,2)="15",LEFT(TH!M387,2)="15"),'152-CT'!$J$8=TH!F387),"x","")</f>
        <v/>
      </c>
      <c r="Z361" s="55" t="str">
        <f>IF(AND(OR(LEFT(TH!L387,2)="15",LEFT(TH!M387,2)="15"),TK!$E$7=TH!F387),"x","")</f>
        <v/>
      </c>
      <c r="AA361" s="55" t="str">
        <f>IF(AND(B361&lt;=NKC!$N$8,B361&gt;=NKC!$M$8),"x","")</f>
        <v/>
      </c>
      <c r="AB361" s="739">
        <v>9</v>
      </c>
      <c r="AC361" s="739"/>
      <c r="AD361" s="739"/>
    </row>
    <row r="362" spans="1:30" s="225" customFormat="1" ht="15.75" customHeight="1">
      <c r="A362" s="218" t="str">
        <f>IF(B362&lt;&gt;"",IF(AND(B362&gt;=_TM1,B362&lt;=_TM2,OR(TH!L388="1111",TH!M388="1111")),TH!D388,""),"")</f>
        <v/>
      </c>
      <c r="B362" s="36">
        <f t="shared" si="19"/>
        <v>8</v>
      </c>
      <c r="C362" s="37">
        <f t="shared" si="20"/>
        <v>41508</v>
      </c>
      <c r="D362" s="194"/>
      <c r="E362" s="194">
        <v>41508</v>
      </c>
      <c r="F362" s="40" t="s">
        <v>745</v>
      </c>
      <c r="G362" s="883" t="s">
        <v>746</v>
      </c>
      <c r="H362" s="45" t="s">
        <v>736</v>
      </c>
      <c r="I362" s="276">
        <v>300</v>
      </c>
      <c r="J362" s="276">
        <v>13621</v>
      </c>
      <c r="K362" s="38">
        <f>ROUND(I362*J362,0)</f>
        <v>4086300</v>
      </c>
      <c r="L362" s="39" t="s">
        <v>191</v>
      </c>
      <c r="M362" s="39" t="s">
        <v>8</v>
      </c>
      <c r="N362" s="55" t="str">
        <f>IF(AND('331-CT'!$E$7=TH!H388,OR(L362="331",M362="331")),"x","")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IF(OR(TH!L388=TH!$V$7,M362=TH!$V$7),"x","")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IF(AND(B362&gt;='IN-NX'!$P$3,B362&lt;='IN-NX'!$Q$3,'IN-NX'!$D$7=D362,OR(LEFT(TH!L388,2)="15",LEFT(TH!M388,2)="15")),"x","")</f>
        <v/>
      </c>
      <c r="Y362" s="55" t="str">
        <f>IF(AND(OR(LEFT(TH!L388,2)="15",LEFT(TH!M388,2)="15"),'152-CT'!$J$8=TH!F388),"x","")</f>
        <v/>
      </c>
      <c r="Z362" s="55" t="str">
        <f>IF(AND(OR(LEFT(TH!L388,2)="15",LEFT(TH!M388,2)="15"),TK!$E$7=TH!F388),"x","")</f>
        <v/>
      </c>
      <c r="AA362" s="55" t="str">
        <f>IF(AND(B362&lt;=NKC!$N$8,B362&gt;=NKC!$M$8),"x","")</f>
        <v/>
      </c>
      <c r="AB362" s="739"/>
      <c r="AD362" s="739"/>
    </row>
    <row r="363" spans="1:30" s="225" customFormat="1" ht="15.75" customHeight="1">
      <c r="A363" s="218" t="str">
        <f>IF(B363&lt;&gt;"",IF(AND(B363&gt;=_TM1,B363&lt;=_TM2,OR(TH!L389="1111",TH!M389="1111")),TH!D389,""),"")</f>
        <v/>
      </c>
      <c r="B363" s="36">
        <f t="shared" si="19"/>
        <v>8</v>
      </c>
      <c r="C363" s="37">
        <f t="shared" si="20"/>
        <v>41508</v>
      </c>
      <c r="D363" s="194"/>
      <c r="E363" s="194">
        <v>41508</v>
      </c>
      <c r="F363" s="40" t="s">
        <v>638</v>
      </c>
      <c r="G363" s="883" t="s">
        <v>746</v>
      </c>
      <c r="H363" s="45" t="s">
        <v>736</v>
      </c>
      <c r="I363" s="276"/>
      <c r="J363" s="276"/>
      <c r="K363" s="38">
        <v>408630</v>
      </c>
      <c r="L363" s="39" t="s">
        <v>9</v>
      </c>
      <c r="M363" s="39" t="s">
        <v>8</v>
      </c>
      <c r="N363" s="55" t="str">
        <f>IF(AND('331-CT'!$E$7=TH!H389,OR(L363="331",M363="331")),"x","")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IF(OR(TH!L389=TH!$V$7,M363=TH!$V$7),"x","")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IF(AND(B363&gt;='IN-NX'!$P$3,B363&lt;='IN-NX'!$Q$3,'IN-NX'!$D$7=D363,OR(LEFT(TH!L389,2)="15",LEFT(TH!M389,2)="15")),"x","")</f>
        <v/>
      </c>
      <c r="Y363" s="55" t="str">
        <f>IF(AND(OR(LEFT(TH!L389,2)="15",LEFT(TH!M389,2)="15"),'152-CT'!$J$8=TH!F389),"x","")</f>
        <v/>
      </c>
      <c r="Z363" s="55" t="str">
        <f>IF(AND(OR(LEFT(TH!L389,2)="15",LEFT(TH!M389,2)="15"),TK!$E$7=TH!F389),"x","")</f>
        <v/>
      </c>
      <c r="AA363" s="55" t="str">
        <f>IF(AND(B363&lt;=NKC!$N$8,B363&gt;=NKC!$M$8),"x","")</f>
        <v/>
      </c>
      <c r="AB363" s="739">
        <v>9</v>
      </c>
    </row>
    <row r="364" spans="1:30" s="225" customFormat="1" ht="15.75" customHeight="1">
      <c r="A364" s="218" t="str">
        <f>IF(B364&lt;&gt;"",IF(AND(B364&gt;=_TM1,B364&lt;=_TM2,OR(TH!L390="1111",TH!M390="1111")),TH!D390,""),"")</f>
        <v/>
      </c>
      <c r="B364" s="36">
        <f t="shared" si="19"/>
        <v>10</v>
      </c>
      <c r="C364" s="37">
        <f t="shared" si="20"/>
        <v>41559</v>
      </c>
      <c r="D364" s="194"/>
      <c r="E364" s="37">
        <v>41559</v>
      </c>
      <c r="F364" s="40" t="s">
        <v>749</v>
      </c>
      <c r="G364" s="626" t="s">
        <v>748</v>
      </c>
      <c r="H364" s="45" t="s">
        <v>747</v>
      </c>
      <c r="I364" s="276">
        <v>1800</v>
      </c>
      <c r="J364" s="276">
        <v>8500</v>
      </c>
      <c r="K364" s="38">
        <f>ROUND(I364*J364,0)</f>
        <v>15300000</v>
      </c>
      <c r="L364" s="39" t="s">
        <v>191</v>
      </c>
      <c r="M364" s="39" t="s">
        <v>8</v>
      </c>
      <c r="N364" s="55" t="str">
        <f>IF(AND('331-CT'!$E$7=TH!H390,OR(L364="331",M364="331")),"x","")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IF(OR(TH!L390=TH!$V$7,M364=TH!$V$7),"x","")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IF(AND(B364&gt;='IN-NX'!$P$3,B364&lt;='IN-NX'!$Q$3,'IN-NX'!$D$7=D364,OR(LEFT(TH!L390,2)="15",LEFT(TH!M390,2)="15")),"x","")</f>
        <v/>
      </c>
      <c r="Y364" s="55" t="str">
        <f>IF(AND(OR(LEFT(TH!L390,2)="15",LEFT(TH!M390,2)="15"),'152-CT'!$J$8=TH!F390),"x","")</f>
        <v/>
      </c>
      <c r="Z364" s="55" t="str">
        <f>IF(AND(OR(LEFT(TH!L390,2)="15",LEFT(TH!M390,2)="15"),TK!$E$7=TH!F390),"x","")</f>
        <v/>
      </c>
      <c r="AA364" s="55" t="str">
        <f>IF(AND(B364&lt;=NKC!$N$8,B364&gt;=NKC!$M$8),"x","")</f>
        <v/>
      </c>
    </row>
    <row r="365" spans="1:30" s="225" customFormat="1" ht="15.75" customHeight="1">
      <c r="A365" s="218" t="str">
        <f>IF(B365&lt;&gt;"",IF(AND(B365&gt;=_TM1,B365&lt;=_TM2,OR(TH!L391="1111",TH!M391="1111")),TH!D391,""),"")</f>
        <v/>
      </c>
      <c r="B365" s="36">
        <f t="shared" si="19"/>
        <v>10</v>
      </c>
      <c r="C365" s="37">
        <f t="shared" si="20"/>
        <v>41559</v>
      </c>
      <c r="D365" s="37"/>
      <c r="E365" s="37">
        <v>41559</v>
      </c>
      <c r="F365" s="40" t="s">
        <v>638</v>
      </c>
      <c r="G365" s="626" t="s">
        <v>748</v>
      </c>
      <c r="H365" s="45" t="s">
        <v>747</v>
      </c>
      <c r="I365" s="276"/>
      <c r="J365" s="276"/>
      <c r="K365" s="38">
        <v>1530000</v>
      </c>
      <c r="L365" s="39" t="s">
        <v>9</v>
      </c>
      <c r="M365" s="39" t="s">
        <v>8</v>
      </c>
      <c r="N365" s="55" t="str">
        <f>IF(AND('331-CT'!$E$7=TH!H391,OR(L365="331",M365="331")),"x","")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IF(OR(TH!L391=TH!$V$7,M365=TH!$V$7),"x","")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IF(AND(B365&gt;='IN-NX'!$P$3,B365&lt;='IN-NX'!$Q$3,'IN-NX'!$D$7=D365,OR(LEFT(TH!L391,2)="15",LEFT(TH!M391,2)="15")),"x","")</f>
        <v/>
      </c>
      <c r="Y365" s="55" t="str">
        <f>IF(AND(OR(LEFT(TH!L391,2)="15",LEFT(TH!M391,2)="15"),'152-CT'!$J$8=TH!F391),"x","")</f>
        <v/>
      </c>
      <c r="Z365" s="55" t="str">
        <f>IF(AND(OR(LEFT(TH!L391,2)="15",LEFT(TH!M391,2)="15"),TK!$E$7=TH!F391),"x","")</f>
        <v/>
      </c>
      <c r="AA365" s="55" t="str">
        <f>IF(AND(B365&lt;=NKC!$N$8,B365&gt;=NKC!$M$8),"x","")</f>
        <v/>
      </c>
      <c r="AB365" s="225">
        <v>12</v>
      </c>
    </row>
    <row r="366" spans="1:30" s="225" customFormat="1" ht="15.75" customHeight="1">
      <c r="A366" s="218" t="str">
        <f>IF(B366&lt;&gt;"",IF(AND(B366&gt;=_TM1,B366&lt;=_TM2,OR(TH!L392="1111",TH!M392="1111")),TH!D392,""),"")</f>
        <v/>
      </c>
      <c r="B366" s="36">
        <f t="shared" si="19"/>
        <v>10</v>
      </c>
      <c r="C366" s="37">
        <f t="shared" si="20"/>
        <v>41571</v>
      </c>
      <c r="D366" s="37"/>
      <c r="E366" s="37">
        <v>41571</v>
      </c>
      <c r="F366" s="40" t="s">
        <v>750</v>
      </c>
      <c r="G366" s="626" t="s">
        <v>751</v>
      </c>
      <c r="H366" s="45" t="s">
        <v>747</v>
      </c>
      <c r="I366" s="276">
        <v>1100</v>
      </c>
      <c r="J366" s="276">
        <v>16000</v>
      </c>
      <c r="K366" s="38">
        <f>ROUND(I366*J366,0)</f>
        <v>17600000</v>
      </c>
      <c r="L366" s="39" t="s">
        <v>191</v>
      </c>
      <c r="M366" s="39" t="s">
        <v>8</v>
      </c>
      <c r="N366" s="55" t="str">
        <f>IF(AND('331-CT'!$E$7=TH!H392,OR(L366="331",M366="331")),"x","")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IF(OR(TH!L392=TH!$V$7,M366=TH!$V$7),"x","")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IF(AND(B366&gt;='IN-NX'!$P$3,B366&lt;='IN-NX'!$Q$3,'IN-NX'!$D$7=D366,OR(LEFT(TH!L392,2)="15",LEFT(TH!M392,2)="15")),"x","")</f>
        <v/>
      </c>
      <c r="Y366" s="55" t="str">
        <f>IF(AND(OR(LEFT(TH!L392,2)="15",LEFT(TH!M392,2)="15"),'152-CT'!$J$8=TH!F392),"x","")</f>
        <v/>
      </c>
      <c r="Z366" s="55" t="str">
        <f>IF(AND(OR(LEFT(TH!L392,2)="15",LEFT(TH!M392,2)="15"),TK!$E$7=TH!F392),"x","")</f>
        <v/>
      </c>
      <c r="AA366" s="55" t="str">
        <f>IF(AND(B366&lt;=NKC!$N$8,B366&gt;=NKC!$M$8),"x","")</f>
        <v/>
      </c>
    </row>
    <row r="367" spans="1:30" s="225" customFormat="1" ht="15.75" customHeight="1">
      <c r="A367" s="218" t="str">
        <f>IF(B367&lt;&gt;"",IF(AND(B367&gt;=_TM1,B367&lt;=_TM2,OR(TH!L393="1111",TH!M393="1111")),TH!D393,""),"")</f>
        <v/>
      </c>
      <c r="B367" s="36">
        <f t="shared" si="19"/>
        <v>10</v>
      </c>
      <c r="C367" s="37">
        <f t="shared" si="20"/>
        <v>41571</v>
      </c>
      <c r="D367" s="37"/>
      <c r="E367" s="37">
        <v>41571</v>
      </c>
      <c r="F367" s="40" t="s">
        <v>638</v>
      </c>
      <c r="G367" s="626" t="s">
        <v>751</v>
      </c>
      <c r="H367" s="45" t="s">
        <v>747</v>
      </c>
      <c r="I367" s="276"/>
      <c r="J367" s="276"/>
      <c r="K367" s="38">
        <v>1760000</v>
      </c>
      <c r="L367" s="39" t="s">
        <v>9</v>
      </c>
      <c r="M367" s="39" t="s">
        <v>8</v>
      </c>
      <c r="N367" s="55" t="str">
        <f>IF(AND('331-CT'!$E$7=TH!H393,OR(L367="331",M367="331")),"x","")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IF(OR(TH!L393=TH!$V$7,M367=TH!$V$7),"x","")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IF(AND(B367&gt;='IN-NX'!$P$3,B367&lt;='IN-NX'!$Q$3,'IN-NX'!$D$7=D367,OR(LEFT(TH!L393,2)="15",LEFT(TH!M393,2)="15")),"x","")</f>
        <v/>
      </c>
      <c r="Y367" s="55" t="str">
        <f>IF(AND(OR(LEFT(TH!L393,2)="15",LEFT(TH!M393,2)="15"),'152-CT'!$J$8=TH!F393),"x","")</f>
        <v/>
      </c>
      <c r="Z367" s="55" t="str">
        <f>IF(AND(OR(LEFT(TH!L393,2)="15",LEFT(TH!M393,2)="15"),TK!$E$7=TH!F393),"x","")</f>
        <v/>
      </c>
      <c r="AA367" s="55" t="str">
        <f>IF(AND(B367&lt;=NKC!$N$8,B367&gt;=NKC!$M$8),"x","")</f>
        <v/>
      </c>
      <c r="AB367" s="225">
        <v>12</v>
      </c>
    </row>
    <row r="368" spans="1:30" s="225" customFormat="1" ht="15.75" customHeight="1">
      <c r="A368" s="218" t="str">
        <f>IF(B368&lt;&gt;"",IF(AND(B368&gt;=_TM1,B368&lt;=_TM2,OR(TH!L394="1111",TH!M394="1111")),TH!D394,""),"")</f>
        <v/>
      </c>
      <c r="B368" s="36">
        <f t="shared" si="19"/>
        <v>10</v>
      </c>
      <c r="C368" s="37">
        <f t="shared" si="20"/>
        <v>41572</v>
      </c>
      <c r="D368" s="37"/>
      <c r="E368" s="37">
        <v>41572</v>
      </c>
      <c r="F368" s="40" t="s">
        <v>750</v>
      </c>
      <c r="G368" s="626" t="s">
        <v>752</v>
      </c>
      <c r="H368" s="45" t="s">
        <v>747</v>
      </c>
      <c r="I368" s="276">
        <v>1120</v>
      </c>
      <c r="J368" s="276">
        <v>16000</v>
      </c>
      <c r="K368" s="38">
        <f>ROUND(I368*J368,0)</f>
        <v>17920000</v>
      </c>
      <c r="L368" s="39" t="s">
        <v>191</v>
      </c>
      <c r="M368" s="39" t="s">
        <v>8</v>
      </c>
      <c r="N368" s="55" t="str">
        <f>IF(AND('331-CT'!$E$7=TH!H394,OR(L368="331",M368="331")),"x","")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IF(OR(TH!L394=TH!$V$7,M368=TH!$V$7),"x","")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IF(AND(B368&gt;='IN-NX'!$P$3,B368&lt;='IN-NX'!$Q$3,'IN-NX'!$D$7=D368,OR(LEFT(TH!L394,2)="15",LEFT(TH!M394,2)="15")),"x","")</f>
        <v/>
      </c>
      <c r="Y368" s="55" t="str">
        <f>IF(AND(OR(LEFT(TH!L394,2)="15",LEFT(TH!M394,2)="15"),'152-CT'!$J$8=TH!F394),"x","")</f>
        <v/>
      </c>
      <c r="Z368" s="55" t="str">
        <f>IF(AND(OR(LEFT(TH!L394,2)="15",LEFT(TH!M394,2)="15"),TK!$E$7=TH!F394),"x","")</f>
        <v/>
      </c>
      <c r="AA368" s="55" t="str">
        <f>IF(AND(B368&lt;=NKC!$N$8,B368&gt;=NKC!$M$8),"x","")</f>
        <v/>
      </c>
    </row>
    <row r="369" spans="1:30" s="225" customFormat="1" ht="15.75" customHeight="1">
      <c r="A369" s="218" t="str">
        <f>IF(B369&lt;&gt;"",IF(AND(B369&gt;=_TM1,B369&lt;=_TM2,OR(TH!L395="1111",TH!M395="1111")),TH!D395,""),"")</f>
        <v/>
      </c>
      <c r="B369" s="36">
        <f t="shared" si="19"/>
        <v>10</v>
      </c>
      <c r="C369" s="37">
        <f t="shared" si="20"/>
        <v>41572</v>
      </c>
      <c r="D369" s="37"/>
      <c r="E369" s="37">
        <v>41572</v>
      </c>
      <c r="F369" s="40" t="s">
        <v>638</v>
      </c>
      <c r="G369" s="626" t="s">
        <v>752</v>
      </c>
      <c r="H369" s="45" t="s">
        <v>747</v>
      </c>
      <c r="I369" s="277"/>
      <c r="J369" s="277"/>
      <c r="K369" s="38">
        <v>1792000</v>
      </c>
      <c r="L369" s="39" t="s">
        <v>9</v>
      </c>
      <c r="M369" s="39" t="s">
        <v>8</v>
      </c>
      <c r="N369" s="55" t="str">
        <f>IF(AND('331-CT'!$E$7=TH!H395,OR(L369="331",M369="331")),"x","")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IF(OR(TH!L395=TH!$V$7,M369=TH!$V$7),"x","")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IF(AND(B369&gt;='IN-NX'!$P$3,B369&lt;='IN-NX'!$Q$3,'IN-NX'!$D$7=D369,OR(LEFT(TH!L395,2)="15",LEFT(TH!M395,2)="15")),"x","")</f>
        <v/>
      </c>
      <c r="Y369" s="55" t="str">
        <f>IF(AND(OR(LEFT(TH!L395,2)="15",LEFT(TH!M395,2)="15"),'152-CT'!$J$8=TH!F395),"x","")</f>
        <v/>
      </c>
      <c r="Z369" s="55" t="str">
        <f>IF(AND(OR(LEFT(TH!L395,2)="15",LEFT(TH!M395,2)="15"),TK!$E$7=TH!F395),"x","")</f>
        <v/>
      </c>
      <c r="AA369" s="55" t="str">
        <f>IF(AND(B369&lt;=NKC!$N$8,B369&gt;=NKC!$M$8),"x","")</f>
        <v/>
      </c>
      <c r="AB369" s="225">
        <v>12</v>
      </c>
    </row>
    <row r="370" spans="1:30" s="225" customFormat="1" ht="15.75" customHeight="1">
      <c r="A370" s="218" t="str">
        <f>IF(B370&lt;&gt;"",IF(AND(B370&gt;=_TM1,B370&lt;=_TM2,OR(TH!L396="1111",TH!M396="1111")),TH!D396,""),"")</f>
        <v/>
      </c>
      <c r="B370" s="36">
        <f t="shared" si="19"/>
        <v>10</v>
      </c>
      <c r="C370" s="37">
        <f t="shared" si="20"/>
        <v>41573</v>
      </c>
      <c r="D370" s="194"/>
      <c r="E370" s="37">
        <v>41573</v>
      </c>
      <c r="F370" s="40" t="s">
        <v>750</v>
      </c>
      <c r="G370" s="626" t="s">
        <v>753</v>
      </c>
      <c r="H370" s="45" t="s">
        <v>747</v>
      </c>
      <c r="I370" s="277">
        <v>1100</v>
      </c>
      <c r="J370" s="277">
        <v>16000</v>
      </c>
      <c r="K370" s="38">
        <f>ROUND(I370*J370,0)</f>
        <v>17600000</v>
      </c>
      <c r="L370" s="39" t="s">
        <v>191</v>
      </c>
      <c r="M370" s="39" t="s">
        <v>8</v>
      </c>
      <c r="N370" s="55" t="str">
        <f>IF(AND('331-CT'!$E$7=TH!H396,OR(L370="331",M370="331")),"x","")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/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IF(OR(TH!L396=TH!$V$7,M370=TH!$V$7),"x","")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IF(AND(B370&gt;='IN-NX'!$P$3,B370&lt;='IN-NX'!$Q$3,'IN-NX'!$D$7=D370,OR(LEFT(TH!L396,2)="15",LEFT(TH!M396,2)="15")),"x","")</f>
        <v/>
      </c>
      <c r="Y370" s="55" t="str">
        <f>IF(AND(OR(LEFT(TH!L396,2)="15",LEFT(TH!M396,2)="15"),'152-CT'!$J$8=TH!F396),"x","")</f>
        <v/>
      </c>
      <c r="Z370" s="55" t="str">
        <f>IF(AND(OR(LEFT(TH!L396,2)="15",LEFT(TH!M396,2)="15"),TK!$E$7=TH!F396),"x","")</f>
        <v/>
      </c>
      <c r="AA370" s="55" t="str">
        <f>IF(AND(B370&lt;=NKC!$N$8,B370&gt;=NKC!$M$8),"x","")</f>
        <v/>
      </c>
    </row>
    <row r="371" spans="1:30" s="225" customFormat="1" ht="15.75" customHeight="1">
      <c r="A371" s="218" t="str">
        <f>IF(B371&lt;&gt;"",IF(AND(B371&gt;=_TM1,B371&lt;=_TM2,OR(TH!L397="1111",TH!M397="1111")),TH!D397,""),"")</f>
        <v/>
      </c>
      <c r="B371" s="36">
        <f t="shared" si="19"/>
        <v>10</v>
      </c>
      <c r="C371" s="37">
        <f t="shared" si="20"/>
        <v>41573</v>
      </c>
      <c r="D371" s="194"/>
      <c r="E371" s="37">
        <v>41573</v>
      </c>
      <c r="F371" s="40" t="s">
        <v>638</v>
      </c>
      <c r="G371" s="626" t="s">
        <v>753</v>
      </c>
      <c r="H371" s="45" t="s">
        <v>747</v>
      </c>
      <c r="I371" s="276"/>
      <c r="J371" s="276"/>
      <c r="K371" s="38">
        <v>1760000</v>
      </c>
      <c r="L371" s="39" t="s">
        <v>9</v>
      </c>
      <c r="M371" s="39" t="s">
        <v>8</v>
      </c>
      <c r="N371" s="55" t="str">
        <f>IF(AND('331-CT'!$E$7=TH!H397,OR(L371="331",M371="331")),"x","")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IF(OR(TH!L397=TH!$V$7,M371=TH!$V$7),"x","")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IF(AND(B371&gt;='IN-NX'!$P$3,B371&lt;='IN-NX'!$Q$3,'IN-NX'!$D$7=D371,OR(LEFT(TH!L397,2)="15",LEFT(TH!M397,2)="15")),"x","")</f>
        <v/>
      </c>
      <c r="Y371" s="55" t="str">
        <f>IF(AND(OR(LEFT(TH!L397,2)="15",LEFT(TH!M397,2)="15"),'152-CT'!$J$8=TH!F397),"x","")</f>
        <v/>
      </c>
      <c r="Z371" s="55" t="str">
        <f>IF(AND(OR(LEFT(TH!L397,2)="15",LEFT(TH!M397,2)="15"),TK!$E$7=TH!F397),"x","")</f>
        <v/>
      </c>
      <c r="AA371" s="55" t="str">
        <f>IF(AND(B371&lt;=NKC!$N$8,B371&gt;=NKC!$M$8),"x","")</f>
        <v/>
      </c>
      <c r="AB371" s="739">
        <v>12</v>
      </c>
      <c r="AD371" s="739"/>
    </row>
    <row r="372" spans="1:30" s="225" customFormat="1" ht="15.75" customHeight="1">
      <c r="A372" s="218" t="str">
        <f>IF(B372&lt;&gt;"",IF(AND(B372&gt;=_TM1,B372&lt;=_TM2,OR(TH!L398="1111",TH!M398="1111")),TH!D398,""),"")</f>
        <v/>
      </c>
      <c r="B372" s="36">
        <f t="shared" si="19"/>
        <v>10</v>
      </c>
      <c r="C372" s="37">
        <f t="shared" si="20"/>
        <v>41574</v>
      </c>
      <c r="D372" s="194"/>
      <c r="E372" s="37">
        <v>41574</v>
      </c>
      <c r="F372" s="40" t="s">
        <v>750</v>
      </c>
      <c r="G372" s="626" t="s">
        <v>754</v>
      </c>
      <c r="H372" s="45" t="s">
        <v>747</v>
      </c>
      <c r="I372" s="277">
        <v>1120</v>
      </c>
      <c r="J372" s="277">
        <v>16000</v>
      </c>
      <c r="K372" s="38">
        <f>ROUND(I372*J372,0)</f>
        <v>17920000</v>
      </c>
      <c r="L372" s="39" t="s">
        <v>191</v>
      </c>
      <c r="M372" s="39" t="s">
        <v>8</v>
      </c>
      <c r="N372" s="55" t="str">
        <f>IF(AND('331-CT'!$E$7=TH!H398,OR(L372="331",M372="331")),"x","")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IF(OR(TH!L398=TH!$V$7,M372=TH!$V$7),"x","")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IF(AND(B372&gt;='IN-NX'!$P$3,B372&lt;='IN-NX'!$Q$3,'IN-NX'!$D$7=D372,OR(LEFT(TH!L398,2)="15",LEFT(TH!M398,2)="15")),"x","")</f>
        <v/>
      </c>
      <c r="Y372" s="55" t="str">
        <f>IF(AND(OR(LEFT(TH!L398,2)="15",LEFT(TH!M398,2)="15"),'152-CT'!$J$8=TH!F398),"x","")</f>
        <v/>
      </c>
      <c r="Z372" s="55" t="str">
        <f>IF(AND(OR(LEFT(TH!L398,2)="15",LEFT(TH!M398,2)="15"),TK!$E$7=TH!F398),"x","")</f>
        <v/>
      </c>
      <c r="AA372" s="55" t="str">
        <f>IF(AND(B372&lt;=NKC!$N$8,B372&gt;=NKC!$M$8),"x","")</f>
        <v/>
      </c>
    </row>
    <row r="373" spans="1:30" s="225" customFormat="1" ht="15.75" customHeight="1">
      <c r="A373" s="218" t="str">
        <f>IF(B373&lt;&gt;"",IF(AND(B373&gt;=_TM1,B373&lt;=_TM2,OR(TH!L399="1111",TH!M399="1111")),TH!D399,""),"")</f>
        <v/>
      </c>
      <c r="B373" s="36">
        <f t="shared" si="19"/>
        <v>10</v>
      </c>
      <c r="C373" s="37">
        <f t="shared" si="20"/>
        <v>41574</v>
      </c>
      <c r="D373" s="194"/>
      <c r="E373" s="37">
        <v>41574</v>
      </c>
      <c r="F373" s="40" t="s">
        <v>638</v>
      </c>
      <c r="G373" s="626" t="s">
        <v>754</v>
      </c>
      <c r="H373" s="45" t="s">
        <v>747</v>
      </c>
      <c r="I373" s="276"/>
      <c r="J373" s="276"/>
      <c r="K373" s="38">
        <v>1792000</v>
      </c>
      <c r="L373" s="39" t="s">
        <v>9</v>
      </c>
      <c r="M373" s="39" t="s">
        <v>8</v>
      </c>
      <c r="N373" s="55" t="str">
        <f>IF(AND('331-CT'!$E$7=TH!H399,OR(L373="331",M373="331")),"x","")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IF(OR(TH!L399=TH!$V$7,M373=TH!$V$7),"x","")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IF(AND(B373&gt;='IN-NX'!$P$3,B373&lt;='IN-NX'!$Q$3,'IN-NX'!$D$7=D373,OR(LEFT(TH!L399,2)="15",LEFT(TH!M399,2)="15")),"x","")</f>
        <v/>
      </c>
      <c r="Y373" s="55" t="str">
        <f>IF(AND(OR(LEFT(TH!L399,2)="15",LEFT(TH!M399,2)="15"),'152-CT'!$J$8=TH!F399),"x","")</f>
        <v/>
      </c>
      <c r="Z373" s="55" t="str">
        <f>IF(AND(OR(LEFT(TH!L399,2)="15",LEFT(TH!M399,2)="15"),TK!$E$7=TH!F399),"x","")</f>
        <v/>
      </c>
      <c r="AA373" s="55" t="str">
        <f>IF(AND(B373&lt;=NKC!$N$8,B373&gt;=NKC!$M$8),"x","")</f>
        <v/>
      </c>
      <c r="AB373" s="739">
        <v>12</v>
      </c>
    </row>
    <row r="374" spans="1:30" s="225" customFormat="1" ht="15.75" customHeight="1">
      <c r="A374" s="218" t="str">
        <f>IF(B374&lt;&gt;"",IF(AND(B374&gt;=_TM1,B374&lt;=_TM2,OR(TH!L400="1111",TH!M400="1111")),TH!D400,""),"")</f>
        <v/>
      </c>
      <c r="B374" s="36">
        <f t="shared" si="19"/>
        <v>10</v>
      </c>
      <c r="C374" s="37">
        <f t="shared" si="20"/>
        <v>41575</v>
      </c>
      <c r="D374" s="194"/>
      <c r="E374" s="37">
        <v>41575</v>
      </c>
      <c r="F374" s="40" t="s">
        <v>750</v>
      </c>
      <c r="G374" s="626" t="s">
        <v>755</v>
      </c>
      <c r="H374" s="45" t="s">
        <v>747</v>
      </c>
      <c r="I374" s="277">
        <v>560</v>
      </c>
      <c r="J374" s="277">
        <v>16000</v>
      </c>
      <c r="K374" s="38">
        <f>ROUND(I374*J374,0)</f>
        <v>8960000</v>
      </c>
      <c r="L374" s="39" t="s">
        <v>191</v>
      </c>
      <c r="M374" s="39" t="s">
        <v>8</v>
      </c>
      <c r="N374" s="55" t="str">
        <f>IF(AND('331-CT'!$E$7=TH!H400,OR(L374="331",M374="331")),"x","")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IF(OR(TH!L400=TH!$V$7,M374=TH!$V$7),"x","")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IF(AND(B374&gt;='IN-NX'!$P$3,B374&lt;='IN-NX'!$Q$3,'IN-NX'!$D$7=D374,OR(LEFT(TH!L400,2)="15",LEFT(TH!M400,2)="15")),"x","")</f>
        <v/>
      </c>
      <c r="Y374" s="55" t="str">
        <f>IF(AND(OR(LEFT(TH!L400,2)="15",LEFT(TH!M400,2)="15"),'152-CT'!$J$8=TH!F400),"x","")</f>
        <v/>
      </c>
      <c r="Z374" s="55" t="str">
        <f>IF(AND(OR(LEFT(TH!L400,2)="15",LEFT(TH!M400,2)="15"),TK!$E$7=TH!F400),"x","")</f>
        <v/>
      </c>
      <c r="AA374" s="55" t="str">
        <f>IF(AND(B374&lt;=NKC!$N$8,B374&gt;=NKC!$M$8),"x","")</f>
        <v/>
      </c>
    </row>
    <row r="375" spans="1:30" s="225" customFormat="1" ht="15.75" customHeight="1">
      <c r="A375" s="218" t="str">
        <f>IF(B375&lt;&gt;"",IF(AND(B375&gt;=_TM1,B375&lt;=_TM2,OR(TH!L401="1111",TH!M401="1111")),TH!D401,""),"")</f>
        <v/>
      </c>
      <c r="B375" s="36">
        <f t="shared" si="19"/>
        <v>10</v>
      </c>
      <c r="C375" s="37">
        <f t="shared" si="20"/>
        <v>41575</v>
      </c>
      <c r="D375" s="194"/>
      <c r="E375" s="37">
        <v>41575</v>
      </c>
      <c r="F375" s="40" t="s">
        <v>749</v>
      </c>
      <c r="G375" s="626" t="s">
        <v>755</v>
      </c>
      <c r="H375" s="45" t="s">
        <v>747</v>
      </c>
      <c r="I375" s="276">
        <v>500</v>
      </c>
      <c r="J375" s="276">
        <v>8500</v>
      </c>
      <c r="K375" s="38">
        <f>ROUND(I375*J375,0)</f>
        <v>4250000</v>
      </c>
      <c r="L375" s="39" t="s">
        <v>191</v>
      </c>
      <c r="M375" s="39" t="s">
        <v>8</v>
      </c>
      <c r="N375" s="55" t="str">
        <f>IF(AND('331-CT'!$E$7=TH!H401,OR(L375="331",M375="331")),"x","")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/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IF(OR(TH!L401=TH!$V$7,M375=TH!$V$7),"x","")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IF(AND(B375&gt;='IN-NX'!$P$3,B375&lt;='IN-NX'!$Q$3,'IN-NX'!$D$7=D375,OR(LEFT(TH!L401,2)="15",LEFT(TH!M401,2)="15")),"x","")</f>
        <v/>
      </c>
      <c r="Y375" s="55" t="str">
        <f>IF(AND(OR(LEFT(TH!L401,2)="15",LEFT(TH!M401,2)="15"),'152-CT'!$J$8=TH!F401),"x","")</f>
        <v/>
      </c>
      <c r="Z375" s="55" t="str">
        <f>IF(AND(OR(LEFT(TH!L401,2)="15",LEFT(TH!M401,2)="15"),TK!$E$7=TH!F401),"x","")</f>
        <v/>
      </c>
      <c r="AA375" s="55" t="str">
        <f>IF(AND(B375&lt;=NKC!$N$8,B375&gt;=NKC!$M$8),"x","")</f>
        <v/>
      </c>
    </row>
    <row r="376" spans="1:30" s="225" customFormat="1" ht="15.75" customHeight="1">
      <c r="A376" s="218" t="str">
        <f>IF(B376&lt;&gt;"",IF(AND(B376&gt;=_TM1,B376&lt;=_TM2,OR(TH!L402="1111",TH!M402="1111")),TH!D402,""),"")</f>
        <v/>
      </c>
      <c r="B376" s="36">
        <f t="shared" si="19"/>
        <v>10</v>
      </c>
      <c r="C376" s="37">
        <f t="shared" si="20"/>
        <v>41575</v>
      </c>
      <c r="D376" s="194"/>
      <c r="E376" s="37">
        <v>41575</v>
      </c>
      <c r="F376" s="40" t="s">
        <v>638</v>
      </c>
      <c r="G376" s="626" t="s">
        <v>755</v>
      </c>
      <c r="H376" s="45" t="s">
        <v>747</v>
      </c>
      <c r="I376" s="277"/>
      <c r="J376" s="277"/>
      <c r="K376" s="38">
        <v>1321000</v>
      </c>
      <c r="L376" s="39" t="s">
        <v>9</v>
      </c>
      <c r="M376" s="39" t="s">
        <v>8</v>
      </c>
      <c r="N376" s="55" t="str">
        <f>IF(AND('331-CT'!$E$7=TH!H402,OR(L376="331",M376="331")),"x","")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/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IF(OR(TH!L402=TH!$V$7,M376=TH!$V$7),"x","")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IF(AND(B376&gt;='IN-NX'!$P$3,B376&lt;='IN-NX'!$Q$3,'IN-NX'!$D$7=D376,OR(LEFT(TH!L402,2)="15",LEFT(TH!M402,2)="15")),"x","")</f>
        <v/>
      </c>
      <c r="Y376" s="55" t="str">
        <f>IF(AND(OR(LEFT(TH!L402,2)="15",LEFT(TH!M402,2)="15"),'152-CT'!$J$8=TH!F402),"x","")</f>
        <v/>
      </c>
      <c r="Z376" s="55" t="str">
        <f>IF(AND(OR(LEFT(TH!L402,2)="15",LEFT(TH!M402,2)="15"),TK!$E$7=TH!F402),"x","")</f>
        <v/>
      </c>
      <c r="AA376" s="55" t="str">
        <f>IF(AND(B376&lt;=NKC!$N$8,B376&gt;=NKC!$M$8),"x","")</f>
        <v/>
      </c>
      <c r="AB376" s="739">
        <v>12</v>
      </c>
    </row>
    <row r="377" spans="1:30" s="225" customFormat="1" ht="15.75" customHeight="1">
      <c r="A377" s="218" t="str">
        <f>IF(B377&lt;&gt;"",IF(AND(B377&gt;=_TM1,B377&lt;=_TM2,OR(TH!L256="1111",TH!M256="1111")),TH!D256,""),"")</f>
        <v/>
      </c>
      <c r="B377" s="36">
        <f t="shared" si="19"/>
        <v>10</v>
      </c>
      <c r="C377" s="37">
        <f t="shared" si="20"/>
        <v>41576</v>
      </c>
      <c r="D377" s="194"/>
      <c r="E377" s="37">
        <v>41576</v>
      </c>
      <c r="F377" s="40" t="s">
        <v>621</v>
      </c>
      <c r="G377" s="626" t="s">
        <v>619</v>
      </c>
      <c r="H377" s="45" t="s">
        <v>620</v>
      </c>
      <c r="I377" s="276">
        <v>334</v>
      </c>
      <c r="J377" s="276">
        <v>6656</v>
      </c>
      <c r="K377" s="38">
        <f>ROUND(I377*J377,0)</f>
        <v>2223104</v>
      </c>
      <c r="L377" s="39" t="s">
        <v>191</v>
      </c>
      <c r="M377" s="39" t="s">
        <v>8</v>
      </c>
      <c r="N377" s="55" t="str">
        <f>IF(AND('331-CT'!$E$7=TH!H256,OR(L377="331",M377="331")),"x","")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IF(OR(TH!L256=TH!$V$7,M377=TH!$V$7),"x","")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IF(AND(B377&gt;='IN-NX'!$P$3,B377&lt;='IN-NX'!$Q$3,'IN-NX'!$D$7=D377,OR(LEFT(TH!L256,2)="15",LEFT(TH!M256,2)="15")),"x","")</f>
        <v/>
      </c>
      <c r="Y377" s="55" t="str">
        <f>IF(AND(OR(LEFT(TH!L256,2)="15",LEFT(TH!M256,2)="15"),'152-CT'!$J$8=TH!F256),"x","")</f>
        <v/>
      </c>
      <c r="Z377" s="55" t="str">
        <f>IF(AND(OR(LEFT(TH!L256,2)="15",LEFT(TH!M256,2)="15"),TK!$E$7=TH!F256),"x","")</f>
        <v/>
      </c>
      <c r="AA377" s="55" t="str">
        <f>IF(AND(B377&lt;=NKC!$N$8,B377&gt;=NKC!$M$8),"x","")</f>
        <v/>
      </c>
    </row>
    <row r="378" spans="1:30" s="225" customFormat="1" ht="15.75" customHeight="1">
      <c r="A378" s="218" t="str">
        <f>IF(B378&lt;&gt;"",IF(AND(B378&gt;=_TM1,B378&lt;=_TM2,OR(TH!L257="1111",TH!M257="1111")),TH!D257,""),"")</f>
        <v/>
      </c>
      <c r="B378" s="36">
        <f t="shared" si="19"/>
        <v>10</v>
      </c>
      <c r="C378" s="37">
        <f t="shared" si="20"/>
        <v>41576</v>
      </c>
      <c r="D378" s="194"/>
      <c r="E378" s="37">
        <v>41576</v>
      </c>
      <c r="F378" s="40" t="s">
        <v>622</v>
      </c>
      <c r="G378" s="626" t="s">
        <v>619</v>
      </c>
      <c r="H378" s="45" t="s">
        <v>620</v>
      </c>
      <c r="I378" s="277">
        <v>300</v>
      </c>
      <c r="J378" s="277">
        <v>9425</v>
      </c>
      <c r="K378" s="38">
        <f>ROUND(I378*J378,0)</f>
        <v>2827500</v>
      </c>
      <c r="L378" s="39" t="s">
        <v>191</v>
      </c>
      <c r="M378" s="39" t="s">
        <v>8</v>
      </c>
      <c r="N378" s="55" t="str">
        <f>IF(AND('331-CT'!$E$7=TH!H257,OR(L378="331",M378="331")),"x","")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IF(OR(TH!L257=TH!$V$7,M378=TH!$V$7),"x","")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IF(AND(B378&gt;='IN-NX'!$P$3,B378&lt;='IN-NX'!$Q$3,'IN-NX'!$D$7=D378,OR(LEFT(TH!L257,2)="15",LEFT(TH!M257,2)="15")),"x","")</f>
        <v/>
      </c>
      <c r="Y378" s="55" t="str">
        <f>IF(AND(OR(LEFT(TH!L257,2)="15",LEFT(TH!M257,2)="15"),'152-CT'!$J$8=TH!F257),"x","")</f>
        <v/>
      </c>
      <c r="Z378" s="55" t="str">
        <f>IF(AND(OR(LEFT(TH!L257,2)="15",LEFT(TH!M257,2)="15"),TK!$E$7=TH!F257),"x","")</f>
        <v/>
      </c>
      <c r="AA378" s="55" t="str">
        <f>IF(AND(B378&lt;=NKC!$N$8,B378&gt;=NKC!$M$8),"x","")</f>
        <v/>
      </c>
      <c r="AB378" s="739"/>
      <c r="AC378" s="739"/>
    </row>
    <row r="379" spans="1:30" s="225" customFormat="1" ht="15.75" customHeight="1">
      <c r="A379" s="218" t="str">
        <f>IF(B379&lt;&gt;"",IF(AND(B379&gt;=_TM1,B379&lt;=_TM2,OR(TH!L258="1111",TH!M258="1111")),TH!D258,""),"")</f>
        <v/>
      </c>
      <c r="B379" s="36">
        <f t="shared" si="19"/>
        <v>10</v>
      </c>
      <c r="C379" s="37">
        <f t="shared" si="20"/>
        <v>41576</v>
      </c>
      <c r="D379" s="194"/>
      <c r="E379" s="37">
        <v>41576</v>
      </c>
      <c r="F379" s="40" t="s">
        <v>623</v>
      </c>
      <c r="G379" s="626" t="s">
        <v>619</v>
      </c>
      <c r="H379" s="45" t="s">
        <v>620</v>
      </c>
      <c r="I379" s="276">
        <v>334</v>
      </c>
      <c r="J379" s="276">
        <v>16963</v>
      </c>
      <c r="K379" s="38">
        <f>ROUND(I379*J379,0)</f>
        <v>5665642</v>
      </c>
      <c r="L379" s="39" t="s">
        <v>191</v>
      </c>
      <c r="M379" s="39" t="s">
        <v>8</v>
      </c>
      <c r="N379" s="55" t="str">
        <f>IF(AND('331-CT'!$E$7=TH!H258,OR(L379="331",M379="331")),"x","")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IF(OR(TH!L258=TH!$V$7,M379=TH!$V$7),"x","")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IF(AND(B379&gt;='IN-NX'!$P$3,B379&lt;='IN-NX'!$Q$3,'IN-NX'!$D$7=D379,OR(LEFT(TH!L258,2)="15",LEFT(TH!M258,2)="15")),"x","")</f>
        <v/>
      </c>
      <c r="Y379" s="55" t="str">
        <f>IF(AND(OR(LEFT(TH!L258,2)="15",LEFT(TH!M258,2)="15"),'152-CT'!$J$8=TH!F258),"x","")</f>
        <v/>
      </c>
      <c r="Z379" s="55" t="str">
        <f>IF(AND(OR(LEFT(TH!L258,2)="15",LEFT(TH!M258,2)="15"),TK!$E$7=TH!F258),"x","")</f>
        <v/>
      </c>
      <c r="AA379" s="55" t="str">
        <f>IF(AND(B379&lt;=NKC!$N$8,B379&gt;=NKC!$M$8),"x","")</f>
        <v/>
      </c>
    </row>
    <row r="380" spans="1:30" s="225" customFormat="1" ht="15.75" customHeight="1">
      <c r="A380" s="218" t="str">
        <f>IF(B380&lt;&gt;"",IF(AND(B380&gt;=_TM1,B380&lt;=_TM2,OR(TH!L259="1111",TH!M259="1111")),TH!D259,""),"")</f>
        <v/>
      </c>
      <c r="B380" s="36">
        <f t="shared" si="19"/>
        <v>10</v>
      </c>
      <c r="C380" s="37">
        <f t="shared" si="20"/>
        <v>41576</v>
      </c>
      <c r="D380" s="194"/>
      <c r="E380" s="37">
        <v>41576</v>
      </c>
      <c r="F380" s="40" t="s">
        <v>618</v>
      </c>
      <c r="G380" s="626" t="s">
        <v>619</v>
      </c>
      <c r="H380" s="45" t="s">
        <v>620</v>
      </c>
      <c r="I380" s="276"/>
      <c r="J380" s="276"/>
      <c r="K380" s="38">
        <v>1071625</v>
      </c>
      <c r="L380" s="39" t="s">
        <v>9</v>
      </c>
      <c r="M380" s="39" t="s">
        <v>8</v>
      </c>
      <c r="N380" s="55" t="str">
        <f>IF(AND('331-CT'!$E$7=TH!H259,OR(L380="331",M380="331")),"x","")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IF(OR(TH!L259=TH!$V$7,M380=TH!$V$7),"x","")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IF(AND(B380&gt;='IN-NX'!$P$3,B380&lt;='IN-NX'!$Q$3,'IN-NX'!$D$7=D380,OR(LEFT(TH!L259,2)="15",LEFT(TH!M259,2)="15")),"x","")</f>
        <v/>
      </c>
      <c r="Y380" s="55" t="str">
        <f>IF(AND(OR(LEFT(TH!L259,2)="15",LEFT(TH!M259,2)="15"),'152-CT'!$J$8=TH!F259),"x","")</f>
        <v/>
      </c>
      <c r="Z380" s="55" t="str">
        <f>IF(AND(OR(LEFT(TH!L259,2)="15",LEFT(TH!M259,2)="15"),TK!$E$7=TH!F259),"x","")</f>
        <v/>
      </c>
      <c r="AA380" s="55" t="str">
        <f>IF(AND(B380&lt;=NKC!$N$8,B380&gt;=NKC!$M$8),"x","")</f>
        <v/>
      </c>
      <c r="AB380" s="739">
        <v>12</v>
      </c>
    </row>
    <row r="381" spans="1:30" s="225" customFormat="1" ht="15.75" customHeight="1">
      <c r="A381" s="218" t="str">
        <f>IF(B381&lt;&gt;"",IF(AND(B381&gt;=_TM1,B381&lt;=_TM2,OR(TH!L260="1111",TH!M260="1111")),TH!D260,""),"")</f>
        <v/>
      </c>
      <c r="B381" s="36">
        <f t="shared" si="19"/>
        <v>10</v>
      </c>
      <c r="C381" s="37">
        <f t="shared" si="20"/>
        <v>41577</v>
      </c>
      <c r="D381" s="194"/>
      <c r="E381" s="37">
        <v>41577</v>
      </c>
      <c r="F381" s="40" t="s">
        <v>626</v>
      </c>
      <c r="G381" s="626" t="s">
        <v>625</v>
      </c>
      <c r="H381" s="45" t="s">
        <v>620</v>
      </c>
      <c r="I381" s="276">
        <v>100</v>
      </c>
      <c r="J381" s="276">
        <v>15724</v>
      </c>
      <c r="K381" s="38">
        <f>ROUND(I381*J381,0)</f>
        <v>1572400</v>
      </c>
      <c r="L381" s="39" t="s">
        <v>191</v>
      </c>
      <c r="M381" s="39" t="s">
        <v>8</v>
      </c>
      <c r="N381" s="55" t="str">
        <f>IF(AND('331-CT'!$E$7=TH!H260,OR(L381="331",M381="331")),"x","")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IF(OR(TH!L260=TH!$V$7,M381=TH!$V$7),"x","")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IF(AND(B381&gt;='IN-NX'!$P$3,B381&lt;='IN-NX'!$Q$3,'IN-NX'!$D$7=D381,OR(LEFT(TH!L260,2)="15",LEFT(TH!M260,2)="15")),"x","")</f>
        <v/>
      </c>
      <c r="Y381" s="55" t="str">
        <f>IF(AND(OR(LEFT(TH!L260,2)="15",LEFT(TH!M260,2)="15"),'152-CT'!$J$8=TH!F260),"x","")</f>
        <v/>
      </c>
      <c r="Z381" s="55" t="str">
        <f>IF(AND(OR(LEFT(TH!L260,2)="15",LEFT(TH!M260,2)="15"),TK!$E$7=TH!F260),"x","")</f>
        <v/>
      </c>
      <c r="AA381" s="55" t="str">
        <f>IF(AND(B381&lt;=NKC!$N$8,B381&gt;=NKC!$M$8),"x","")</f>
        <v/>
      </c>
    </row>
    <row r="382" spans="1:30" s="225" customFormat="1" ht="15.75" customHeight="1">
      <c r="A382" s="218" t="str">
        <f>IF(B382&lt;&gt;"",IF(AND(B382&gt;=_TM1,B382&lt;=_TM2,OR(TH!L261="1111",TH!M261="1111")),TH!D261,""),"")</f>
        <v/>
      </c>
      <c r="B382" s="36">
        <f t="shared" si="19"/>
        <v>10</v>
      </c>
      <c r="C382" s="37">
        <f t="shared" si="20"/>
        <v>41577</v>
      </c>
      <c r="D382" s="194"/>
      <c r="E382" s="37">
        <v>41577</v>
      </c>
      <c r="F382" s="40" t="s">
        <v>627</v>
      </c>
      <c r="G382" s="626" t="s">
        <v>625</v>
      </c>
      <c r="H382" s="45" t="s">
        <v>620</v>
      </c>
      <c r="I382" s="276">
        <v>250</v>
      </c>
      <c r="J382" s="276">
        <v>14112</v>
      </c>
      <c r="K382" s="38">
        <f>ROUND(I382*J382,0)</f>
        <v>3528000</v>
      </c>
      <c r="L382" s="39" t="s">
        <v>191</v>
      </c>
      <c r="M382" s="39" t="s">
        <v>8</v>
      </c>
      <c r="N382" s="55" t="str">
        <f>IF(AND('331-CT'!$E$7=TH!H261,OR(L382="331",M382="331")),"x","")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IF(OR(TH!L261=TH!$V$7,M382=TH!$V$7),"x","")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IF(AND(B382&gt;='IN-NX'!$P$3,B382&lt;='IN-NX'!$Q$3,'IN-NX'!$D$7=D382,OR(LEFT(TH!L261,2)="15",LEFT(TH!M261,2)="15")),"x","")</f>
        <v/>
      </c>
      <c r="Y382" s="55" t="str">
        <f>IF(AND(OR(LEFT(TH!L261,2)="15",LEFT(TH!M261,2)="15"),'152-CT'!$J$8=TH!F261),"x","")</f>
        <v/>
      </c>
      <c r="Z382" s="55" t="str">
        <f>IF(AND(OR(LEFT(TH!L261,2)="15",LEFT(TH!M261,2)="15"),TK!$E$7=TH!F261),"x","")</f>
        <v/>
      </c>
      <c r="AA382" s="55" t="str">
        <f>IF(AND(B382&lt;=NKC!$N$8,B382&gt;=NKC!$M$8),"x","")</f>
        <v/>
      </c>
      <c r="AB382" s="739"/>
    </row>
    <row r="383" spans="1:30" s="225" customFormat="1" ht="15.75" customHeight="1">
      <c r="A383" s="218" t="str">
        <f>IF(B383&lt;&gt;"",IF(AND(B383&gt;=_TM1,B383&lt;=_TM2,OR(TH!L262="1111",TH!M262="1111")),TH!D262,""),"")</f>
        <v/>
      </c>
      <c r="B383" s="36">
        <f t="shared" si="19"/>
        <v>10</v>
      </c>
      <c r="C383" s="37">
        <f t="shared" si="20"/>
        <v>41577</v>
      </c>
      <c r="D383" s="194"/>
      <c r="E383" s="37">
        <v>41577</v>
      </c>
      <c r="F383" s="40" t="s">
        <v>624</v>
      </c>
      <c r="G383" s="626" t="s">
        <v>625</v>
      </c>
      <c r="H383" s="45" t="s">
        <v>620</v>
      </c>
      <c r="I383" s="276"/>
      <c r="J383" s="276"/>
      <c r="K383" s="38">
        <v>510040</v>
      </c>
      <c r="L383" s="39" t="s">
        <v>9</v>
      </c>
      <c r="M383" s="39" t="s">
        <v>8</v>
      </c>
      <c r="N383" s="55" t="str">
        <f>IF(AND('331-CT'!$E$7=TH!H262,OR(L383="331",M383="331")),"x","")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IF(OR(TH!L262=TH!$V$7,M383=TH!$V$7),"x","")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IF(AND(B383&gt;='IN-NX'!$P$3,B383&lt;='IN-NX'!$Q$3,'IN-NX'!$D$7=D383,OR(LEFT(TH!L262,2)="15",LEFT(TH!M262,2)="15")),"x","")</f>
        <v/>
      </c>
      <c r="Y383" s="55" t="str">
        <f>IF(AND(OR(LEFT(TH!L262,2)="15",LEFT(TH!M262,2)="15"),'152-CT'!$J$8=TH!F262),"x","")</f>
        <v/>
      </c>
      <c r="Z383" s="55" t="str">
        <f>IF(AND(OR(LEFT(TH!L262,2)="15",LEFT(TH!M262,2)="15"),TK!$E$7=TH!F262),"x","")</f>
        <v/>
      </c>
      <c r="AA383" s="55" t="str">
        <f>IF(AND(B383&lt;=NKC!$N$8,B383&gt;=NKC!$M$8),"x","")</f>
        <v/>
      </c>
      <c r="AB383" s="739">
        <v>12</v>
      </c>
      <c r="AD383" s="894"/>
    </row>
    <row r="384" spans="1:30" s="225" customFormat="1" ht="15.75" customHeight="1">
      <c r="A384" s="218" t="str">
        <f>IF(B384&lt;&gt;"",IF(AND(B384&gt;=_TM1,B384&lt;=_TM2,OR(TH!L373="1111",TH!M373="1111")),TH!D373,""),"")</f>
        <v/>
      </c>
      <c r="B384" s="36">
        <f t="shared" ref="B384:B415" si="21">IF(C384&lt;&gt;"",MONTH(C384),"")</f>
        <v>11</v>
      </c>
      <c r="C384" s="37">
        <f t="shared" ref="C384:C402" si="22">E384</f>
        <v>41580</v>
      </c>
      <c r="D384" s="194"/>
      <c r="E384" s="194">
        <v>41580</v>
      </c>
      <c r="F384" s="40" t="s">
        <v>730</v>
      </c>
      <c r="G384" s="883" t="s">
        <v>729</v>
      </c>
      <c r="H384" s="45" t="s">
        <v>728</v>
      </c>
      <c r="I384" s="276">
        <v>1000</v>
      </c>
      <c r="J384" s="276">
        <v>16800</v>
      </c>
      <c r="K384" s="38">
        <f>ROUND(I384*J384,0)</f>
        <v>16800000</v>
      </c>
      <c r="L384" s="39" t="s">
        <v>191</v>
      </c>
      <c r="M384" s="39" t="s">
        <v>8</v>
      </c>
      <c r="N384" s="55" t="str">
        <f>IF(AND('331-CT'!$E$7=TH!H373,OR(L384="331",M384="331")),"x","")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/>
      </c>
      <c r="U384" s="55" t="str">
        <f>IF(AND('3411-CT'!$F$9=H384,OR(LEFT(L384,3)=$U$7,LEFT(M384,3)=$U$7)),"x","")</f>
        <v/>
      </c>
      <c r="V384" s="55" t="str">
        <f>IF(OR(TH!L373=TH!$V$7,M384=TH!$V$7),"x","")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IF(AND(B384&gt;='IN-NX'!$P$3,B384&lt;='IN-NX'!$Q$3,'IN-NX'!$D$7=D384,OR(LEFT(TH!L373,2)="15",LEFT(TH!M373,2)="15")),"x","")</f>
        <v/>
      </c>
      <c r="Y384" s="55" t="str">
        <f>IF(AND(OR(LEFT(TH!L373,2)="15",LEFT(TH!M373,2)="15"),'152-CT'!$J$8=TH!F373),"x","")</f>
        <v/>
      </c>
      <c r="Z384" s="55" t="str">
        <f>IF(AND(OR(LEFT(TH!L373,2)="15",LEFT(TH!M373,2)="15"),TK!$E$7=TH!F373),"x","")</f>
        <v/>
      </c>
      <c r="AA384" s="55" t="str">
        <f>IF(AND(B384&lt;=NKC!$N$8,B384&gt;=NKC!$M$8),"x","")</f>
        <v/>
      </c>
    </row>
    <row r="385" spans="1:29" s="225" customFormat="1" ht="15.75" customHeight="1">
      <c r="A385" s="218" t="str">
        <f>IF(B385&lt;&gt;"",IF(AND(B385&gt;=_TM1,B385&lt;=_TM2,OR(TH!L374="1111",TH!M374="1111")),TH!D374,""),"")</f>
        <v/>
      </c>
      <c r="B385" s="36">
        <f t="shared" si="21"/>
        <v>11</v>
      </c>
      <c r="C385" s="37">
        <f t="shared" si="22"/>
        <v>41580</v>
      </c>
      <c r="D385" s="194"/>
      <c r="E385" s="194">
        <v>41580</v>
      </c>
      <c r="F385" s="40" t="s">
        <v>638</v>
      </c>
      <c r="G385" s="883" t="s">
        <v>729</v>
      </c>
      <c r="H385" s="45" t="s">
        <v>728</v>
      </c>
      <c r="I385" s="276"/>
      <c r="J385" s="276"/>
      <c r="K385" s="38">
        <v>1680000</v>
      </c>
      <c r="L385" s="39" t="s">
        <v>9</v>
      </c>
      <c r="M385" s="39" t="s">
        <v>8</v>
      </c>
      <c r="N385" s="55" t="str">
        <f>IF(AND('331-CT'!$E$7=TH!H374,OR(L385="331",M385="331")),"x","")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/>
      </c>
      <c r="U385" s="55" t="str">
        <f>IF(AND('3411-CT'!$F$9=H385,OR(LEFT(L385,3)=$U$7,LEFT(M385,3)=$U$7)),"x","")</f>
        <v/>
      </c>
      <c r="V385" s="55" t="str">
        <f>IF(OR(TH!L374=TH!$V$7,M385=TH!$V$7),"x","")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IF(AND(B385&gt;='IN-NX'!$P$3,B385&lt;='IN-NX'!$Q$3,'IN-NX'!$D$7=D385,OR(LEFT(TH!L374,2)="15",LEFT(TH!M374,2)="15")),"x","")</f>
        <v/>
      </c>
      <c r="Y385" s="55" t="str">
        <f>IF(AND(OR(LEFT(TH!L374,2)="15",LEFT(TH!M374,2)="15"),'152-CT'!$J$8=TH!F374),"x","")</f>
        <v/>
      </c>
      <c r="Z385" s="55" t="str">
        <f>IF(AND(OR(LEFT(TH!L374,2)="15",LEFT(TH!M374,2)="15"),TK!$E$7=TH!F374),"x","")</f>
        <v/>
      </c>
      <c r="AA385" s="55" t="str">
        <f>IF(AND(B385&lt;=NKC!$N$8,B385&gt;=NKC!$M$8),"x","")</f>
        <v/>
      </c>
      <c r="AB385" s="739">
        <v>12</v>
      </c>
    </row>
    <row r="386" spans="1:29" s="225" customFormat="1" ht="15.75" customHeight="1">
      <c r="A386" s="218" t="str">
        <f>IF(B386&lt;&gt;"",IF(AND(B386&gt;=_TM1,B386&lt;=_TM2,OR(TH!L375="1111",TH!M375="1111")),TH!D375,""),"")</f>
        <v/>
      </c>
      <c r="B386" s="36">
        <f t="shared" si="21"/>
        <v>11</v>
      </c>
      <c r="C386" s="37">
        <f t="shared" si="22"/>
        <v>41582</v>
      </c>
      <c r="D386" s="194"/>
      <c r="E386" s="194">
        <v>41582</v>
      </c>
      <c r="F386" s="40" t="s">
        <v>732</v>
      </c>
      <c r="G386" s="883" t="s">
        <v>731</v>
      </c>
      <c r="H386" s="45" t="s">
        <v>728</v>
      </c>
      <c r="I386" s="276">
        <v>1000</v>
      </c>
      <c r="J386" s="276">
        <v>9500</v>
      </c>
      <c r="K386" s="38">
        <f>ROUND(I386*J386,0)</f>
        <v>9500000</v>
      </c>
      <c r="L386" s="39" t="s">
        <v>191</v>
      </c>
      <c r="M386" s="39" t="s">
        <v>8</v>
      </c>
      <c r="N386" s="55" t="str">
        <f>IF(AND('331-CT'!$E$7=TH!H375,OR(L386="331",M386="331")),"x","")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/>
      </c>
      <c r="U386" s="55" t="str">
        <f>IF(AND('3411-CT'!$F$9=H386,OR(LEFT(L386,3)=$U$7,LEFT(M386,3)=$U$7)),"x","")</f>
        <v/>
      </c>
      <c r="V386" s="55" t="str">
        <f>IF(OR(TH!L375=TH!$V$7,M386=TH!$V$7),"x","")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IF(AND(B386&gt;='IN-NX'!$P$3,B386&lt;='IN-NX'!$Q$3,'IN-NX'!$D$7=D386,OR(LEFT(TH!L375,2)="15",LEFT(TH!M375,2)="15")),"x","")</f>
        <v/>
      </c>
      <c r="Y386" s="55" t="str">
        <f>IF(AND(OR(LEFT(TH!L375,2)="15",LEFT(TH!M375,2)="15"),'152-CT'!$J$8=TH!F375),"x","")</f>
        <v/>
      </c>
      <c r="Z386" s="55" t="str">
        <f>IF(AND(OR(LEFT(TH!L375,2)="15",LEFT(TH!M375,2)="15"),TK!$E$7=TH!F375),"x","")</f>
        <v/>
      </c>
      <c r="AA386" s="55" t="str">
        <f>IF(AND(B386&lt;=NKC!$N$8,B386&gt;=NKC!$M$8),"x","")</f>
        <v/>
      </c>
    </row>
    <row r="387" spans="1:29" s="225" customFormat="1" ht="15.75" customHeight="1">
      <c r="A387" s="218" t="str">
        <f>IF(B387&lt;&gt;"",IF(AND(B387&gt;=_TM1,B387&lt;=_TM2,OR(TH!L376="1111",TH!M376="1111")),TH!D376,""),"")</f>
        <v/>
      </c>
      <c r="B387" s="36">
        <f t="shared" si="21"/>
        <v>11</v>
      </c>
      <c r="C387" s="37">
        <f t="shared" si="22"/>
        <v>41582</v>
      </c>
      <c r="D387" s="194"/>
      <c r="E387" s="194">
        <v>41582</v>
      </c>
      <c r="F387" s="40" t="s">
        <v>733</v>
      </c>
      <c r="G387" s="883" t="s">
        <v>731</v>
      </c>
      <c r="H387" s="45" t="s">
        <v>728</v>
      </c>
      <c r="I387" s="276">
        <v>800</v>
      </c>
      <c r="J387" s="276">
        <v>9000</v>
      </c>
      <c r="K387" s="38">
        <f>ROUND(I387*J387,0)</f>
        <v>7200000</v>
      </c>
      <c r="L387" s="39" t="s">
        <v>191</v>
      </c>
      <c r="M387" s="39" t="s">
        <v>8</v>
      </c>
      <c r="N387" s="55" t="str">
        <f>IF(AND('331-CT'!$E$7=TH!H376,OR(L387="331",M387="331")),"x","")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/>
      </c>
      <c r="U387" s="55" t="str">
        <f>IF(AND('3411-CT'!$F$9=H387,OR(LEFT(L387,3)=$U$7,LEFT(M387,3)=$U$7)),"x","")</f>
        <v/>
      </c>
      <c r="V387" s="55" t="str">
        <f>IF(OR(TH!L376=TH!$V$7,M387=TH!$V$7),"x","")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IF(AND(B387&gt;='IN-NX'!$P$3,B387&lt;='IN-NX'!$Q$3,'IN-NX'!$D$7=D387,OR(LEFT(TH!L376,2)="15",LEFT(TH!M376,2)="15")),"x","")</f>
        <v/>
      </c>
      <c r="Y387" s="55" t="str">
        <f>IF(AND(OR(LEFT(TH!L376,2)="15",LEFT(TH!M376,2)="15"),'152-CT'!$J$8=TH!F376),"x","")</f>
        <v/>
      </c>
      <c r="Z387" s="55" t="str">
        <f>IF(AND(OR(LEFT(TH!L376,2)="15",LEFT(TH!M376,2)="15"),TK!$E$7=TH!F376),"x","")</f>
        <v/>
      </c>
      <c r="AA387" s="55" t="str">
        <f>IF(AND(B387&lt;=NKC!$N$8,B387&gt;=NKC!$M$8),"x","")</f>
        <v/>
      </c>
    </row>
    <row r="388" spans="1:29" s="225" customFormat="1" ht="15.75" customHeight="1">
      <c r="A388" s="218" t="str">
        <f>IF(B388&lt;&gt;"",IF(AND(B388&gt;=_TM1,B388&lt;=_TM2,OR(TH!L377="1111",TH!M377="1111")),TH!D377,""),"")</f>
        <v/>
      </c>
      <c r="B388" s="36">
        <f t="shared" si="21"/>
        <v>11</v>
      </c>
      <c r="C388" s="37">
        <f t="shared" si="22"/>
        <v>41582</v>
      </c>
      <c r="D388" s="194"/>
      <c r="E388" s="194">
        <v>41582</v>
      </c>
      <c r="F388" s="40" t="s">
        <v>638</v>
      </c>
      <c r="G388" s="883" t="s">
        <v>731</v>
      </c>
      <c r="H388" s="45" t="s">
        <v>728</v>
      </c>
      <c r="I388" s="276"/>
      <c r="J388" s="276"/>
      <c r="K388" s="38">
        <v>1670000</v>
      </c>
      <c r="L388" s="39" t="s">
        <v>9</v>
      </c>
      <c r="M388" s="39" t="s">
        <v>8</v>
      </c>
      <c r="N388" s="55" t="str">
        <f>IF(AND('331-CT'!$E$7=TH!H377,OR(L388="331",M388="331")),"x","")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IF(OR(TH!L377=TH!$V$7,M388=TH!$V$7),"x","")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IF(AND(B388&gt;='IN-NX'!$P$3,B388&lt;='IN-NX'!$Q$3,'IN-NX'!$D$7=D388,OR(LEFT(TH!L377,2)="15",LEFT(TH!M377,2)="15")),"x","")</f>
        <v/>
      </c>
      <c r="Y388" s="55" t="str">
        <f>IF(AND(OR(LEFT(TH!L377,2)="15",LEFT(TH!M377,2)="15"),'152-CT'!$J$8=TH!F377),"x","")</f>
        <v/>
      </c>
      <c r="Z388" s="55" t="str">
        <f>IF(AND(OR(LEFT(TH!L377,2)="15",LEFT(TH!M377,2)="15"),TK!$E$7=TH!F377),"x","")</f>
        <v/>
      </c>
      <c r="AA388" s="55" t="str">
        <f>IF(AND(B388&lt;=NKC!$N$8,B388&gt;=NKC!$M$8),"x","")</f>
        <v/>
      </c>
      <c r="AB388" s="739">
        <v>12</v>
      </c>
    </row>
    <row r="389" spans="1:29" s="225" customFormat="1" ht="15.75" customHeight="1">
      <c r="A389" s="218" t="str">
        <f>IF(B389&lt;&gt;"",IF(AND(B389&gt;=_TM1,B389&lt;=_TM2,OR(TH!L378="1111",TH!M378="1111")),TH!D378,""),"")</f>
        <v/>
      </c>
      <c r="B389" s="36">
        <f t="shared" si="21"/>
        <v>11</v>
      </c>
      <c r="C389" s="37">
        <f t="shared" si="22"/>
        <v>41586</v>
      </c>
      <c r="D389" s="194"/>
      <c r="E389" s="37">
        <v>41586</v>
      </c>
      <c r="F389" s="40" t="s">
        <v>734</v>
      </c>
      <c r="G389" s="623" t="s">
        <v>735</v>
      </c>
      <c r="H389" s="45" t="s">
        <v>728</v>
      </c>
      <c r="I389" s="276">
        <v>1100</v>
      </c>
      <c r="J389" s="276">
        <v>15000</v>
      </c>
      <c r="K389" s="38">
        <f>ROUND(I389*J389,0)</f>
        <v>16500000</v>
      </c>
      <c r="L389" s="39" t="s">
        <v>191</v>
      </c>
      <c r="M389" s="39" t="s">
        <v>8</v>
      </c>
      <c r="N389" s="55" t="str">
        <f>IF(AND('331-CT'!$E$7=TH!H378,OR(L389="331",M389="331")),"x","")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IF(OR(TH!L378=TH!$V$7,M389=TH!$V$7),"x","")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IF(AND(B389&gt;='IN-NX'!$P$3,B389&lt;='IN-NX'!$Q$3,'IN-NX'!$D$7=D389,OR(LEFT(TH!L378,2)="15",LEFT(TH!M378,2)="15")),"x","")</f>
        <v/>
      </c>
      <c r="Y389" s="55" t="str">
        <f>IF(AND(OR(LEFT(TH!L378,2)="15",LEFT(TH!M378,2)="15"),'152-CT'!$J$8=TH!F378),"x","")</f>
        <v/>
      </c>
      <c r="Z389" s="55" t="str">
        <f>IF(AND(OR(LEFT(TH!L378,2)="15",LEFT(TH!M378,2)="15"),TK!$E$7=TH!F378),"x","")</f>
        <v/>
      </c>
      <c r="AA389" s="55" t="str">
        <f>IF(AND(B389&lt;=NKC!$N$8,B389&gt;=NKC!$M$8),"x","")</f>
        <v/>
      </c>
    </row>
    <row r="390" spans="1:29" s="225" customFormat="1" ht="15.75" customHeight="1">
      <c r="A390" s="218" t="str">
        <f>IF(B390&lt;&gt;"",IF(AND(B390&gt;=_TM1,B390&lt;=_TM2,OR(TH!L379="1111",TH!M379="1111")),TH!D379,""),"")</f>
        <v/>
      </c>
      <c r="B390" s="36">
        <f t="shared" si="21"/>
        <v>11</v>
      </c>
      <c r="C390" s="37">
        <f t="shared" si="22"/>
        <v>41586</v>
      </c>
      <c r="D390" s="194"/>
      <c r="E390" s="37">
        <v>41586</v>
      </c>
      <c r="F390" s="40" t="s">
        <v>638</v>
      </c>
      <c r="G390" s="623" t="s">
        <v>735</v>
      </c>
      <c r="H390" s="45" t="s">
        <v>728</v>
      </c>
      <c r="I390" s="276"/>
      <c r="J390" s="276"/>
      <c r="K390" s="38">
        <v>1650000</v>
      </c>
      <c r="L390" s="39" t="s">
        <v>9</v>
      </c>
      <c r="M390" s="39" t="s">
        <v>8</v>
      </c>
      <c r="N390" s="55" t="str">
        <f>IF(AND('331-CT'!$E$7=TH!H379,OR(L390="331",M390="331")),"x","")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IF(OR(TH!L379=TH!$V$7,M390=TH!$V$7),"x","")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IF(AND(B390&gt;='IN-NX'!$P$3,B390&lt;='IN-NX'!$Q$3,'IN-NX'!$D$7=D390,OR(LEFT(TH!L379,2)="15",LEFT(TH!M379,2)="15")),"x","")</f>
        <v/>
      </c>
      <c r="Y390" s="55" t="str">
        <f>IF(AND(OR(LEFT(TH!L379,2)="15",LEFT(TH!M379,2)="15"),'152-CT'!$J$8=TH!F379),"x","")</f>
        <v/>
      </c>
      <c r="Z390" s="55" t="str">
        <f>IF(AND(OR(LEFT(TH!L379,2)="15",LEFT(TH!M379,2)="15"),TK!$E$7=TH!F379),"x","")</f>
        <v/>
      </c>
      <c r="AA390" s="55" t="str">
        <f>IF(AND(B390&lt;=NKC!$N$8,B390&gt;=NKC!$M$8),"x","")</f>
        <v/>
      </c>
      <c r="AB390" s="739">
        <v>12</v>
      </c>
    </row>
    <row r="391" spans="1:29" s="225" customFormat="1" ht="15.75" customHeight="1">
      <c r="A391" s="218" t="str">
        <f>IF(B391&lt;&gt;"",IF(AND(B391&gt;=_TM1,B391&lt;=_TM2,OR(TH!L263="1111",TH!M263="1111")),TH!D263,""),"")</f>
        <v/>
      </c>
      <c r="B391" s="36">
        <f t="shared" si="21"/>
        <v>12</v>
      </c>
      <c r="C391" s="37">
        <f t="shared" si="22"/>
        <v>41617</v>
      </c>
      <c r="D391" s="194"/>
      <c r="E391" s="37">
        <v>41617</v>
      </c>
      <c r="F391" s="40" t="s">
        <v>628</v>
      </c>
      <c r="G391" s="626" t="s">
        <v>629</v>
      </c>
      <c r="H391" s="45" t="s">
        <v>620</v>
      </c>
      <c r="I391" s="276">
        <v>2650</v>
      </c>
      <c r="J391" s="276">
        <v>6760</v>
      </c>
      <c r="K391" s="38">
        <f>ROUND(I391*J391,0)</f>
        <v>17914000</v>
      </c>
      <c r="L391" s="39" t="s">
        <v>191</v>
      </c>
      <c r="M391" s="39" t="s">
        <v>8</v>
      </c>
      <c r="N391" s="55" t="str">
        <f>IF(AND('331-CT'!$E$7=TH!H263,OR(L391="331",M391="331")),"x","")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IF(OR(TH!L263=TH!$V$7,M391=TH!$V$7),"x","")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IF(AND(B391&gt;='IN-NX'!$P$3,B391&lt;='IN-NX'!$Q$3,'IN-NX'!$D$7=D391,OR(LEFT(TH!L263,2)="15",LEFT(TH!M263,2)="15")),"x","")</f>
        <v/>
      </c>
      <c r="Y391" s="55" t="str">
        <f>IF(AND(OR(LEFT(TH!L263,2)="15",LEFT(TH!M263,2)="15"),'152-CT'!$J$8=TH!F263),"x","")</f>
        <v/>
      </c>
      <c r="Z391" s="55" t="str">
        <f>IF(AND(OR(LEFT(TH!L263,2)="15",LEFT(TH!M263,2)="15"),TK!$E$7=TH!F263),"x","")</f>
        <v/>
      </c>
      <c r="AA391" s="55" t="str">
        <f>IF(AND(B391&lt;=NKC!$N$8,B391&gt;=NKC!$M$8),"x","")</f>
        <v/>
      </c>
      <c r="AB391" s="739"/>
    </row>
    <row r="392" spans="1:29" s="225" customFormat="1" ht="15.75" customHeight="1">
      <c r="A392" s="218" t="str">
        <f>IF(B392&lt;&gt;"",IF(AND(B392&gt;=_TM1,B392&lt;=_TM2,OR(TH!L264="1111",TH!M264="1111")),TH!D264,""),"")</f>
        <v/>
      </c>
      <c r="B392" s="36">
        <f t="shared" si="21"/>
        <v>12</v>
      </c>
      <c r="C392" s="37">
        <f t="shared" si="22"/>
        <v>41617</v>
      </c>
      <c r="D392" s="194"/>
      <c r="E392" s="37">
        <v>41617</v>
      </c>
      <c r="F392" s="40" t="s">
        <v>618</v>
      </c>
      <c r="G392" s="626" t="s">
        <v>629</v>
      </c>
      <c r="H392" s="45" t="s">
        <v>620</v>
      </c>
      <c r="I392" s="276"/>
      <c r="J392" s="276"/>
      <c r="K392" s="38">
        <v>1791400</v>
      </c>
      <c r="L392" s="39" t="s">
        <v>9</v>
      </c>
      <c r="M392" s="39" t="s">
        <v>8</v>
      </c>
      <c r="N392" s="55" t="str">
        <f>IF(AND('331-CT'!$E$7=TH!H264,OR(L392="331",M392="331")),"x","")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IF(OR(TH!L264=TH!$V$7,M392=TH!$V$7),"x","")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IF(AND(B392&gt;='IN-NX'!$P$3,B392&lt;='IN-NX'!$Q$3,'IN-NX'!$D$7=D392,OR(LEFT(TH!L264,2)="15",LEFT(TH!M264,2)="15")),"x","")</f>
        <v/>
      </c>
      <c r="Y392" s="55" t="str">
        <f>IF(AND(OR(LEFT(TH!L264,2)="15",LEFT(TH!M264,2)="15"),'152-CT'!$J$8=TH!F264),"x","")</f>
        <v/>
      </c>
      <c r="Z392" s="55" t="str">
        <f>IF(AND(OR(LEFT(TH!L264,2)="15",LEFT(TH!M264,2)="15"),TK!$E$7=TH!F264),"x","")</f>
        <v/>
      </c>
      <c r="AA392" s="55" t="str">
        <f>IF(AND(B392&lt;=NKC!$N$8,B392&gt;=NKC!$M$8),"x","")</f>
        <v/>
      </c>
      <c r="AB392" s="739">
        <v>12</v>
      </c>
    </row>
    <row r="393" spans="1:29" s="225" customFormat="1" ht="15.75" customHeight="1">
      <c r="A393" s="218" t="str">
        <f>IF(B393&lt;&gt;"",IF(AND(B393&gt;=_TM1,B393&lt;=_TM2,OR(TH!L265="1111",TH!M265="1111")),TH!D265,""),"")</f>
        <v/>
      </c>
      <c r="B393" s="36">
        <f t="shared" si="21"/>
        <v>12</v>
      </c>
      <c r="C393" s="37">
        <f t="shared" si="22"/>
        <v>41621</v>
      </c>
      <c r="D393" s="194"/>
      <c r="E393" s="37">
        <v>41621</v>
      </c>
      <c r="F393" s="40" t="s">
        <v>631</v>
      </c>
      <c r="G393" s="626" t="s">
        <v>630</v>
      </c>
      <c r="H393" s="45" t="s">
        <v>620</v>
      </c>
      <c r="I393" s="276">
        <v>930</v>
      </c>
      <c r="J393" s="276">
        <v>19492</v>
      </c>
      <c r="K393" s="38">
        <f>ROUND(I393*J393,0)</f>
        <v>18127560</v>
      </c>
      <c r="L393" s="39" t="s">
        <v>191</v>
      </c>
      <c r="M393" s="39" t="s">
        <v>8</v>
      </c>
      <c r="N393" s="55" t="str">
        <f>IF(AND('331-CT'!$E$7=TH!H265,OR(L393="331",M393="331")),"x","")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/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IF(OR(TH!L265=TH!$V$7,M393=TH!$V$7),"x","")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IF(AND(B393&gt;='IN-NX'!$P$3,B393&lt;='IN-NX'!$Q$3,'IN-NX'!$D$7=D393,OR(LEFT(TH!L265,2)="15",LEFT(TH!M265,2)="15")),"x","")</f>
        <v/>
      </c>
      <c r="Y393" s="55" t="str">
        <f>IF(AND(OR(LEFT(TH!L265,2)="15",LEFT(TH!M265,2)="15"),'152-CT'!$J$8=TH!F265),"x","")</f>
        <v/>
      </c>
      <c r="Z393" s="55" t="str">
        <f>IF(AND(OR(LEFT(TH!L265,2)="15",LEFT(TH!M265,2)="15"),TK!$E$7=TH!F265),"x","")</f>
        <v/>
      </c>
      <c r="AA393" s="55" t="str">
        <f>IF(AND(B393&lt;=NKC!$N$8,B393&gt;=NKC!$M$8),"x","")</f>
        <v/>
      </c>
      <c r="AB393" s="739"/>
    </row>
    <row r="394" spans="1:29" s="225" customFormat="1" ht="15.75" customHeight="1">
      <c r="A394" s="218" t="str">
        <f>IF(B394&lt;&gt;"",IF(AND(B394&gt;=_TM1,B394&lt;=_TM2,OR(TH!L266="1111",TH!M266="1111")),TH!D266,""),"")</f>
        <v/>
      </c>
      <c r="B394" s="36">
        <f t="shared" si="21"/>
        <v>12</v>
      </c>
      <c r="C394" s="37">
        <f t="shared" si="22"/>
        <v>41621</v>
      </c>
      <c r="D394" s="194"/>
      <c r="E394" s="37">
        <v>41621</v>
      </c>
      <c r="F394" s="40" t="s">
        <v>624</v>
      </c>
      <c r="G394" s="626" t="s">
        <v>630</v>
      </c>
      <c r="H394" s="45" t="s">
        <v>620</v>
      </c>
      <c r="I394" s="276"/>
      <c r="J394" s="276"/>
      <c r="K394" s="38">
        <v>1812756</v>
      </c>
      <c r="L394" s="39" t="s">
        <v>9</v>
      </c>
      <c r="M394" s="39" t="s">
        <v>8</v>
      </c>
      <c r="N394" s="55" t="str">
        <f>IF(AND('331-CT'!$E$7=TH!H266,OR(L394="331",M394="331")),"x","")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/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IF(OR(TH!L266=TH!$V$7,M394=TH!$V$7),"x","")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IF(AND(B394&gt;='IN-NX'!$P$3,B394&lt;='IN-NX'!$Q$3,'IN-NX'!$D$7=D394,OR(LEFT(TH!L266,2)="15",LEFT(TH!M266,2)="15")),"x","")</f>
        <v/>
      </c>
      <c r="Y394" s="55" t="str">
        <f>IF(AND(OR(LEFT(TH!L266,2)="15",LEFT(TH!M266,2)="15"),'152-CT'!$J$8=TH!F266),"x","")</f>
        <v/>
      </c>
      <c r="Z394" s="55" t="str">
        <f>IF(AND(OR(LEFT(TH!L266,2)="15",LEFT(TH!M266,2)="15"),TK!$E$7=TH!F266),"x","")</f>
        <v/>
      </c>
      <c r="AA394" s="55" t="str">
        <f>IF(AND(B394&lt;=NKC!$N$8,B394&gt;=NKC!$M$8),"x","")</f>
        <v/>
      </c>
      <c r="AB394" s="739">
        <v>12</v>
      </c>
    </row>
    <row r="395" spans="1:29" s="225" customFormat="1" ht="15.75" customHeight="1">
      <c r="A395" s="218" t="str">
        <f>IF(B395&lt;&gt;"",IF(AND(B395&gt;=_TM1,B395&lt;=_TM2,OR(TH!L267="1111",TH!M267="1111")),TH!D267,""),"")</f>
        <v/>
      </c>
      <c r="B395" s="36">
        <f t="shared" si="21"/>
        <v>12</v>
      </c>
      <c r="C395" s="37">
        <f t="shared" si="22"/>
        <v>41624</v>
      </c>
      <c r="D395" s="194"/>
      <c r="E395" s="37">
        <v>41624</v>
      </c>
      <c r="F395" s="40" t="s">
        <v>631</v>
      </c>
      <c r="G395" s="626" t="s">
        <v>632</v>
      </c>
      <c r="H395" s="45" t="s">
        <v>620</v>
      </c>
      <c r="I395" s="276">
        <v>825</v>
      </c>
      <c r="J395" s="276">
        <v>21924</v>
      </c>
      <c r="K395" s="38">
        <f>ROUND(I395*J395,0)</f>
        <v>18087300</v>
      </c>
      <c r="L395" s="39" t="s">
        <v>191</v>
      </c>
      <c r="M395" s="39" t="s">
        <v>8</v>
      </c>
      <c r="N395" s="55" t="str">
        <f>IF(AND('331-CT'!$E$7=TH!H267,OR(L395="331",M395="331")),"x","")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/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IF(OR(TH!L267=TH!$V$7,M395=TH!$V$7),"x","")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IF(AND(B395&gt;='IN-NX'!$P$3,B395&lt;='IN-NX'!$Q$3,'IN-NX'!$D$7=D395,OR(LEFT(TH!L267,2)="15",LEFT(TH!M267,2)="15")),"x","")</f>
        <v/>
      </c>
      <c r="Y395" s="55" t="str">
        <f>IF(AND(OR(LEFT(TH!L267,2)="15",LEFT(TH!M267,2)="15"),'152-CT'!$J$8=TH!F267),"x","")</f>
        <v/>
      </c>
      <c r="Z395" s="55" t="str">
        <f>IF(AND(OR(LEFT(TH!L267,2)="15",LEFT(TH!M267,2)="15"),TK!$E$7=TH!F267),"x","")</f>
        <v/>
      </c>
      <c r="AA395" s="55" t="str">
        <f>IF(AND(B395&lt;=NKC!$N$8,B395&gt;=NKC!$M$8),"x","")</f>
        <v/>
      </c>
      <c r="AB395" s="739"/>
      <c r="AC395" s="739"/>
    </row>
    <row r="396" spans="1:29" s="225" customFormat="1" ht="15.75" customHeight="1">
      <c r="A396" s="218" t="str">
        <f>IF(B396&lt;&gt;"",IF(AND(B396&gt;=_TM1,B396&lt;=_TM2,OR(TH!L268="1111",TH!M268="1111")),TH!D268,""),"")</f>
        <v/>
      </c>
      <c r="B396" s="36">
        <f t="shared" si="21"/>
        <v>12</v>
      </c>
      <c r="C396" s="37">
        <f t="shared" si="22"/>
        <v>41624</v>
      </c>
      <c r="D396" s="194"/>
      <c r="E396" s="37">
        <v>41624</v>
      </c>
      <c r="F396" s="40" t="s">
        <v>624</v>
      </c>
      <c r="G396" s="626" t="s">
        <v>632</v>
      </c>
      <c r="H396" s="45" t="s">
        <v>620</v>
      </c>
      <c r="I396" s="276"/>
      <c r="J396" s="276"/>
      <c r="K396" s="38">
        <v>1808730</v>
      </c>
      <c r="L396" s="39" t="s">
        <v>9</v>
      </c>
      <c r="M396" s="39" t="s">
        <v>8</v>
      </c>
      <c r="N396" s="55" t="str">
        <f>IF(AND('331-CT'!$E$7=TH!H268,OR(L396="331",M396="331")),"x","")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IF(OR(TH!L268=TH!$V$7,M396=TH!$V$7),"x","")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IF(AND(B396&gt;='IN-NX'!$P$3,B396&lt;='IN-NX'!$Q$3,'IN-NX'!$D$7=D396,OR(LEFT(TH!L268,2)="15",LEFT(TH!M268,2)="15")),"x","")</f>
        <v/>
      </c>
      <c r="Y396" s="55" t="str">
        <f>IF(AND(OR(LEFT(TH!L268,2)="15",LEFT(TH!M268,2)="15"),'152-CT'!$J$8=TH!F268),"x","")</f>
        <v/>
      </c>
      <c r="Z396" s="55" t="str">
        <f>IF(AND(OR(LEFT(TH!L268,2)="15",LEFT(TH!M268,2)="15"),TK!$E$7=TH!F268),"x","")</f>
        <v/>
      </c>
      <c r="AA396" s="55" t="str">
        <f>IF(AND(B396&lt;=NKC!$N$8,B396&gt;=NKC!$M$8),"x","")</f>
        <v/>
      </c>
      <c r="AB396" s="739">
        <v>12</v>
      </c>
    </row>
    <row r="397" spans="1:29" s="225" customFormat="1" ht="15.75" customHeight="1">
      <c r="A397" s="218" t="str">
        <f>IF(B397&lt;&gt;"",IF(AND(B397&gt;=_TM1,B397&lt;=_TM2,OR(TH!L269="1111",TH!M269="1111")),TH!D269,""),"")</f>
        <v/>
      </c>
      <c r="B397" s="36">
        <f t="shared" si="21"/>
        <v>12</v>
      </c>
      <c r="C397" s="37">
        <f t="shared" si="22"/>
        <v>41628</v>
      </c>
      <c r="D397" s="194"/>
      <c r="E397" s="37">
        <v>41628</v>
      </c>
      <c r="F397" s="40" t="s">
        <v>633</v>
      </c>
      <c r="G397" s="626" t="s">
        <v>634</v>
      </c>
      <c r="H397" s="45" t="s">
        <v>620</v>
      </c>
      <c r="I397" s="276">
        <v>830</v>
      </c>
      <c r="J397" s="276">
        <v>21672</v>
      </c>
      <c r="K397" s="38">
        <f>ROUND(I397*J397,0)</f>
        <v>17987760</v>
      </c>
      <c r="L397" s="39" t="s">
        <v>191</v>
      </c>
      <c r="M397" s="39" t="s">
        <v>8</v>
      </c>
      <c r="N397" s="55" t="str">
        <f>IF(AND('331-CT'!$E$7=TH!H269,OR(L397="331",M397="331")),"x","")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IF(OR(TH!L269=TH!$V$7,M397=TH!$V$7),"x","")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IF(AND(B397&gt;='IN-NX'!$P$3,B397&lt;='IN-NX'!$Q$3,'IN-NX'!$D$7=D397,OR(LEFT(TH!L269,2)="15",LEFT(TH!M269,2)="15")),"x","")</f>
        <v/>
      </c>
      <c r="Y397" s="55" t="str">
        <f>IF(AND(OR(LEFT(TH!L269,2)="15",LEFT(TH!M269,2)="15"),'152-CT'!$J$8=TH!F269),"x","")</f>
        <v/>
      </c>
      <c r="Z397" s="55" t="str">
        <f>IF(AND(OR(LEFT(TH!L269,2)="15",LEFT(TH!M269,2)="15"),TK!$E$7=TH!F269),"x","")</f>
        <v/>
      </c>
      <c r="AA397" s="55" t="str">
        <f>IF(AND(B397&lt;=NKC!$N$8,B397&gt;=NKC!$M$8),"x","")</f>
        <v/>
      </c>
      <c r="AB397" s="739"/>
    </row>
    <row r="398" spans="1:29" s="225" customFormat="1" ht="15.75" customHeight="1">
      <c r="A398" s="218" t="str">
        <f>IF(B398&lt;&gt;"",IF(AND(B398&gt;=_TM1,B398&lt;=_TM2,OR(TH!L270="1111",TH!M270="1111")),TH!D270,""),"")</f>
        <v/>
      </c>
      <c r="B398" s="36">
        <f t="shared" si="21"/>
        <v>12</v>
      </c>
      <c r="C398" s="37">
        <f t="shared" si="22"/>
        <v>41628</v>
      </c>
      <c r="D398" s="194"/>
      <c r="E398" s="37">
        <v>41628</v>
      </c>
      <c r="F398" s="40" t="s">
        <v>624</v>
      </c>
      <c r="G398" s="626" t="s">
        <v>634</v>
      </c>
      <c r="H398" s="45" t="s">
        <v>620</v>
      </c>
      <c r="I398" s="276"/>
      <c r="J398" s="276"/>
      <c r="K398" s="38">
        <v>1798776</v>
      </c>
      <c r="L398" s="39" t="s">
        <v>9</v>
      </c>
      <c r="M398" s="39" t="s">
        <v>8</v>
      </c>
      <c r="N398" s="55" t="str">
        <f>IF(AND('331-CT'!$E$7=TH!H270,OR(L398="331",M398="331")),"x","")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IF(OR(TH!L270=TH!$V$7,M398=TH!$V$7),"x","")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IF(AND(B398&gt;='IN-NX'!$P$3,B398&lt;='IN-NX'!$Q$3,'IN-NX'!$D$7=D398,OR(LEFT(TH!L270,2)="15",LEFT(TH!M270,2)="15")),"x","")</f>
        <v/>
      </c>
      <c r="Y398" s="55" t="str">
        <f>IF(AND(OR(LEFT(TH!L270,2)="15",LEFT(TH!M270,2)="15"),'152-CT'!$J$8=TH!F270),"x","")</f>
        <v/>
      </c>
      <c r="Z398" s="55" t="str">
        <f>IF(AND(OR(LEFT(TH!L270,2)="15",LEFT(TH!M270,2)="15"),TK!$E$7=TH!F270),"x","")</f>
        <v/>
      </c>
      <c r="AA398" s="55" t="str">
        <f>IF(AND(B398&lt;=NKC!$N$8,B398&gt;=NKC!$M$8),"x","")</f>
        <v/>
      </c>
      <c r="AB398" s="739">
        <v>12</v>
      </c>
    </row>
    <row r="399" spans="1:29" s="225" customFormat="1" ht="15.75" customHeight="1">
      <c r="A399" s="218" t="str">
        <f>IF(B399&lt;&gt;"",IF(AND(B399&gt;=_TM1,B399&lt;=_TM2,OR(TH!L271="1111",TH!M271="1111")),TH!D271,""),"")</f>
        <v/>
      </c>
      <c r="B399" s="36">
        <f t="shared" si="21"/>
        <v>12</v>
      </c>
      <c r="C399" s="37">
        <f t="shared" si="22"/>
        <v>41629</v>
      </c>
      <c r="D399" s="194"/>
      <c r="E399" s="37">
        <v>41629</v>
      </c>
      <c r="F399" s="40" t="s">
        <v>633</v>
      </c>
      <c r="G399" s="626" t="s">
        <v>635</v>
      </c>
      <c r="H399" s="45" t="s">
        <v>620</v>
      </c>
      <c r="I399" s="276">
        <v>750</v>
      </c>
      <c r="J399" s="276">
        <v>22168</v>
      </c>
      <c r="K399" s="38">
        <f>ROUND(I399*J399,0)</f>
        <v>16626000</v>
      </c>
      <c r="L399" s="39" t="s">
        <v>191</v>
      </c>
      <c r="M399" s="39" t="s">
        <v>8</v>
      </c>
      <c r="N399" s="55" t="str">
        <f>IF(AND('331-CT'!$E$7=TH!H271,OR(L399="331",M399="331")),"x","")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IF(OR(TH!L271=TH!$V$7,M399=TH!$V$7),"x","")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IF(AND(B399&gt;='IN-NX'!$P$3,B399&lt;='IN-NX'!$Q$3,'IN-NX'!$D$7=D399,OR(LEFT(TH!L271,2)="15",LEFT(TH!M271,2)="15")),"x","")</f>
        <v/>
      </c>
      <c r="Y399" s="55" t="str">
        <f>IF(AND(OR(LEFT(TH!L271,2)="15",LEFT(TH!M271,2)="15"),'152-CT'!$J$8=TH!F271),"x","")</f>
        <v/>
      </c>
      <c r="Z399" s="55" t="str">
        <f>IF(AND(OR(LEFT(TH!L271,2)="15",LEFT(TH!M271,2)="15"),TK!$E$7=TH!F271),"x","")</f>
        <v/>
      </c>
      <c r="AA399" s="55" t="str">
        <f>IF(AND(B399&lt;=NKC!$N$8,B399&gt;=NKC!$M$8),"x","")</f>
        <v/>
      </c>
    </row>
    <row r="400" spans="1:29" s="225" customFormat="1" ht="15.75" customHeight="1">
      <c r="A400" s="218" t="str">
        <f>IF(B400&lt;&gt;"",IF(AND(B400&gt;=_TM1,B400&lt;=_TM2,OR(TH!L272="1111",TH!M272="1111")),TH!D272,""),"")</f>
        <v/>
      </c>
      <c r="B400" s="36">
        <f t="shared" si="21"/>
        <v>12</v>
      </c>
      <c r="C400" s="37">
        <f t="shared" si="22"/>
        <v>41629</v>
      </c>
      <c r="D400" s="194"/>
      <c r="E400" s="37">
        <v>41629</v>
      </c>
      <c r="F400" s="40" t="s">
        <v>624</v>
      </c>
      <c r="G400" s="626" t="s">
        <v>635</v>
      </c>
      <c r="H400" s="45" t="s">
        <v>620</v>
      </c>
      <c r="I400" s="276"/>
      <c r="J400" s="276"/>
      <c r="K400" s="38">
        <v>1662600</v>
      </c>
      <c r="L400" s="39" t="s">
        <v>9</v>
      </c>
      <c r="M400" s="39" t="s">
        <v>8</v>
      </c>
      <c r="N400" s="55" t="str">
        <f>IF(AND('331-CT'!$E$7=TH!H272,OR(L400="331",M400="331")),"x","")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IF(OR(TH!L272=TH!$V$7,M400=TH!$V$7),"x","")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IF(AND(B400&gt;='IN-NX'!$P$3,B400&lt;='IN-NX'!$Q$3,'IN-NX'!$D$7=D400,OR(LEFT(TH!L272,2)="15",LEFT(TH!M272,2)="15")),"x","")</f>
        <v/>
      </c>
      <c r="Y400" s="55" t="str">
        <f>IF(AND(OR(LEFT(TH!L272,2)="15",LEFT(TH!M272,2)="15"),'152-CT'!$J$8=TH!F272),"x","")</f>
        <v/>
      </c>
      <c r="Z400" s="55" t="str">
        <f>IF(AND(OR(LEFT(TH!L272,2)="15",LEFT(TH!M272,2)="15"),TK!$E$7=TH!F272),"x","")</f>
        <v/>
      </c>
      <c r="AA400" s="55" t="str">
        <f>IF(AND(B400&lt;=NKC!$N$8,B400&gt;=NKC!$M$8),"x","")</f>
        <v/>
      </c>
      <c r="AB400" s="739">
        <v>12</v>
      </c>
    </row>
    <row r="401" spans="1:30" s="225" customFormat="1" ht="15.75" customHeight="1">
      <c r="A401" s="218" t="str">
        <f>IF(B401&lt;&gt;"",IF(AND(B401&gt;=_TM1,B401&lt;=_TM2,OR(TH!L273="1111",TH!M273="1111")),TH!D273,""),"")</f>
        <v/>
      </c>
      <c r="B401" s="36">
        <f t="shared" si="21"/>
        <v>12</v>
      </c>
      <c r="C401" s="37">
        <f t="shared" si="22"/>
        <v>41635</v>
      </c>
      <c r="D401" s="194"/>
      <c r="E401" s="37">
        <v>41635</v>
      </c>
      <c r="F401" s="40" t="s">
        <v>636</v>
      </c>
      <c r="G401" s="626" t="s">
        <v>637</v>
      </c>
      <c r="H401" s="45" t="s">
        <v>620</v>
      </c>
      <c r="I401" s="276">
        <v>1620</v>
      </c>
      <c r="J401" s="276">
        <v>11149</v>
      </c>
      <c r="K401" s="38">
        <f>ROUND(I401*J401,0)</f>
        <v>18061380</v>
      </c>
      <c r="L401" s="39" t="s">
        <v>191</v>
      </c>
      <c r="M401" s="39" t="s">
        <v>8</v>
      </c>
      <c r="N401" s="55" t="str">
        <f>IF(AND('331-CT'!$E$7=TH!H273,OR(L401="331",M401="331")),"x","")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IF(OR(TH!L273=TH!$V$7,M401=TH!$V$7),"x","")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IF(AND(B401&gt;='IN-NX'!$P$3,B401&lt;='IN-NX'!$Q$3,'IN-NX'!$D$7=D401,OR(LEFT(TH!L273,2)="15",LEFT(TH!M273,2)="15")),"x","")</f>
        <v/>
      </c>
      <c r="Y401" s="55" t="str">
        <f>IF(AND(OR(LEFT(TH!L273,2)="15",LEFT(TH!M273,2)="15"),'152-CT'!$J$8=TH!F273),"x","")</f>
        <v/>
      </c>
      <c r="Z401" s="55" t="str">
        <f>IF(AND(OR(LEFT(TH!L273,2)="15",LEFT(TH!M273,2)="15"),TK!$E$7=TH!F273),"x","")</f>
        <v/>
      </c>
      <c r="AA401" s="55" t="str">
        <f>IF(AND(B401&lt;=NKC!$N$8,B401&gt;=NKC!$M$8),"x","")</f>
        <v/>
      </c>
    </row>
    <row r="402" spans="1:30" s="225" customFormat="1" ht="15.75" customHeight="1">
      <c r="A402" s="218" t="str">
        <f>IF(B402&lt;&gt;"",IF(AND(B402&gt;=_TM1,B402&lt;=_TM2,OR(TH!L274="1111",TH!M274="1111")),TH!D274,""),"")</f>
        <v/>
      </c>
      <c r="B402" s="36">
        <f t="shared" si="21"/>
        <v>12</v>
      </c>
      <c r="C402" s="37">
        <f t="shared" si="22"/>
        <v>41635</v>
      </c>
      <c r="D402" s="194"/>
      <c r="E402" s="37">
        <v>41635</v>
      </c>
      <c r="F402" s="40" t="s">
        <v>618</v>
      </c>
      <c r="G402" s="626" t="s">
        <v>637</v>
      </c>
      <c r="H402" s="45" t="s">
        <v>620</v>
      </c>
      <c r="I402" s="276"/>
      <c r="J402" s="276"/>
      <c r="K402" s="38">
        <v>1806138</v>
      </c>
      <c r="L402" s="39" t="s">
        <v>9</v>
      </c>
      <c r="M402" s="39" t="s">
        <v>8</v>
      </c>
      <c r="N402" s="55" t="str">
        <f>IF(AND('331-CT'!$E$7=TH!H274,OR(L402="331",M402="331")),"x","")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IF(OR(TH!L274=TH!$V$7,M402=TH!$V$7),"x","")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IF(AND(B402&gt;='IN-NX'!$P$3,B402&lt;='IN-NX'!$Q$3,'IN-NX'!$D$7=D402,OR(LEFT(TH!L274,2)="15",LEFT(TH!M274,2)="15")),"x","")</f>
        <v/>
      </c>
      <c r="Y402" s="55" t="str">
        <f>IF(AND(OR(LEFT(TH!L274,2)="15",LEFT(TH!M274,2)="15"),'152-CT'!$J$8=TH!F274),"x","")</f>
        <v/>
      </c>
      <c r="Z402" s="55" t="str">
        <f>IF(AND(OR(LEFT(TH!L274,2)="15",LEFT(TH!M274,2)="15"),TK!$E$7=TH!F274),"x","")</f>
        <v/>
      </c>
      <c r="AA402" s="55" t="str">
        <f>IF(AND(B402&lt;=NKC!$N$8,B402&gt;=NKC!$M$8),"x","")</f>
        <v/>
      </c>
      <c r="AB402" s="739">
        <v>12</v>
      </c>
    </row>
    <row r="403" spans="1:30" s="225" customFormat="1" ht="15.75" customHeight="1">
      <c r="A403" s="218" t="str">
        <f>IF(B403&lt;&gt;"",IF(AND(B403&gt;=_TM1,B403&lt;=_TM2,OR(TH!L403="1111",TH!M403="1111")),TH!D403,""),"")</f>
        <v/>
      </c>
      <c r="B403" s="36" t="str">
        <f t="shared" ref="B403:B407" si="23">IF(C403&lt;&gt;"",MONTH(C403),"")</f>
        <v/>
      </c>
      <c r="C403" s="37"/>
      <c r="D403" s="194"/>
      <c r="E403" s="194"/>
      <c r="F403" s="40"/>
      <c r="G403" s="750"/>
      <c r="H403" s="45"/>
      <c r="I403" s="276"/>
      <c r="J403" s="276"/>
      <c r="K403" s="38"/>
      <c r="L403" s="39"/>
      <c r="M403" s="39"/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/>
      </c>
    </row>
    <row r="404" spans="1:30" s="225" customFormat="1" ht="15.75" customHeight="1">
      <c r="A404" s="218" t="str">
        <f>IF(B404&lt;&gt;"",IF(AND(B404&gt;=_TM1,B404&lt;=_TM2,OR(TH!L404="1111",TH!M404="1111")),TH!D404,""),"")</f>
        <v/>
      </c>
      <c r="B404" s="36" t="str">
        <f t="shared" si="23"/>
        <v/>
      </c>
      <c r="C404" s="37"/>
      <c r="D404" s="194"/>
      <c r="E404" s="37"/>
      <c r="F404" s="40"/>
      <c r="G404" s="626"/>
      <c r="H404" s="45"/>
      <c r="I404" s="277"/>
      <c r="J404" s="277"/>
      <c r="K404" s="38"/>
      <c r="L404" s="39"/>
      <c r="M404" s="39"/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/>
      </c>
    </row>
    <row r="405" spans="1:30" s="225" customFormat="1" ht="15.75" customHeight="1">
      <c r="A405" s="218" t="str">
        <f>IF(B405&lt;&gt;"",IF(AND(B405&gt;=_TM1,B405&lt;=_TM2,OR(TH!L405="1111",TH!M405="1111")),TH!D405,""),"")</f>
        <v/>
      </c>
      <c r="B405" s="36" t="str">
        <f t="shared" si="23"/>
        <v/>
      </c>
      <c r="C405" s="37"/>
      <c r="D405" s="194"/>
      <c r="E405" s="194"/>
      <c r="F405" s="40"/>
      <c r="G405" s="750"/>
      <c r="H405" s="45"/>
      <c r="I405" s="276"/>
      <c r="J405" s="276"/>
      <c r="K405" s="38"/>
      <c r="L405" s="39"/>
      <c r="M405" s="39"/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/>
      </c>
    </row>
    <row r="406" spans="1:30" s="225" customFormat="1" ht="15.75" customHeight="1">
      <c r="A406" s="218" t="str">
        <f>IF(B406&lt;&gt;"",IF(AND(B406&gt;=_TM1,B406&lt;=_TM2,OR(TH!L406="1111",TH!M406="1111")),TH!D406,""),"")</f>
        <v/>
      </c>
      <c r="B406" s="36" t="str">
        <f t="shared" si="23"/>
        <v/>
      </c>
      <c r="C406" s="37"/>
      <c r="D406" s="194"/>
      <c r="E406" s="37"/>
      <c r="F406" s="40"/>
      <c r="G406" s="626"/>
      <c r="H406" s="45"/>
      <c r="I406" s="277"/>
      <c r="J406" s="277"/>
      <c r="K406" s="38"/>
      <c r="L406" s="39"/>
      <c r="M406" s="39"/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/>
      </c>
    </row>
    <row r="407" spans="1:30" s="225" customFormat="1" ht="15.75" customHeight="1">
      <c r="A407" s="218" t="str">
        <f>IF(B407&lt;&gt;"",IF(AND(B407&gt;=_TM1,B407&lt;=_TM2,OR(TH!L407="1111",TH!M407="1111")),TH!D407,""),"")</f>
        <v/>
      </c>
      <c r="B407" s="36" t="str">
        <f t="shared" si="23"/>
        <v/>
      </c>
      <c r="C407" s="37"/>
      <c r="D407" s="194"/>
      <c r="E407" s="194"/>
      <c r="F407" s="40"/>
      <c r="G407" s="750"/>
      <c r="H407" s="45"/>
      <c r="I407" s="276"/>
      <c r="J407" s="276"/>
      <c r="K407" s="38"/>
      <c r="L407" s="39"/>
      <c r="M407" s="39"/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/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/>
      </c>
      <c r="AB407" s="751"/>
      <c r="AC407" s="751"/>
      <c r="AD407" s="739"/>
    </row>
    <row r="408" spans="1:30" s="225" customFormat="1" ht="15.75" customHeight="1">
      <c r="A408" s="218" t="str">
        <f>IF(B408&lt;&gt;"",IF(AND(B408&gt;=_TM1,B408&lt;=_TM2,OR(TH!L408="1111",TH!M408="1111")),TH!D408,""),"")</f>
        <v/>
      </c>
      <c r="B408" s="36" t="str">
        <f t="shared" ref="B408:B432" si="24">IF(C408&lt;&gt;"",MONTH(C408),"")</f>
        <v/>
      </c>
      <c r="C408" s="37"/>
      <c r="D408" s="194"/>
      <c r="E408" s="37"/>
      <c r="F408" s="40"/>
      <c r="G408" s="626"/>
      <c r="H408" s="45"/>
      <c r="I408" s="277"/>
      <c r="J408" s="277"/>
      <c r="K408" s="38"/>
      <c r="L408" s="39"/>
      <c r="M408" s="39"/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/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/>
      </c>
    </row>
    <row r="409" spans="1:30" s="225" customFormat="1" ht="15.75" customHeight="1">
      <c r="A409" s="218" t="str">
        <f>IF(B409&lt;&gt;"",IF(AND(B409&gt;=_TM1,B409&lt;=_TM2,OR(TH!L409="1111",TH!M409="1111")),TH!D409,""),"")</f>
        <v/>
      </c>
      <c r="B409" s="36" t="str">
        <f t="shared" si="24"/>
        <v/>
      </c>
      <c r="C409" s="37"/>
      <c r="D409" s="194"/>
      <c r="E409" s="194"/>
      <c r="F409" s="40"/>
      <c r="G409" s="750"/>
      <c r="H409" s="45"/>
      <c r="I409" s="276"/>
      <c r="J409" s="276"/>
      <c r="K409" s="38"/>
      <c r="L409" s="39"/>
      <c r="M409" s="39"/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/>
      </c>
    </row>
    <row r="410" spans="1:30" s="225" customFormat="1" ht="15.75" customHeight="1">
      <c r="A410" s="218" t="str">
        <f>IF(B410&lt;&gt;"",IF(AND(B410&gt;=_TM1,B410&lt;=_TM2,OR(TH!L410="1111",TH!M410="1111")),TH!D410,""),"")</f>
        <v/>
      </c>
      <c r="B410" s="36" t="str">
        <f t="shared" si="24"/>
        <v/>
      </c>
      <c r="C410" s="37"/>
      <c r="D410" s="194"/>
      <c r="E410" s="37"/>
      <c r="F410" s="40"/>
      <c r="G410" s="626"/>
      <c r="H410" s="45"/>
      <c r="I410" s="277"/>
      <c r="J410" s="277"/>
      <c r="K410" s="38"/>
      <c r="L410" s="39"/>
      <c r="M410" s="39"/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/>
      </c>
    </row>
    <row r="411" spans="1:30" s="225" customFormat="1" ht="15.75" customHeight="1">
      <c r="A411" s="218" t="str">
        <f>IF(B411&lt;&gt;"",IF(AND(B411&gt;=_TM1,B411&lt;=_TM2,OR(TH!L411="1111",TH!M411="1111")),TH!D411,""),"")</f>
        <v/>
      </c>
      <c r="B411" s="36" t="str">
        <f t="shared" si="24"/>
        <v/>
      </c>
      <c r="C411" s="37"/>
      <c r="D411" s="194"/>
      <c r="E411" s="194"/>
      <c r="F411" s="40"/>
      <c r="G411" s="750"/>
      <c r="H411" s="45"/>
      <c r="I411" s="276"/>
      <c r="J411" s="276"/>
      <c r="K411" s="38"/>
      <c r="L411" s="39"/>
      <c r="M411" s="39"/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/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/>
      </c>
    </row>
    <row r="412" spans="1:30" s="225" customFormat="1" ht="15.75" customHeight="1">
      <c r="A412" s="218" t="str">
        <f>IF(B412&lt;&gt;"",IF(AND(B412&gt;=_TM1,B412&lt;=_TM2,OR(TH!L412="1111",TH!M412="1111")),TH!D412,""),"")</f>
        <v/>
      </c>
      <c r="B412" s="36" t="str">
        <f t="shared" si="24"/>
        <v/>
      </c>
      <c r="C412" s="37"/>
      <c r="D412" s="194"/>
      <c r="E412" s="37"/>
      <c r="F412" s="40"/>
      <c r="G412" s="626"/>
      <c r="H412" s="45"/>
      <c r="I412" s="277"/>
      <c r="J412" s="277"/>
      <c r="K412" s="38"/>
      <c r="L412" s="39"/>
      <c r="M412" s="39"/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/>
      </c>
    </row>
    <row r="413" spans="1:30" s="225" customFormat="1" ht="15.75" customHeight="1">
      <c r="A413" s="218" t="str">
        <f>IF(B413&lt;&gt;"",IF(AND(B413&gt;=_TM1,B413&lt;=_TM2,OR(TH!L413="1111",TH!M413="1111")),TH!D413,""),"")</f>
        <v/>
      </c>
      <c r="B413" s="36" t="str">
        <f t="shared" si="24"/>
        <v/>
      </c>
      <c r="C413" s="37"/>
      <c r="D413" s="194"/>
      <c r="E413" s="194"/>
      <c r="F413" s="40"/>
      <c r="G413" s="750"/>
      <c r="H413" s="45"/>
      <c r="I413" s="276"/>
      <c r="J413" s="276"/>
      <c r="K413" s="38"/>
      <c r="L413" s="39"/>
      <c r="M413" s="39"/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/>
      </c>
    </row>
    <row r="414" spans="1:30" s="225" customFormat="1" ht="15.75" customHeight="1">
      <c r="A414" s="218" t="str">
        <f>IF(B414&lt;&gt;"",IF(AND(B414&gt;=_TM1,B414&lt;=_TM2,OR(TH!L414="1111",TH!M414="1111")),TH!D414,""),"")</f>
        <v/>
      </c>
      <c r="B414" s="36" t="str">
        <f t="shared" si="24"/>
        <v/>
      </c>
      <c r="C414" s="37"/>
      <c r="D414" s="194"/>
      <c r="E414" s="37"/>
      <c r="F414" s="40"/>
      <c r="G414" s="626"/>
      <c r="H414" s="45"/>
      <c r="I414" s="277"/>
      <c r="J414" s="277"/>
      <c r="K414" s="38"/>
      <c r="L414" s="39"/>
      <c r="M414" s="39"/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/>
      </c>
    </row>
    <row r="415" spans="1:30" s="225" customFormat="1" ht="15.75" customHeight="1">
      <c r="A415" s="218" t="str">
        <f>IF(B415&lt;&gt;"",IF(AND(B415&gt;=_TM1,B415&lt;=_TM2,OR(TH!L415="1111",TH!M415="1111")),TH!D415,""),"")</f>
        <v/>
      </c>
      <c r="B415" s="36" t="str">
        <f t="shared" si="24"/>
        <v/>
      </c>
      <c r="C415" s="37"/>
      <c r="D415" s="194"/>
      <c r="E415" s="194"/>
      <c r="F415" s="40"/>
      <c r="G415" s="750"/>
      <c r="H415" s="45"/>
      <c r="I415" s="276"/>
      <c r="J415" s="276"/>
      <c r="K415" s="38"/>
      <c r="L415" s="39"/>
      <c r="M415" s="39"/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/>
      </c>
    </row>
    <row r="416" spans="1:30" s="225" customFormat="1" ht="15.75" customHeight="1">
      <c r="A416" s="218" t="str">
        <f>IF(B416&lt;&gt;"",IF(AND(B416&gt;=_TM1,B416&lt;=_TM2,OR(TH!L416="1111",TH!M416="1111")),TH!D416,""),"")</f>
        <v/>
      </c>
      <c r="B416" s="36" t="str">
        <f t="shared" si="24"/>
        <v/>
      </c>
      <c r="C416" s="37"/>
      <c r="D416" s="194"/>
      <c r="E416" s="37"/>
      <c r="F416" s="40"/>
      <c r="G416" s="626"/>
      <c r="H416" s="7"/>
      <c r="I416" s="276"/>
      <c r="J416" s="276"/>
      <c r="K416" s="38"/>
      <c r="L416" s="39"/>
      <c r="M416" s="749"/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/>
      </c>
    </row>
    <row r="417" spans="1:30" s="225" customFormat="1" ht="15.75" customHeight="1">
      <c r="A417" s="218" t="str">
        <f>IF(B417&lt;&gt;"",IF(AND(B417&gt;=_TM1,B417&lt;=_TM2,OR(TH!L417="1111",TH!M417="1111")),TH!D417,""),"")</f>
        <v/>
      </c>
      <c r="B417" s="36" t="str">
        <f t="shared" si="24"/>
        <v/>
      </c>
      <c r="C417" s="37"/>
      <c r="D417" s="194"/>
      <c r="E417" s="37"/>
      <c r="F417" s="40"/>
      <c r="G417" s="626"/>
      <c r="H417" s="7"/>
      <c r="I417" s="276"/>
      <c r="J417" s="276"/>
      <c r="K417" s="748"/>
      <c r="L417" s="39"/>
      <c r="M417" s="749"/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/>
      </c>
    </row>
    <row r="418" spans="1:30" s="225" customFormat="1" ht="15.75" customHeight="1">
      <c r="A418" s="218" t="str">
        <f>IF(B418&lt;&gt;"",IF(AND(B418&gt;=_TM1,B418&lt;=_TM2,OR(TH!L418="1111",TH!M418="1111")),TH!D418,""),"")</f>
        <v/>
      </c>
      <c r="B418" s="36" t="str">
        <f t="shared" si="24"/>
        <v/>
      </c>
      <c r="C418" s="37"/>
      <c r="D418" s="194"/>
      <c r="E418" s="37"/>
      <c r="F418" s="40"/>
      <c r="G418" s="626"/>
      <c r="H418" s="7"/>
      <c r="I418" s="276"/>
      <c r="J418" s="276"/>
      <c r="K418" s="748"/>
      <c r="L418" s="39"/>
      <c r="M418" s="749"/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/>
      </c>
    </row>
    <row r="419" spans="1:30" s="225" customFormat="1" ht="15.75" customHeight="1">
      <c r="A419" s="218" t="str">
        <f>IF(B419&lt;&gt;"",IF(AND(B419&gt;=_TM1,B419&lt;=_TM2,OR(TH!L419="1111",TH!M419="1111")),TH!D419,""),"")</f>
        <v/>
      </c>
      <c r="B419" s="36" t="str">
        <f t="shared" si="24"/>
        <v/>
      </c>
      <c r="C419" s="37"/>
      <c r="D419" s="194"/>
      <c r="E419" s="37"/>
      <c r="F419" s="40"/>
      <c r="G419" s="626"/>
      <c r="H419" s="7"/>
      <c r="I419" s="276"/>
      <c r="J419" s="276"/>
      <c r="K419" s="38"/>
      <c r="L419" s="39"/>
      <c r="M419" s="749"/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/>
      </c>
    </row>
    <row r="420" spans="1:30" s="225" customFormat="1" ht="15.75" customHeight="1">
      <c r="A420" s="218" t="str">
        <f>IF(B420&lt;&gt;"",IF(AND(B420&gt;=_TM1,B420&lt;=_TM2,OR(TH!L420="1111",TH!M420="1111")),TH!D420,""),"")</f>
        <v/>
      </c>
      <c r="B420" s="36" t="str">
        <f t="shared" si="24"/>
        <v/>
      </c>
      <c r="C420" s="194"/>
      <c r="D420" s="194"/>
      <c r="E420" s="194"/>
      <c r="F420" s="202"/>
      <c r="G420" s="750"/>
      <c r="H420" s="7"/>
      <c r="I420" s="276"/>
      <c r="J420" s="276"/>
      <c r="K420" s="748"/>
      <c r="L420" s="749"/>
      <c r="M420" s="749"/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/>
      </c>
      <c r="AB420" s="739"/>
      <c r="AD420" s="739"/>
    </row>
    <row r="421" spans="1:30" s="225" customFormat="1" ht="15.75" customHeight="1">
      <c r="A421" s="218" t="str">
        <f>IF(B421&lt;&gt;"",IF(AND(B421&gt;=_TM1,B421&lt;=_TM2,OR(TH!L421="1111",TH!M421="1111")),TH!D421,""),"")</f>
        <v/>
      </c>
      <c r="B421" s="36" t="str">
        <f t="shared" si="24"/>
        <v/>
      </c>
      <c r="C421" s="194"/>
      <c r="D421" s="194"/>
      <c r="E421" s="194"/>
      <c r="F421" s="202"/>
      <c r="G421" s="750"/>
      <c r="H421" s="7"/>
      <c r="I421" s="276"/>
      <c r="J421" s="276"/>
      <c r="K421" s="748"/>
      <c r="L421" s="749"/>
      <c r="M421" s="749"/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/>
      </c>
      <c r="AB421" s="739"/>
      <c r="AD421" s="739"/>
    </row>
    <row r="422" spans="1:30" s="751" customFormat="1" ht="15.75" customHeight="1">
      <c r="A422" s="218" t="str">
        <f>IF(B422&lt;&gt;"",IF(AND(B422&gt;=_TM1,B422&lt;=_TM2,OR(TH!L422="1111",TH!M422="1111")),TH!D422,""),"")</f>
        <v/>
      </c>
      <c r="B422" s="36" t="str">
        <f t="shared" si="24"/>
        <v/>
      </c>
      <c r="C422" s="194"/>
      <c r="D422" s="194"/>
      <c r="E422" s="194"/>
      <c r="F422" s="202"/>
      <c r="G422" s="750"/>
      <c r="H422" s="7"/>
      <c r="I422" s="276"/>
      <c r="J422" s="276"/>
      <c r="K422" s="748"/>
      <c r="L422" s="749"/>
      <c r="M422" s="749"/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/>
      </c>
      <c r="AB422" s="739"/>
      <c r="AC422" s="225"/>
      <c r="AD422" s="739"/>
    </row>
    <row r="423" spans="1:30" s="225" customFormat="1" ht="15.75" customHeight="1">
      <c r="A423" s="218" t="str">
        <f>IF(B423&lt;&gt;"",IF(AND(B423&gt;=_TM1,B423&lt;=_TM2,OR(TH!L423="1111",TH!M423="1111")),TH!D423,""),"")</f>
        <v/>
      </c>
      <c r="B423" s="36" t="str">
        <f t="shared" si="24"/>
        <v/>
      </c>
      <c r="C423" s="194"/>
      <c r="D423" s="194"/>
      <c r="E423" s="194"/>
      <c r="F423" s="202"/>
      <c r="G423" s="750"/>
      <c r="H423" s="7"/>
      <c r="I423" s="276"/>
      <c r="J423" s="276"/>
      <c r="K423" s="748"/>
      <c r="L423" s="749"/>
      <c r="M423" s="749"/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/>
      </c>
      <c r="AB423" s="739"/>
      <c r="AC423" s="739"/>
      <c r="AD423" s="739"/>
    </row>
    <row r="424" spans="1:30" s="225" customFormat="1" ht="15.75" customHeight="1">
      <c r="A424" s="218" t="str">
        <f>IF(B424&lt;&gt;"",IF(AND(B424&gt;=_TM1,B424&lt;=_TM2,OR(TH!L424="1111",TH!M424="1111")),TH!D424,""),"")</f>
        <v/>
      </c>
      <c r="B424" s="36" t="str">
        <f t="shared" si="24"/>
        <v/>
      </c>
      <c r="C424" s="37"/>
      <c r="D424" s="194"/>
      <c r="E424" s="37"/>
      <c r="F424" s="40"/>
      <c r="G424" s="626"/>
      <c r="H424" s="7"/>
      <c r="I424" s="277"/>
      <c r="J424" s="277"/>
      <c r="K424" s="748"/>
      <c r="L424" s="39"/>
      <c r="M424" s="749"/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/>
      </c>
    </row>
    <row r="425" spans="1:30" s="225" customFormat="1" ht="15.75" customHeight="1">
      <c r="A425" s="218" t="str">
        <f>IF(B425&lt;&gt;"",IF(AND(B425&gt;=_TM1,B425&lt;=_TM2,OR(TH!L425="1111",TH!M425="1111")),TH!D425,""),"")</f>
        <v/>
      </c>
      <c r="B425" s="36" t="str">
        <f t="shared" si="24"/>
        <v/>
      </c>
      <c r="C425" s="37"/>
      <c r="D425" s="194"/>
      <c r="E425" s="37"/>
      <c r="F425" s="40"/>
      <c r="G425" s="626"/>
      <c r="H425" s="7"/>
      <c r="I425" s="277"/>
      <c r="J425" s="277"/>
      <c r="K425" s="38"/>
      <c r="L425" s="39"/>
      <c r="M425" s="749"/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/>
      </c>
    </row>
    <row r="426" spans="1:30" s="225" customFormat="1" ht="15.75" customHeight="1">
      <c r="A426" s="218" t="str">
        <f>IF(B426&lt;&gt;"",IF(AND(B426&gt;=_TM1,B426&lt;=_TM2,OR(TH!L426="1111",TH!M426="1111")),TH!D426,""),"")</f>
        <v/>
      </c>
      <c r="B426" s="36" t="str">
        <f t="shared" si="24"/>
        <v/>
      </c>
      <c r="C426" s="194"/>
      <c r="D426" s="194"/>
      <c r="E426" s="194"/>
      <c r="F426" s="202"/>
      <c r="G426" s="750"/>
      <c r="H426" s="7"/>
      <c r="I426" s="276"/>
      <c r="J426" s="276"/>
      <c r="K426" s="748"/>
      <c r="L426" s="749"/>
      <c r="M426" s="749"/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/>
      </c>
      <c r="AB426" s="739"/>
      <c r="AC426" s="739"/>
    </row>
    <row r="427" spans="1:30" s="225" customFormat="1" ht="15.75" customHeight="1">
      <c r="A427" s="218" t="str">
        <f>IF(B427&lt;&gt;"",IF(AND(B427&gt;=_TM1,B427&lt;=_TM2,OR(TH!L427="1111",TH!M427="1111")),TH!D427,""),"")</f>
        <v/>
      </c>
      <c r="B427" s="36" t="str">
        <f t="shared" si="24"/>
        <v/>
      </c>
      <c r="C427" s="37"/>
      <c r="D427" s="37"/>
      <c r="E427" s="37"/>
      <c r="F427" s="40"/>
      <c r="G427" s="626"/>
      <c r="H427" s="47"/>
      <c r="I427" s="276"/>
      <c r="J427" s="276"/>
      <c r="K427" s="38"/>
      <c r="L427" s="39"/>
      <c r="M427" s="39"/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/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/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/>
      </c>
    </row>
    <row r="428" spans="1:30" s="225" customFormat="1" ht="15.75" customHeight="1">
      <c r="A428" s="218" t="str">
        <f>IF(B428&lt;&gt;"",IF(AND(B428&gt;=_TM1,B428&lt;=_TM2,OR(TH!L428="1111",TH!M428="1111")),TH!D428,""),"")</f>
        <v/>
      </c>
      <c r="B428" s="36" t="str">
        <f t="shared" si="24"/>
        <v/>
      </c>
      <c r="C428" s="37"/>
      <c r="D428" s="37"/>
      <c r="E428" s="37"/>
      <c r="F428" s="40"/>
      <c r="G428" s="626"/>
      <c r="H428" s="47"/>
      <c r="I428" s="276"/>
      <c r="J428" s="276"/>
      <c r="K428" s="38"/>
      <c r="L428" s="39"/>
      <c r="M428" s="39"/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/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/>
      </c>
    </row>
    <row r="429" spans="1:30" s="225" customFormat="1" ht="15.75" customHeight="1">
      <c r="A429" s="218" t="str">
        <f>IF(B429&lt;&gt;"",IF(AND(B429&gt;=_TM1,B429&lt;=_TM2,OR(TH!L429="1111",TH!M429="1111")),TH!D429,""),"")</f>
        <v/>
      </c>
      <c r="B429" s="36" t="str">
        <f t="shared" si="24"/>
        <v/>
      </c>
      <c r="C429" s="194"/>
      <c r="D429" s="194"/>
      <c r="E429" s="194"/>
      <c r="F429" s="202"/>
      <c r="G429" s="750"/>
      <c r="H429" s="769"/>
      <c r="I429" s="276"/>
      <c r="J429" s="276"/>
      <c r="K429" s="748"/>
      <c r="L429" s="749"/>
      <c r="M429" s="749"/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/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/>
      </c>
      <c r="AB429" s="739"/>
      <c r="AC429" s="739"/>
    </row>
    <row r="430" spans="1:30" s="225" customFormat="1" ht="15.75" customHeight="1">
      <c r="A430" s="218" t="str">
        <f>IF(B430&lt;&gt;"",IF(AND(B430&gt;=_TM1,B430&lt;=_TM2,OR(TH!L430="1111",TH!M430="1111")),TH!D430,""),"")</f>
        <v/>
      </c>
      <c r="B430" s="36" t="str">
        <f t="shared" si="24"/>
        <v/>
      </c>
      <c r="C430" s="37"/>
      <c r="D430" s="37"/>
      <c r="E430" s="37"/>
      <c r="F430" s="40"/>
      <c r="G430" s="626"/>
      <c r="H430" s="45"/>
      <c r="I430" s="276"/>
      <c r="J430" s="276"/>
      <c r="K430" s="748"/>
      <c r="L430" s="39"/>
      <c r="M430" s="39"/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/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/>
      </c>
    </row>
    <row r="431" spans="1:30" s="225" customFormat="1" ht="15.75" customHeight="1">
      <c r="A431" s="218" t="str">
        <f>IF(B431&lt;&gt;"",IF(AND(B431&gt;=_TM1,B431&lt;=_TM2,OR(TH!L431="1111",TH!M431="1111")),TH!D431,""),"")</f>
        <v/>
      </c>
      <c r="B431" s="36" t="str">
        <f t="shared" si="24"/>
        <v/>
      </c>
      <c r="C431" s="37"/>
      <c r="D431" s="37"/>
      <c r="E431" s="37"/>
      <c r="F431" s="40"/>
      <c r="G431" s="626"/>
      <c r="H431" s="45"/>
      <c r="I431" s="276"/>
      <c r="J431" s="276"/>
      <c r="K431" s="748"/>
      <c r="L431" s="39"/>
      <c r="M431" s="39"/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/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/>
      </c>
    </row>
    <row r="432" spans="1:30" s="225" customFormat="1" ht="15.75" customHeight="1">
      <c r="A432" s="218" t="str">
        <f>IF(B432&lt;&gt;"",IF(AND(B432&gt;=_TM1,B432&lt;=_TM2,OR(TH!L432="1111",TH!M432="1111")),TH!D432,""),"")</f>
        <v/>
      </c>
      <c r="B432" s="36" t="str">
        <f t="shared" si="24"/>
        <v/>
      </c>
      <c r="C432" s="37"/>
      <c r="D432" s="37"/>
      <c r="E432" s="37"/>
      <c r="F432" s="40"/>
      <c r="G432" s="626"/>
      <c r="H432" s="45"/>
      <c r="I432" s="276"/>
      <c r="J432" s="276"/>
      <c r="K432" s="38"/>
      <c r="L432" s="39"/>
      <c r="M432" s="39"/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/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/>
      </c>
    </row>
    <row r="433" spans="1:29" s="225" customFormat="1" ht="15.75" customHeight="1">
      <c r="A433" s="218" t="str">
        <f>IF(B433&lt;&gt;"",IF(AND(B433&gt;=_TM1,B433&lt;=_TM2,OR(TH!L433="1111",TH!M433="1111")),TH!D433,""),"")</f>
        <v/>
      </c>
      <c r="B433" s="36" t="str">
        <f t="shared" ref="B433" si="25">IF(C433&lt;&gt;"",MONTH(C433),"")</f>
        <v/>
      </c>
      <c r="C433" s="37"/>
      <c r="D433" s="37"/>
      <c r="E433" s="37"/>
      <c r="F433" s="40"/>
      <c r="G433" s="40"/>
      <c r="H433" s="45"/>
      <c r="I433" s="276"/>
      <c r="J433" s="276"/>
      <c r="K433" s="38"/>
      <c r="L433" s="39"/>
      <c r="M433" s="39"/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/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/>
      </c>
    </row>
    <row r="434" spans="1:29" s="225" customFormat="1" ht="15.75" customHeight="1">
      <c r="A434" s="218" t="str">
        <f>IF(B434&lt;&gt;"",IF(AND(B434&gt;=_TM1,B434&lt;=_TM2,OR(TH!L434="1111",TH!M434="1111")),TH!D434,""),"")</f>
        <v/>
      </c>
      <c r="B434" s="36" t="str">
        <f t="shared" ref="B434:B497" si="26">IF(C434&lt;&gt;"",MONTH(C434),"")</f>
        <v/>
      </c>
      <c r="C434" s="37"/>
      <c r="D434" s="194"/>
      <c r="E434" s="37"/>
      <c r="F434" s="40"/>
      <c r="G434" s="40"/>
      <c r="H434" s="45"/>
      <c r="I434" s="276"/>
      <c r="J434" s="276"/>
      <c r="K434" s="38"/>
      <c r="L434" s="39"/>
      <c r="M434" s="749"/>
      <c r="N434" s="55" t="str">
        <f>IF(AND('331-CT'!$E$7=TH!H434,OR(L434="331",M434="331")),"x","")</f>
        <v/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/>
      </c>
    </row>
    <row r="435" spans="1:29" s="225" customFormat="1" ht="15.75" customHeight="1">
      <c r="A435" s="218" t="str">
        <f>IF(B435&lt;&gt;"",IF(AND(B435&gt;=_TM1,B435&lt;=_TM2,OR(TH!L435="1111",TH!M435="1111")),TH!D435,""),"")</f>
        <v/>
      </c>
      <c r="B435" s="36" t="str">
        <f t="shared" si="26"/>
        <v/>
      </c>
      <c r="C435" s="37"/>
      <c r="D435" s="194"/>
      <c r="E435" s="37"/>
      <c r="F435" s="40"/>
      <c r="G435" s="40"/>
      <c r="H435" s="45"/>
      <c r="I435" s="276"/>
      <c r="J435" s="276"/>
      <c r="K435" s="38"/>
      <c r="L435" s="39"/>
      <c r="M435" s="749"/>
      <c r="N435" s="55" t="str">
        <f>IF(AND('331-CT'!$E$7=TH!H435,OR(L435="331",M435="331")),"x","")</f>
        <v/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/>
      </c>
    </row>
    <row r="436" spans="1:29" s="225" customFormat="1" ht="15.75" customHeight="1">
      <c r="A436" s="218" t="str">
        <f>IF(B436&lt;&gt;"",IF(AND(B436&gt;=_TM1,B436&lt;=_TM2,OR(TH!L436="1111",TH!M436="1111")),TH!D436,""),"")</f>
        <v/>
      </c>
      <c r="B436" s="36" t="str">
        <f t="shared" si="26"/>
        <v/>
      </c>
      <c r="C436" s="37"/>
      <c r="D436" s="194"/>
      <c r="E436" s="37"/>
      <c r="F436" s="40"/>
      <c r="G436" s="40"/>
      <c r="H436" s="45"/>
      <c r="I436" s="276"/>
      <c r="J436" s="276"/>
      <c r="K436" s="38"/>
      <c r="L436" s="39"/>
      <c r="M436" s="749"/>
      <c r="N436" s="55" t="str">
        <f>IF(AND('331-CT'!$E$7=TH!H436,OR(L436="331",M436="331")),"x","")</f>
        <v/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/>
      </c>
    </row>
    <row r="437" spans="1:29" s="225" customFormat="1" ht="15.75" customHeight="1">
      <c r="A437" s="218" t="str">
        <f>IF(B437&lt;&gt;"",IF(AND(B437&gt;=_TM1,B437&lt;=_TM2,OR(TH!L437="1111",TH!M437="1111")),TH!D437,""),"")</f>
        <v/>
      </c>
      <c r="B437" s="36" t="str">
        <f t="shared" si="26"/>
        <v/>
      </c>
      <c r="C437" s="37"/>
      <c r="D437" s="194"/>
      <c r="E437" s="37"/>
      <c r="F437" s="40"/>
      <c r="G437" s="40"/>
      <c r="H437" s="45"/>
      <c r="I437" s="276"/>
      <c r="J437" s="276"/>
      <c r="K437" s="38"/>
      <c r="L437" s="39"/>
      <c r="M437" s="749"/>
      <c r="N437" s="55" t="str">
        <f>IF(AND('331-CT'!$E$7=TH!H437,OR(L437="331",M437="331")),"x","")</f>
        <v/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/>
      </c>
    </row>
    <row r="438" spans="1:29" s="225" customFormat="1" ht="15.75" customHeight="1">
      <c r="A438" s="218" t="str">
        <f>IF(B438&lt;&gt;"",IF(AND(B438&gt;=_TM1,B438&lt;=_TM2,OR(TH!L438="1111",TH!M438="1111")),TH!D438,""),"")</f>
        <v/>
      </c>
      <c r="B438" s="36" t="str">
        <f t="shared" si="26"/>
        <v/>
      </c>
      <c r="C438" s="37"/>
      <c r="D438" s="194"/>
      <c r="E438" s="37"/>
      <c r="F438" s="40"/>
      <c r="G438" s="40"/>
      <c r="H438" s="45"/>
      <c r="I438" s="276"/>
      <c r="J438" s="276"/>
      <c r="K438" s="38"/>
      <c r="L438" s="39"/>
      <c r="M438" s="749"/>
      <c r="N438" s="55" t="str">
        <f>IF(AND('331-CT'!$E$7=TH!H438,OR(L438="331",M438="331")),"x","")</f>
        <v/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/>
      </c>
    </row>
    <row r="439" spans="1:29" s="225" customFormat="1" ht="15.75" customHeight="1">
      <c r="A439" s="218" t="str">
        <f>IF(B439&lt;&gt;"",IF(AND(B439&gt;=_TM1,B439&lt;=_TM2,OR(TH!L439="1111",TH!M439="1111")),TH!D439,""),"")</f>
        <v/>
      </c>
      <c r="B439" s="36" t="str">
        <f t="shared" si="26"/>
        <v/>
      </c>
      <c r="C439" s="37"/>
      <c r="D439" s="194"/>
      <c r="E439" s="37"/>
      <c r="F439" s="40"/>
      <c r="G439" s="40"/>
      <c r="H439" s="45"/>
      <c r="I439" s="276"/>
      <c r="J439" s="276"/>
      <c r="K439" s="38"/>
      <c r="L439" s="39"/>
      <c r="M439" s="749"/>
      <c r="N439" s="55" t="str">
        <f>IF(AND('331-CT'!$E$7=TH!H439,OR(L439="331",M439="331")),"x","")</f>
        <v/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/>
      </c>
    </row>
    <row r="440" spans="1:29" s="751" customFormat="1" ht="15.75" customHeight="1">
      <c r="A440" s="218" t="str">
        <f>IF(B440&lt;&gt;"",IF(AND(B440&gt;=_TM1,B440&lt;=_TM2,OR(TH!L440="1111",TH!M440="1111")),TH!D440,""),"")</f>
        <v/>
      </c>
      <c r="B440" s="36" t="str">
        <f t="shared" si="26"/>
        <v/>
      </c>
      <c r="C440" s="37"/>
      <c r="D440" s="194"/>
      <c r="E440" s="37"/>
      <c r="F440" s="40"/>
      <c r="G440" s="40"/>
      <c r="H440" s="7"/>
      <c r="I440" s="279"/>
      <c r="J440" s="279"/>
      <c r="K440" s="38"/>
      <c r="L440" s="39"/>
      <c r="M440" s="749"/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/>
      </c>
      <c r="AC440" s="225"/>
    </row>
    <row r="441" spans="1:29" s="751" customFormat="1" ht="15.75" customHeight="1">
      <c r="A441" s="218" t="str">
        <f>IF(B441&lt;&gt;"",IF(AND(B441&gt;=_TM1,B441&lt;=_TM2,OR(TH!L441="1111",TH!M441="1111")),TH!D441,""),"")</f>
        <v/>
      </c>
      <c r="B441" s="36" t="str">
        <f t="shared" si="26"/>
        <v/>
      </c>
      <c r="C441" s="37"/>
      <c r="D441" s="194"/>
      <c r="E441" s="37"/>
      <c r="F441" s="40"/>
      <c r="G441" s="40"/>
      <c r="H441" s="7"/>
      <c r="I441" s="279"/>
      <c r="J441" s="279"/>
      <c r="K441" s="38"/>
      <c r="L441" s="39"/>
      <c r="M441" s="749"/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/>
      </c>
      <c r="AC441" s="225"/>
    </row>
    <row r="442" spans="1:29" s="751" customFormat="1" ht="15.75" customHeight="1">
      <c r="A442" s="218" t="str">
        <f>IF(B442&lt;&gt;"",IF(AND(B442&gt;=_TM1,B442&lt;=_TM2,OR(TH!L442="1111",TH!M442="1111")),TH!D442,""),"")</f>
        <v/>
      </c>
      <c r="B442" s="36" t="str">
        <f t="shared" si="26"/>
        <v/>
      </c>
      <c r="C442" s="37"/>
      <c r="D442" s="194"/>
      <c r="E442" s="37"/>
      <c r="F442" s="40"/>
      <c r="G442" s="40"/>
      <c r="H442" s="7"/>
      <c r="I442" s="276"/>
      <c r="J442" s="276"/>
      <c r="K442" s="38"/>
      <c r="L442" s="39"/>
      <c r="M442" s="749"/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/>
      </c>
    </row>
    <row r="443" spans="1:29" s="225" customFormat="1" ht="15.75" customHeight="1">
      <c r="A443" s="218" t="str">
        <f>IF(B443&lt;&gt;"",IF(AND(B443&gt;=_TM1,B443&lt;=_TM2,OR(TH!L443="1111",TH!M443="1111")),TH!D443,""),"")</f>
        <v/>
      </c>
      <c r="B443" s="36" t="str">
        <f t="shared" si="26"/>
        <v/>
      </c>
      <c r="C443" s="37"/>
      <c r="D443" s="194"/>
      <c r="E443" s="37"/>
      <c r="F443" s="40"/>
      <c r="G443" s="40"/>
      <c r="H443" s="7"/>
      <c r="I443" s="277"/>
      <c r="J443" s="277"/>
      <c r="K443" s="38"/>
      <c r="L443" s="39"/>
      <c r="M443" s="749"/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/>
      </c>
    </row>
    <row r="444" spans="1:29" s="225" customFormat="1" ht="15.75" customHeight="1">
      <c r="A444" s="218" t="str">
        <f>IF(B444&lt;&gt;"",IF(AND(B444&gt;=_TM1,B444&lt;=_TM2,OR(TH!L444="1111",TH!M444="1111")),TH!D444,""),"")</f>
        <v/>
      </c>
      <c r="B444" s="36" t="str">
        <f t="shared" si="26"/>
        <v/>
      </c>
      <c r="C444" s="37"/>
      <c r="D444" s="194"/>
      <c r="E444" s="37"/>
      <c r="F444" s="40"/>
      <c r="G444" s="40"/>
      <c r="H444" s="7"/>
      <c r="I444" s="276"/>
      <c r="J444" s="276"/>
      <c r="K444" s="38"/>
      <c r="L444" s="39"/>
      <c r="M444" s="749"/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/>
      </c>
    </row>
    <row r="445" spans="1:29" s="225" customFormat="1" ht="15.75" customHeight="1">
      <c r="A445" s="218" t="str">
        <f>IF(B445&lt;&gt;"",IF(AND(B445&gt;=_TM1,B445&lt;=_TM2,OR(TH!L445="1111",TH!M445="1111")),TH!D445,""),"")</f>
        <v/>
      </c>
      <c r="B445" s="36" t="str">
        <f t="shared" si="26"/>
        <v/>
      </c>
      <c r="C445" s="37"/>
      <c r="D445" s="194"/>
      <c r="E445" s="204"/>
      <c r="F445" s="205"/>
      <c r="G445" s="40"/>
      <c r="H445" s="7"/>
      <c r="I445" s="276"/>
      <c r="J445" s="276"/>
      <c r="K445" s="38"/>
      <c r="L445" s="207"/>
      <c r="M445" s="749"/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/>
      </c>
    </row>
    <row r="446" spans="1:29" s="225" customFormat="1" ht="15.75" customHeight="1">
      <c r="A446" s="218" t="str">
        <f>IF(B446&lt;&gt;"",IF(AND(B446&gt;=_TM1,B446&lt;=_TM2,OR(TH!L446="1111",TH!M446="1111")),TH!D446,""),"")</f>
        <v/>
      </c>
      <c r="B446" s="36" t="str">
        <f t="shared" si="26"/>
        <v/>
      </c>
      <c r="C446" s="37"/>
      <c r="D446" s="194"/>
      <c r="E446" s="204"/>
      <c r="F446" s="205"/>
      <c r="G446" s="40"/>
      <c r="H446" s="7"/>
      <c r="I446" s="276"/>
      <c r="J446" s="276"/>
      <c r="K446" s="38"/>
      <c r="L446" s="207"/>
      <c r="M446" s="749"/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/>
      </c>
    </row>
    <row r="447" spans="1:29" s="225" customFormat="1" ht="15.75" customHeight="1">
      <c r="A447" s="218" t="str">
        <f>IF(B447&lt;&gt;"",IF(AND(B447&gt;=_TM1,B447&lt;=_TM2,OR(TH!L447="1111",TH!M447="1111")),TH!D447,""),"")</f>
        <v/>
      </c>
      <c r="B447" s="36" t="str">
        <f t="shared" si="26"/>
        <v/>
      </c>
      <c r="C447" s="37"/>
      <c r="D447" s="37"/>
      <c r="E447" s="204"/>
      <c r="F447" s="40"/>
      <c r="G447" s="40"/>
      <c r="H447" s="224"/>
      <c r="I447" s="276"/>
      <c r="J447" s="276"/>
      <c r="K447" s="38"/>
      <c r="L447" s="39"/>
      <c r="M447" s="749"/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/>
      </c>
    </row>
    <row r="448" spans="1:29" s="225" customFormat="1" ht="15.75" customHeight="1">
      <c r="A448" s="218" t="str">
        <f>IF(B448&lt;&gt;"",IF(AND(B448&gt;=_TM1,B448&lt;=_TM2,OR(TH!L448="1111",TH!M448="1111")),TH!D448,""),"")</f>
        <v/>
      </c>
      <c r="B448" s="36" t="str">
        <f t="shared" si="26"/>
        <v/>
      </c>
      <c r="C448" s="37"/>
      <c r="D448" s="37"/>
      <c r="E448" s="204"/>
      <c r="F448" s="40"/>
      <c r="G448" s="40"/>
      <c r="H448" s="224"/>
      <c r="I448" s="276"/>
      <c r="J448" s="276"/>
      <c r="K448" s="38"/>
      <c r="L448" s="39"/>
      <c r="M448" s="749"/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/>
      </c>
    </row>
    <row r="449" spans="1:27" s="225" customFormat="1" ht="15.75" customHeight="1">
      <c r="A449" s="218" t="str">
        <f>IF(B449&lt;&gt;"",IF(AND(B449&gt;=_TM1,B449&lt;=_TM2,OR(TH!L449="1111",TH!M449="1111")),TH!D449,""),"")</f>
        <v/>
      </c>
      <c r="B449" s="36" t="str">
        <f t="shared" si="26"/>
        <v/>
      </c>
      <c r="C449" s="37"/>
      <c r="D449" s="194"/>
      <c r="E449" s="37"/>
      <c r="F449" s="40"/>
      <c r="G449" s="40"/>
      <c r="H449" s="45"/>
      <c r="I449" s="276"/>
      <c r="J449" s="276"/>
      <c r="K449" s="38"/>
      <c r="L449" s="39"/>
      <c r="M449" s="749"/>
      <c r="N449" s="55" t="str">
        <f>IF(AND('331-CT'!$E$7=TH!H449,OR(L449="331",M449="331")),"x","")</f>
        <v/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/>
      </c>
    </row>
    <row r="450" spans="1:27" s="225" customFormat="1" ht="15.75" customHeight="1">
      <c r="A450" s="218" t="str">
        <f>IF(B450&lt;&gt;"",IF(AND(B450&gt;=_TM1,B450&lt;=_TM2,OR(TH!L450="1111",TH!M450="1111")),TH!D450,""),"")</f>
        <v/>
      </c>
      <c r="B450" s="36" t="str">
        <f t="shared" si="26"/>
        <v/>
      </c>
      <c r="C450" s="37"/>
      <c r="D450" s="194"/>
      <c r="E450" s="37"/>
      <c r="F450" s="40"/>
      <c r="G450" s="40"/>
      <c r="H450" s="224"/>
      <c r="I450" s="277"/>
      <c r="J450" s="277"/>
      <c r="K450" s="38"/>
      <c r="L450" s="39"/>
      <c r="M450" s="749"/>
      <c r="N450" s="55" t="str">
        <f>IF(AND('331-CT'!$E$7=TH!H450,OR(L450="331",M450="331")),"x","")</f>
        <v/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/>
      </c>
    </row>
    <row r="451" spans="1:27" s="225" customFormat="1" ht="15.75" customHeight="1">
      <c r="A451" s="218" t="str">
        <f>IF(B451&lt;&gt;"",IF(AND(B451&gt;=_TM1,B451&lt;=_TM2,OR(TH!L451="1111",TH!M451="1111")),TH!D451,""),"")</f>
        <v/>
      </c>
      <c r="B451" s="36" t="str">
        <f t="shared" si="26"/>
        <v/>
      </c>
      <c r="C451" s="37"/>
      <c r="D451" s="194"/>
      <c r="E451" s="37"/>
      <c r="F451" s="40"/>
      <c r="G451" s="40"/>
      <c r="H451" s="45"/>
      <c r="I451" s="276"/>
      <c r="J451" s="276"/>
      <c r="K451" s="38"/>
      <c r="L451" s="39"/>
      <c r="M451" s="749"/>
      <c r="N451" s="55" t="str">
        <f>IF(AND('331-CT'!$E$7=TH!H451,OR(L451="331",M451="331")),"x","")</f>
        <v/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/>
      </c>
    </row>
    <row r="452" spans="1:27" s="225" customFormat="1" ht="15.75" customHeight="1">
      <c r="A452" s="218" t="str">
        <f>IF(B452&lt;&gt;"",IF(AND(B452&gt;=_TM1,B452&lt;=_TM2,OR(TH!L452="1111",TH!M452="1111")),TH!D452,""),"")</f>
        <v/>
      </c>
      <c r="B452" s="36" t="str">
        <f t="shared" si="26"/>
        <v/>
      </c>
      <c r="C452" s="37"/>
      <c r="D452" s="194"/>
      <c r="E452" s="37"/>
      <c r="F452" s="40"/>
      <c r="G452" s="40"/>
      <c r="H452" s="45"/>
      <c r="I452" s="276"/>
      <c r="J452" s="276"/>
      <c r="K452" s="38"/>
      <c r="L452" s="39"/>
      <c r="M452" s="749"/>
      <c r="N452" s="55" t="str">
        <f>IF(AND('331-CT'!$E$7=TH!H452,OR(L452="331",M452="331")),"x","")</f>
        <v/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/>
      </c>
    </row>
    <row r="453" spans="1:27" s="225" customFormat="1" ht="15.75" customHeight="1">
      <c r="A453" s="218" t="str">
        <f>IF(B453&lt;&gt;"",IF(AND(B453&gt;=_TM1,B453&lt;=_TM2,OR(TH!L453="1111",TH!M453="1111")),TH!D453,""),"")</f>
        <v/>
      </c>
      <c r="B453" s="36" t="str">
        <f t="shared" si="26"/>
        <v/>
      </c>
      <c r="C453" s="37"/>
      <c r="D453" s="194"/>
      <c r="E453" s="37"/>
      <c r="F453" s="40"/>
      <c r="G453" s="40"/>
      <c r="H453" s="45"/>
      <c r="I453" s="276"/>
      <c r="J453" s="276"/>
      <c r="K453" s="38"/>
      <c r="L453" s="39"/>
      <c r="M453" s="749"/>
      <c r="N453" s="55" t="str">
        <f>IF(AND('331-CT'!$E$7=TH!H453,OR(L453="331",M453="331")),"x","")</f>
        <v/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/>
      </c>
    </row>
    <row r="454" spans="1:27" s="225" customFormat="1" ht="15.75" customHeight="1">
      <c r="A454" s="218" t="str">
        <f>IF(B454&lt;&gt;"",IF(AND(B454&gt;=_TM1,B454&lt;=_TM2,OR(TH!L454="1111",TH!M454="1111")),TH!D454,""),"")</f>
        <v/>
      </c>
      <c r="B454" s="36" t="str">
        <f t="shared" si="26"/>
        <v/>
      </c>
      <c r="C454" s="37"/>
      <c r="D454" s="194"/>
      <c r="E454" s="37"/>
      <c r="F454" s="40"/>
      <c r="G454" s="40"/>
      <c r="H454" s="45"/>
      <c r="I454" s="276"/>
      <c r="J454" s="276"/>
      <c r="K454" s="38"/>
      <c r="L454" s="39"/>
      <c r="M454" s="749"/>
      <c r="N454" s="55" t="str">
        <f>IF(AND('331-CT'!$E$7=TH!H454,OR(L454="331",M454="331")),"x","")</f>
        <v/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/>
      </c>
    </row>
    <row r="455" spans="1:27" s="225" customFormat="1" ht="15.75" customHeight="1">
      <c r="A455" s="218" t="str">
        <f>IF(B455&lt;&gt;"",IF(AND(B455&gt;=_TM1,B455&lt;=_TM2,OR(TH!L455="1111",TH!M455="1111")),TH!D455,""),"")</f>
        <v/>
      </c>
      <c r="B455" s="36" t="str">
        <f t="shared" si="26"/>
        <v/>
      </c>
      <c r="C455" s="37"/>
      <c r="D455" s="194"/>
      <c r="E455" s="37"/>
      <c r="F455" s="40"/>
      <c r="G455" s="40"/>
      <c r="H455" s="45"/>
      <c r="I455" s="276"/>
      <c r="J455" s="276"/>
      <c r="K455" s="38"/>
      <c r="L455" s="39"/>
      <c r="M455" s="749"/>
      <c r="N455" s="55" t="str">
        <f>IF(AND('331-CT'!$E$7=TH!H455,OR(L455="331",M455="331")),"x","")</f>
        <v/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/>
      </c>
    </row>
    <row r="456" spans="1:27" s="225" customFormat="1" ht="15.75" customHeight="1">
      <c r="A456" s="218" t="str">
        <f>IF(B456&lt;&gt;"",IF(AND(B456&gt;=_TM1,B456&lt;=_TM2,OR(TH!L456="1111",TH!M456="1111")),TH!D456,""),"")</f>
        <v/>
      </c>
      <c r="B456" s="36" t="str">
        <f t="shared" si="26"/>
        <v/>
      </c>
      <c r="C456" s="37"/>
      <c r="D456" s="194"/>
      <c r="E456" s="37"/>
      <c r="F456" s="40"/>
      <c r="G456" s="40"/>
      <c r="H456" s="45"/>
      <c r="I456" s="276"/>
      <c r="J456" s="276"/>
      <c r="K456" s="38"/>
      <c r="L456" s="39"/>
      <c r="M456" s="749"/>
      <c r="N456" s="55" t="str">
        <f>IF(AND('331-CT'!$E$7=TH!H456,OR(L456="331",M456="331")),"x","")</f>
        <v/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/>
      </c>
    </row>
    <row r="457" spans="1:27" s="225" customFormat="1" ht="15.75" customHeight="1">
      <c r="A457" s="218" t="str">
        <f>IF(B457&lt;&gt;"",IF(AND(B457&gt;=_TM1,B457&lt;=_TM2,OR(TH!L457="1111",TH!M457="1111")),TH!D457,""),"")</f>
        <v/>
      </c>
      <c r="B457" s="36" t="str">
        <f t="shared" si="26"/>
        <v/>
      </c>
      <c r="C457" s="37"/>
      <c r="D457" s="194"/>
      <c r="E457" s="37"/>
      <c r="F457" s="40"/>
      <c r="G457" s="40"/>
      <c r="H457" s="7"/>
      <c r="I457" s="276"/>
      <c r="J457" s="276"/>
      <c r="K457" s="38"/>
      <c r="L457" s="39"/>
      <c r="M457" s="749"/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/>
      </c>
    </row>
    <row r="458" spans="1:27" s="225" customFormat="1" ht="15.75" customHeight="1">
      <c r="A458" s="218" t="str">
        <f>IF(B458&lt;&gt;"",IF(AND(B458&gt;=_TM1,B458&lt;=_TM2,OR(TH!L458="1111",TH!M458="1111")),TH!D458,""),"")</f>
        <v/>
      </c>
      <c r="B458" s="36" t="str">
        <f t="shared" si="26"/>
        <v/>
      </c>
      <c r="C458" s="37"/>
      <c r="D458" s="194"/>
      <c r="E458" s="37"/>
      <c r="F458" s="40"/>
      <c r="G458" s="40"/>
      <c r="H458" s="7"/>
      <c r="I458" s="276"/>
      <c r="J458" s="276"/>
      <c r="K458" s="38"/>
      <c r="L458" s="39"/>
      <c r="M458" s="749"/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/>
      </c>
    </row>
    <row r="459" spans="1:27" s="225" customFormat="1" ht="15.75" customHeight="1">
      <c r="A459" s="218" t="str">
        <f>IF(B459&lt;&gt;"",IF(AND(B459&gt;=_TM1,B459&lt;=_TM2,OR(TH!L459="1111",TH!M459="1111")),TH!D459,""),"")</f>
        <v/>
      </c>
      <c r="B459" s="36" t="str">
        <f t="shared" si="26"/>
        <v/>
      </c>
      <c r="C459" s="37"/>
      <c r="D459" s="194"/>
      <c r="E459" s="37"/>
      <c r="F459" s="40"/>
      <c r="G459" s="40"/>
      <c r="H459" s="46"/>
      <c r="I459" s="276"/>
      <c r="J459" s="276"/>
      <c r="K459" s="38"/>
      <c r="L459" s="39"/>
      <c r="M459" s="749"/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/>
      </c>
    </row>
    <row r="460" spans="1:27" s="225" customFormat="1" ht="15.75" customHeight="1">
      <c r="A460" s="218" t="str">
        <f>IF(B460&lt;&gt;"",IF(AND(B460&gt;=_TM1,B460&lt;=_TM2,OR(TH!L460="1111",TH!M460="1111")),TH!D460,""),"")</f>
        <v/>
      </c>
      <c r="B460" s="36" t="str">
        <f t="shared" si="26"/>
        <v/>
      </c>
      <c r="C460" s="37"/>
      <c r="D460" s="194"/>
      <c r="E460" s="37"/>
      <c r="F460" s="40"/>
      <c r="G460" s="626"/>
      <c r="H460" s="45"/>
      <c r="I460" s="276"/>
      <c r="J460" s="276"/>
      <c r="K460" s="38"/>
      <c r="L460" s="39"/>
      <c r="M460" s="749"/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/>
      </c>
    </row>
    <row r="461" spans="1:27" s="225" customFormat="1" ht="15.75" customHeight="1">
      <c r="A461" s="218" t="str">
        <f>IF(B461&lt;&gt;"",IF(AND(B461&gt;=_TM1,B461&lt;=_TM2,OR(TH!L461="1111",TH!M461="1111")),TH!D461,""),"")</f>
        <v/>
      </c>
      <c r="B461" s="36" t="str">
        <f t="shared" si="26"/>
        <v/>
      </c>
      <c r="C461" s="37"/>
      <c r="D461" s="194"/>
      <c r="E461" s="37"/>
      <c r="F461" s="40"/>
      <c r="G461" s="626"/>
      <c r="H461" s="45"/>
      <c r="I461" s="276"/>
      <c r="J461" s="276"/>
      <c r="K461" s="38"/>
      <c r="L461" s="39"/>
      <c r="M461" s="749"/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/>
      </c>
    </row>
    <row r="462" spans="1:27" s="225" customFormat="1" ht="15.75" customHeight="1">
      <c r="A462" s="218" t="str">
        <f>IF(B462&lt;&gt;"",IF(AND(B462&gt;=_TM1,B462&lt;=_TM2,OR(TH!L462="1111",TH!M462="1111")),TH!D462,""),"")</f>
        <v/>
      </c>
      <c r="B462" s="36" t="str">
        <f t="shared" si="26"/>
        <v/>
      </c>
      <c r="C462" s="37"/>
      <c r="D462" s="37"/>
      <c r="E462" s="37"/>
      <c r="F462" s="40"/>
      <c r="G462" s="40"/>
      <c r="H462" s="40"/>
      <c r="I462" s="276"/>
      <c r="J462" s="276"/>
      <c r="K462" s="38"/>
      <c r="L462" s="39"/>
      <c r="M462" s="39"/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/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/>
      </c>
    </row>
    <row r="463" spans="1:27" s="225" customFormat="1" ht="15.75" customHeight="1">
      <c r="A463" s="218" t="str">
        <f>IF(B463&lt;&gt;"",IF(AND(B463&gt;=_TM1,B463&lt;=_TM2,OR(TH!L463="1111",TH!M463="1111")),TH!D463,""),"")</f>
        <v/>
      </c>
      <c r="B463" s="36" t="str">
        <f t="shared" si="26"/>
        <v/>
      </c>
      <c r="C463" s="37"/>
      <c r="D463" s="194"/>
      <c r="E463" s="37"/>
      <c r="F463" s="40"/>
      <c r="G463" s="40"/>
      <c r="H463" s="7"/>
      <c r="I463" s="276"/>
      <c r="J463" s="276"/>
      <c r="K463" s="38"/>
      <c r="L463" s="39"/>
      <c r="M463" s="749"/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/>
      </c>
    </row>
    <row r="464" spans="1:27" s="225" customFormat="1" ht="15.75" customHeight="1">
      <c r="A464" s="218" t="str">
        <f>IF(B464&lt;&gt;"",IF(AND(B464&gt;=_TM1,B464&lt;=_TM2,OR(TH!L464="1111",TH!M464="1111")),TH!D464,""),"")</f>
        <v/>
      </c>
      <c r="B464" s="36" t="str">
        <f t="shared" si="26"/>
        <v/>
      </c>
      <c r="C464" s="37"/>
      <c r="D464" s="194"/>
      <c r="E464" s="37"/>
      <c r="F464" s="40"/>
      <c r="G464" s="40"/>
      <c r="H464" s="7"/>
      <c r="I464" s="276"/>
      <c r="J464" s="276"/>
      <c r="K464" s="38"/>
      <c r="L464" s="39"/>
      <c r="M464" s="749"/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/>
      </c>
    </row>
    <row r="465" spans="1:30" s="225" customFormat="1" ht="15.75" customHeight="1">
      <c r="A465" s="218" t="str">
        <f>IF(B465&lt;&gt;"",IF(AND(B465&gt;=_TM1,B465&lt;=_TM2,OR(TH!L465="1111",TH!M465="1111")),TH!D465,""),"")</f>
        <v/>
      </c>
      <c r="B465" s="36" t="str">
        <f t="shared" si="26"/>
        <v/>
      </c>
      <c r="C465" s="37"/>
      <c r="D465" s="194"/>
      <c r="E465" s="37"/>
      <c r="F465" s="40"/>
      <c r="G465" s="40"/>
      <c r="H465" s="7"/>
      <c r="I465" s="276"/>
      <c r="J465" s="276"/>
      <c r="K465" s="38"/>
      <c r="L465" s="39"/>
      <c r="M465" s="749"/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/>
      </c>
    </row>
    <row r="466" spans="1:30" s="225" customFormat="1" ht="15.75" customHeight="1">
      <c r="A466" s="218" t="str">
        <f>IF(B466&lt;&gt;"",IF(AND(B466&gt;=_TM1,B466&lt;=_TM2,OR(TH!L466="1111",TH!M466="1111")),TH!D466,""),"")</f>
        <v/>
      </c>
      <c r="B466" s="36" t="str">
        <f t="shared" si="26"/>
        <v/>
      </c>
      <c r="C466" s="37"/>
      <c r="D466" s="194"/>
      <c r="E466" s="37"/>
      <c r="F466" s="40"/>
      <c r="G466" s="40"/>
      <c r="H466" s="7"/>
      <c r="I466" s="276"/>
      <c r="J466" s="276"/>
      <c r="K466" s="38"/>
      <c r="L466" s="39"/>
      <c r="M466" s="749"/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/>
      </c>
    </row>
    <row r="467" spans="1:30" s="225" customFormat="1" ht="15.75" customHeight="1">
      <c r="A467" s="218" t="str">
        <f>IF(B467&lt;&gt;"",IF(AND(B467&gt;=_TM1,B467&lt;=_TM2,OR(TH!L467="1111",TH!M467="1111")),TH!D467,""),"")</f>
        <v/>
      </c>
      <c r="B467" s="36" t="str">
        <f t="shared" si="26"/>
        <v/>
      </c>
      <c r="C467" s="37"/>
      <c r="D467" s="194"/>
      <c r="E467" s="37"/>
      <c r="F467" s="40"/>
      <c r="G467" s="40"/>
      <c r="H467" s="7"/>
      <c r="I467" s="276"/>
      <c r="J467" s="276"/>
      <c r="K467" s="38"/>
      <c r="L467" s="39"/>
      <c r="M467" s="749"/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/>
      </c>
    </row>
    <row r="468" spans="1:30" s="225" customFormat="1" ht="15.75" customHeight="1">
      <c r="A468" s="218" t="str">
        <f>IF(B468&lt;&gt;"",IF(AND(B468&gt;=_TM1,B468&lt;=_TM2,OR(TH!L468="1111",TH!M468="1111")),TH!D468,""),"")</f>
        <v/>
      </c>
      <c r="B468" s="36" t="str">
        <f t="shared" si="26"/>
        <v/>
      </c>
      <c r="C468" s="37"/>
      <c r="D468" s="37"/>
      <c r="E468" s="37"/>
      <c r="F468" s="40"/>
      <c r="G468" s="40"/>
      <c r="H468" s="45"/>
      <c r="I468" s="276"/>
      <c r="J468" s="276"/>
      <c r="K468" s="38"/>
      <c r="L468" s="39"/>
      <c r="M468" s="39"/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/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/>
      </c>
      <c r="AD468" s="739"/>
    </row>
    <row r="469" spans="1:30" s="225" customFormat="1" ht="15.75" customHeight="1">
      <c r="A469" s="218" t="str">
        <f>IF(B469&lt;&gt;"",IF(AND(B469&gt;=_TM1,B469&lt;=_TM2,OR(TH!L469="1111",TH!M469="1111")),TH!D469,""),"")</f>
        <v/>
      </c>
      <c r="B469" s="36" t="str">
        <f t="shared" si="26"/>
        <v/>
      </c>
      <c r="C469" s="37"/>
      <c r="D469" s="204"/>
      <c r="E469" s="37"/>
      <c r="F469" s="40"/>
      <c r="G469" s="626"/>
      <c r="H469" s="7"/>
      <c r="I469" s="276"/>
      <c r="J469" s="276"/>
      <c r="K469" s="38"/>
      <c r="L469" s="39"/>
      <c r="M469" s="39"/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/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/>
      </c>
      <c r="AD469" s="739"/>
    </row>
    <row r="470" spans="1:30" s="225" customFormat="1" ht="15.75" customHeight="1">
      <c r="A470" s="218" t="str">
        <f>IF(B470&lt;&gt;"",IF(AND(B470&gt;=_TM1,B470&lt;=_TM2,OR(TH!L470="1111",TH!M470="1111")),TH!D470,""),"")</f>
        <v/>
      </c>
      <c r="B470" s="36" t="str">
        <f t="shared" si="26"/>
        <v/>
      </c>
      <c r="C470" s="37"/>
      <c r="D470" s="204"/>
      <c r="E470" s="37"/>
      <c r="F470" s="40"/>
      <c r="G470" s="40"/>
      <c r="H470" s="45"/>
      <c r="I470" s="276"/>
      <c r="J470" s="276"/>
      <c r="K470" s="38"/>
      <c r="L470" s="39"/>
      <c r="M470" s="39"/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/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/>
      </c>
      <c r="AD470" s="739"/>
    </row>
    <row r="471" spans="1:30" s="225" customFormat="1" ht="15.75" customHeight="1">
      <c r="A471" s="218" t="str">
        <f>IF(B471&lt;&gt;"",IF(AND(B471&gt;=_TM1,B471&lt;=_TM2,OR(TH!L471="1111",TH!M471="1111")),TH!D471,""),"")</f>
        <v/>
      </c>
      <c r="B471" s="36" t="str">
        <f t="shared" si="26"/>
        <v/>
      </c>
      <c r="C471" s="37"/>
      <c r="D471" s="37"/>
      <c r="E471" s="37"/>
      <c r="F471" s="40"/>
      <c r="G471" s="40"/>
      <c r="H471" s="45"/>
      <c r="I471" s="276"/>
      <c r="J471" s="276"/>
      <c r="K471" s="38"/>
      <c r="L471" s="39"/>
      <c r="M471" s="39"/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/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/>
      </c>
    </row>
    <row r="472" spans="1:30" s="225" customFormat="1" ht="15.75" customHeight="1">
      <c r="A472" s="218" t="str">
        <f>IF(B472&lt;&gt;"",IF(AND(B472&gt;=_TM1,B472&lt;=_TM2,OR(TH!L472="1111",TH!M472="1111")),TH!D472,""),"")</f>
        <v/>
      </c>
      <c r="B472" s="36" t="str">
        <f t="shared" si="26"/>
        <v/>
      </c>
      <c r="C472" s="37"/>
      <c r="D472" s="37"/>
      <c r="E472" s="37"/>
      <c r="F472" s="40"/>
      <c r="G472" s="40"/>
      <c r="H472" s="45"/>
      <c r="I472" s="276"/>
      <c r="J472" s="276"/>
      <c r="K472" s="38"/>
      <c r="L472" s="39"/>
      <c r="M472" s="39"/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/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/>
      </c>
    </row>
    <row r="473" spans="1:30" s="225" customFormat="1" ht="15.75" customHeight="1">
      <c r="A473" s="218" t="str">
        <f>IF(B473&lt;&gt;"",IF(AND(B473&gt;=_TM1,B473&lt;=_TM2,OR(TH!L473="1111",TH!M473="1111")),TH!D473,""),"")</f>
        <v/>
      </c>
      <c r="B473" s="36" t="str">
        <f t="shared" si="26"/>
        <v/>
      </c>
      <c r="C473" s="37"/>
      <c r="D473" s="194"/>
      <c r="E473" s="37"/>
      <c r="F473" s="40"/>
      <c r="G473" s="40"/>
      <c r="H473" s="7"/>
      <c r="I473" s="276"/>
      <c r="J473" s="276"/>
      <c r="K473" s="38"/>
      <c r="L473" s="39"/>
      <c r="M473" s="749"/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/>
      </c>
    </row>
    <row r="474" spans="1:30" s="225" customFormat="1" ht="15.75" customHeight="1">
      <c r="A474" s="218" t="str">
        <f>IF(B474&lt;&gt;"",IF(AND(B474&gt;=_TM1,B474&lt;=_TM2,OR(TH!L474="1111",TH!M474="1111")),TH!D474,""),"")</f>
        <v/>
      </c>
      <c r="B474" s="36" t="str">
        <f t="shared" si="26"/>
        <v/>
      </c>
      <c r="C474" s="37"/>
      <c r="D474" s="194"/>
      <c r="E474" s="37"/>
      <c r="F474" s="40"/>
      <c r="G474" s="40"/>
      <c r="H474" s="7"/>
      <c r="I474" s="276"/>
      <c r="J474" s="276"/>
      <c r="K474" s="38"/>
      <c r="L474" s="39"/>
      <c r="M474" s="749"/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/>
      </c>
    </row>
    <row r="475" spans="1:30" s="225" customFormat="1" ht="15.75" customHeight="1">
      <c r="A475" s="218" t="str">
        <f>IF(B475&lt;&gt;"",IF(AND(B475&gt;=_TM1,B475&lt;=_TM2,OR(TH!L475="1111",TH!M475="1111")),TH!D475,""),"")</f>
        <v/>
      </c>
      <c r="B475" s="36" t="str">
        <f t="shared" si="26"/>
        <v/>
      </c>
      <c r="C475" s="37"/>
      <c r="D475" s="194"/>
      <c r="E475" s="37"/>
      <c r="F475" s="40"/>
      <c r="G475" s="40"/>
      <c r="H475" s="7"/>
      <c r="I475" s="276"/>
      <c r="J475" s="276"/>
      <c r="K475" s="38"/>
      <c r="L475" s="39"/>
      <c r="M475" s="749"/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/>
      </c>
    </row>
    <row r="476" spans="1:30" s="225" customFormat="1" ht="15.75" customHeight="1">
      <c r="A476" s="218" t="str">
        <f>IF(B476&lt;&gt;"",IF(AND(B476&gt;=_TM1,B476&lt;=_TM2,OR(TH!L476="1111",TH!M476="1111")),TH!D476,""),"")</f>
        <v/>
      </c>
      <c r="B476" s="36" t="str">
        <f t="shared" si="26"/>
        <v/>
      </c>
      <c r="C476" s="37"/>
      <c r="D476" s="194"/>
      <c r="E476" s="37"/>
      <c r="F476" s="40"/>
      <c r="G476" s="40"/>
      <c r="H476" s="7"/>
      <c r="I476" s="276"/>
      <c r="J476" s="276"/>
      <c r="K476" s="38"/>
      <c r="L476" s="39"/>
      <c r="M476" s="749"/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/>
      </c>
    </row>
    <row r="477" spans="1:30" s="225" customFormat="1" ht="15.75" customHeight="1">
      <c r="A477" s="218" t="str">
        <f>IF(B477&lt;&gt;"",IF(AND(B477&gt;=_TM1,B477&lt;=_TM2,OR(TH!L477="1111",TH!M477="1111")),TH!D477,""),"")</f>
        <v/>
      </c>
      <c r="B477" s="36" t="str">
        <f t="shared" si="26"/>
        <v/>
      </c>
      <c r="C477" s="37"/>
      <c r="D477" s="194"/>
      <c r="E477" s="37"/>
      <c r="F477" s="40"/>
      <c r="G477" s="40"/>
      <c r="H477" s="7"/>
      <c r="I477" s="276"/>
      <c r="J477" s="276"/>
      <c r="K477" s="38"/>
      <c r="L477" s="39"/>
      <c r="M477" s="749"/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/>
      </c>
    </row>
    <row r="478" spans="1:30" s="225" customFormat="1" ht="15.75" customHeight="1">
      <c r="A478" s="218" t="str">
        <f>IF(B478&lt;&gt;"",IF(AND(B478&gt;=_TM1,B478&lt;=_TM2,OR(TH!L478="1111",TH!M478="1111")),TH!D478,""),"")</f>
        <v/>
      </c>
      <c r="B478" s="36" t="str">
        <f t="shared" si="26"/>
        <v/>
      </c>
      <c r="C478" s="37"/>
      <c r="D478" s="194"/>
      <c r="E478" s="37"/>
      <c r="F478" s="40"/>
      <c r="G478" s="40"/>
      <c r="H478" s="7"/>
      <c r="I478" s="276"/>
      <c r="J478" s="276"/>
      <c r="K478" s="38"/>
      <c r="L478" s="39"/>
      <c r="M478" s="749"/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/>
      </c>
    </row>
    <row r="479" spans="1:30" s="225" customFormat="1" ht="15.75" customHeight="1">
      <c r="A479" s="218" t="str">
        <f>IF(B479&lt;&gt;"",IF(AND(B479&gt;=_TM1,B479&lt;=_TM2,OR(TH!L479="1111",TH!M479="1111")),TH!D479,""),"")</f>
        <v/>
      </c>
      <c r="B479" s="36" t="str">
        <f t="shared" si="26"/>
        <v/>
      </c>
      <c r="C479" s="37"/>
      <c r="D479" s="194"/>
      <c r="E479" s="37"/>
      <c r="F479" s="40"/>
      <c r="G479" s="40"/>
      <c r="H479" s="7"/>
      <c r="I479" s="276"/>
      <c r="J479" s="276"/>
      <c r="K479" s="38"/>
      <c r="L479" s="39"/>
      <c r="M479" s="749"/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/>
      </c>
    </row>
    <row r="480" spans="1:30" s="225" customFormat="1" ht="15.75" customHeight="1">
      <c r="A480" s="218" t="str">
        <f>IF(B480&lt;&gt;"",IF(AND(B480&gt;=_TM1,B480&lt;=_TM2,OR(TH!L480="1111",TH!M480="1111")),TH!D480,""),"")</f>
        <v/>
      </c>
      <c r="B480" s="36" t="str">
        <f t="shared" si="26"/>
        <v/>
      </c>
      <c r="C480" s="37"/>
      <c r="D480" s="194"/>
      <c r="E480" s="37"/>
      <c r="F480" s="40"/>
      <c r="G480" s="40"/>
      <c r="H480" s="7"/>
      <c r="I480" s="276"/>
      <c r="J480" s="276"/>
      <c r="K480" s="38"/>
      <c r="L480" s="39"/>
      <c r="M480" s="749"/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/>
      </c>
    </row>
    <row r="481" spans="1:27" s="225" customFormat="1" ht="15.75" customHeight="1">
      <c r="A481" s="218" t="str">
        <f>IF(B481&lt;&gt;"",IF(AND(B481&gt;=_TM1,B481&lt;=_TM2,OR(TH!L481="1111",TH!M481="1111")),TH!D481,""),"")</f>
        <v/>
      </c>
      <c r="B481" s="36" t="str">
        <f t="shared" si="26"/>
        <v/>
      </c>
      <c r="C481" s="37"/>
      <c r="D481" s="194"/>
      <c r="E481" s="37"/>
      <c r="F481" s="40"/>
      <c r="G481" s="40"/>
      <c r="H481" s="7"/>
      <c r="I481" s="276"/>
      <c r="J481" s="276"/>
      <c r="K481" s="38"/>
      <c r="L481" s="39"/>
      <c r="M481" s="749"/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/>
      </c>
    </row>
    <row r="482" spans="1:27" s="225" customFormat="1" ht="15.75" customHeight="1">
      <c r="A482" s="218" t="str">
        <f>IF(B482&lt;&gt;"",IF(AND(B482&gt;=_TM1,B482&lt;=_TM2,OR(TH!L482="1111",TH!M482="1111")),TH!D482,""),"")</f>
        <v/>
      </c>
      <c r="B482" s="36" t="str">
        <f t="shared" si="26"/>
        <v/>
      </c>
      <c r="C482" s="37"/>
      <c r="D482" s="194"/>
      <c r="E482" s="37"/>
      <c r="F482" s="40"/>
      <c r="G482" s="40"/>
      <c r="H482" s="7"/>
      <c r="I482" s="276"/>
      <c r="J482" s="276"/>
      <c r="K482" s="38"/>
      <c r="L482" s="39"/>
      <c r="M482" s="749"/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/>
      </c>
    </row>
    <row r="483" spans="1:27" s="225" customFormat="1" ht="15.75" customHeight="1">
      <c r="A483" s="218" t="str">
        <f>IF(B483&lt;&gt;"",IF(AND(B483&gt;=_TM1,B483&lt;=_TM2,OR(TH!L483="1111",TH!M483="1111")),TH!D483,""),"")</f>
        <v/>
      </c>
      <c r="B483" s="36" t="str">
        <f t="shared" si="26"/>
        <v/>
      </c>
      <c r="C483" s="37"/>
      <c r="D483" s="194"/>
      <c r="E483" s="37"/>
      <c r="F483" s="40"/>
      <c r="G483" s="40"/>
      <c r="H483" s="7"/>
      <c r="I483" s="277"/>
      <c r="J483" s="277"/>
      <c r="K483" s="38"/>
      <c r="L483" s="39"/>
      <c r="M483" s="749"/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/>
      </c>
    </row>
    <row r="484" spans="1:27" s="225" customFormat="1" ht="15.75" customHeight="1">
      <c r="A484" s="218" t="str">
        <f>IF(B484&lt;&gt;"",IF(AND(B484&gt;=_TM1,B484&lt;=_TM2,OR(TH!L484="1111",TH!M484="1111")),TH!D484,""),"")</f>
        <v/>
      </c>
      <c r="B484" s="36" t="str">
        <f t="shared" si="26"/>
        <v/>
      </c>
      <c r="C484" s="37"/>
      <c r="D484" s="37"/>
      <c r="E484" s="204"/>
      <c r="F484" s="205"/>
      <c r="G484" s="627"/>
      <c r="H484" s="206"/>
      <c r="I484" s="276"/>
      <c r="J484" s="276"/>
      <c r="K484" s="38"/>
      <c r="L484" s="207"/>
      <c r="M484" s="39"/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/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/>
      </c>
    </row>
    <row r="485" spans="1:27" s="225" customFormat="1" ht="15.75" customHeight="1">
      <c r="A485" s="218" t="str">
        <f>IF(B485&lt;&gt;"",IF(AND(B485&gt;=_TM1,B485&lt;=_TM2,OR(TH!L485="1111",TH!M485="1111")),TH!D485,""),"")</f>
        <v/>
      </c>
      <c r="B485" s="36" t="str">
        <f t="shared" si="26"/>
        <v/>
      </c>
      <c r="C485" s="37"/>
      <c r="D485" s="37"/>
      <c r="E485" s="204"/>
      <c r="F485" s="205"/>
      <c r="G485" s="627"/>
      <c r="H485" s="206"/>
      <c r="I485" s="276"/>
      <c r="J485" s="276"/>
      <c r="K485" s="38"/>
      <c r="L485" s="207"/>
      <c r="M485" s="39"/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/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/>
      </c>
    </row>
    <row r="486" spans="1:27" s="225" customFormat="1" ht="15.75" customHeight="1">
      <c r="A486" s="218" t="str">
        <f>IF(B486&lt;&gt;"",IF(AND(B486&gt;=_TM1,B486&lt;=_TM2,OR(TH!L486="1111",TH!M486="1111")),TH!D486,""),"")</f>
        <v/>
      </c>
      <c r="B486" s="36" t="str">
        <f t="shared" si="26"/>
        <v/>
      </c>
      <c r="C486" s="37"/>
      <c r="D486" s="194"/>
      <c r="E486" s="204"/>
      <c r="F486" s="40"/>
      <c r="G486" s="626"/>
      <c r="H486" s="7"/>
      <c r="I486" s="276"/>
      <c r="J486" s="276"/>
      <c r="K486" s="38"/>
      <c r="L486" s="39"/>
      <c r="M486" s="749"/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/>
      </c>
    </row>
    <row r="487" spans="1:27" s="225" customFormat="1" ht="15.75" customHeight="1">
      <c r="A487" s="218" t="str">
        <f>IF(B487&lt;&gt;"",IF(AND(B487&gt;=_TM1,B487&lt;=_TM2,OR(TH!L487="1111",TH!M487="1111")),TH!D487,""),"")</f>
        <v/>
      </c>
      <c r="B487" s="36" t="str">
        <f t="shared" si="26"/>
        <v/>
      </c>
      <c r="C487" s="37"/>
      <c r="D487" s="194"/>
      <c r="E487" s="204"/>
      <c r="F487" s="40"/>
      <c r="G487" s="626"/>
      <c r="H487" s="7"/>
      <c r="I487" s="276"/>
      <c r="J487" s="276"/>
      <c r="K487" s="38"/>
      <c r="L487" s="39"/>
      <c r="M487" s="749"/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/>
      </c>
    </row>
    <row r="488" spans="1:27" s="225" customFormat="1" ht="15.75" customHeight="1">
      <c r="A488" s="218" t="str">
        <f>IF(B488&lt;&gt;"",IF(AND(B488&gt;=_TM1,B488&lt;=_TM2,OR(TH!L488="1111",TH!M488="1111")),TH!D488,""),"")</f>
        <v/>
      </c>
      <c r="B488" s="36" t="str">
        <f t="shared" si="26"/>
        <v/>
      </c>
      <c r="C488" s="37"/>
      <c r="D488" s="194"/>
      <c r="E488" s="204"/>
      <c r="F488" s="40"/>
      <c r="G488" s="40"/>
      <c r="H488" s="7"/>
      <c r="I488" s="276"/>
      <c r="J488" s="276"/>
      <c r="K488" s="38"/>
      <c r="L488" s="39"/>
      <c r="M488" s="749"/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/>
      </c>
    </row>
    <row r="489" spans="1:27" s="225" customFormat="1" ht="15.75" customHeight="1">
      <c r="A489" s="218" t="str">
        <f>IF(B489&lt;&gt;"",IF(AND(B489&gt;=_TM1,B489&lt;=_TM2,OR(TH!L489="1111",TH!M489="1111")),TH!D489,""),"")</f>
        <v/>
      </c>
      <c r="B489" s="36" t="str">
        <f t="shared" si="26"/>
        <v/>
      </c>
      <c r="C489" s="37"/>
      <c r="D489" s="194"/>
      <c r="E489" s="204"/>
      <c r="F489" s="40"/>
      <c r="G489" s="40"/>
      <c r="H489" s="7"/>
      <c r="I489" s="276"/>
      <c r="J489" s="276"/>
      <c r="K489" s="38"/>
      <c r="L489" s="39"/>
      <c r="M489" s="749"/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/>
      </c>
    </row>
    <row r="490" spans="1:27" s="225" customFormat="1" ht="15.75" customHeight="1">
      <c r="A490" s="218" t="str">
        <f>IF(B490&lt;&gt;"",IF(AND(B490&gt;=_TM1,B490&lt;=_TM2,OR(TH!L490="1111",TH!M490="1111")),TH!D490,""),"")</f>
        <v/>
      </c>
      <c r="B490" s="36" t="str">
        <f t="shared" si="26"/>
        <v/>
      </c>
      <c r="C490" s="37"/>
      <c r="D490" s="194"/>
      <c r="E490" s="204"/>
      <c r="F490" s="40"/>
      <c r="G490" s="626"/>
      <c r="H490" s="7"/>
      <c r="I490" s="276"/>
      <c r="J490" s="276"/>
      <c r="K490" s="38"/>
      <c r="L490" s="39"/>
      <c r="M490" s="749"/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/>
      </c>
    </row>
    <row r="491" spans="1:27" s="225" customFormat="1" ht="15.75" customHeight="1">
      <c r="A491" s="218" t="str">
        <f>IF(B491&lt;&gt;"",IF(AND(B491&gt;=_TM1,B491&lt;=_TM2,OR(TH!L491="1111",TH!M491="1111")),TH!D491,""),"")</f>
        <v/>
      </c>
      <c r="B491" s="36" t="str">
        <f t="shared" si="26"/>
        <v/>
      </c>
      <c r="C491" s="37"/>
      <c r="D491" s="194"/>
      <c r="E491" s="204"/>
      <c r="F491" s="40"/>
      <c r="G491" s="626"/>
      <c r="H491" s="7"/>
      <c r="I491" s="276"/>
      <c r="J491" s="276"/>
      <c r="K491" s="38"/>
      <c r="L491" s="39"/>
      <c r="M491" s="749"/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/>
      </c>
    </row>
    <row r="492" spans="1:27" s="225" customFormat="1" ht="15.75" customHeight="1">
      <c r="A492" s="218" t="str">
        <f>IF(B492&lt;&gt;"",IF(AND(B492&gt;=_TM1,B492&lt;=_TM2,OR(TH!L492="1111",TH!M492="1111")),TH!D492,""),"")</f>
        <v/>
      </c>
      <c r="B492" s="36" t="str">
        <f t="shared" si="26"/>
        <v/>
      </c>
      <c r="C492" s="37"/>
      <c r="D492" s="194"/>
      <c r="E492" s="204"/>
      <c r="F492" s="40"/>
      <c r="G492" s="626"/>
      <c r="H492" s="7"/>
      <c r="I492" s="276"/>
      <c r="J492" s="276"/>
      <c r="K492" s="38"/>
      <c r="L492" s="39"/>
      <c r="M492" s="749"/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/>
      </c>
    </row>
    <row r="493" spans="1:27" s="225" customFormat="1" ht="15.75" customHeight="1">
      <c r="A493" s="218" t="str">
        <f>IF(B493&lt;&gt;"",IF(AND(B493&gt;=_TM1,B493&lt;=_TM2,OR(TH!L493="1111",TH!M493="1111")),TH!D493,""),"")</f>
        <v/>
      </c>
      <c r="B493" s="36" t="str">
        <f t="shared" si="26"/>
        <v/>
      </c>
      <c r="C493" s="37"/>
      <c r="D493" s="194"/>
      <c r="E493" s="204"/>
      <c r="F493" s="40"/>
      <c r="G493" s="626"/>
      <c r="H493" s="7"/>
      <c r="I493" s="276"/>
      <c r="J493" s="276"/>
      <c r="K493" s="38"/>
      <c r="L493" s="39"/>
      <c r="M493" s="749"/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/>
      </c>
    </row>
    <row r="494" spans="1:27" s="225" customFormat="1" ht="15.75" customHeight="1">
      <c r="A494" s="218" t="str">
        <f>IF(B494&lt;&gt;"",IF(AND(B494&gt;=_TM1,B494&lt;=_TM2,OR(TH!L494="1111",TH!M494="1111")),TH!D494,""),"")</f>
        <v/>
      </c>
      <c r="B494" s="36" t="str">
        <f t="shared" si="26"/>
        <v/>
      </c>
      <c r="C494" s="37"/>
      <c r="D494" s="194"/>
      <c r="E494" s="204"/>
      <c r="F494" s="40"/>
      <c r="G494" s="626"/>
      <c r="H494" s="7"/>
      <c r="I494" s="276"/>
      <c r="J494" s="276"/>
      <c r="K494" s="38"/>
      <c r="L494" s="39"/>
      <c r="M494" s="749"/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/>
      </c>
    </row>
    <row r="495" spans="1:27" s="225" customFormat="1" ht="15.75" customHeight="1">
      <c r="A495" s="218" t="str">
        <f>IF(B495&lt;&gt;"",IF(AND(B495&gt;=_TM1,B495&lt;=_TM2,OR(TH!L495="1111",TH!M495="1111")),TH!D495,""),"")</f>
        <v/>
      </c>
      <c r="B495" s="36" t="str">
        <f t="shared" si="26"/>
        <v/>
      </c>
      <c r="C495" s="37"/>
      <c r="D495" s="194"/>
      <c r="E495" s="204"/>
      <c r="F495" s="40"/>
      <c r="G495" s="626"/>
      <c r="H495" s="7"/>
      <c r="I495" s="276"/>
      <c r="J495" s="276"/>
      <c r="K495" s="38"/>
      <c r="L495" s="39"/>
      <c r="M495" s="749"/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/>
      </c>
    </row>
    <row r="496" spans="1:27" s="225" customFormat="1" ht="15.75" customHeight="1">
      <c r="A496" s="218" t="str">
        <f>IF(B496&lt;&gt;"",IF(AND(B496&gt;=_TM1,B496&lt;=_TM2,OR(TH!L496="1111",TH!M496="1111")),TH!D496,""),"")</f>
        <v/>
      </c>
      <c r="B496" s="36" t="str">
        <f t="shared" si="26"/>
        <v/>
      </c>
      <c r="C496" s="37"/>
      <c r="D496" s="194"/>
      <c r="E496" s="204"/>
      <c r="F496" s="205"/>
      <c r="G496" s="205"/>
      <c r="H496" s="7"/>
      <c r="I496" s="276"/>
      <c r="J496" s="276"/>
      <c r="K496" s="38"/>
      <c r="L496" s="207"/>
      <c r="M496" s="749"/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/>
      </c>
    </row>
    <row r="497" spans="1:30" s="225" customFormat="1" ht="15.75" customHeight="1">
      <c r="A497" s="218" t="str">
        <f>IF(B497&lt;&gt;"",IF(AND(B497&gt;=_TM1,B497&lt;=_TM2,OR(TH!L497="1111",TH!M497="1111")),TH!D497,""),"")</f>
        <v/>
      </c>
      <c r="B497" s="36" t="str">
        <f t="shared" si="26"/>
        <v/>
      </c>
      <c r="C497" s="37"/>
      <c r="D497" s="194"/>
      <c r="E497" s="204"/>
      <c r="F497" s="205"/>
      <c r="G497" s="627"/>
      <c r="H497" s="7"/>
      <c r="I497" s="276"/>
      <c r="J497" s="276"/>
      <c r="K497" s="38"/>
      <c r="L497" s="207"/>
      <c r="M497" s="749"/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/>
      </c>
    </row>
    <row r="498" spans="1:30" s="225" customFormat="1" ht="15.75" customHeight="1">
      <c r="A498" s="218" t="str">
        <f>IF(B498&lt;&gt;"",IF(AND(B498&gt;=_TM1,B498&lt;=_TM2,OR(TH!L498="1111",TH!M498="1111")),TH!D498,""),"")</f>
        <v/>
      </c>
      <c r="B498" s="36" t="str">
        <f t="shared" ref="B498:B500" si="27">IF(C498&lt;&gt;"",MONTH(C498),"")</f>
        <v/>
      </c>
      <c r="C498" s="37"/>
      <c r="D498" s="204"/>
      <c r="E498" s="204"/>
      <c r="F498" s="205"/>
      <c r="G498" s="627"/>
      <c r="H498" s="206"/>
      <c r="I498" s="276"/>
      <c r="J498" s="276"/>
      <c r="K498" s="38"/>
      <c r="L498" s="207"/>
      <c r="M498" s="39"/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/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/>
      </c>
    </row>
    <row r="499" spans="1:30" s="225" customFormat="1" ht="15.75" customHeight="1">
      <c r="A499" s="218" t="str">
        <f>IF(B499&lt;&gt;"",IF(AND(B499&gt;=_TM1,B499&lt;=_TM2,OR(TH!L499="1111",TH!M499="1111")),TH!D499,""),"")</f>
        <v/>
      </c>
      <c r="B499" s="36" t="str">
        <f t="shared" si="27"/>
        <v/>
      </c>
      <c r="C499" s="37"/>
      <c r="D499" s="204"/>
      <c r="E499" s="204"/>
      <c r="F499" s="205"/>
      <c r="G499" s="627"/>
      <c r="H499" s="206"/>
      <c r="I499" s="276"/>
      <c r="J499" s="276"/>
      <c r="K499" s="38"/>
      <c r="L499" s="207"/>
      <c r="M499" s="39"/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/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/>
      </c>
    </row>
    <row r="500" spans="1:30" s="225" customFormat="1" ht="15.75" customHeight="1">
      <c r="A500" s="218" t="str">
        <f>IF(B500&lt;&gt;"",IF(AND(B500&gt;=_TM1,B500&lt;=_TM2,OR(TH!L500="1111",TH!M500="1111")),TH!D500,""),"")</f>
        <v/>
      </c>
      <c r="B500" s="36" t="str">
        <f t="shared" si="27"/>
        <v/>
      </c>
      <c r="C500" s="37"/>
      <c r="D500" s="204"/>
      <c r="E500" s="204"/>
      <c r="F500" s="205"/>
      <c r="G500" s="627"/>
      <c r="H500" s="206"/>
      <c r="I500" s="276"/>
      <c r="J500" s="276"/>
      <c r="K500" s="38"/>
      <c r="L500" s="207"/>
      <c r="M500" s="39"/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/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/>
      </c>
    </row>
    <row r="501" spans="1:30" s="225" customFormat="1" ht="15.75" customHeight="1">
      <c r="A501" s="218" t="str">
        <f>IF(B501&lt;&gt;"",IF(AND(B501&gt;=_TM1,B501&lt;=_TM2,OR(TH!L501="1111",TH!M501="1111")),TH!D501,""),"")</f>
        <v/>
      </c>
      <c r="B501" s="36" t="str">
        <f t="shared" ref="B501:B532" si="28">IF(C501&lt;&gt;"",MONTH(C501),"")</f>
        <v/>
      </c>
      <c r="C501" s="37"/>
      <c r="D501" s="204"/>
      <c r="E501" s="37"/>
      <c r="F501" s="40"/>
      <c r="G501" s="40"/>
      <c r="H501" s="224"/>
      <c r="I501" s="276"/>
      <c r="J501" s="276"/>
      <c r="K501" s="38"/>
      <c r="L501" s="39"/>
      <c r="M501" s="39"/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/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/>
      </c>
    </row>
    <row r="502" spans="1:30" s="225" customFormat="1" ht="15.75" customHeight="1">
      <c r="A502" s="218" t="str">
        <f>IF(B502&lt;&gt;"",IF(AND(B502&gt;=_TM1,B502&lt;=_TM2,OR(TH!L502="1111",TH!M502="1111")),TH!D502,""),"")</f>
        <v/>
      </c>
      <c r="B502" s="36" t="str">
        <f t="shared" si="28"/>
        <v/>
      </c>
      <c r="C502" s="37"/>
      <c r="D502" s="194"/>
      <c r="E502" s="37"/>
      <c r="F502" s="40"/>
      <c r="G502" s="40"/>
      <c r="H502" s="7"/>
      <c r="I502" s="276"/>
      <c r="J502" s="276"/>
      <c r="K502" s="38"/>
      <c r="L502" s="39"/>
      <c r="M502" s="749"/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/>
      </c>
    </row>
    <row r="503" spans="1:30" s="225" customFormat="1" ht="15.75" customHeight="1">
      <c r="A503" s="218" t="str">
        <f>IF(B503&lt;&gt;"",IF(AND(B503&gt;=_TM1,B503&lt;=_TM2,OR(TH!L503="1111",TH!M503="1111")),TH!D503,""),"")</f>
        <v/>
      </c>
      <c r="B503" s="36" t="str">
        <f t="shared" si="28"/>
        <v/>
      </c>
      <c r="C503" s="37"/>
      <c r="D503" s="194"/>
      <c r="E503" s="37"/>
      <c r="F503" s="40"/>
      <c r="G503" s="40"/>
      <c r="H503" s="7"/>
      <c r="I503" s="276"/>
      <c r="J503" s="276"/>
      <c r="K503" s="38"/>
      <c r="L503" s="39"/>
      <c r="M503" s="749"/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/>
      </c>
    </row>
    <row r="504" spans="1:30" s="225" customFormat="1" ht="15.75" customHeight="1">
      <c r="A504" s="218" t="str">
        <f>IF(B504&lt;&gt;"",IF(AND(B504&gt;=_TM1,B504&lt;=_TM2,OR(TH!L504="1111",TH!M504="1111")),TH!D504,""),"")</f>
        <v/>
      </c>
      <c r="B504" s="36" t="str">
        <f t="shared" si="28"/>
        <v/>
      </c>
      <c r="C504" s="37"/>
      <c r="D504" s="194"/>
      <c r="E504" s="204"/>
      <c r="F504" s="205"/>
      <c r="G504" s="627"/>
      <c r="H504" s="7"/>
      <c r="I504" s="276"/>
      <c r="J504" s="276"/>
      <c r="K504" s="38"/>
      <c r="L504" s="207"/>
      <c r="M504" s="749"/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/>
      </c>
    </row>
    <row r="505" spans="1:30" s="225" customFormat="1" ht="15.75" customHeight="1">
      <c r="A505" s="218" t="str">
        <f>IF(B505&lt;&gt;"",IF(AND(B505&gt;=_TM1,B505&lt;=_TM2,OR(TH!L505="1111",TH!M505="1111")),TH!D505,""),"")</f>
        <v/>
      </c>
      <c r="B505" s="36" t="str">
        <f t="shared" si="28"/>
        <v/>
      </c>
      <c r="C505" s="37"/>
      <c r="D505" s="204"/>
      <c r="E505" s="204"/>
      <c r="F505" s="40"/>
      <c r="G505" s="627"/>
      <c r="H505" s="7"/>
      <c r="I505" s="276"/>
      <c r="J505" s="276"/>
      <c r="K505" s="38"/>
      <c r="L505" s="207"/>
      <c r="M505" s="39"/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/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/>
      </c>
      <c r="AD505" s="739"/>
    </row>
    <row r="506" spans="1:30" s="225" customFormat="1" ht="15.75" customHeight="1">
      <c r="A506" s="218" t="str">
        <f>IF(B506&lt;&gt;"",IF(AND(B506&gt;=_TM1,B506&lt;=_TM2,OR(TH!L506="1111",TH!M506="1111")),TH!D506,""),"")</f>
        <v/>
      </c>
      <c r="B506" s="36" t="str">
        <f t="shared" si="28"/>
        <v/>
      </c>
      <c r="C506" s="37"/>
      <c r="D506" s="194"/>
      <c r="E506" s="204"/>
      <c r="F506" s="40"/>
      <c r="G506" s="627"/>
      <c r="H506" s="7"/>
      <c r="I506" s="276"/>
      <c r="J506" s="276"/>
      <c r="K506" s="38"/>
      <c r="L506" s="207"/>
      <c r="M506" s="749"/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/>
      </c>
    </row>
    <row r="507" spans="1:30" s="225" customFormat="1" ht="15.75" customHeight="1">
      <c r="A507" s="218" t="str">
        <f>IF(B507&lt;&gt;"",IF(AND(B507&gt;=_TM1,B507&lt;=_TM2,OR(TH!L507="1111",TH!M507="1111")),TH!D507,""),"")</f>
        <v/>
      </c>
      <c r="B507" s="36" t="str">
        <f t="shared" si="28"/>
        <v/>
      </c>
      <c r="C507" s="37"/>
      <c r="D507" s="194"/>
      <c r="E507" s="204"/>
      <c r="F507" s="40"/>
      <c r="G507" s="627"/>
      <c r="H507" s="7"/>
      <c r="I507" s="276"/>
      <c r="J507" s="276"/>
      <c r="K507" s="38"/>
      <c r="L507" s="207"/>
      <c r="M507" s="749"/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/>
      </c>
    </row>
    <row r="508" spans="1:30" s="225" customFormat="1" ht="15.75" customHeight="1">
      <c r="A508" s="218" t="str">
        <f>IF(B508&lt;&gt;"",IF(AND(B508&gt;=_TM1,B508&lt;=_TM2,OR(TH!L508="1111",TH!M508="1111")),TH!D508,""),"")</f>
        <v/>
      </c>
      <c r="B508" s="36" t="str">
        <f t="shared" si="28"/>
        <v/>
      </c>
      <c r="C508" s="37"/>
      <c r="D508" s="204"/>
      <c r="E508" s="204"/>
      <c r="F508" s="40"/>
      <c r="G508" s="627"/>
      <c r="H508" s="45"/>
      <c r="I508" s="276"/>
      <c r="J508" s="276"/>
      <c r="K508" s="38"/>
      <c r="L508" s="207"/>
      <c r="M508" s="39"/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/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/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/>
      </c>
    </row>
    <row r="509" spans="1:30" s="225" customFormat="1" ht="15.75" customHeight="1">
      <c r="A509" s="218" t="str">
        <f>IF(B509&lt;&gt;"",IF(AND(B509&gt;=_TM1,B509&lt;=_TM2,OR(TH!L509="1111",TH!M509="1111")),TH!D509,""),"")</f>
        <v/>
      </c>
      <c r="B509" s="36" t="str">
        <f t="shared" si="28"/>
        <v/>
      </c>
      <c r="C509" s="37"/>
      <c r="D509" s="204"/>
      <c r="E509" s="204"/>
      <c r="F509" s="40"/>
      <c r="G509" s="627"/>
      <c r="H509" s="45"/>
      <c r="I509" s="276"/>
      <c r="J509" s="276"/>
      <c r="K509" s="38"/>
      <c r="L509" s="207"/>
      <c r="M509" s="39"/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/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/>
      </c>
    </row>
    <row r="510" spans="1:30" s="225" customFormat="1" ht="15.75" customHeight="1">
      <c r="A510" s="218" t="str">
        <f>IF(B510&lt;&gt;"",IF(AND(B510&gt;=_TM1,B510&lt;=_TM2,OR(TH!L510="1111",TH!M510="1111")),TH!D510,""),"")</f>
        <v/>
      </c>
      <c r="B510" s="36" t="str">
        <f t="shared" si="28"/>
        <v/>
      </c>
      <c r="C510" s="37"/>
      <c r="D510" s="204"/>
      <c r="E510" s="204"/>
      <c r="F510" s="40"/>
      <c r="G510" s="627"/>
      <c r="H510" s="45"/>
      <c r="I510" s="276"/>
      <c r="J510" s="276"/>
      <c r="K510" s="38"/>
      <c r="L510" s="207"/>
      <c r="M510" s="39"/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/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/>
      </c>
    </row>
    <row r="511" spans="1:30" s="225" customFormat="1" ht="15.75" customHeight="1">
      <c r="A511" s="218" t="str">
        <f>IF(B511&lt;&gt;"",IF(AND(B511&gt;=_TM1,B511&lt;=_TM2,OR(TH!L511="1111",TH!M511="1111")),TH!D511,""),"")</f>
        <v/>
      </c>
      <c r="B511" s="36" t="str">
        <f t="shared" si="28"/>
        <v/>
      </c>
      <c r="C511" s="37"/>
      <c r="D511" s="204"/>
      <c r="E511" s="204"/>
      <c r="F511" s="40"/>
      <c r="G511" s="627"/>
      <c r="H511" s="45"/>
      <c r="I511" s="276"/>
      <c r="J511" s="276"/>
      <c r="K511" s="38"/>
      <c r="L511" s="207"/>
      <c r="M511" s="39"/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/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/>
      </c>
    </row>
    <row r="512" spans="1:30" s="225" customFormat="1" ht="15.75" customHeight="1">
      <c r="A512" s="218" t="str">
        <f>IF(B512&lt;&gt;"",IF(AND(B512&gt;=_TM1,B512&lt;=_TM2,OR(TH!L512="1111",TH!M512="1111")),TH!D512,""),"")</f>
        <v/>
      </c>
      <c r="B512" s="36" t="str">
        <f t="shared" si="28"/>
        <v/>
      </c>
      <c r="C512" s="37"/>
      <c r="D512" s="204"/>
      <c r="E512" s="204"/>
      <c r="F512" s="205"/>
      <c r="G512" s="627"/>
      <c r="H512" s="206"/>
      <c r="I512" s="277"/>
      <c r="J512" s="277"/>
      <c r="K512" s="38"/>
      <c r="L512" s="207"/>
      <c r="M512" s="39"/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/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/>
      </c>
    </row>
    <row r="513" spans="1:30" s="225" customFormat="1" ht="15.75" customHeight="1">
      <c r="A513" s="218" t="str">
        <f>IF(B513&lt;&gt;"",IF(AND(B513&gt;=_TM1,B513&lt;=_TM2,OR(TH!L513="1111",TH!M513="1111")),TH!D513,""),"")</f>
        <v/>
      </c>
      <c r="B513" s="36" t="str">
        <f t="shared" si="28"/>
        <v/>
      </c>
      <c r="C513" s="37"/>
      <c r="D513" s="204"/>
      <c r="E513" s="204"/>
      <c r="F513" s="205"/>
      <c r="G513" s="627"/>
      <c r="H513" s="206"/>
      <c r="I513" s="276"/>
      <c r="J513" s="276"/>
      <c r="K513" s="38"/>
      <c r="L513" s="207"/>
      <c r="M513" s="39"/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/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/>
      </c>
    </row>
    <row r="514" spans="1:30" s="225" customFormat="1" ht="15.75" customHeight="1">
      <c r="A514" s="218" t="str">
        <f>IF(B514&lt;&gt;"",IF(AND(B514&gt;=_TM1,B514&lt;=_TM2,OR(TH!L514="1111",TH!M514="1111")),TH!D514,""),"")</f>
        <v/>
      </c>
      <c r="B514" s="36" t="str">
        <f t="shared" si="28"/>
        <v/>
      </c>
      <c r="C514" s="37"/>
      <c r="D514" s="194"/>
      <c r="E514" s="204"/>
      <c r="F514" s="205"/>
      <c r="G514" s="627"/>
      <c r="H514" s="7"/>
      <c r="I514" s="276"/>
      <c r="J514" s="276"/>
      <c r="K514" s="38"/>
      <c r="L514" s="207"/>
      <c r="M514" s="749"/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/>
      </c>
    </row>
    <row r="515" spans="1:30" s="225" customFormat="1" ht="15.75" customHeight="1">
      <c r="A515" s="218" t="str">
        <f>IF(B515&lt;&gt;"",IF(AND(B515&gt;=_TM1,B515&lt;=_TM2,OR(TH!L515="1111",TH!M515="1111")),TH!D515,""),"")</f>
        <v/>
      </c>
      <c r="B515" s="36" t="str">
        <f t="shared" si="28"/>
        <v/>
      </c>
      <c r="C515" s="37"/>
      <c r="D515" s="194"/>
      <c r="E515" s="204"/>
      <c r="F515" s="40"/>
      <c r="G515" s="627"/>
      <c r="H515" s="7"/>
      <c r="I515" s="276"/>
      <c r="J515" s="276"/>
      <c r="K515" s="38"/>
      <c r="L515" s="207"/>
      <c r="M515" s="749"/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/>
      </c>
    </row>
    <row r="516" spans="1:30" s="225" customFormat="1" ht="15.75" customHeight="1">
      <c r="A516" s="218" t="str">
        <f>IF(B516&lt;&gt;"",IF(AND(B516&gt;=_TM1,B516&lt;=_TM2,OR(TH!L516="1111",TH!M516="1111")),TH!D516,""),"")</f>
        <v/>
      </c>
      <c r="B516" s="36" t="str">
        <f t="shared" si="28"/>
        <v/>
      </c>
      <c r="C516" s="37"/>
      <c r="D516" s="194"/>
      <c r="E516" s="204"/>
      <c r="F516" s="205"/>
      <c r="G516" s="627"/>
      <c r="H516" s="7"/>
      <c r="I516" s="276"/>
      <c r="J516" s="276"/>
      <c r="K516" s="38"/>
      <c r="L516" s="207"/>
      <c r="M516" s="749"/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/>
      </c>
    </row>
    <row r="517" spans="1:30" s="225" customFormat="1" ht="15.75" customHeight="1">
      <c r="A517" s="218" t="str">
        <f>IF(B517&lt;&gt;"",IF(AND(B517&gt;=_TM1,B517&lt;=_TM2,OR(TH!L517="1111",TH!M517="1111")),TH!D517,""),"")</f>
        <v/>
      </c>
      <c r="B517" s="36" t="str">
        <f t="shared" si="28"/>
        <v/>
      </c>
      <c r="C517" s="37"/>
      <c r="D517" s="194"/>
      <c r="E517" s="204"/>
      <c r="F517" s="205"/>
      <c r="G517" s="627"/>
      <c r="H517" s="7"/>
      <c r="I517" s="276"/>
      <c r="J517" s="276"/>
      <c r="K517" s="38"/>
      <c r="L517" s="207"/>
      <c r="M517" s="749"/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/>
      </c>
    </row>
    <row r="518" spans="1:30" s="225" customFormat="1" ht="15.75" customHeight="1">
      <c r="A518" s="218" t="str">
        <f>IF(B518&lt;&gt;"",IF(AND(B518&gt;=_TM1,B518&lt;=_TM2,OR(TH!L518="1111",TH!M518="1111")),TH!D518,""),"")</f>
        <v/>
      </c>
      <c r="B518" s="36" t="str">
        <f t="shared" si="28"/>
        <v/>
      </c>
      <c r="C518" s="37"/>
      <c r="D518" s="204"/>
      <c r="E518" s="204"/>
      <c r="F518" s="205"/>
      <c r="G518" s="627"/>
      <c r="H518" s="206"/>
      <c r="I518" s="277"/>
      <c r="J518" s="277"/>
      <c r="K518" s="38"/>
      <c r="L518" s="207"/>
      <c r="M518" s="39"/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/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/>
      </c>
      <c r="AD518" s="739"/>
    </row>
    <row r="519" spans="1:30" s="225" customFormat="1" ht="15.75" customHeight="1">
      <c r="A519" s="218" t="str">
        <f>IF(B519&lt;&gt;"",IF(AND(B519&gt;=_TM1,B519&lt;=_TM2,OR(TH!L519="1111",TH!M519="1111")),TH!D519,""),"")</f>
        <v/>
      </c>
      <c r="B519" s="36" t="str">
        <f t="shared" si="28"/>
        <v/>
      </c>
      <c r="C519" s="37"/>
      <c r="D519" s="204"/>
      <c r="E519" s="204"/>
      <c r="F519" s="205"/>
      <c r="G519" s="627"/>
      <c r="H519" s="7"/>
      <c r="I519" s="276"/>
      <c r="J519" s="276"/>
      <c r="K519" s="38"/>
      <c r="L519" s="207"/>
      <c r="M519" s="39"/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/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/>
      </c>
      <c r="AD519" s="739"/>
    </row>
    <row r="520" spans="1:30" s="225" customFormat="1" ht="15.75" customHeight="1">
      <c r="A520" s="218" t="str">
        <f>IF(B520&lt;&gt;"",IF(AND(B520&gt;=_TM1,B520&lt;=_TM2,OR(TH!L520="1111",TH!M520="1111")),TH!D520,""),"")</f>
        <v/>
      </c>
      <c r="B520" s="36" t="str">
        <f t="shared" si="28"/>
        <v/>
      </c>
      <c r="C520" s="37"/>
      <c r="D520" s="194"/>
      <c r="E520" s="37"/>
      <c r="F520" s="205"/>
      <c r="G520" s="205"/>
      <c r="H520" s="7"/>
      <c r="I520" s="276"/>
      <c r="J520" s="276"/>
      <c r="K520" s="38"/>
      <c r="L520" s="207"/>
      <c r="M520" s="749"/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/>
      </c>
    </row>
    <row r="521" spans="1:30" s="225" customFormat="1" ht="15.75" customHeight="1">
      <c r="A521" s="218" t="str">
        <f>IF(B521&lt;&gt;"",IF(AND(B521&gt;=_TM1,B521&lt;=_TM2,OR(TH!L521="1111",TH!M521="1111")),TH!D521,""),"")</f>
        <v/>
      </c>
      <c r="B521" s="36" t="str">
        <f t="shared" si="28"/>
        <v/>
      </c>
      <c r="C521" s="37"/>
      <c r="D521" s="194"/>
      <c r="E521" s="204"/>
      <c r="F521" s="205"/>
      <c r="G521" s="205"/>
      <c r="H521" s="7"/>
      <c r="I521" s="276"/>
      <c r="J521" s="276"/>
      <c r="K521" s="38"/>
      <c r="L521" s="207"/>
      <c r="M521" s="749"/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/>
      </c>
    </row>
    <row r="522" spans="1:30" s="225" customFormat="1" ht="15.75" customHeight="1">
      <c r="A522" s="218" t="str">
        <f>IF(B522&lt;&gt;"",IF(AND(B522&gt;=_TM1,B522&lt;=_TM2,OR(TH!L522="1111",TH!M522="1111")),TH!D522,""),"")</f>
        <v/>
      </c>
      <c r="B522" s="36" t="str">
        <f t="shared" si="28"/>
        <v/>
      </c>
      <c r="C522" s="37"/>
      <c r="D522" s="194"/>
      <c r="E522" s="204"/>
      <c r="F522" s="40"/>
      <c r="G522" s="205"/>
      <c r="H522" s="7"/>
      <c r="I522" s="276"/>
      <c r="J522" s="276"/>
      <c r="K522" s="38"/>
      <c r="L522" s="207"/>
      <c r="M522" s="749"/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/>
      </c>
    </row>
    <row r="523" spans="1:30" s="225" customFormat="1" ht="15.75" customHeight="1">
      <c r="A523" s="218" t="str">
        <f>IF(B523&lt;&gt;"",IF(AND(B523&gt;=_TM1,B523&lt;=_TM2,OR(TH!L523="1111",TH!M523="1111")),TH!D523,""),"")</f>
        <v/>
      </c>
      <c r="B523" s="36" t="str">
        <f t="shared" si="28"/>
        <v/>
      </c>
      <c r="C523" s="37"/>
      <c r="D523" s="194"/>
      <c r="E523" s="204"/>
      <c r="F523" s="205"/>
      <c r="G523" s="205"/>
      <c r="H523" s="7"/>
      <c r="I523" s="276"/>
      <c r="J523" s="276"/>
      <c r="K523" s="38"/>
      <c r="L523" s="207"/>
      <c r="M523" s="749"/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/>
      </c>
    </row>
    <row r="524" spans="1:30" s="225" customFormat="1" ht="15.75" customHeight="1">
      <c r="A524" s="218" t="str">
        <f>IF(B524&lt;&gt;"",IF(AND(B524&gt;=_TM1,B524&lt;=_TM2,OR(TH!L524="1111",TH!M524="1111")),TH!D524,""),"")</f>
        <v/>
      </c>
      <c r="B524" s="36" t="str">
        <f t="shared" si="28"/>
        <v/>
      </c>
      <c r="C524" s="37"/>
      <c r="D524" s="204"/>
      <c r="E524" s="204"/>
      <c r="F524" s="205"/>
      <c r="G524" s="205"/>
      <c r="H524" s="224"/>
      <c r="I524" s="276"/>
      <c r="J524" s="276"/>
      <c r="K524" s="38"/>
      <c r="L524" s="207"/>
      <c r="M524" s="207"/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/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/>
      </c>
    </row>
    <row r="525" spans="1:30" s="225" customFormat="1" ht="15.75" customHeight="1">
      <c r="A525" s="218" t="str">
        <f>IF(B525&lt;&gt;"",IF(AND(B525&gt;=_TM1,B525&lt;=_TM2,OR(TH!L525="1111",TH!M525="1111")),TH!D525,""),"")</f>
        <v/>
      </c>
      <c r="B525" s="36" t="str">
        <f t="shared" si="28"/>
        <v/>
      </c>
      <c r="C525" s="37"/>
      <c r="D525" s="194"/>
      <c r="E525" s="204"/>
      <c r="F525" s="40"/>
      <c r="G525" s="205"/>
      <c r="H525" s="206"/>
      <c r="I525" s="276"/>
      <c r="J525" s="276"/>
      <c r="K525" s="38"/>
      <c r="L525" s="207"/>
      <c r="M525" s="749"/>
      <c r="N525" s="55" t="str">
        <f>IF(AND('331-CT'!$E$7=TH!H525,OR(L525="331",M525="331")),"x","")</f>
        <v/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/>
      </c>
    </row>
    <row r="526" spans="1:30" s="225" customFormat="1" ht="15.75" customHeight="1">
      <c r="A526" s="218" t="str">
        <f>IF(B526&lt;&gt;"",IF(AND(B526&gt;=_TM1,B526&lt;=_TM2,OR(TH!L526="1111",TH!M526="1111")),TH!D526,""),"")</f>
        <v/>
      </c>
      <c r="B526" s="36" t="str">
        <f t="shared" si="28"/>
        <v/>
      </c>
      <c r="C526" s="37"/>
      <c r="D526" s="194"/>
      <c r="E526" s="37"/>
      <c r="F526" s="40"/>
      <c r="G526" s="40"/>
      <c r="H526" s="224"/>
      <c r="I526" s="276"/>
      <c r="J526" s="276"/>
      <c r="K526" s="38"/>
      <c r="L526" s="39"/>
      <c r="M526" s="749"/>
      <c r="N526" s="55" t="str">
        <f>IF(AND('331-CT'!$E$7=TH!H526,OR(L526="331",M526="331")),"x","")</f>
        <v/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/>
      </c>
    </row>
    <row r="527" spans="1:30" s="225" customFormat="1" ht="15.75" customHeight="1">
      <c r="A527" s="218" t="str">
        <f>IF(B527&lt;&gt;"",IF(AND(B527&gt;=_TM1,B527&lt;=_TM2,OR(TH!L527="1111",TH!M527="1111")),TH!D527,""),"")</f>
        <v/>
      </c>
      <c r="B527" s="36" t="str">
        <f t="shared" si="28"/>
        <v/>
      </c>
      <c r="C527" s="37"/>
      <c r="D527" s="194"/>
      <c r="E527" s="37"/>
      <c r="F527" s="40"/>
      <c r="G527" s="40"/>
      <c r="H527" s="224"/>
      <c r="I527" s="276"/>
      <c r="J527" s="276"/>
      <c r="K527" s="38"/>
      <c r="L527" s="39"/>
      <c r="M527" s="749"/>
      <c r="N527" s="55" t="str">
        <f>IF(AND('331-CT'!$E$7=TH!H527,OR(L527="331",M527="331")),"x","")</f>
        <v/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/>
      </c>
    </row>
    <row r="528" spans="1:30" s="225" customFormat="1" ht="15.75" customHeight="1">
      <c r="A528" s="218" t="str">
        <f>IF(B528&lt;&gt;"",IF(AND(B528&gt;=_TM1,B528&lt;=_TM2,OR(TH!L528="1111",TH!M528="1111")),TH!D528,""),"")</f>
        <v/>
      </c>
      <c r="B528" s="36" t="str">
        <f t="shared" si="28"/>
        <v/>
      </c>
      <c r="C528" s="37"/>
      <c r="D528" s="194"/>
      <c r="E528" s="37"/>
      <c r="F528" s="40"/>
      <c r="G528" s="40"/>
      <c r="H528" s="224"/>
      <c r="I528" s="276"/>
      <c r="J528" s="276"/>
      <c r="K528" s="38"/>
      <c r="L528" s="39"/>
      <c r="M528" s="749"/>
      <c r="N528" s="55" t="str">
        <f>IF(AND('331-CT'!$E$7=TH!H528,OR(L528="331",M528="331")),"x","")</f>
        <v/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/>
      </c>
    </row>
    <row r="529" spans="1:30" s="225" customFormat="1" ht="15.75" customHeight="1">
      <c r="A529" s="218" t="str">
        <f>IF(B529&lt;&gt;"",IF(AND(B529&gt;=_TM1,B529&lt;=_TM2,OR(TH!L529="1111",TH!M529="1111")),TH!D529,""),"")</f>
        <v/>
      </c>
      <c r="B529" s="36" t="str">
        <f t="shared" si="28"/>
        <v/>
      </c>
      <c r="C529" s="37"/>
      <c r="D529" s="194"/>
      <c r="E529" s="37"/>
      <c r="F529" s="40"/>
      <c r="G529" s="40"/>
      <c r="H529" s="224"/>
      <c r="I529" s="276"/>
      <c r="J529" s="276"/>
      <c r="K529" s="38"/>
      <c r="L529" s="39"/>
      <c r="M529" s="749"/>
      <c r="N529" s="55" t="str">
        <f>IF(AND('331-CT'!$E$7=TH!H529,OR(L529="331",M529="331")),"x","")</f>
        <v/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/>
      </c>
    </row>
    <row r="530" spans="1:30" s="225" customFormat="1" ht="15.75" customHeight="1">
      <c r="A530" s="218" t="str">
        <f>IF(B530&lt;&gt;"",IF(AND(B530&gt;=_TM1,B530&lt;=_TM2,OR(TH!L530="1111",TH!M530="1111")),TH!D530,""),"")</f>
        <v/>
      </c>
      <c r="B530" s="36" t="str">
        <f t="shared" si="28"/>
        <v/>
      </c>
      <c r="C530" s="37"/>
      <c r="D530" s="204"/>
      <c r="E530" s="37"/>
      <c r="F530" s="40"/>
      <c r="G530" s="40"/>
      <c r="H530" s="224"/>
      <c r="I530" s="276"/>
      <c r="J530" s="276"/>
      <c r="K530" s="38"/>
      <c r="L530" s="39"/>
      <c r="M530" s="39"/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/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/>
      </c>
      <c r="AD530" s="739"/>
    </row>
    <row r="531" spans="1:30" s="225" customFormat="1" ht="15.75" customHeight="1">
      <c r="A531" s="218" t="str">
        <f>IF(B531&lt;&gt;"",IF(AND(B531&gt;=_TM1,B531&lt;=_TM2,OR(TH!L531="1111",TH!M531="1111")),TH!D531,""),"")</f>
        <v/>
      </c>
      <c r="B531" s="36" t="str">
        <f t="shared" si="28"/>
        <v/>
      </c>
      <c r="C531" s="37"/>
      <c r="D531" s="204"/>
      <c r="E531" s="37"/>
      <c r="F531" s="40"/>
      <c r="G531" s="40"/>
      <c r="H531" s="224"/>
      <c r="I531" s="276"/>
      <c r="J531" s="276"/>
      <c r="K531" s="38"/>
      <c r="L531" s="39"/>
      <c r="M531" s="39"/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/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/>
      </c>
    </row>
    <row r="532" spans="1:30" s="225" customFormat="1" ht="15.75" customHeight="1">
      <c r="A532" s="218" t="str">
        <f>IF(B532&lt;&gt;"",IF(AND(B532&gt;=_TM1,B532&lt;=_TM2,OR(TH!L532="1111",TH!M532="1111")),TH!D532,""),"")</f>
        <v/>
      </c>
      <c r="B532" s="36" t="str">
        <f t="shared" si="28"/>
        <v/>
      </c>
      <c r="C532" s="37"/>
      <c r="D532" s="204"/>
      <c r="E532" s="37"/>
      <c r="F532" s="40"/>
      <c r="G532" s="40"/>
      <c r="H532" s="224"/>
      <c r="I532" s="276"/>
      <c r="J532" s="276"/>
      <c r="K532" s="38"/>
      <c r="L532" s="39"/>
      <c r="M532" s="39"/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/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/>
      </c>
    </row>
    <row r="533" spans="1:30" s="225" customFormat="1" ht="15.75" customHeight="1">
      <c r="A533" s="218" t="str">
        <f>IF(B533&lt;&gt;"",IF(AND(B533&gt;=_TM1,B533&lt;=_TM2,OR(TH!L533="1111",TH!M533="1111")),TH!D533,""),"")</f>
        <v/>
      </c>
      <c r="B533" s="36" t="str">
        <f t="shared" ref="B533:B602" si="29">IF(C533&lt;&gt;"",MONTH(C533),"")</f>
        <v/>
      </c>
      <c r="C533" s="37"/>
      <c r="D533" s="194"/>
      <c r="E533" s="37"/>
      <c r="F533" s="205"/>
      <c r="G533" s="40"/>
      <c r="H533" s="7"/>
      <c r="I533" s="276"/>
      <c r="J533" s="276"/>
      <c r="K533" s="38"/>
      <c r="L533" s="207"/>
      <c r="M533" s="749"/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/>
      </c>
    </row>
    <row r="534" spans="1:30" s="225" customFormat="1" ht="15.75" customHeight="1">
      <c r="A534" s="218" t="str">
        <f>IF(B534&lt;&gt;"",IF(AND(B534&gt;=_TM1,B534&lt;=_TM2,OR(TH!L534="1111",TH!M534="1111")),TH!D534,""),"")</f>
        <v/>
      </c>
      <c r="B534" s="36" t="str">
        <f t="shared" si="29"/>
        <v/>
      </c>
      <c r="C534" s="37"/>
      <c r="D534" s="194"/>
      <c r="E534" s="204"/>
      <c r="F534" s="205"/>
      <c r="G534" s="205"/>
      <c r="H534" s="7"/>
      <c r="I534" s="276"/>
      <c r="J534" s="276"/>
      <c r="K534" s="38"/>
      <c r="L534" s="207"/>
      <c r="M534" s="749"/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/>
      </c>
    </row>
    <row r="535" spans="1:30" s="225" customFormat="1" ht="15.75" customHeight="1">
      <c r="A535" s="218" t="str">
        <f>IF(B535&lt;&gt;"",IF(AND(B535&gt;=_TM1,B535&lt;=_TM2,OR(TH!L535="1111",TH!M535="1111")),TH!D535,""),"")</f>
        <v/>
      </c>
      <c r="B535" s="36" t="str">
        <f t="shared" si="29"/>
        <v/>
      </c>
      <c r="C535" s="37"/>
      <c r="D535" s="194"/>
      <c r="E535" s="204"/>
      <c r="F535" s="205"/>
      <c r="G535" s="627"/>
      <c r="H535" s="7"/>
      <c r="I535" s="276"/>
      <c r="J535" s="276"/>
      <c r="K535" s="38"/>
      <c r="L535" s="207"/>
      <c r="M535" s="749"/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/>
      </c>
    </row>
    <row r="536" spans="1:30" s="225" customFormat="1" ht="15.75" customHeight="1">
      <c r="A536" s="218" t="str">
        <f>IF(B536&lt;&gt;"",IF(AND(B536&gt;=_TM1,B536&lt;=_TM2,OR(TH!L536="1111",TH!M536="1111")),TH!D536,""),"")</f>
        <v/>
      </c>
      <c r="B536" s="36" t="str">
        <f t="shared" si="29"/>
        <v/>
      </c>
      <c r="C536" s="37"/>
      <c r="D536" s="194"/>
      <c r="E536" s="204"/>
      <c r="F536" s="205"/>
      <c r="G536" s="627"/>
      <c r="H536" s="7"/>
      <c r="I536" s="276"/>
      <c r="J536" s="276"/>
      <c r="K536" s="38"/>
      <c r="L536" s="207"/>
      <c r="M536" s="749"/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/>
      </c>
    </row>
    <row r="537" spans="1:30" s="225" customFormat="1" ht="15.75" customHeight="1">
      <c r="A537" s="218" t="str">
        <f>IF(B537&lt;&gt;"",IF(AND(B537&gt;=_TM1,B537&lt;=_TM2,OR(TH!L537="1111",TH!M537="1111")),TH!D537,""),"")</f>
        <v/>
      </c>
      <c r="B537" s="36" t="str">
        <f t="shared" si="29"/>
        <v/>
      </c>
      <c r="C537" s="37"/>
      <c r="D537" s="194"/>
      <c r="E537" s="37"/>
      <c r="F537" s="205"/>
      <c r="G537" s="205"/>
      <c r="H537" s="7"/>
      <c r="I537" s="276"/>
      <c r="J537" s="276"/>
      <c r="K537" s="38"/>
      <c r="L537" s="207"/>
      <c r="M537" s="749"/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/>
      </c>
    </row>
    <row r="538" spans="1:30" s="225" customFormat="1" ht="15.75" customHeight="1">
      <c r="A538" s="218" t="str">
        <f>IF(B538&lt;&gt;"",IF(AND(B538&gt;=_TM1,B538&lt;=_TM2,OR(TH!L538="1111",TH!M538="1111")),TH!D538,""),"")</f>
        <v/>
      </c>
      <c r="B538" s="36" t="str">
        <f t="shared" si="29"/>
        <v/>
      </c>
      <c r="C538" s="37"/>
      <c r="D538" s="194"/>
      <c r="E538" s="204"/>
      <c r="F538" s="205"/>
      <c r="G538" s="205"/>
      <c r="H538" s="7"/>
      <c r="I538" s="276"/>
      <c r="J538" s="276"/>
      <c r="K538" s="38"/>
      <c r="L538" s="207"/>
      <c r="M538" s="749"/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/>
      </c>
    </row>
    <row r="539" spans="1:30" s="225" customFormat="1" ht="15.75" customHeight="1">
      <c r="A539" s="218" t="str">
        <f>IF(B539&lt;&gt;"",IF(AND(B539&gt;=_TM1,B539&lt;=_TM2,OR(TH!L539="1111",TH!M539="1111")),TH!D539,""),"")</f>
        <v/>
      </c>
      <c r="B539" s="36" t="str">
        <f t="shared" si="29"/>
        <v/>
      </c>
      <c r="C539" s="37"/>
      <c r="D539" s="194"/>
      <c r="E539" s="204"/>
      <c r="F539" s="40"/>
      <c r="G539" s="205"/>
      <c r="H539" s="7"/>
      <c r="I539" s="276"/>
      <c r="J539" s="276"/>
      <c r="K539" s="38"/>
      <c r="L539" s="207"/>
      <c r="M539" s="749"/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/>
      </c>
    </row>
    <row r="540" spans="1:30" s="225" customFormat="1" ht="15.75" customHeight="1">
      <c r="A540" s="218" t="str">
        <f>IF(B540&lt;&gt;"",IF(AND(B540&gt;=_TM1,B540&lt;=_TM2,OR(TH!L540="1111",TH!M540="1111")),TH!D540,""),"")</f>
        <v/>
      </c>
      <c r="B540" s="36" t="str">
        <f t="shared" si="29"/>
        <v/>
      </c>
      <c r="C540" s="37"/>
      <c r="D540" s="194"/>
      <c r="E540" s="204"/>
      <c r="F540" s="205"/>
      <c r="G540" s="205"/>
      <c r="H540" s="7"/>
      <c r="I540" s="276"/>
      <c r="J540" s="276"/>
      <c r="K540" s="38"/>
      <c r="L540" s="207"/>
      <c r="M540" s="749"/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/>
      </c>
    </row>
    <row r="541" spans="1:30" s="225" customFormat="1" ht="15.75" customHeight="1">
      <c r="A541" s="218" t="str">
        <f>IF(B541&lt;&gt;"",IF(AND(B541&gt;=_TM1,B541&lt;=_TM2,OR(TH!L541="1111",TH!M541="1111")),TH!D541,""),"")</f>
        <v/>
      </c>
      <c r="B541" s="36" t="str">
        <f t="shared" si="29"/>
        <v/>
      </c>
      <c r="C541" s="37"/>
      <c r="D541" s="194"/>
      <c r="E541" s="204"/>
      <c r="F541" s="205"/>
      <c r="G541" s="205"/>
      <c r="H541" s="7"/>
      <c r="I541" s="276"/>
      <c r="J541" s="276"/>
      <c r="K541" s="277"/>
      <c r="L541" s="207"/>
      <c r="M541" s="749"/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/>
      </c>
    </row>
    <row r="542" spans="1:30" s="225" customFormat="1" ht="15.75" customHeight="1">
      <c r="A542" s="218" t="str">
        <f>IF(B542&lt;&gt;"",IF(AND(B542&gt;=_TM1,B542&lt;=_TM2,OR(TH!L542="1111",TH!M542="1111")),TH!D542,""),"")</f>
        <v/>
      </c>
      <c r="B542" s="36" t="str">
        <f t="shared" si="29"/>
        <v/>
      </c>
      <c r="C542" s="37"/>
      <c r="D542" s="194"/>
      <c r="E542" s="204"/>
      <c r="F542" s="205"/>
      <c r="G542" s="205"/>
      <c r="H542" s="7"/>
      <c r="I542" s="276"/>
      <c r="J542" s="276"/>
      <c r="K542" s="38"/>
      <c r="L542" s="207"/>
      <c r="M542" s="749"/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/>
      </c>
    </row>
    <row r="543" spans="1:30" s="225" customFormat="1" ht="15.75" customHeight="1">
      <c r="A543" s="218" t="str">
        <f>IF(B543&lt;&gt;"",IF(AND(B543&gt;=_TM1,B543&lt;=_TM2,OR(TH!L543="1111",TH!M543="1111")),TH!D543,""),"")</f>
        <v/>
      </c>
      <c r="B543" s="36" t="str">
        <f t="shared" si="29"/>
        <v/>
      </c>
      <c r="C543" s="37"/>
      <c r="D543" s="194"/>
      <c r="E543" s="204"/>
      <c r="F543" s="205"/>
      <c r="G543" s="205"/>
      <c r="H543" s="7"/>
      <c r="I543" s="276"/>
      <c r="J543" s="276"/>
      <c r="K543" s="38"/>
      <c r="L543" s="207"/>
      <c r="M543" s="749"/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/>
      </c>
    </row>
    <row r="544" spans="1:30" s="225" customFormat="1" ht="15.75" customHeight="1">
      <c r="A544" s="218" t="str">
        <f>IF(B544&lt;&gt;"",IF(AND(B544&gt;=_TM1,B544&lt;=_TM2,OR(TH!L544="1111",TH!M544="1111")),TH!D544,""),"")</f>
        <v/>
      </c>
      <c r="B544" s="36" t="str">
        <f t="shared" si="29"/>
        <v/>
      </c>
      <c r="C544" s="37"/>
      <c r="D544" s="194"/>
      <c r="E544" s="204"/>
      <c r="F544" s="40"/>
      <c r="G544" s="205"/>
      <c r="H544" s="7"/>
      <c r="I544" s="276"/>
      <c r="J544" s="276"/>
      <c r="K544" s="38"/>
      <c r="L544" s="207"/>
      <c r="M544" s="749"/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/>
      </c>
    </row>
    <row r="545" spans="1:30" s="225" customFormat="1" ht="15.75" customHeight="1">
      <c r="A545" s="218" t="str">
        <f>IF(B545&lt;&gt;"",IF(AND(B545&gt;=_TM1,B545&lt;=_TM2,OR(TH!L545="1111",TH!M545="1111")),TH!D545,""),"")</f>
        <v/>
      </c>
      <c r="B545" s="36" t="str">
        <f t="shared" si="29"/>
        <v/>
      </c>
      <c r="C545" s="37"/>
      <c r="D545" s="204"/>
      <c r="E545" s="37"/>
      <c r="F545" s="40"/>
      <c r="G545" s="40"/>
      <c r="H545" s="206"/>
      <c r="I545" s="276"/>
      <c r="J545" s="276"/>
      <c r="K545" s="38"/>
      <c r="L545" s="39"/>
      <c r="M545" s="39"/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/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/>
      </c>
      <c r="AD545" s="739"/>
    </row>
    <row r="546" spans="1:30" s="225" customFormat="1" ht="15.75" customHeight="1">
      <c r="A546" s="218" t="str">
        <f>IF(B546&lt;&gt;"",IF(AND(B546&gt;=_TM1,B546&lt;=_TM2,OR(TH!L546="1111",TH!M546="1111")),TH!D546,""),"")</f>
        <v/>
      </c>
      <c r="B546" s="36" t="str">
        <f t="shared" si="29"/>
        <v/>
      </c>
      <c r="C546" s="37"/>
      <c r="D546" s="194"/>
      <c r="E546" s="37"/>
      <c r="F546" s="40"/>
      <c r="G546" s="40"/>
      <c r="H546" s="7"/>
      <c r="I546" s="276"/>
      <c r="J546" s="276"/>
      <c r="K546" s="38"/>
      <c r="L546" s="39"/>
      <c r="M546" s="749"/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/>
      </c>
    </row>
    <row r="547" spans="1:30" s="225" customFormat="1" ht="15.75" customHeight="1">
      <c r="A547" s="218" t="str">
        <f>IF(B547&lt;&gt;"",IF(AND(B547&gt;=_TM1,B547&lt;=_TM2,OR(TH!L547="1111",TH!M547="1111")),TH!D547,""),"")</f>
        <v/>
      </c>
      <c r="B547" s="36" t="str">
        <f t="shared" si="29"/>
        <v/>
      </c>
      <c r="C547" s="37"/>
      <c r="D547" s="194"/>
      <c r="E547" s="37"/>
      <c r="F547" s="205"/>
      <c r="G547" s="40"/>
      <c r="H547" s="7"/>
      <c r="I547" s="276"/>
      <c r="J547" s="276"/>
      <c r="K547" s="38"/>
      <c r="L547" s="207"/>
      <c r="M547" s="749"/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/>
      </c>
    </row>
    <row r="548" spans="1:30" s="225" customFormat="1" ht="15.75" customHeight="1">
      <c r="A548" s="218" t="str">
        <f>IF(B548&lt;&gt;"",IF(AND(B548&gt;=_TM1,B548&lt;=_TM2,OR(TH!L548="1111",TH!M548="1111")),TH!D548,""),"")</f>
        <v/>
      </c>
      <c r="B548" s="36" t="str">
        <f t="shared" si="29"/>
        <v/>
      </c>
      <c r="C548" s="37"/>
      <c r="D548" s="194"/>
      <c r="E548" s="37"/>
      <c r="F548" s="40"/>
      <c r="G548" s="626"/>
      <c r="H548" s="7"/>
      <c r="I548" s="276"/>
      <c r="J548" s="276"/>
      <c r="K548" s="38"/>
      <c r="L548" s="39"/>
      <c r="M548" s="749"/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/>
      </c>
    </row>
    <row r="549" spans="1:30" s="225" customFormat="1" ht="15.75" customHeight="1">
      <c r="A549" s="218" t="str">
        <f>IF(B549&lt;&gt;"",IF(AND(B549&gt;=_TM1,B549&lt;=_TM2,OR(TH!L549="1111",TH!M549="1111")),TH!D549,""),"")</f>
        <v/>
      </c>
      <c r="B549" s="36" t="str">
        <f t="shared" si="29"/>
        <v/>
      </c>
      <c r="C549" s="37"/>
      <c r="D549" s="204"/>
      <c r="E549" s="204"/>
      <c r="F549" s="40"/>
      <c r="G549" s="627"/>
      <c r="H549" s="206"/>
      <c r="I549" s="276"/>
      <c r="J549" s="276"/>
      <c r="K549" s="38"/>
      <c r="L549" s="207"/>
      <c r="M549" s="207"/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/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/>
      </c>
      <c r="AD549" s="739"/>
    </row>
    <row r="550" spans="1:30" s="225" customFormat="1" ht="15.75" customHeight="1">
      <c r="A550" s="218" t="str">
        <f>IF(B550&lt;&gt;"",IF(AND(B550&gt;=_TM1,B550&lt;=_TM2,OR(TH!L550="1111",TH!M550="1111")),TH!D550,""),"")</f>
        <v/>
      </c>
      <c r="B550" s="36" t="str">
        <f t="shared" si="29"/>
        <v/>
      </c>
      <c r="C550" s="37"/>
      <c r="D550" s="204"/>
      <c r="E550" s="204"/>
      <c r="F550" s="205"/>
      <c r="G550" s="627"/>
      <c r="H550" s="206"/>
      <c r="I550" s="276"/>
      <c r="J550" s="276"/>
      <c r="K550" s="38"/>
      <c r="L550" s="207"/>
      <c r="M550" s="207"/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/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/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/>
      </c>
    </row>
    <row r="551" spans="1:30" s="225" customFormat="1" ht="15.75" customHeight="1">
      <c r="A551" s="218" t="str">
        <f>IF(B551&lt;&gt;"",IF(AND(B551&gt;=_TM1,B551&lt;=_TM2,OR(TH!L551="1111",TH!M551="1111")),TH!D551,""),"")</f>
        <v/>
      </c>
      <c r="B551" s="36" t="str">
        <f t="shared" si="29"/>
        <v/>
      </c>
      <c r="C551" s="37"/>
      <c r="D551" s="194"/>
      <c r="E551" s="204"/>
      <c r="F551" s="205"/>
      <c r="G551" s="627"/>
      <c r="H551" s="7"/>
      <c r="I551" s="276"/>
      <c r="J551" s="276"/>
      <c r="K551" s="38"/>
      <c r="L551" s="207"/>
      <c r="M551" s="749"/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/>
      </c>
    </row>
    <row r="552" spans="1:30" s="225" customFormat="1" ht="15.75" customHeight="1">
      <c r="A552" s="218" t="str">
        <f>IF(B552&lt;&gt;"",IF(AND(B552&gt;=_TM1,B552&lt;=_TM2,OR(TH!L552="1111",TH!M552="1111")),TH!D552,""),"")</f>
        <v/>
      </c>
      <c r="B552" s="36" t="str">
        <f t="shared" si="29"/>
        <v/>
      </c>
      <c r="C552" s="37"/>
      <c r="D552" s="194"/>
      <c r="E552" s="204"/>
      <c r="F552" s="205"/>
      <c r="G552" s="627"/>
      <c r="H552" s="7"/>
      <c r="I552" s="276"/>
      <c r="J552" s="276"/>
      <c r="K552" s="38"/>
      <c r="L552" s="207"/>
      <c r="M552" s="749"/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/>
      </c>
    </row>
    <row r="553" spans="1:30" s="225" customFormat="1" ht="15.75" customHeight="1">
      <c r="A553" s="218" t="str">
        <f>IF(B553&lt;&gt;"",IF(AND(B553&gt;=_TM1,B553&lt;=_TM2,OR(TH!L553="1111",TH!M553="1111")),TH!D553,""),"")</f>
        <v/>
      </c>
      <c r="B553" s="36" t="str">
        <f t="shared" si="29"/>
        <v/>
      </c>
      <c r="C553" s="37"/>
      <c r="D553" s="194"/>
      <c r="E553" s="204"/>
      <c r="F553" s="205"/>
      <c r="G553" s="627"/>
      <c r="H553" s="7"/>
      <c r="I553" s="276"/>
      <c r="J553" s="276"/>
      <c r="K553" s="38"/>
      <c r="L553" s="207"/>
      <c r="M553" s="749"/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/>
      </c>
    </row>
    <row r="554" spans="1:30" s="225" customFormat="1" ht="15.75" customHeight="1">
      <c r="A554" s="218" t="str">
        <f>IF(B554&lt;&gt;"",IF(AND(B554&gt;=_TM1,B554&lt;=_TM2,OR(TH!L554="1111",TH!M554="1111")),TH!D554,""),"")</f>
        <v/>
      </c>
      <c r="B554" s="36" t="str">
        <f t="shared" si="29"/>
        <v/>
      </c>
      <c r="C554" s="37"/>
      <c r="D554" s="194"/>
      <c r="E554" s="204"/>
      <c r="F554" s="205"/>
      <c r="G554" s="627"/>
      <c r="H554" s="7"/>
      <c r="I554" s="276"/>
      <c r="J554" s="276"/>
      <c r="K554" s="38"/>
      <c r="L554" s="207"/>
      <c r="M554" s="749"/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/>
      </c>
    </row>
    <row r="555" spans="1:30" s="225" customFormat="1" ht="15.75" customHeight="1">
      <c r="A555" s="218" t="str">
        <f>IF(B555&lt;&gt;"",IF(AND(B555&gt;=_TM1,B555&lt;=_TM2,OR(TH!L555="1111",TH!M555="1111")),TH!D555,""),"")</f>
        <v/>
      </c>
      <c r="B555" s="36" t="str">
        <f t="shared" si="29"/>
        <v/>
      </c>
      <c r="C555" s="37"/>
      <c r="D555" s="194"/>
      <c r="E555" s="204"/>
      <c r="F555" s="205"/>
      <c r="G555" s="627"/>
      <c r="H555" s="7"/>
      <c r="I555" s="276"/>
      <c r="J555" s="276"/>
      <c r="K555" s="38"/>
      <c r="L555" s="207"/>
      <c r="M555" s="749"/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/>
      </c>
    </row>
    <row r="556" spans="1:30" s="225" customFormat="1" ht="15.75" customHeight="1">
      <c r="A556" s="218" t="str">
        <f>IF(B556&lt;&gt;"",IF(AND(B556&gt;=_TM1,B556&lt;=_TM2,OR(TH!L556="1111",TH!M556="1111")),TH!D556,""),"")</f>
        <v/>
      </c>
      <c r="B556" s="36" t="str">
        <f t="shared" si="29"/>
        <v/>
      </c>
      <c r="C556" s="37"/>
      <c r="D556" s="194"/>
      <c r="E556" s="204"/>
      <c r="F556" s="205"/>
      <c r="G556" s="627"/>
      <c r="H556" s="7"/>
      <c r="I556" s="276"/>
      <c r="J556" s="276"/>
      <c r="K556" s="38"/>
      <c r="L556" s="207"/>
      <c r="M556" s="749"/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/>
      </c>
    </row>
    <row r="557" spans="1:30" s="225" customFormat="1" ht="15.75" customHeight="1">
      <c r="A557" s="218" t="str">
        <f>IF(B557&lt;&gt;"",IF(AND(B557&gt;=_TM1,B557&lt;=_TM2,OR(TH!L557="1111",TH!M557="1111")),TH!D557,""),"")</f>
        <v/>
      </c>
      <c r="B557" s="36" t="str">
        <f t="shared" si="29"/>
        <v/>
      </c>
      <c r="C557" s="37"/>
      <c r="D557" s="204"/>
      <c r="E557" s="204"/>
      <c r="F557" s="205"/>
      <c r="G557" s="627"/>
      <c r="H557" s="206"/>
      <c r="I557" s="276"/>
      <c r="J557" s="276"/>
      <c r="K557" s="38"/>
      <c r="L557" s="207"/>
      <c r="M557" s="207"/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/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30" s="225" customFormat="1" ht="15.75" customHeight="1">
      <c r="A558" s="218" t="str">
        <f>IF(B558&lt;&gt;"",IF(AND(B558&gt;=_TM1,B558&lt;=_TM2,OR(TH!L558="1111",TH!M558="1111")),TH!D558,""),"")</f>
        <v/>
      </c>
      <c r="B558" s="36" t="str">
        <f t="shared" si="29"/>
        <v/>
      </c>
      <c r="C558" s="37"/>
      <c r="D558" s="204"/>
      <c r="E558" s="204"/>
      <c r="F558" s="205"/>
      <c r="G558" s="627"/>
      <c r="H558" s="206"/>
      <c r="I558" s="276"/>
      <c r="J558" s="276"/>
      <c r="K558" s="38"/>
      <c r="L558" s="207"/>
      <c r="M558" s="207"/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/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30" s="225" customFormat="1" ht="15.75" customHeight="1">
      <c r="A559" s="218" t="str">
        <f>IF(B559&lt;&gt;"",IF(AND(B559&gt;=_TM1,B559&lt;=_TM2,OR(TH!L559="1111",TH!M559="1111")),TH!D559,""),"")</f>
        <v/>
      </c>
      <c r="B559" s="36" t="str">
        <f t="shared" si="29"/>
        <v/>
      </c>
      <c r="C559" s="37"/>
      <c r="D559" s="204"/>
      <c r="E559" s="204"/>
      <c r="F559" s="205"/>
      <c r="G559" s="627"/>
      <c r="H559" s="206"/>
      <c r="I559" s="276"/>
      <c r="J559" s="276"/>
      <c r="K559" s="38"/>
      <c r="L559" s="207"/>
      <c r="M559" s="207"/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/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30" s="225" customFormat="1" ht="15.75" customHeight="1">
      <c r="A560" s="218" t="str">
        <f>IF(B560&lt;&gt;"",IF(AND(B560&gt;=_TM1,B560&lt;=_TM2,OR(TH!L560="1111",TH!M560="1111")),TH!D560,""),"")</f>
        <v/>
      </c>
      <c r="B560" s="36" t="str">
        <f t="shared" si="29"/>
        <v/>
      </c>
      <c r="C560" s="37"/>
      <c r="D560" s="204"/>
      <c r="E560" s="204"/>
      <c r="F560" s="205"/>
      <c r="G560" s="627"/>
      <c r="H560" s="206"/>
      <c r="I560" s="276"/>
      <c r="J560" s="276"/>
      <c r="K560" s="38"/>
      <c r="L560" s="207"/>
      <c r="M560" s="207"/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/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30" s="225" customFormat="1" ht="15.75" customHeight="1">
      <c r="A561" s="218" t="str">
        <f>IF(B561&lt;&gt;"",IF(AND(B561&gt;=_TM1,B561&lt;=_TM2,OR(TH!L561="1111",TH!M561="1111")),TH!D561,""),"")</f>
        <v/>
      </c>
      <c r="B561" s="36" t="str">
        <f t="shared" si="29"/>
        <v/>
      </c>
      <c r="C561" s="37"/>
      <c r="D561" s="204"/>
      <c r="E561" s="37"/>
      <c r="F561" s="40"/>
      <c r="G561" s="627"/>
      <c r="H561" s="7"/>
      <c r="I561" s="276"/>
      <c r="J561" s="276"/>
      <c r="K561" s="38"/>
      <c r="L561" s="39"/>
      <c r="M561" s="749"/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</row>
    <row r="562" spans="1:30" s="225" customFormat="1" ht="15.75" customHeight="1">
      <c r="A562" s="218" t="str">
        <f>IF(B562&lt;&gt;"",IF(AND(B562&gt;=_TM1,B562&lt;=_TM2,OR(TH!L562="1111",TH!M562="1111")),TH!D562,""),"")</f>
        <v/>
      </c>
      <c r="B562" s="36" t="str">
        <f t="shared" ref="B562:B567" si="30">IF(C562&lt;&gt;"",MONTH(C562),"")</f>
        <v/>
      </c>
      <c r="C562" s="37"/>
      <c r="D562" s="204"/>
      <c r="E562" s="37"/>
      <c r="F562" s="40"/>
      <c r="G562" s="627"/>
      <c r="H562" s="7"/>
      <c r="I562" s="276"/>
      <c r="J562" s="276"/>
      <c r="K562" s="38"/>
      <c r="L562" s="39"/>
      <c r="M562" s="749"/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</row>
    <row r="563" spans="1:30" s="225" customFormat="1" ht="15.75" customHeight="1">
      <c r="A563" s="218" t="str">
        <f>IF(B563&lt;&gt;"",IF(AND(B563&gt;=_TM1,B563&lt;=_TM2,OR(TH!L563="1111",TH!M563="1111")),TH!D563,""),"")</f>
        <v/>
      </c>
      <c r="B563" s="36" t="str">
        <f t="shared" si="30"/>
        <v/>
      </c>
      <c r="C563" s="37"/>
      <c r="D563" s="204"/>
      <c r="E563" s="37"/>
      <c r="F563" s="40"/>
      <c r="G563" s="627"/>
      <c r="H563" s="7"/>
      <c r="I563" s="276"/>
      <c r="J563" s="276"/>
      <c r="K563" s="38"/>
      <c r="L563" s="39"/>
      <c r="M563" s="749"/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</row>
    <row r="564" spans="1:30" s="225" customFormat="1" ht="15.75" customHeight="1">
      <c r="A564" s="218" t="str">
        <f>IF(B564&lt;&gt;"",IF(AND(B564&gt;=_TM1,B564&lt;=_TM2,OR(TH!L564="1111",TH!M564="1111")),TH!D564,""),"")</f>
        <v/>
      </c>
      <c r="B564" s="36" t="str">
        <f t="shared" si="30"/>
        <v/>
      </c>
      <c r="C564" s="37"/>
      <c r="D564" s="204"/>
      <c r="E564" s="37"/>
      <c r="F564" s="40"/>
      <c r="G564" s="627"/>
      <c r="H564" s="7"/>
      <c r="I564" s="276"/>
      <c r="J564" s="276"/>
      <c r="K564" s="38"/>
      <c r="L564" s="39"/>
      <c r="M564" s="749"/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</row>
    <row r="565" spans="1:30" s="225" customFormat="1" ht="15.75" customHeight="1">
      <c r="A565" s="218" t="str">
        <f>IF(B565&lt;&gt;"",IF(AND(B565&gt;=_TM1,B565&lt;=_TM2,OR(TH!L565="1111",TH!M565="1111")),TH!D565,""),"")</f>
        <v/>
      </c>
      <c r="B565" s="36" t="str">
        <f t="shared" si="30"/>
        <v/>
      </c>
      <c r="C565" s="37"/>
      <c r="D565" s="204"/>
      <c r="E565" s="37"/>
      <c r="F565" s="40"/>
      <c r="G565" s="627"/>
      <c r="H565" s="7"/>
      <c r="I565" s="276"/>
      <c r="J565" s="276"/>
      <c r="K565" s="38"/>
      <c r="L565" s="39"/>
      <c r="M565" s="749"/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</row>
    <row r="566" spans="1:30" s="225" customFormat="1" ht="15.75" customHeight="1">
      <c r="A566" s="218" t="str">
        <f>IF(B566&lt;&gt;"",IF(AND(B566&gt;=_TM1,B566&lt;=_TM2,OR(TH!L566="1111",TH!M566="1111")),TH!D566,""),"")</f>
        <v/>
      </c>
      <c r="B566" s="36" t="str">
        <f t="shared" si="30"/>
        <v/>
      </c>
      <c r="C566" s="37"/>
      <c r="D566" s="204"/>
      <c r="E566" s="37"/>
      <c r="F566" s="40"/>
      <c r="G566" s="627"/>
      <c r="H566" s="7"/>
      <c r="I566" s="276"/>
      <c r="J566" s="276"/>
      <c r="K566" s="38"/>
      <c r="L566" s="39"/>
      <c r="M566" s="749"/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30" s="225" customFormat="1" ht="15.75" customHeight="1">
      <c r="A567" s="218" t="str">
        <f>IF(B567&lt;&gt;"",IF(AND(B567&gt;=_TM1,B567&lt;=_TM2,OR(TH!L567="1111",TH!M567="1111")),TH!D567,""),"")</f>
        <v/>
      </c>
      <c r="B567" s="36" t="str">
        <f t="shared" si="30"/>
        <v/>
      </c>
      <c r="C567" s="37"/>
      <c r="D567" s="204"/>
      <c r="E567" s="37"/>
      <c r="F567" s="40"/>
      <c r="G567" s="627"/>
      <c r="H567" s="45"/>
      <c r="I567" s="276"/>
      <c r="J567" s="276"/>
      <c r="K567" s="38"/>
      <c r="L567" s="39"/>
      <c r="M567" s="39"/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/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30" s="225" customFormat="1" ht="15.75" customHeight="1">
      <c r="A568" s="218" t="str">
        <f>IF(B568&lt;&gt;"",IF(AND(B568&gt;=_TM1,B568&lt;=_TM2,OR(TH!L568="1111",TH!M568="1111")),TH!D568,""),"")</f>
        <v/>
      </c>
      <c r="B568" s="36" t="str">
        <f t="shared" si="29"/>
        <v/>
      </c>
      <c r="C568" s="37"/>
      <c r="D568" s="204"/>
      <c r="E568" s="37"/>
      <c r="F568" s="40"/>
      <c r="G568" s="627"/>
      <c r="H568" s="45"/>
      <c r="I568" s="276"/>
      <c r="J568" s="276"/>
      <c r="K568" s="38"/>
      <c r="L568" s="39"/>
      <c r="M568" s="39"/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/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30" s="225" customFormat="1" ht="15.75" customHeight="1">
      <c r="A569" s="218" t="str">
        <f>IF(B569&lt;&gt;"",IF(AND(B569&gt;=_TM1,B569&lt;=_TM2,OR(TH!L569="1111",TH!M569="1111")),TH!D569,""),"")</f>
        <v/>
      </c>
      <c r="B569" s="36" t="str">
        <f t="shared" si="29"/>
        <v/>
      </c>
      <c r="C569" s="37"/>
      <c r="D569" s="204"/>
      <c r="E569" s="204"/>
      <c r="F569" s="205"/>
      <c r="G569" s="205"/>
      <c r="H569" s="7"/>
      <c r="I569" s="276"/>
      <c r="J569" s="276"/>
      <c r="K569" s="38"/>
      <c r="L569" s="207"/>
      <c r="M569" s="749"/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</row>
    <row r="570" spans="1:30" s="225" customFormat="1" ht="15.75" customHeight="1">
      <c r="A570" s="218" t="str">
        <f>IF(B570&lt;&gt;"",IF(AND(B570&gt;=_TM1,B570&lt;=_TM2,OR(TH!L570="1111",TH!M570="1111")),TH!D570,""),"")</f>
        <v/>
      </c>
      <c r="B570" s="36" t="str">
        <f t="shared" si="29"/>
        <v/>
      </c>
      <c r="C570" s="37"/>
      <c r="D570" s="204"/>
      <c r="E570" s="204"/>
      <c r="F570" s="40"/>
      <c r="G570" s="40"/>
      <c r="H570" s="7"/>
      <c r="I570" s="276"/>
      <c r="J570" s="276"/>
      <c r="K570" s="38"/>
      <c r="L570" s="39"/>
      <c r="M570" s="749"/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</row>
    <row r="571" spans="1:30" s="225" customFormat="1" ht="15.75" customHeight="1">
      <c r="A571" s="218" t="str">
        <f>IF(B571&lt;&gt;"",IF(AND(B571&gt;=_TM1,B571&lt;=_TM2,OR(TH!L571="1111",TH!M571="1111")),TH!D571,""),"")</f>
        <v/>
      </c>
      <c r="B571" s="36" t="str">
        <f t="shared" si="29"/>
        <v/>
      </c>
      <c r="C571" s="37"/>
      <c r="D571" s="204"/>
      <c r="E571" s="204"/>
      <c r="F571" s="40"/>
      <c r="G571" s="627"/>
      <c r="H571" s="7"/>
      <c r="I571" s="276"/>
      <c r="J571" s="276"/>
      <c r="K571" s="38"/>
      <c r="L571" s="207"/>
      <c r="M571" s="749"/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</row>
    <row r="572" spans="1:30" s="225" customFormat="1" ht="15.75" customHeight="1">
      <c r="A572" s="218" t="str">
        <f>IF(B572&lt;&gt;"",IF(AND(B572&gt;=_TM1,B572&lt;=_TM2,OR(TH!L572="1111",TH!M572="1111")),TH!D572,""),"")</f>
        <v/>
      </c>
      <c r="B572" s="36" t="str">
        <f t="shared" si="29"/>
        <v/>
      </c>
      <c r="C572" s="37"/>
      <c r="D572" s="204"/>
      <c r="E572" s="204"/>
      <c r="F572" s="40"/>
      <c r="G572" s="627"/>
      <c r="H572" s="7"/>
      <c r="I572" s="276"/>
      <c r="J572" s="276"/>
      <c r="K572" s="38"/>
      <c r="L572" s="207"/>
      <c r="M572" s="749"/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30" s="225" customFormat="1" ht="15.75" customHeight="1">
      <c r="A573" s="218" t="str">
        <f>IF(B573&lt;&gt;"",IF(AND(B573&gt;=_TM1,B573&lt;=_TM2,OR(TH!L573="1111",TH!M573="1111")),TH!D573,""),"")</f>
        <v/>
      </c>
      <c r="B573" s="36" t="str">
        <f t="shared" si="29"/>
        <v/>
      </c>
      <c r="C573" s="37"/>
      <c r="D573" s="204"/>
      <c r="E573" s="204"/>
      <c r="F573" s="40"/>
      <c r="G573" s="627"/>
      <c r="H573" s="7"/>
      <c r="I573" s="276"/>
      <c r="J573" s="276"/>
      <c r="K573" s="38"/>
      <c r="L573" s="207"/>
      <c r="M573" s="39"/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/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  <c r="AD573" s="739"/>
    </row>
    <row r="574" spans="1:30" s="225" customFormat="1" ht="15.75" customHeight="1">
      <c r="A574" s="218" t="str">
        <f>IF(B574&lt;&gt;"",IF(AND(B574&gt;=_TM1,B574&lt;=_TM2,OR(TH!L574="1111",TH!M574="1111")),TH!D574,""),"")</f>
        <v/>
      </c>
      <c r="B574" s="36" t="str">
        <f t="shared" si="29"/>
        <v/>
      </c>
      <c r="C574" s="37"/>
      <c r="D574" s="204"/>
      <c r="E574" s="204"/>
      <c r="F574" s="40"/>
      <c r="G574" s="627"/>
      <c r="H574" s="7"/>
      <c r="I574" s="276"/>
      <c r="J574" s="276"/>
      <c r="K574" s="38"/>
      <c r="L574" s="207"/>
      <c r="M574" s="749"/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</row>
    <row r="575" spans="1:30" s="225" customFormat="1" ht="15.75" customHeight="1">
      <c r="A575" s="218" t="str">
        <f>IF(B575&lt;&gt;"",IF(AND(B575&gt;=_TM1,B575&lt;=_TM2,OR(TH!L575="1111",TH!M575="1111")),TH!D575,""),"")</f>
        <v/>
      </c>
      <c r="B575" s="36" t="str">
        <f t="shared" si="29"/>
        <v/>
      </c>
      <c r="C575" s="37"/>
      <c r="D575" s="204"/>
      <c r="E575" s="204"/>
      <c r="F575" s="40"/>
      <c r="G575" s="627"/>
      <c r="H575" s="7"/>
      <c r="I575" s="276"/>
      <c r="J575" s="276"/>
      <c r="K575" s="38"/>
      <c r="L575" s="207"/>
      <c r="M575" s="749"/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</row>
    <row r="576" spans="1:30" s="225" customFormat="1" ht="15.75" customHeight="1">
      <c r="A576" s="218" t="str">
        <f>IF(B576&lt;&gt;"",IF(AND(B576&gt;=_TM1,B576&lt;=_TM2,OR(TH!L576="1111",TH!M576="1111")),TH!D576,""),"")</f>
        <v/>
      </c>
      <c r="B576" s="36" t="str">
        <f t="shared" si="29"/>
        <v/>
      </c>
      <c r="C576" s="37"/>
      <c r="D576" s="204"/>
      <c r="E576" s="204"/>
      <c r="F576" s="40"/>
      <c r="G576" s="627"/>
      <c r="H576" s="7"/>
      <c r="I576" s="276"/>
      <c r="J576" s="276"/>
      <c r="K576" s="38"/>
      <c r="L576" s="207"/>
      <c r="M576" s="749"/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30" s="225" customFormat="1" ht="15.75" customHeight="1">
      <c r="A577" s="218" t="str">
        <f>IF(B577&lt;&gt;"",IF(AND(B577&gt;=_TM1,B577&lt;=_TM2,OR(TH!L577="1111",TH!M577="1111")),TH!D577,""),"")</f>
        <v/>
      </c>
      <c r="B577" s="36" t="str">
        <f t="shared" si="29"/>
        <v/>
      </c>
      <c r="C577" s="37"/>
      <c r="D577" s="204"/>
      <c r="E577" s="204"/>
      <c r="F577" s="205"/>
      <c r="G577" s="627"/>
      <c r="H577" s="7"/>
      <c r="I577" s="276"/>
      <c r="J577" s="276"/>
      <c r="K577" s="38"/>
      <c r="L577" s="207"/>
      <c r="M577" s="39"/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/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  <c r="AD577" s="739"/>
    </row>
    <row r="578" spans="1:30" s="225" customFormat="1" ht="15.75" customHeight="1">
      <c r="A578" s="218" t="str">
        <f>IF(B578&lt;&gt;"",IF(AND(B578&gt;=_TM1,B578&lt;=_TM2,OR(TH!L578="1111",TH!M578="1111")),TH!D578,""),"")</f>
        <v/>
      </c>
      <c r="B578" s="36" t="str">
        <f t="shared" si="29"/>
        <v/>
      </c>
      <c r="C578" s="37"/>
      <c r="D578" s="204"/>
      <c r="E578" s="37"/>
      <c r="F578" s="40"/>
      <c r="G578" s="627"/>
      <c r="H578" s="45"/>
      <c r="I578" s="276"/>
      <c r="J578" s="276"/>
      <c r="K578" s="38"/>
      <c r="L578" s="39"/>
      <c r="M578" s="749"/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/>
      </c>
      <c r="Z578" s="55" t="str">
        <f>IF(AND(OR(LEFT(TH!L578,2)="15",LEFT(TH!M578,2)="15"),TK!$E$7=TH!F578),"x","")</f>
        <v/>
      </c>
      <c r="AA578" s="55" t="str">
        <f>IF(AND(B578&lt;=NKC!$N$8,B578&gt;=NKC!$M$8),"x","")</f>
        <v/>
      </c>
    </row>
    <row r="579" spans="1:30" s="225" customFormat="1" ht="15.75" customHeight="1">
      <c r="A579" s="218" t="str">
        <f>IF(B579&lt;&gt;"",IF(AND(B579&gt;=_TM1,B579&lt;=_TM2,OR(TH!L579="1111",TH!M579="1111")),TH!D579,""),"")</f>
        <v/>
      </c>
      <c r="B579" s="36" t="str">
        <f t="shared" si="29"/>
        <v/>
      </c>
      <c r="C579" s="37"/>
      <c r="D579" s="204"/>
      <c r="E579" s="37"/>
      <c r="F579" s="40"/>
      <c r="G579" s="627"/>
      <c r="H579" s="45"/>
      <c r="I579" s="276"/>
      <c r="J579" s="276"/>
      <c r="K579" s="38"/>
      <c r="L579" s="39"/>
      <c r="M579" s="749"/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30" s="225" customFormat="1" ht="15.75" customHeight="1">
      <c r="A580" s="218" t="str">
        <f>IF(B580&lt;&gt;"",IF(AND(B580&gt;=_TM1,B580&lt;=_TM2,OR(TH!L580="1111",TH!M580="1111")),TH!D580,""),"")</f>
        <v/>
      </c>
      <c r="B580" s="36" t="str">
        <f t="shared" si="29"/>
        <v/>
      </c>
      <c r="C580" s="37"/>
      <c r="D580" s="204"/>
      <c r="E580" s="37"/>
      <c r="F580" s="40"/>
      <c r="G580" s="40"/>
      <c r="H580" s="224"/>
      <c r="I580" s="276"/>
      <c r="J580" s="276"/>
      <c r="K580" s="38"/>
      <c r="L580" s="39"/>
      <c r="M580" s="39"/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/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30" s="225" customFormat="1" ht="15.75" customHeight="1">
      <c r="A581" s="218" t="str">
        <f>IF(B581&lt;&gt;"",IF(AND(B581&gt;=_TM1,B581&lt;=_TM2,OR(TH!L581="1111",TH!M581="1111")),TH!D581,""),"")</f>
        <v/>
      </c>
      <c r="B581" s="36" t="str">
        <f t="shared" si="29"/>
        <v/>
      </c>
      <c r="C581" s="37"/>
      <c r="D581" s="204"/>
      <c r="E581" s="37"/>
      <c r="F581" s="40"/>
      <c r="G581" s="40"/>
      <c r="H581" s="45"/>
      <c r="I581" s="276"/>
      <c r="J581" s="276"/>
      <c r="K581" s="38"/>
      <c r="L581" s="39"/>
      <c r="M581" s="39"/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/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30" s="225" customFormat="1" ht="15.75" customHeight="1">
      <c r="A582" s="218" t="str">
        <f>IF(B582&lt;&gt;"",IF(AND(B582&gt;=_TM1,B582&lt;=_TM2,OR(TH!L582="1111",TH!M582="1111")),TH!D582,""),"")</f>
        <v/>
      </c>
      <c r="B582" s="36" t="str">
        <f t="shared" si="29"/>
        <v/>
      </c>
      <c r="C582" s="37"/>
      <c r="D582" s="204"/>
      <c r="E582" s="37"/>
      <c r="F582" s="40"/>
      <c r="G582" s="40"/>
      <c r="H582" s="45"/>
      <c r="I582" s="276"/>
      <c r="J582" s="276"/>
      <c r="K582" s="38"/>
      <c r="L582" s="39"/>
      <c r="M582" s="39"/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/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30" s="225" customFormat="1" ht="15.75" customHeight="1">
      <c r="A583" s="218" t="str">
        <f>IF(B583&lt;&gt;"",IF(AND(B583&gt;=_TM1,B583&lt;=_TM2,OR(TH!L583="1111",TH!M583="1111")),TH!D583,""),"")</f>
        <v/>
      </c>
      <c r="B583" s="36" t="str">
        <f t="shared" si="29"/>
        <v/>
      </c>
      <c r="C583" s="37"/>
      <c r="D583" s="204"/>
      <c r="E583" s="37"/>
      <c r="F583" s="40"/>
      <c r="G583" s="40"/>
      <c r="H583" s="7"/>
      <c r="I583" s="276"/>
      <c r="J583" s="276"/>
      <c r="K583" s="38"/>
      <c r="L583" s="39"/>
      <c r="M583" s="749"/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</row>
    <row r="584" spans="1:30" s="225" customFormat="1" ht="15.75" customHeight="1">
      <c r="A584" s="218" t="str">
        <f>IF(B584&lt;&gt;"",IF(AND(B584&gt;=_TM1,B584&lt;=_TM2,OR(TH!L584="1111",TH!M584="1111")),TH!D584,""),"")</f>
        <v/>
      </c>
      <c r="B584" s="36" t="str">
        <f t="shared" si="29"/>
        <v/>
      </c>
      <c r="C584" s="37"/>
      <c r="D584" s="204"/>
      <c r="E584" s="37"/>
      <c r="F584" s="40"/>
      <c r="G584" s="40"/>
      <c r="H584" s="7"/>
      <c r="I584" s="276"/>
      <c r="J584" s="276"/>
      <c r="K584" s="38"/>
      <c r="L584" s="39"/>
      <c r="M584" s="749"/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</row>
    <row r="585" spans="1:30" s="225" customFormat="1" ht="15.75" customHeight="1">
      <c r="A585" s="218" t="str">
        <f>IF(B585&lt;&gt;"",IF(AND(B585&gt;=_TM1,B585&lt;=_TM2,OR(TH!L585="1111",TH!M585="1111")),TH!D585,""),"")</f>
        <v/>
      </c>
      <c r="B585" s="36" t="str">
        <f t="shared" si="29"/>
        <v/>
      </c>
      <c r="C585" s="37"/>
      <c r="D585" s="204"/>
      <c r="E585" s="37"/>
      <c r="F585" s="40"/>
      <c r="G585" s="40"/>
      <c r="H585" s="7"/>
      <c r="I585" s="276"/>
      <c r="J585" s="276"/>
      <c r="K585" s="38"/>
      <c r="L585" s="39"/>
      <c r="M585" s="749"/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</row>
    <row r="586" spans="1:30" s="225" customFormat="1" ht="15.75" customHeight="1">
      <c r="A586" s="218" t="str">
        <f>IF(B586&lt;&gt;"",IF(AND(B586&gt;=_TM1,B586&lt;=_TM2,OR(TH!L586="1111",TH!M586="1111")),TH!D586,""),"")</f>
        <v/>
      </c>
      <c r="B586" s="36" t="str">
        <f t="shared" si="29"/>
        <v/>
      </c>
      <c r="C586" s="37"/>
      <c r="D586" s="204"/>
      <c r="E586" s="37"/>
      <c r="F586" s="40"/>
      <c r="G586" s="40"/>
      <c r="H586" s="7"/>
      <c r="I586" s="276"/>
      <c r="J586" s="276"/>
      <c r="K586" s="38"/>
      <c r="L586" s="39"/>
      <c r="M586" s="749"/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30" s="225" customFormat="1" ht="15.75" customHeight="1">
      <c r="A587" s="218" t="str">
        <f>IF(B587&lt;&gt;"",IF(AND(B587&gt;=_TM1,B587&lt;=_TM2,OR(TH!L587="1111",TH!M587="1111")),TH!D587,""),"")</f>
        <v/>
      </c>
      <c r="B587" s="36" t="str">
        <f t="shared" si="29"/>
        <v/>
      </c>
      <c r="C587" s="37"/>
      <c r="D587" s="204"/>
      <c r="E587" s="37"/>
      <c r="F587" s="40"/>
      <c r="G587" s="40"/>
      <c r="H587" s="45"/>
      <c r="I587" s="276"/>
      <c r="J587" s="276"/>
      <c r="K587" s="38"/>
      <c r="L587" s="39"/>
      <c r="M587" s="39"/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/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  <c r="AD587" s="739"/>
    </row>
    <row r="588" spans="1:30" s="225" customFormat="1" ht="15.75" customHeight="1">
      <c r="A588" s="218" t="str">
        <f>IF(B588&lt;&gt;"",IF(AND(B588&gt;=_TM1,B588&lt;=_TM2,OR(TH!L588="1111",TH!M588="1111")),TH!D588,""),"")</f>
        <v/>
      </c>
      <c r="B588" s="36" t="str">
        <f t="shared" si="29"/>
        <v/>
      </c>
      <c r="C588" s="37"/>
      <c r="D588" s="204"/>
      <c r="E588" s="37"/>
      <c r="F588" s="40"/>
      <c r="G588" s="40"/>
      <c r="H588" s="45"/>
      <c r="I588" s="276"/>
      <c r="J588" s="276"/>
      <c r="K588" s="38"/>
      <c r="L588" s="39"/>
      <c r="M588" s="39"/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/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30" s="225" customFormat="1" ht="15.75" customHeight="1">
      <c r="A589" s="218" t="str">
        <f>IF(B589&lt;&gt;"",IF(AND(B589&gt;=_TM1,B589&lt;=_TM2,OR(TH!L589="1111",TH!M589="1111")),TH!D589,""),"")</f>
        <v/>
      </c>
      <c r="B589" s="36" t="str">
        <f t="shared" si="29"/>
        <v/>
      </c>
      <c r="C589" s="37"/>
      <c r="D589" s="204"/>
      <c r="E589" s="37"/>
      <c r="F589" s="40"/>
      <c r="G589" s="40"/>
      <c r="H589" s="224"/>
      <c r="I589" s="276"/>
      <c r="J589" s="276"/>
      <c r="K589" s="38"/>
      <c r="L589" s="39"/>
      <c r="M589" s="39"/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/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5" customFormat="1" ht="15.75" customHeight="1">
      <c r="A590" s="218" t="str">
        <f>IF(B590&lt;&gt;"",IF(AND(B590&gt;=_TM1,B590&lt;=_TM2,OR(TH!L590="1111",TH!M590="1111")),TH!D590,""),"")</f>
        <v/>
      </c>
      <c r="B590" s="36" t="str">
        <f t="shared" si="29"/>
        <v/>
      </c>
      <c r="C590" s="37"/>
      <c r="D590" s="204"/>
      <c r="E590" s="37"/>
      <c r="F590" s="40"/>
      <c r="G590" s="40"/>
      <c r="H590" s="45"/>
      <c r="I590" s="276"/>
      <c r="J590" s="276"/>
      <c r="K590" s="38"/>
      <c r="L590" s="39"/>
      <c r="M590" s="39"/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/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5" customFormat="1" ht="15.75" customHeight="1">
      <c r="A591" s="218" t="str">
        <f>IF(B591&lt;&gt;"",IF(AND(B591&gt;=_TM1,B591&lt;=_TM2,OR(TH!L591="1111",TH!M591="1111")),TH!D591,""),"")</f>
        <v/>
      </c>
      <c r="B591" s="36" t="str">
        <f t="shared" si="29"/>
        <v/>
      </c>
      <c r="C591" s="37"/>
      <c r="D591" s="204"/>
      <c r="E591" s="37"/>
      <c r="F591" s="40"/>
      <c r="G591" s="40"/>
      <c r="H591" s="45"/>
      <c r="I591" s="276"/>
      <c r="J591" s="276"/>
      <c r="K591" s="38"/>
      <c r="L591" s="39"/>
      <c r="M591" s="39"/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/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5" customFormat="1" ht="15.75" customHeight="1">
      <c r="A592" s="218" t="str">
        <f>IF(B592&lt;&gt;"",IF(AND(B592&gt;=_TM1,B592&lt;=_TM2,OR(TH!L592="1111",TH!M592="1111")),TH!D592,""),"")</f>
        <v/>
      </c>
      <c r="B592" s="36" t="str">
        <f t="shared" si="29"/>
        <v/>
      </c>
      <c r="C592" s="37"/>
      <c r="D592" s="204"/>
      <c r="E592" s="37"/>
      <c r="F592" s="40"/>
      <c r="G592" s="40"/>
      <c r="H592" s="224"/>
      <c r="I592" s="276"/>
      <c r="J592" s="276"/>
      <c r="K592" s="38"/>
      <c r="L592" s="39"/>
      <c r="M592" s="39"/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/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7" s="225" customFormat="1" ht="15.75" customHeight="1">
      <c r="A593" s="218" t="str">
        <f>IF(B593&lt;&gt;"",IF(AND(B593&gt;=_TM1,B593&lt;=_TM2,OR(TH!L593="1111",TH!M593="1111")),TH!D593,""),"")</f>
        <v/>
      </c>
      <c r="B593" s="36" t="str">
        <f t="shared" si="29"/>
        <v/>
      </c>
      <c r="C593" s="37"/>
      <c r="D593" s="204"/>
      <c r="E593" s="37"/>
      <c r="F593" s="40"/>
      <c r="G593" s="40"/>
      <c r="H593" s="224"/>
      <c r="I593" s="276"/>
      <c r="J593" s="276"/>
      <c r="K593" s="38"/>
      <c r="L593" s="39"/>
      <c r="M593" s="39"/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/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7" s="225" customFormat="1" ht="15.75" customHeight="1">
      <c r="A594" s="218" t="str">
        <f>IF(B594&lt;&gt;"",IF(AND(B594&gt;=_TM1,B594&lt;=_TM2,OR(TH!L594="1111",TH!M594="1111")),TH!D594,""),"")</f>
        <v/>
      </c>
      <c r="B594" s="36" t="str">
        <f t="shared" si="29"/>
        <v/>
      </c>
      <c r="C594" s="37"/>
      <c r="D594" s="204"/>
      <c r="E594" s="37"/>
      <c r="F594" s="40"/>
      <c r="G594" s="40"/>
      <c r="H594" s="7"/>
      <c r="I594" s="276"/>
      <c r="J594" s="276"/>
      <c r="K594" s="38"/>
      <c r="L594" s="39"/>
      <c r="M594" s="749"/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</row>
    <row r="595" spans="1:27" s="225" customFormat="1" ht="15.75" customHeight="1">
      <c r="A595" s="218" t="str">
        <f>IF(B595&lt;&gt;"",IF(AND(B595&gt;=_TM1,B595&lt;=_TM2,OR(TH!L595="1111",TH!M595="1111")),TH!D595,""),"")</f>
        <v/>
      </c>
      <c r="B595" s="36" t="str">
        <f t="shared" si="29"/>
        <v/>
      </c>
      <c r="C595" s="37"/>
      <c r="D595" s="204"/>
      <c r="E595" s="37"/>
      <c r="F595" s="40"/>
      <c r="G595" s="40"/>
      <c r="H595" s="7"/>
      <c r="I595" s="276"/>
      <c r="J595" s="276"/>
      <c r="K595" s="38"/>
      <c r="L595" s="39"/>
      <c r="M595" s="749"/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7" s="225" customFormat="1" ht="15.75" customHeight="1">
      <c r="A596" s="218" t="str">
        <f>IF(B596&lt;&gt;"",IF(AND(B596&gt;=_TM1,B596&lt;=_TM2,OR(TH!L596="1111",TH!M596="1111")),TH!D596,""),"")</f>
        <v/>
      </c>
      <c r="B596" s="36" t="str">
        <f t="shared" si="29"/>
        <v/>
      </c>
      <c r="C596" s="37"/>
      <c r="D596" s="204"/>
      <c r="E596" s="37"/>
      <c r="F596" s="40"/>
      <c r="G596" s="40"/>
      <c r="H596" s="7"/>
      <c r="I596" s="276"/>
      <c r="J596" s="276"/>
      <c r="K596" s="38"/>
      <c r="L596" s="39"/>
      <c r="M596" s="749"/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</row>
    <row r="597" spans="1:27" s="225" customFormat="1" ht="15.75" customHeight="1">
      <c r="A597" s="218" t="str">
        <f>IF(B597&lt;&gt;"",IF(AND(B597&gt;=_TM1,B597&lt;=_TM2,OR(TH!L597="1111",TH!M597="1111")),TH!D597,""),"")</f>
        <v/>
      </c>
      <c r="B597" s="36" t="str">
        <f t="shared" si="29"/>
        <v/>
      </c>
      <c r="C597" s="37"/>
      <c r="D597" s="204"/>
      <c r="E597" s="37"/>
      <c r="F597" s="40"/>
      <c r="G597" s="40"/>
      <c r="H597" s="7"/>
      <c r="I597" s="276"/>
      <c r="J597" s="276"/>
      <c r="K597" s="38"/>
      <c r="L597" s="39"/>
      <c r="M597" s="749"/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</row>
    <row r="598" spans="1:27" s="225" customFormat="1" ht="15.75" customHeight="1">
      <c r="A598" s="218" t="str">
        <f>IF(B598&lt;&gt;"",IF(AND(B598&gt;=_TM1,B598&lt;=_TM2,OR(TH!L598="1111",TH!M598="1111")),TH!D598,""),"")</f>
        <v/>
      </c>
      <c r="B598" s="36" t="str">
        <f t="shared" si="29"/>
        <v/>
      </c>
      <c r="C598" s="37"/>
      <c r="D598" s="204"/>
      <c r="E598" s="37"/>
      <c r="F598" s="40"/>
      <c r="G598" s="40"/>
      <c r="H598" s="7"/>
      <c r="I598" s="276"/>
      <c r="J598" s="276"/>
      <c r="K598" s="38"/>
      <c r="L598" s="39"/>
      <c r="M598" s="749"/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</row>
    <row r="599" spans="1:27" s="225" customFormat="1" ht="15.75" customHeight="1">
      <c r="A599" s="218" t="str">
        <f>IF(B599&lt;&gt;"",IF(AND(B599&gt;=_TM1,B599&lt;=_TM2,OR(TH!L599="1111",TH!M599="1111")),TH!D599,""),"")</f>
        <v/>
      </c>
      <c r="B599" s="36" t="str">
        <f t="shared" si="29"/>
        <v/>
      </c>
      <c r="C599" s="37"/>
      <c r="D599" s="204"/>
      <c r="E599" s="37"/>
      <c r="F599" s="40"/>
      <c r="G599" s="40"/>
      <c r="H599" s="7"/>
      <c r="I599" s="276"/>
      <c r="J599" s="276"/>
      <c r="K599" s="38"/>
      <c r="L599" s="39"/>
      <c r="M599" s="749"/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</row>
    <row r="600" spans="1:27" s="225" customFormat="1" ht="15.75" customHeight="1">
      <c r="A600" s="218" t="str">
        <f>IF(B600&lt;&gt;"",IF(AND(B600&gt;=_TM1,B600&lt;=_TM2,OR(TH!L600="1111",TH!M600="1111")),TH!D600,""),"")</f>
        <v/>
      </c>
      <c r="B600" s="36" t="str">
        <f t="shared" si="29"/>
        <v/>
      </c>
      <c r="C600" s="37"/>
      <c r="D600" s="204"/>
      <c r="E600" s="37"/>
      <c r="F600" s="40"/>
      <c r="G600" s="40"/>
      <c r="H600" s="7"/>
      <c r="I600" s="276"/>
      <c r="J600" s="276"/>
      <c r="K600" s="38"/>
      <c r="L600" s="39"/>
      <c r="M600" s="749"/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7" s="225" customFormat="1" ht="15.75" customHeight="1">
      <c r="A601" s="218" t="str">
        <f>IF(B601&lt;&gt;"",IF(AND(B601&gt;=_TM1,B601&lt;=_TM2,OR(TH!L601="1111",TH!M601="1111")),TH!D601,""),"")</f>
        <v/>
      </c>
      <c r="B601" s="36" t="str">
        <f t="shared" si="29"/>
        <v/>
      </c>
      <c r="C601" s="37"/>
      <c r="D601" s="204"/>
      <c r="E601" s="37"/>
      <c r="F601" s="40"/>
      <c r="G601" s="40"/>
      <c r="H601" s="45"/>
      <c r="I601" s="276"/>
      <c r="J601" s="276"/>
      <c r="K601" s="38"/>
      <c r="L601" s="39"/>
      <c r="M601" s="39"/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/>
      </c>
      <c r="R601" s="55" t="str">
        <f>IF(ISERROR(FIND('112'!$M$9,G601,1)),"",IF((AND(FIND('112'!$M$9,G601,1)&gt;=1,$B601&gt;='112'!$N$8,$B601&lt;='112'!$O$8,OR($L601='112'!$I$6,$M601='112'!$I$6))),"x",""))</f>
        <v/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7" s="225" customFormat="1" ht="15.75" customHeight="1">
      <c r="A602" s="218" t="str">
        <f>IF(B602&lt;&gt;"",IF(AND(B602&gt;=_TM1,B602&lt;=_TM2,OR(TH!L602="1111",TH!M602="1111")),TH!D602,""),"")</f>
        <v/>
      </c>
      <c r="B602" s="36" t="str">
        <f t="shared" si="29"/>
        <v/>
      </c>
      <c r="C602" s="37"/>
      <c r="D602" s="204"/>
      <c r="E602" s="37"/>
      <c r="F602" s="40"/>
      <c r="G602" s="40"/>
      <c r="H602" s="45"/>
      <c r="I602" s="276"/>
      <c r="J602" s="276"/>
      <c r="K602" s="38"/>
      <c r="L602" s="39"/>
      <c r="M602" s="39"/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/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7" s="225" customFormat="1" ht="15.75" customHeight="1">
      <c r="A603" s="218" t="str">
        <f>IF(B603&lt;&gt;"",IF(AND(B603&gt;=_TM1,B603&lt;=_TM2,OR(TH!L603="1111",TH!M603="1111")),TH!D603,""),"")</f>
        <v/>
      </c>
      <c r="B603" s="36" t="str">
        <f t="shared" ref="B603:B666" si="31">IF(C603&lt;&gt;"",MONTH(C603),"")</f>
        <v/>
      </c>
      <c r="C603" s="37"/>
      <c r="D603" s="204"/>
      <c r="E603" s="37"/>
      <c r="F603" s="40"/>
      <c r="G603" s="40"/>
      <c r="H603" s="224"/>
      <c r="I603" s="276"/>
      <c r="J603" s="276"/>
      <c r="K603" s="38"/>
      <c r="L603" s="39"/>
      <c r="M603" s="39"/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/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7" s="225" customFormat="1" ht="15.75" customHeight="1">
      <c r="A604" s="218" t="str">
        <f>IF(B604&lt;&gt;"",IF(AND(B604&gt;=_TM1,B604&lt;=_TM2,OR(TH!L604="1111",TH!M604="1111")),TH!D604,""),"")</f>
        <v/>
      </c>
      <c r="B604" s="36" t="str">
        <f t="shared" si="31"/>
        <v/>
      </c>
      <c r="C604" s="37"/>
      <c r="D604" s="204"/>
      <c r="E604" s="37"/>
      <c r="F604" s="40"/>
      <c r="G604" s="40"/>
      <c r="H604" s="7"/>
      <c r="I604" s="276"/>
      <c r="J604" s="276"/>
      <c r="K604" s="38"/>
      <c r="L604" s="39"/>
      <c r="M604" s="749"/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</row>
    <row r="605" spans="1:27" s="225" customFormat="1" ht="15.75" customHeight="1">
      <c r="A605" s="218" t="str">
        <f>IF(B605&lt;&gt;"",IF(AND(B605&gt;=_TM1,B605&lt;=_TM2,OR(TH!L605="1111",TH!M605="1111")),TH!D605,""),"")</f>
        <v/>
      </c>
      <c r="B605" s="36" t="str">
        <f t="shared" si="31"/>
        <v/>
      </c>
      <c r="C605" s="37"/>
      <c r="D605" s="204"/>
      <c r="E605" s="37"/>
      <c r="F605" s="40"/>
      <c r="G605" s="40"/>
      <c r="H605" s="7"/>
      <c r="I605" s="276"/>
      <c r="J605" s="276"/>
      <c r="K605" s="38"/>
      <c r="L605" s="39"/>
      <c r="M605" s="749"/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</row>
    <row r="606" spans="1:27" s="225" customFormat="1" ht="15.75" customHeight="1">
      <c r="A606" s="218" t="str">
        <f>IF(B606&lt;&gt;"",IF(AND(B606&gt;=_TM1,B606&lt;=_TM2,OR(TH!L606="1111",TH!M606="1111")),TH!D606,""),"")</f>
        <v/>
      </c>
      <c r="B606" s="36" t="str">
        <f t="shared" si="31"/>
        <v/>
      </c>
      <c r="C606" s="37"/>
      <c r="D606" s="204"/>
      <c r="E606" s="204"/>
      <c r="F606" s="40"/>
      <c r="G606" s="626"/>
      <c r="H606" s="7"/>
      <c r="I606" s="276"/>
      <c r="J606" s="276"/>
      <c r="K606" s="38"/>
      <c r="L606" s="39"/>
      <c r="M606" s="749"/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7" s="225" customFormat="1" ht="15.75" customHeight="1">
      <c r="A607" s="218" t="str">
        <f>IF(B607&lt;&gt;"",IF(AND(B607&gt;=_TM1,B607&lt;=_TM2,OR(TH!L607="1111",TH!M607="1111")),TH!D607,""),"")</f>
        <v/>
      </c>
      <c r="B607" s="36" t="str">
        <f t="shared" si="31"/>
        <v/>
      </c>
      <c r="C607" s="37"/>
      <c r="D607" s="204"/>
      <c r="E607" s="204"/>
      <c r="F607" s="205"/>
      <c r="G607" s="627"/>
      <c r="H607" s="224"/>
      <c r="I607" s="276"/>
      <c r="J607" s="276"/>
      <c r="K607" s="38"/>
      <c r="L607" s="207"/>
      <c r="M607" s="207"/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/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7" s="225" customFormat="1" ht="15.75" customHeight="1">
      <c r="A608" s="218" t="str">
        <f>IF(B608&lt;&gt;"",IF(AND(B608&gt;=_TM1,B608&lt;=_TM2,OR(TH!L608="1111",TH!M608="1111")),TH!D608,""),"")</f>
        <v/>
      </c>
      <c r="B608" s="36" t="str">
        <f t="shared" si="31"/>
        <v/>
      </c>
      <c r="C608" s="37"/>
      <c r="D608" s="204"/>
      <c r="E608" s="204"/>
      <c r="F608" s="205"/>
      <c r="G608" s="627"/>
      <c r="H608" s="206"/>
      <c r="I608" s="276"/>
      <c r="J608" s="276"/>
      <c r="K608" s="38"/>
      <c r="L608" s="207"/>
      <c r="M608" s="39"/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/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7" s="225" customFormat="1" ht="15.75" customHeight="1">
      <c r="A609" s="218" t="str">
        <f>IF(B609&lt;&gt;"",IF(AND(B609&gt;=_TM1,B609&lt;=_TM2,OR(TH!L609="1111",TH!M609="1111")),TH!D609,""),"")</f>
        <v/>
      </c>
      <c r="B609" s="36" t="str">
        <f t="shared" si="31"/>
        <v/>
      </c>
      <c r="C609" s="37"/>
      <c r="D609" s="204"/>
      <c r="E609" s="204"/>
      <c r="F609" s="205"/>
      <c r="G609" s="627"/>
      <c r="H609" s="206"/>
      <c r="I609" s="276"/>
      <c r="J609" s="276"/>
      <c r="K609" s="38"/>
      <c r="L609" s="207"/>
      <c r="M609" s="39"/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/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7" s="225" customFormat="1" ht="15.75" customHeight="1">
      <c r="A610" s="218" t="str">
        <f>IF(B610&lt;&gt;"",IF(AND(B610&gt;=_TM1,B610&lt;=_TM2,OR(TH!L610="1111",TH!M610="1111")),TH!D610,""),"")</f>
        <v/>
      </c>
      <c r="B610" s="36" t="str">
        <f t="shared" si="31"/>
        <v/>
      </c>
      <c r="C610" s="37"/>
      <c r="D610" s="204"/>
      <c r="E610" s="204"/>
      <c r="F610" s="205"/>
      <c r="G610" s="627"/>
      <c r="H610" s="224"/>
      <c r="I610" s="276"/>
      <c r="J610" s="276"/>
      <c r="K610" s="38"/>
      <c r="L610" s="207"/>
      <c r="M610" s="39"/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/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7" s="225" customFormat="1" ht="15.75" customHeight="1">
      <c r="A611" s="218" t="str">
        <f>IF(B611&lt;&gt;"",IF(AND(B611&gt;=_TM1,B611&lt;=_TM2,OR(TH!L611="1111",TH!M611="1111")),TH!D611,""),"")</f>
        <v/>
      </c>
      <c r="B611" s="36" t="str">
        <f t="shared" si="31"/>
        <v/>
      </c>
      <c r="C611" s="37"/>
      <c r="D611" s="204"/>
      <c r="E611" s="37"/>
      <c r="F611" s="40"/>
      <c r="G611" s="627"/>
      <c r="H611" s="45"/>
      <c r="I611" s="276"/>
      <c r="J611" s="276"/>
      <c r="K611" s="38"/>
      <c r="L611" s="39"/>
      <c r="M611" s="39"/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/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7" s="225" customFormat="1" ht="15.75" customHeight="1">
      <c r="A612" s="218" t="str">
        <f>IF(B612&lt;&gt;"",IF(AND(B612&gt;=_TM1,B612&lt;=_TM2,OR(TH!L612="1111",TH!M612="1111")),TH!D612,""),"")</f>
        <v/>
      </c>
      <c r="B612" s="36" t="str">
        <f t="shared" si="31"/>
        <v/>
      </c>
      <c r="C612" s="37"/>
      <c r="D612" s="204"/>
      <c r="E612" s="37"/>
      <c r="F612" s="40"/>
      <c r="G612" s="627"/>
      <c r="H612" s="45"/>
      <c r="I612" s="276"/>
      <c r="J612" s="276"/>
      <c r="K612" s="38"/>
      <c r="L612" s="39"/>
      <c r="M612" s="39"/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/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7" s="225" customFormat="1" ht="15.75" customHeight="1">
      <c r="A613" s="218" t="str">
        <f>IF(B613&lt;&gt;"",IF(AND(B613&gt;=_TM1,B613&lt;=_TM2,OR(TH!L613="1111",TH!M613="1111")),TH!D613,""),"")</f>
        <v/>
      </c>
      <c r="B613" s="36" t="str">
        <f t="shared" si="31"/>
        <v/>
      </c>
      <c r="C613" s="37"/>
      <c r="D613" s="204"/>
      <c r="E613" s="37"/>
      <c r="F613" s="40"/>
      <c r="G613" s="627"/>
      <c r="H613" s="45"/>
      <c r="I613" s="276"/>
      <c r="J613" s="276"/>
      <c r="K613" s="38"/>
      <c r="L613" s="39"/>
      <c r="M613" s="39"/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/>
      </c>
      <c r="R613" s="55" t="str">
        <f>IF(ISERROR(FIND('112'!$M$9,G613,1)),"",IF((AND(FIND('112'!$M$9,G613,1)&gt;=1,$B613&gt;='112'!$N$8,$B613&lt;='112'!$O$8,OR($L613='112'!$I$6,$M613='112'!$I$6))),"x",""))</f>
        <v/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7" s="225" customFormat="1" ht="15.75" customHeight="1">
      <c r="A614" s="218" t="str">
        <f>IF(B614&lt;&gt;"",IF(AND(B614&gt;=_TM1,B614&lt;=_TM2,OR(TH!L614="1111",TH!M614="1111")),TH!D614,""),"")</f>
        <v/>
      </c>
      <c r="B614" s="36" t="str">
        <f t="shared" si="31"/>
        <v/>
      </c>
      <c r="C614" s="37"/>
      <c r="D614" s="204"/>
      <c r="E614" s="37"/>
      <c r="F614" s="40"/>
      <c r="G614" s="627"/>
      <c r="H614" s="7"/>
      <c r="I614" s="276"/>
      <c r="J614" s="276"/>
      <c r="K614" s="38"/>
      <c r="L614" s="39"/>
      <c r="M614" s="749"/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</row>
    <row r="615" spans="1:27" s="225" customFormat="1" ht="15.75" customHeight="1">
      <c r="A615" s="218" t="str">
        <f>IF(B615&lt;&gt;"",IF(AND(B615&gt;=_TM1,B615&lt;=_TM2,OR(TH!L615="1111",TH!M615="1111")),TH!D615,""),"")</f>
        <v/>
      </c>
      <c r="B615" s="36" t="str">
        <f t="shared" si="31"/>
        <v/>
      </c>
      <c r="C615" s="37"/>
      <c r="D615" s="204"/>
      <c r="E615" s="37"/>
      <c r="F615" s="40"/>
      <c r="G615" s="627"/>
      <c r="H615" s="7"/>
      <c r="I615" s="276"/>
      <c r="J615" s="276"/>
      <c r="K615" s="38"/>
      <c r="L615" s="39"/>
      <c r="M615" s="749"/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</row>
    <row r="616" spans="1:27" s="225" customFormat="1" ht="15.75" customHeight="1">
      <c r="A616" s="218" t="str">
        <f>IF(B616&lt;&gt;"",IF(AND(B616&gt;=_TM1,B616&lt;=_TM2,OR(TH!L616="1111",TH!M616="1111")),TH!D616,""),"")</f>
        <v/>
      </c>
      <c r="B616" s="36" t="str">
        <f t="shared" si="31"/>
        <v/>
      </c>
      <c r="C616" s="37"/>
      <c r="D616" s="204"/>
      <c r="E616" s="37"/>
      <c r="F616" s="40"/>
      <c r="G616" s="627"/>
      <c r="H616" s="7"/>
      <c r="I616" s="276"/>
      <c r="J616" s="276"/>
      <c r="K616" s="38"/>
      <c r="L616" s="39"/>
      <c r="M616" s="749"/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7" s="225" customFormat="1" ht="15.75" customHeight="1">
      <c r="A617" s="218" t="str">
        <f>IF(B617&lt;&gt;"",IF(AND(B617&gt;=_TM1,B617&lt;=_TM2,OR(TH!L617="1111",TH!M617="1111")),TH!D617,""),"")</f>
        <v/>
      </c>
      <c r="B617" s="36" t="str">
        <f t="shared" si="31"/>
        <v/>
      </c>
      <c r="C617" s="37"/>
      <c r="D617" s="204"/>
      <c r="E617" s="37"/>
      <c r="F617" s="40"/>
      <c r="G617" s="627"/>
      <c r="H617" s="7"/>
      <c r="I617" s="276"/>
      <c r="J617" s="276"/>
      <c r="K617" s="38"/>
      <c r="L617" s="39"/>
      <c r="M617" s="749"/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</row>
    <row r="618" spans="1:27" s="225" customFormat="1" ht="15.75" customHeight="1">
      <c r="A618" s="218" t="str">
        <f>IF(B618&lt;&gt;"",IF(AND(B618&gt;=_TM1,B618&lt;=_TM2,OR(TH!L618="1111",TH!M618="1111")),TH!D618,""),"")</f>
        <v/>
      </c>
      <c r="B618" s="36" t="str">
        <f t="shared" si="31"/>
        <v/>
      </c>
      <c r="C618" s="37"/>
      <c r="D618" s="204"/>
      <c r="E618" s="37"/>
      <c r="F618" s="40"/>
      <c r="G618" s="40"/>
      <c r="H618" s="7"/>
      <c r="I618" s="276"/>
      <c r="J618" s="276"/>
      <c r="K618" s="38"/>
      <c r="L618" s="39"/>
      <c r="M618" s="749"/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7" s="225" customFormat="1" ht="15.75" customHeight="1">
      <c r="A619" s="218" t="str">
        <f>IF(B619&lt;&gt;"",IF(AND(B619&gt;=_TM1,B619&lt;=_TM2,OR(TH!L619="1111",TH!M619="1111")),TH!D619,""),"")</f>
        <v/>
      </c>
      <c r="B619" s="36" t="str">
        <f t="shared" si="31"/>
        <v/>
      </c>
      <c r="C619" s="37"/>
      <c r="D619" s="204"/>
      <c r="E619" s="37"/>
      <c r="F619" s="40"/>
      <c r="G619" s="40"/>
      <c r="H619" s="45"/>
      <c r="I619" s="276"/>
      <c r="J619" s="276"/>
      <c r="K619" s="38"/>
      <c r="L619" s="39"/>
      <c r="M619" s="39"/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/>
      </c>
      <c r="R619" s="55" t="str">
        <f>IF(ISERROR(FIND('112'!$M$9,G619,1)),"",IF((AND(FIND('112'!$M$9,G619,1)&gt;=1,$B619&gt;='112'!$N$8,$B619&lt;='112'!$O$8,OR($L619='112'!$I$6,$M619='112'!$I$6))),"x",""))</f>
        <v/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7" s="225" customFormat="1" ht="15.75" customHeight="1">
      <c r="A620" s="218" t="str">
        <f>IF(B620&lt;&gt;"",IF(AND(B620&gt;=_TM1,B620&lt;=_TM2,OR(TH!L620="1111",TH!M620="1111")),TH!D620,""),"")</f>
        <v/>
      </c>
      <c r="B620" s="36" t="str">
        <f t="shared" si="31"/>
        <v/>
      </c>
      <c r="C620" s="37"/>
      <c r="D620" s="204"/>
      <c r="E620" s="37"/>
      <c r="F620" s="40"/>
      <c r="G620" s="40"/>
      <c r="H620" s="45"/>
      <c r="I620" s="276"/>
      <c r="J620" s="276"/>
      <c r="K620" s="38"/>
      <c r="L620" s="39"/>
      <c r="M620" s="39"/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/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7" s="225" customFormat="1" ht="15.75" customHeight="1">
      <c r="A621" s="218" t="str">
        <f>IF(B621&lt;&gt;"",IF(AND(B621&gt;=_TM1,B621&lt;=_TM2,OR(TH!L621="1111",TH!M621="1111")),TH!D621,""),"")</f>
        <v/>
      </c>
      <c r="B621" s="36" t="str">
        <f t="shared" si="31"/>
        <v/>
      </c>
      <c r="C621" s="37"/>
      <c r="D621" s="204"/>
      <c r="E621" s="37"/>
      <c r="F621" s="40"/>
      <c r="G621" s="40"/>
      <c r="H621" s="224"/>
      <c r="I621" s="276"/>
      <c r="J621" s="276"/>
      <c r="K621" s="38"/>
      <c r="L621" s="39"/>
      <c r="M621" s="39"/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/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7" s="225" customFormat="1" ht="15.75" customHeight="1">
      <c r="A622" s="218" t="str">
        <f>IF(B622&lt;&gt;"",IF(AND(B622&gt;=_TM1,B622&lt;=_TM2,OR(TH!L622="1111",TH!M622="1111")),TH!D622,""),"")</f>
        <v/>
      </c>
      <c r="B622" s="36" t="str">
        <f t="shared" si="31"/>
        <v/>
      </c>
      <c r="C622" s="37"/>
      <c r="D622" s="204"/>
      <c r="E622" s="37"/>
      <c r="F622" s="40"/>
      <c r="G622" s="40"/>
      <c r="H622" s="45"/>
      <c r="I622" s="276"/>
      <c r="J622" s="276"/>
      <c r="K622" s="38"/>
      <c r="L622" s="39"/>
      <c r="M622" s="39"/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/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7" s="225" customFormat="1" ht="15.75" customHeight="1">
      <c r="A623" s="218" t="str">
        <f>IF(B623&lt;&gt;"",IF(AND(B623&gt;=_TM1,B623&lt;=_TM2,OR(TH!L623="1111",TH!M623="1111")),TH!D623,""),"")</f>
        <v/>
      </c>
      <c r="B623" s="36" t="str">
        <f t="shared" si="31"/>
        <v/>
      </c>
      <c r="C623" s="37"/>
      <c r="D623" s="204"/>
      <c r="E623" s="37"/>
      <c r="F623" s="40"/>
      <c r="G623" s="40"/>
      <c r="H623" s="45"/>
      <c r="I623" s="276"/>
      <c r="J623" s="276"/>
      <c r="K623" s="38"/>
      <c r="L623" s="39"/>
      <c r="M623" s="39"/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/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7" s="225" customFormat="1" ht="15.75" customHeight="1">
      <c r="A624" s="218" t="str">
        <f>IF(B624&lt;&gt;"",IF(AND(B624&gt;=_TM1,B624&lt;=_TM2,OR(TH!L624="1111",TH!M624="1111")),TH!D624,""),"")</f>
        <v/>
      </c>
      <c r="B624" s="36" t="str">
        <f t="shared" si="31"/>
        <v/>
      </c>
      <c r="C624" s="37"/>
      <c r="D624" s="204"/>
      <c r="E624" s="37"/>
      <c r="F624" s="40"/>
      <c r="G624" s="40"/>
      <c r="H624" s="224"/>
      <c r="I624" s="276"/>
      <c r="J624" s="276"/>
      <c r="K624" s="38"/>
      <c r="L624" s="39"/>
      <c r="M624" s="39"/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/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30" s="225" customFormat="1" ht="15.75" customHeight="1">
      <c r="A625" s="218" t="str">
        <f>IF(B625&lt;&gt;"",IF(AND(B625&gt;=_TM1,B625&lt;=_TM2,OR(TH!L625="1111",TH!M625="1111")),TH!D625,""),"")</f>
        <v/>
      </c>
      <c r="B625" s="36" t="str">
        <f t="shared" si="31"/>
        <v/>
      </c>
      <c r="C625" s="37"/>
      <c r="D625" s="204"/>
      <c r="E625" s="37"/>
      <c r="F625" s="40"/>
      <c r="G625" s="40"/>
      <c r="H625" s="7"/>
      <c r="I625" s="276"/>
      <c r="J625" s="276"/>
      <c r="K625" s="38"/>
      <c r="L625" s="39"/>
      <c r="M625" s="749"/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</row>
    <row r="626" spans="1:30" s="225" customFormat="1" ht="15.75" customHeight="1">
      <c r="A626" s="218" t="str">
        <f>IF(B626&lt;&gt;"",IF(AND(B626&gt;=_TM1,B626&lt;=_TM2,OR(TH!L626="1111",TH!M626="1111")),TH!D626,""),"")</f>
        <v/>
      </c>
      <c r="B626" s="36" t="str">
        <f t="shared" si="31"/>
        <v/>
      </c>
      <c r="C626" s="37"/>
      <c r="D626" s="204"/>
      <c r="E626" s="37"/>
      <c r="F626" s="40"/>
      <c r="G626" s="40"/>
      <c r="H626" s="7"/>
      <c r="I626" s="276"/>
      <c r="J626" s="276"/>
      <c r="K626" s="38"/>
      <c r="L626" s="39"/>
      <c r="M626" s="749"/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</row>
    <row r="627" spans="1:30" s="225" customFormat="1" ht="15.75" customHeight="1">
      <c r="A627" s="218" t="str">
        <f>IF(B627&lt;&gt;"",IF(AND(B627&gt;=_TM1,B627&lt;=_TM2,OR(TH!L627="1111",TH!M627="1111")),TH!D627,""),"")</f>
        <v/>
      </c>
      <c r="B627" s="36" t="str">
        <f t="shared" si="31"/>
        <v/>
      </c>
      <c r="C627" s="37"/>
      <c r="D627" s="204"/>
      <c r="E627" s="204"/>
      <c r="F627" s="205"/>
      <c r="G627" s="627"/>
      <c r="H627" s="7"/>
      <c r="I627" s="276"/>
      <c r="J627" s="276"/>
      <c r="K627" s="38"/>
      <c r="L627" s="207"/>
      <c r="M627" s="749"/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</row>
    <row r="628" spans="1:30" s="225" customFormat="1" ht="15.75" customHeight="1">
      <c r="A628" s="218" t="str">
        <f>IF(B628&lt;&gt;"",IF(AND(B628&gt;=_TM1,B628&lt;=_TM2,OR(TH!L628="1111",TH!M628="1111")),TH!D628,""),"")</f>
        <v/>
      </c>
      <c r="B628" s="36" t="str">
        <f t="shared" si="31"/>
        <v/>
      </c>
      <c r="C628" s="37"/>
      <c r="D628" s="204"/>
      <c r="E628" s="204"/>
      <c r="F628" s="205"/>
      <c r="G628" s="627"/>
      <c r="H628" s="7"/>
      <c r="I628" s="276"/>
      <c r="J628" s="276"/>
      <c r="K628" s="38"/>
      <c r="L628" s="207"/>
      <c r="M628" s="749"/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</row>
    <row r="629" spans="1:30" s="225" customFormat="1" ht="15.75" customHeight="1">
      <c r="A629" s="218" t="str">
        <f>IF(B629&lt;&gt;"",IF(AND(B629&gt;=_TM1,B629&lt;=_TM2,OR(TH!L629="1111",TH!M629="1111")),TH!D629,""),"")</f>
        <v/>
      </c>
      <c r="B629" s="36" t="str">
        <f t="shared" si="31"/>
        <v/>
      </c>
      <c r="C629" s="37"/>
      <c r="D629" s="204"/>
      <c r="E629" s="37"/>
      <c r="F629" s="40"/>
      <c r="G629" s="40"/>
      <c r="H629" s="7"/>
      <c r="I629" s="276"/>
      <c r="J629" s="276"/>
      <c r="K629" s="38"/>
      <c r="L629" s="39"/>
      <c r="M629" s="749"/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</row>
    <row r="630" spans="1:30" s="225" customFormat="1" ht="15.75" customHeight="1">
      <c r="A630" s="218" t="str">
        <f>IF(B630&lt;&gt;"",IF(AND(B630&gt;=_TM1,B630&lt;=_TM2,OR(TH!L630="1111",TH!M630="1111")),TH!D630,""),"")</f>
        <v/>
      </c>
      <c r="B630" s="36" t="str">
        <f t="shared" si="31"/>
        <v/>
      </c>
      <c r="C630" s="37"/>
      <c r="D630" s="204"/>
      <c r="E630" s="37"/>
      <c r="F630" s="40"/>
      <c r="G630" s="40"/>
      <c r="H630" s="7"/>
      <c r="I630" s="276"/>
      <c r="J630" s="276"/>
      <c r="K630" s="38"/>
      <c r="L630" s="39"/>
      <c r="M630" s="749"/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</row>
    <row r="631" spans="1:30" s="225" customFormat="1" ht="15.75" customHeight="1">
      <c r="A631" s="218" t="str">
        <f>IF(B631&lt;&gt;"",IF(AND(B631&gt;=_TM1,B631&lt;=_TM2,OR(TH!L631="1111",TH!M631="1111")),TH!D631,""),"")</f>
        <v/>
      </c>
      <c r="B631" s="36" t="str">
        <f t="shared" si="31"/>
        <v/>
      </c>
      <c r="C631" s="37"/>
      <c r="D631" s="204"/>
      <c r="E631" s="37"/>
      <c r="F631" s="40"/>
      <c r="G631" s="40"/>
      <c r="H631" s="7"/>
      <c r="I631" s="276"/>
      <c r="J631" s="276"/>
      <c r="K631" s="38"/>
      <c r="L631" s="39"/>
      <c r="M631" s="749"/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30" s="225" customFormat="1" ht="15.75" customHeight="1">
      <c r="A632" s="218" t="str">
        <f>IF(B632&lt;&gt;"",IF(AND(B632&gt;=_TM1,B632&lt;=_TM2,OR(TH!L632="1111",TH!M632="1111")),TH!D632,""),"")</f>
        <v/>
      </c>
      <c r="B632" s="36" t="str">
        <f t="shared" si="31"/>
        <v/>
      </c>
      <c r="C632" s="37"/>
      <c r="D632" s="204"/>
      <c r="E632" s="37"/>
      <c r="F632" s="40"/>
      <c r="G632" s="40"/>
      <c r="H632" s="45"/>
      <c r="I632" s="276"/>
      <c r="J632" s="276"/>
      <c r="K632" s="38"/>
      <c r="L632" s="39"/>
      <c r="M632" s="39"/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/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  <c r="AD632" s="739"/>
    </row>
    <row r="633" spans="1:30" s="225" customFormat="1" ht="15.75" customHeight="1">
      <c r="A633" s="218" t="str">
        <f>IF(B633&lt;&gt;"",IF(AND(B633&gt;=_TM1,B633&lt;=_TM2,OR(TH!L633="1111",TH!M633="1111")),TH!D633,""),"")</f>
        <v/>
      </c>
      <c r="B633" s="36" t="str">
        <f t="shared" si="31"/>
        <v/>
      </c>
      <c r="C633" s="37"/>
      <c r="D633" s="204"/>
      <c r="E633" s="37"/>
      <c r="F633" s="40"/>
      <c r="G633" s="40"/>
      <c r="H633" s="45"/>
      <c r="I633" s="276"/>
      <c r="J633" s="276"/>
      <c r="K633" s="38"/>
      <c r="L633" s="39"/>
      <c r="M633" s="749"/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</row>
    <row r="634" spans="1:30" s="225" customFormat="1" ht="15.75" customHeight="1">
      <c r="A634" s="218" t="str">
        <f>IF(B634&lt;&gt;"",IF(AND(B634&gt;=_TM1,B634&lt;=_TM2,OR(TH!L634="1111",TH!M634="1111")),TH!D634,""),"")</f>
        <v/>
      </c>
      <c r="B634" s="36" t="str">
        <f t="shared" si="31"/>
        <v/>
      </c>
      <c r="C634" s="37"/>
      <c r="D634" s="204"/>
      <c r="E634" s="37"/>
      <c r="F634" s="40"/>
      <c r="G634" s="40"/>
      <c r="H634" s="45"/>
      <c r="I634" s="276"/>
      <c r="J634" s="276"/>
      <c r="K634" s="38"/>
      <c r="L634" s="39"/>
      <c r="M634" s="749"/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</row>
    <row r="635" spans="1:30" s="225" customFormat="1" ht="15.75" customHeight="1">
      <c r="A635" s="218" t="str">
        <f>IF(B635&lt;&gt;"",IF(AND(B635&gt;=_TM1,B635&lt;=_TM2,OR(TH!L635="1111",TH!M635="1111")),TH!D635,""),"")</f>
        <v/>
      </c>
      <c r="B635" s="36" t="str">
        <f t="shared" si="31"/>
        <v/>
      </c>
      <c r="C635" s="37"/>
      <c r="D635" s="204"/>
      <c r="E635" s="37"/>
      <c r="F635" s="40"/>
      <c r="G635" s="40"/>
      <c r="H635" s="224"/>
      <c r="I635" s="277"/>
      <c r="J635" s="277"/>
      <c r="K635" s="38"/>
      <c r="L635" s="39"/>
      <c r="M635" s="749"/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</row>
    <row r="636" spans="1:30" s="225" customFormat="1" ht="15.75" customHeight="1">
      <c r="A636" s="218" t="str">
        <f>IF(B636&lt;&gt;"",IF(AND(B636&gt;=_TM1,B636&lt;=_TM2,OR(TH!L636="1111",TH!M636="1111")),TH!D636,""),"")</f>
        <v/>
      </c>
      <c r="B636" s="36" t="str">
        <f t="shared" si="31"/>
        <v/>
      </c>
      <c r="C636" s="37"/>
      <c r="D636" s="204"/>
      <c r="E636" s="37"/>
      <c r="F636" s="40"/>
      <c r="G636" s="40"/>
      <c r="H636" s="45"/>
      <c r="I636" s="276"/>
      <c r="J636" s="276"/>
      <c r="K636" s="38"/>
      <c r="L636" s="39"/>
      <c r="M636" s="749"/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</row>
    <row r="637" spans="1:30" s="225" customFormat="1" ht="15.75" customHeight="1">
      <c r="A637" s="218" t="str">
        <f>IF(B637&lt;&gt;"",IF(AND(B637&gt;=_TM1,B637&lt;=_TM2,OR(TH!L637="1111",TH!M637="1111")),TH!D637,""),"")</f>
        <v/>
      </c>
      <c r="B637" s="36" t="str">
        <f t="shared" si="31"/>
        <v/>
      </c>
      <c r="C637" s="37"/>
      <c r="D637" s="204"/>
      <c r="E637" s="37"/>
      <c r="F637" s="40"/>
      <c r="G637" s="40"/>
      <c r="H637" s="45"/>
      <c r="I637" s="276"/>
      <c r="J637" s="276"/>
      <c r="K637" s="38"/>
      <c r="L637" s="39"/>
      <c r="M637" s="749"/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30" s="225" customFormat="1" ht="15.75" customHeight="1">
      <c r="A638" s="218" t="str">
        <f>IF(B638&lt;&gt;"",IF(AND(B638&gt;=_TM1,B638&lt;=_TM2,OR(TH!L638="1111",TH!M638="1111")),TH!D638,""),"")</f>
        <v/>
      </c>
      <c r="B638" s="36" t="str">
        <f t="shared" si="31"/>
        <v/>
      </c>
      <c r="C638" s="37"/>
      <c r="D638" s="204"/>
      <c r="E638" s="37"/>
      <c r="F638" s="40"/>
      <c r="G638" s="626"/>
      <c r="H638" s="45"/>
      <c r="I638" s="276"/>
      <c r="J638" s="276"/>
      <c r="K638" s="38"/>
      <c r="L638" s="39"/>
      <c r="M638" s="39"/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/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30" s="225" customFormat="1" ht="15.75" customHeight="1">
      <c r="A639" s="218" t="str">
        <f>IF(B639&lt;&gt;"",IF(AND(B639&gt;=_TM1,B639&lt;=_TM2,OR(TH!L639="1111",TH!M639="1111")),TH!D639,""),"")</f>
        <v/>
      </c>
      <c r="B639" s="36" t="str">
        <f t="shared" si="31"/>
        <v/>
      </c>
      <c r="C639" s="37"/>
      <c r="D639" s="204"/>
      <c r="E639" s="37"/>
      <c r="F639" s="40"/>
      <c r="G639" s="40"/>
      <c r="H639" s="45"/>
      <c r="I639" s="276"/>
      <c r="J639" s="276"/>
      <c r="K639" s="38"/>
      <c r="L639" s="39"/>
      <c r="M639" s="39"/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/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30" s="225" customFormat="1" ht="15.75" customHeight="1">
      <c r="A640" s="218" t="str">
        <f>IF(B640&lt;&gt;"",IF(AND(B640&gt;=_TM1,B640&lt;=_TM2,OR(TH!L640="1111",TH!M640="1111")),TH!D640,""),"")</f>
        <v/>
      </c>
      <c r="B640" s="36" t="str">
        <f t="shared" si="31"/>
        <v/>
      </c>
      <c r="C640" s="37"/>
      <c r="D640" s="37"/>
      <c r="E640" s="37"/>
      <c r="F640" s="40"/>
      <c r="G640" s="626"/>
      <c r="H640" s="45"/>
      <c r="I640" s="276"/>
      <c r="J640" s="276"/>
      <c r="K640" s="38"/>
      <c r="L640" s="39"/>
      <c r="M640" s="39"/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/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  <c r="AD640" s="739"/>
    </row>
    <row r="641" spans="1:30" s="225" customFormat="1" ht="15.75" customHeight="1">
      <c r="A641" s="218" t="str">
        <f>IF(B641&lt;&gt;"",IF(AND(B641&gt;=_TM1,B641&lt;=_TM2,OR(TH!L641="1111",TH!M641="1111")),TH!D641,""),"")</f>
        <v/>
      </c>
      <c r="B641" s="36" t="str">
        <f t="shared" si="31"/>
        <v/>
      </c>
      <c r="C641" s="37"/>
      <c r="D641" s="37"/>
      <c r="E641" s="37"/>
      <c r="F641" s="40"/>
      <c r="G641" s="627"/>
      <c r="H641" s="224"/>
      <c r="I641" s="276"/>
      <c r="J641" s="276"/>
      <c r="K641" s="38"/>
      <c r="L641" s="39"/>
      <c r="M641" s="39"/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/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/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30" s="225" customFormat="1" ht="15.75" customHeight="1">
      <c r="A642" s="218" t="str">
        <f>IF(B642&lt;&gt;"",IF(AND(B642&gt;=_TM1,B642&lt;=_TM2,OR(TH!L642="1111",TH!M642="1111")),TH!D642,""),"")</f>
        <v/>
      </c>
      <c r="B642" s="36" t="str">
        <f t="shared" si="31"/>
        <v/>
      </c>
      <c r="C642" s="37"/>
      <c r="D642" s="37"/>
      <c r="E642" s="37"/>
      <c r="F642" s="40"/>
      <c r="G642" s="627"/>
      <c r="H642" s="7"/>
      <c r="I642" s="276"/>
      <c r="J642" s="276"/>
      <c r="K642" s="38"/>
      <c r="L642" s="39"/>
      <c r="M642" s="39"/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/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  <c r="AD642" s="739"/>
    </row>
    <row r="643" spans="1:30" s="225" customFormat="1" ht="15.75" customHeight="1">
      <c r="A643" s="218" t="str">
        <f>IF(B643&lt;&gt;"",IF(AND(B643&gt;=_TM1,B643&lt;=_TM2,OR(TH!L643="1111",TH!M643="1111")),TH!D643,""),"")</f>
        <v/>
      </c>
      <c r="B643" s="36" t="str">
        <f t="shared" si="31"/>
        <v/>
      </c>
      <c r="C643" s="37"/>
      <c r="D643" s="37"/>
      <c r="E643" s="37"/>
      <c r="F643" s="40"/>
      <c r="G643" s="627"/>
      <c r="H643" s="45"/>
      <c r="I643" s="276"/>
      <c r="J643" s="276"/>
      <c r="K643" s="38"/>
      <c r="L643" s="39"/>
      <c r="M643" s="39"/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/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30" s="225" customFormat="1" ht="15.75" customHeight="1">
      <c r="A644" s="218" t="str">
        <f>IF(B644&lt;&gt;"",IF(AND(B644&gt;=_TM1,B644&lt;=_TM2,OR(TH!L644="1111",TH!M644="1111")),TH!D644,""),"")</f>
        <v/>
      </c>
      <c r="B644" s="36" t="str">
        <f t="shared" si="31"/>
        <v/>
      </c>
      <c r="C644" s="37"/>
      <c r="D644" s="204"/>
      <c r="E644" s="37"/>
      <c r="F644" s="40"/>
      <c r="G644" s="627"/>
      <c r="H644" s="7"/>
      <c r="I644" s="276"/>
      <c r="J644" s="276"/>
      <c r="K644" s="38"/>
      <c r="L644" s="39"/>
      <c r="M644" s="749"/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</row>
    <row r="645" spans="1:30" s="225" customFormat="1" ht="15.75" customHeight="1">
      <c r="A645" s="218" t="str">
        <f>IF(B645&lt;&gt;"",IF(AND(B645&gt;=_TM1,B645&lt;=_TM2,OR(TH!L645="1111",TH!M645="1111")),TH!D645,""),"")</f>
        <v/>
      </c>
      <c r="B645" s="36" t="str">
        <f t="shared" si="31"/>
        <v/>
      </c>
      <c r="C645" s="37"/>
      <c r="D645" s="204"/>
      <c r="E645" s="37"/>
      <c r="F645" s="40"/>
      <c r="G645" s="627"/>
      <c r="H645" s="7"/>
      <c r="I645" s="276"/>
      <c r="J645" s="276"/>
      <c r="K645" s="38"/>
      <c r="L645" s="39"/>
      <c r="M645" s="749"/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</row>
    <row r="646" spans="1:30" s="225" customFormat="1" ht="15.75" customHeight="1">
      <c r="A646" s="218" t="str">
        <f>IF(B646&lt;&gt;"",IF(AND(B646&gt;=_TM1,B646&lt;=_TM2,OR(TH!L646="1111",TH!M646="1111")),TH!D646,""),"")</f>
        <v/>
      </c>
      <c r="B646" s="36" t="str">
        <f t="shared" si="31"/>
        <v/>
      </c>
      <c r="C646" s="37"/>
      <c r="D646" s="204"/>
      <c r="E646" s="37"/>
      <c r="F646" s="40"/>
      <c r="G646" s="627"/>
      <c r="H646" s="7"/>
      <c r="I646" s="276"/>
      <c r="J646" s="276"/>
      <c r="K646" s="38"/>
      <c r="L646" s="39"/>
      <c r="M646" s="749"/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</row>
    <row r="647" spans="1:30" s="225" customFormat="1" ht="15.75" customHeight="1">
      <c r="A647" s="218" t="str">
        <f>IF(B647&lt;&gt;"",IF(AND(B647&gt;=_TM1,B647&lt;=_TM2,OR(TH!L647="1111",TH!M647="1111")),TH!D647,""),"")</f>
        <v/>
      </c>
      <c r="B647" s="36" t="str">
        <f t="shared" si="31"/>
        <v/>
      </c>
      <c r="C647" s="37"/>
      <c r="D647" s="204"/>
      <c r="E647" s="37"/>
      <c r="F647" s="40"/>
      <c r="G647" s="627"/>
      <c r="H647" s="7"/>
      <c r="I647" s="276"/>
      <c r="J647" s="276"/>
      <c r="K647" s="38"/>
      <c r="L647" s="39"/>
      <c r="M647" s="749"/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30" s="225" customFormat="1" ht="15.75" customHeight="1">
      <c r="A648" s="218" t="str">
        <f>IF(B648&lt;&gt;"",IF(AND(B648&gt;=_TM1,B648&lt;=_TM2,OR(TH!L648="1111",TH!M648="1111")),TH!D648,""),"")</f>
        <v/>
      </c>
      <c r="B648" s="36" t="str">
        <f t="shared" si="31"/>
        <v/>
      </c>
      <c r="C648" s="37"/>
      <c r="D648" s="204"/>
      <c r="E648" s="37"/>
      <c r="F648" s="40"/>
      <c r="G648" s="627"/>
      <c r="H648" s="45"/>
      <c r="I648" s="276"/>
      <c r="J648" s="276"/>
      <c r="K648" s="38"/>
      <c r="L648" s="39"/>
      <c r="M648" s="39"/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/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  <c r="AD648" s="739"/>
    </row>
    <row r="649" spans="1:30" s="225" customFormat="1" ht="15.75" customHeight="1">
      <c r="A649" s="218" t="str">
        <f>IF(B649&lt;&gt;"",IF(AND(B649&gt;=_TM1,B649&lt;=_TM2,OR(TH!L649="1111",TH!M649="1111")),TH!D649,""),"")</f>
        <v/>
      </c>
      <c r="B649" s="36" t="str">
        <f t="shared" si="31"/>
        <v/>
      </c>
      <c r="C649" s="37"/>
      <c r="D649" s="204"/>
      <c r="E649" s="204"/>
      <c r="F649" s="205"/>
      <c r="G649" s="205"/>
      <c r="H649" s="7"/>
      <c r="I649" s="276"/>
      <c r="J649" s="276"/>
      <c r="K649" s="38"/>
      <c r="L649" s="207"/>
      <c r="M649" s="749"/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</row>
    <row r="650" spans="1:30" s="225" customFormat="1" ht="15.75" customHeight="1">
      <c r="A650" s="218" t="str">
        <f>IF(B650&lt;&gt;"",IF(AND(B650&gt;=_TM1,B650&lt;=_TM2,OR(TH!L650="1111",TH!M650="1111")),TH!D650,""),"")</f>
        <v/>
      </c>
      <c r="B650" s="36" t="str">
        <f t="shared" si="31"/>
        <v/>
      </c>
      <c r="C650" s="37"/>
      <c r="D650" s="204"/>
      <c r="E650" s="204"/>
      <c r="F650" s="205"/>
      <c r="G650" s="627"/>
      <c r="H650" s="7"/>
      <c r="I650" s="276"/>
      <c r="J650" s="276"/>
      <c r="K650" s="38"/>
      <c r="L650" s="207"/>
      <c r="M650" s="749"/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</row>
    <row r="651" spans="1:30" s="225" customFormat="1" ht="15.75" customHeight="1">
      <c r="A651" s="218" t="str">
        <f>IF(B651&lt;&gt;"",IF(AND(B651&gt;=_TM1,B651&lt;=_TM2,OR(TH!L651="1111",TH!M651="1111")),TH!D651,""),"")</f>
        <v/>
      </c>
      <c r="B651" s="36" t="str">
        <f t="shared" si="31"/>
        <v/>
      </c>
      <c r="C651" s="37"/>
      <c r="D651" s="204"/>
      <c r="E651" s="204"/>
      <c r="F651" s="205"/>
      <c r="G651" s="627"/>
      <c r="H651" s="7"/>
      <c r="I651" s="276"/>
      <c r="J651" s="276"/>
      <c r="K651" s="38"/>
      <c r="L651" s="207"/>
      <c r="M651" s="749"/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</row>
    <row r="652" spans="1:30" s="225" customFormat="1" ht="15.75" customHeight="1">
      <c r="A652" s="218" t="str">
        <f>IF(B652&lt;&gt;"",IF(AND(B652&gt;=_TM1,B652&lt;=_TM2,OR(TH!L652="1111",TH!M652="1111")),TH!D652,""),"")</f>
        <v/>
      </c>
      <c r="B652" s="36" t="str">
        <f t="shared" si="31"/>
        <v/>
      </c>
      <c r="C652" s="37"/>
      <c r="D652" s="204"/>
      <c r="E652" s="37"/>
      <c r="F652" s="40"/>
      <c r="G652" s="40"/>
      <c r="H652" s="7"/>
      <c r="I652" s="276"/>
      <c r="J652" s="276"/>
      <c r="K652" s="38"/>
      <c r="L652" s="39"/>
      <c r="M652" s="749"/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</row>
    <row r="653" spans="1:30" s="225" customFormat="1" ht="15.75" customHeight="1">
      <c r="A653" s="218" t="str">
        <f>IF(B653&lt;&gt;"",IF(AND(B653&gt;=_TM1,B653&lt;=_TM2,OR(TH!L653="1111",TH!M653="1111")),TH!D653,""),"")</f>
        <v/>
      </c>
      <c r="B653" s="36" t="str">
        <f t="shared" si="31"/>
        <v/>
      </c>
      <c r="C653" s="37"/>
      <c r="D653" s="204"/>
      <c r="E653" s="37"/>
      <c r="F653" s="40"/>
      <c r="G653" s="40"/>
      <c r="H653" s="7"/>
      <c r="I653" s="276"/>
      <c r="J653" s="276"/>
      <c r="K653" s="38"/>
      <c r="L653" s="39"/>
      <c r="M653" s="749"/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30" s="225" customFormat="1" ht="15.75" customHeight="1">
      <c r="A654" s="218" t="str">
        <f>IF(B654&lt;&gt;"",IF(AND(B654&gt;=_TM1,B654&lt;=_TM2,OR(TH!L654="1111",TH!M654="1111")),TH!D654,""),"")</f>
        <v/>
      </c>
      <c r="B654" s="36" t="str">
        <f t="shared" si="31"/>
        <v/>
      </c>
      <c r="C654" s="37"/>
      <c r="D654" s="204"/>
      <c r="E654" s="37"/>
      <c r="F654" s="40"/>
      <c r="G654" s="40"/>
      <c r="H654" s="45"/>
      <c r="I654" s="276"/>
      <c r="J654" s="276"/>
      <c r="K654" s="38"/>
      <c r="L654" s="39"/>
      <c r="M654" s="39"/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/>
      </c>
      <c r="R654" s="55" t="str">
        <f>IF(ISERROR(FIND('112'!$M$9,G654,1)),"",IF((AND(FIND('112'!$M$9,G654,1)&gt;=1,$B654&gt;='112'!$N$8,$B654&lt;='112'!$O$8,OR($L654='112'!$I$6,$M654='112'!$I$6))),"x",""))</f>
        <v/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30" s="225" customFormat="1" ht="15.75" customHeight="1">
      <c r="A655" s="218" t="str">
        <f>IF(B655&lt;&gt;"",IF(AND(B655&gt;=_TM1,B655&lt;=_TM2,OR(TH!L655="1111",TH!M655="1111")),TH!D655,""),"")</f>
        <v/>
      </c>
      <c r="B655" s="36" t="str">
        <f t="shared" si="31"/>
        <v/>
      </c>
      <c r="C655" s="37"/>
      <c r="D655" s="204"/>
      <c r="E655" s="37"/>
      <c r="F655" s="40"/>
      <c r="G655" s="40"/>
      <c r="H655" s="7"/>
      <c r="I655" s="277"/>
      <c r="J655" s="277"/>
      <c r="K655" s="38"/>
      <c r="L655" s="39"/>
      <c r="M655" s="749"/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</row>
    <row r="656" spans="1:30" s="225" customFormat="1" ht="15.75" customHeight="1">
      <c r="A656" s="218" t="str">
        <f>IF(B656&lt;&gt;"",IF(AND(B656&gt;=_TM1,B656&lt;=_TM2,OR(TH!L656="1111",TH!M656="1111")),TH!D656,""),"")</f>
        <v/>
      </c>
      <c r="B656" s="36" t="str">
        <f t="shared" si="31"/>
        <v/>
      </c>
      <c r="C656" s="37"/>
      <c r="D656" s="204"/>
      <c r="E656" s="37"/>
      <c r="F656" s="40"/>
      <c r="G656" s="40"/>
      <c r="H656" s="7"/>
      <c r="I656" s="276"/>
      <c r="J656" s="276"/>
      <c r="K656" s="38"/>
      <c r="L656" s="39"/>
      <c r="M656" s="749"/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</row>
    <row r="657" spans="1:27" s="225" customFormat="1" ht="15.75" customHeight="1">
      <c r="A657" s="218" t="str">
        <f>IF(B657&lt;&gt;"",IF(AND(B657&gt;=_TM1,B657&lt;=_TM2,OR(TH!L657="1111",TH!M657="1111")),TH!D657,""),"")</f>
        <v/>
      </c>
      <c r="B657" s="36" t="str">
        <f t="shared" si="31"/>
        <v/>
      </c>
      <c r="C657" s="37"/>
      <c r="D657" s="204"/>
      <c r="E657" s="37"/>
      <c r="F657" s="40"/>
      <c r="G657" s="40"/>
      <c r="H657" s="7"/>
      <c r="I657" s="276"/>
      <c r="J657" s="276"/>
      <c r="K657" s="38"/>
      <c r="L657" s="39"/>
      <c r="M657" s="749"/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</row>
    <row r="658" spans="1:27" s="225" customFormat="1" ht="15.75" customHeight="1">
      <c r="A658" s="218" t="str">
        <f>IF(B658&lt;&gt;"",IF(AND(B658&gt;=_TM1,B658&lt;=_TM2,OR(TH!L658="1111",TH!M658="1111")),TH!D658,""),"")</f>
        <v/>
      </c>
      <c r="B658" s="36" t="str">
        <f t="shared" si="31"/>
        <v/>
      </c>
      <c r="C658" s="37"/>
      <c r="D658" s="204"/>
      <c r="E658" s="37"/>
      <c r="F658" s="40"/>
      <c r="G658" s="40"/>
      <c r="H658" s="7"/>
      <c r="I658" s="276"/>
      <c r="J658" s="276"/>
      <c r="K658" s="38"/>
      <c r="L658" s="39"/>
      <c r="M658" s="749"/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</row>
    <row r="659" spans="1:27" s="225" customFormat="1" ht="15.75" customHeight="1">
      <c r="A659" s="218" t="str">
        <f>IF(B659&lt;&gt;"",IF(AND(B659&gt;=_TM1,B659&lt;=_TM2,OR(TH!L659="1111",TH!M659="1111")),TH!D659,""),"")</f>
        <v/>
      </c>
      <c r="B659" s="36" t="str">
        <f t="shared" si="31"/>
        <v/>
      </c>
      <c r="C659" s="37"/>
      <c r="D659" s="204"/>
      <c r="E659" s="37"/>
      <c r="F659" s="40"/>
      <c r="G659" s="40"/>
      <c r="H659" s="7"/>
      <c r="I659" s="276"/>
      <c r="J659" s="276"/>
      <c r="K659" s="38"/>
      <c r="L659" s="39"/>
      <c r="M659" s="749"/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</row>
    <row r="660" spans="1:27" s="225" customFormat="1" ht="15.75" customHeight="1">
      <c r="A660" s="218" t="str">
        <f>IF(B660&lt;&gt;"",IF(AND(B660&gt;=_TM1,B660&lt;=_TM2,OR(TH!L660="1111",TH!M660="1111")),TH!D660,""),"")</f>
        <v/>
      </c>
      <c r="B660" s="36" t="str">
        <f t="shared" si="31"/>
        <v/>
      </c>
      <c r="C660" s="37"/>
      <c r="D660" s="204"/>
      <c r="E660" s="37"/>
      <c r="F660" s="40"/>
      <c r="G660" s="40"/>
      <c r="H660" s="7"/>
      <c r="I660" s="276"/>
      <c r="J660" s="276"/>
      <c r="K660" s="38"/>
      <c r="L660" s="39"/>
      <c r="M660" s="749"/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7" s="225" customFormat="1" ht="15.75" customHeight="1">
      <c r="A661" s="218" t="str">
        <f>IF(B661&lt;&gt;"",IF(AND(B661&gt;=_TM1,B661&lt;=_TM2,OR(TH!L661="1111",TH!M661="1111")),TH!D661,""),"")</f>
        <v/>
      </c>
      <c r="B661" s="36" t="str">
        <f t="shared" si="31"/>
        <v/>
      </c>
      <c r="C661" s="37"/>
      <c r="D661" s="37"/>
      <c r="E661" s="37"/>
      <c r="F661" s="40"/>
      <c r="G661" s="626"/>
      <c r="H661" s="45"/>
      <c r="I661" s="276"/>
      <c r="J661" s="276"/>
      <c r="K661" s="38"/>
      <c r="L661" s="39"/>
      <c r="M661" s="39"/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/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7" s="225" customFormat="1" ht="15.75" customHeight="1">
      <c r="A662" s="218" t="str">
        <f>IF(B662&lt;&gt;"",IF(AND(B662&gt;=_TM1,B662&lt;=_TM2,OR(TH!L662="1111",TH!M662="1111")),TH!D662,""),"")</f>
        <v/>
      </c>
      <c r="B662" s="36" t="str">
        <f>IF(C662&lt;&gt;"",MONTH(C662),"")</f>
        <v/>
      </c>
      <c r="C662" s="37"/>
      <c r="D662" s="37"/>
      <c r="E662" s="37"/>
      <c r="F662" s="40"/>
      <c r="G662" s="626"/>
      <c r="H662" s="45"/>
      <c r="I662" s="276"/>
      <c r="J662" s="276"/>
      <c r="K662" s="38"/>
      <c r="L662" s="39"/>
      <c r="M662" s="39"/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/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7" s="225" customFormat="1" ht="15.75" customHeight="1">
      <c r="A663" s="218" t="str">
        <f>IF(B663&lt;&gt;"",IF(AND(B663&gt;=_TM1,B663&lt;=_TM2,OR(TH!L663="1111",TH!M663="1111")),TH!D663,""),"")</f>
        <v/>
      </c>
      <c r="B663" s="36" t="str">
        <f t="shared" si="31"/>
        <v/>
      </c>
      <c r="C663" s="37"/>
      <c r="D663" s="37"/>
      <c r="E663" s="37"/>
      <c r="F663" s="40"/>
      <c r="G663" s="626"/>
      <c r="H663" s="45"/>
      <c r="I663" s="276"/>
      <c r="J663" s="276"/>
      <c r="K663" s="38"/>
      <c r="L663" s="207"/>
      <c r="M663" s="39"/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/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7" s="225" customFormat="1" ht="15.75" customHeight="1">
      <c r="A664" s="218" t="str">
        <f>IF(B664&lt;&gt;"",IF(AND(B664&gt;=_TM1,B664&lt;=_TM2,OR(TH!L664="1111",TH!M664="1111")),TH!D664,""),"")</f>
        <v/>
      </c>
      <c r="B664" s="36" t="str">
        <f t="shared" si="31"/>
        <v/>
      </c>
      <c r="C664" s="37"/>
      <c r="D664" s="204"/>
      <c r="E664" s="37"/>
      <c r="F664" s="40"/>
      <c r="G664" s="626"/>
      <c r="H664" s="45"/>
      <c r="I664" s="276"/>
      <c r="J664" s="276"/>
      <c r="K664" s="38"/>
      <c r="L664" s="207"/>
      <c r="M664" s="749"/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</row>
    <row r="665" spans="1:27" s="225" customFormat="1" ht="15.75" customHeight="1">
      <c r="A665" s="218" t="str">
        <f>IF(B665&lt;&gt;"",IF(AND(B665&gt;=_TM1,B665&lt;=_TM2,OR(TH!L665="1111",TH!M665="1111")),TH!D665,""),"")</f>
        <v/>
      </c>
      <c r="B665" s="36" t="str">
        <f t="shared" si="31"/>
        <v/>
      </c>
      <c r="C665" s="37"/>
      <c r="D665" s="204"/>
      <c r="E665" s="37"/>
      <c r="F665" s="40"/>
      <c r="G665" s="626"/>
      <c r="H665" s="45"/>
      <c r="I665" s="276"/>
      <c r="J665" s="276"/>
      <c r="K665" s="38"/>
      <c r="L665" s="39"/>
      <c r="M665" s="749"/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7" s="225" customFormat="1" ht="15.75" customHeight="1">
      <c r="A666" s="218" t="str">
        <f>IF(B666&lt;&gt;"",IF(AND(B666&gt;=_TM1,B666&lt;=_TM2,OR(TH!L666="1111",TH!M666="1111")),TH!D666,""),"")</f>
        <v/>
      </c>
      <c r="B666" s="36" t="str">
        <f t="shared" si="31"/>
        <v/>
      </c>
      <c r="C666" s="37"/>
      <c r="D666" s="204"/>
      <c r="E666" s="37"/>
      <c r="F666" s="40"/>
      <c r="G666" s="626"/>
      <c r="H666" s="7"/>
      <c r="I666" s="276"/>
      <c r="J666" s="276"/>
      <c r="K666" s="38"/>
      <c r="L666" s="39"/>
      <c r="M666" s="749"/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</row>
    <row r="667" spans="1:27" s="225" customFormat="1" ht="15.75" customHeight="1">
      <c r="A667" s="218" t="str">
        <f>IF(B667&lt;&gt;"",IF(AND(B667&gt;=_TM1,B667&lt;=_TM2,OR(TH!L667="1111",TH!M667="1111")),TH!D667,""),"")</f>
        <v/>
      </c>
      <c r="B667" s="36" t="str">
        <f t="shared" ref="B667:B679" si="32">IF(C667&lt;&gt;"",MONTH(C667),"")</f>
        <v/>
      </c>
      <c r="C667" s="37"/>
      <c r="D667" s="204"/>
      <c r="E667" s="37"/>
      <c r="F667" s="40"/>
      <c r="G667" s="626"/>
      <c r="H667" s="7"/>
      <c r="I667" s="276"/>
      <c r="J667" s="276"/>
      <c r="K667" s="38"/>
      <c r="L667" s="39"/>
      <c r="M667" s="749"/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7" s="225" customFormat="1" ht="15.75" customHeight="1">
      <c r="A668" s="218" t="str">
        <f>IF(B668&lt;&gt;"",IF(AND(B668&gt;=_TM1,B668&lt;=_TM2,OR(TH!L668="1111",TH!M668="1111")),TH!D668,""),"")</f>
        <v/>
      </c>
      <c r="B668" s="36" t="str">
        <f t="shared" si="32"/>
        <v/>
      </c>
      <c r="C668" s="37"/>
      <c r="D668" s="204"/>
      <c r="E668" s="37"/>
      <c r="F668" s="40"/>
      <c r="G668" s="626"/>
      <c r="H668" s="7"/>
      <c r="I668" s="276"/>
      <c r="J668" s="276"/>
      <c r="K668" s="38"/>
      <c r="L668" s="39"/>
      <c r="M668" s="749"/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</row>
    <row r="669" spans="1:27" s="225" customFormat="1" ht="15.75" customHeight="1">
      <c r="A669" s="218" t="str">
        <f>IF(B669&lt;&gt;"",IF(AND(B669&gt;=_TM1,B669&lt;=_TM2,OR(TH!L669="1111",TH!M669="1111")),TH!D669,""),"")</f>
        <v/>
      </c>
      <c r="B669" s="36" t="str">
        <f t="shared" si="32"/>
        <v/>
      </c>
      <c r="C669" s="37"/>
      <c r="D669" s="204"/>
      <c r="E669" s="37"/>
      <c r="F669" s="40"/>
      <c r="G669" s="626"/>
      <c r="H669" s="7"/>
      <c r="I669" s="276"/>
      <c r="J669" s="276"/>
      <c r="K669" s="38"/>
      <c r="L669" s="39"/>
      <c r="M669" s="749"/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</row>
    <row r="670" spans="1:27" s="225" customFormat="1" ht="15.75" customHeight="1">
      <c r="A670" s="218" t="str">
        <f>IF(B670&lt;&gt;"",IF(AND(B670&gt;=_TM1,B670&lt;=_TM2,OR(TH!L670="1111",TH!M670="1111")),TH!D670,""),"")</f>
        <v/>
      </c>
      <c r="B670" s="36" t="str">
        <f t="shared" si="32"/>
        <v/>
      </c>
      <c r="C670" s="37"/>
      <c r="D670" s="204"/>
      <c r="E670" s="37"/>
      <c r="F670" s="40"/>
      <c r="G670" s="626"/>
      <c r="H670" s="7"/>
      <c r="I670" s="276"/>
      <c r="J670" s="276"/>
      <c r="K670" s="38"/>
      <c r="L670" s="39"/>
      <c r="M670" s="749"/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</row>
    <row r="671" spans="1:27" s="225" customFormat="1" ht="15.75" customHeight="1">
      <c r="A671" s="218" t="str">
        <f>IF(B671&lt;&gt;"",IF(AND(B671&gt;=_TM1,B671&lt;=_TM2,OR(TH!L671="1111",TH!M671="1111")),TH!D671,""),"")</f>
        <v/>
      </c>
      <c r="B671" s="36" t="str">
        <f t="shared" si="32"/>
        <v/>
      </c>
      <c r="C671" s="37"/>
      <c r="D671" s="204"/>
      <c r="E671" s="37"/>
      <c r="F671" s="40"/>
      <c r="G671" s="626"/>
      <c r="H671" s="7"/>
      <c r="I671" s="276"/>
      <c r="J671" s="276"/>
      <c r="K671" s="38"/>
      <c r="L671" s="39"/>
      <c r="M671" s="749"/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</row>
    <row r="672" spans="1:27" s="225" customFormat="1" ht="15.75" customHeight="1">
      <c r="A672" s="218" t="str">
        <f>IF(B672&lt;&gt;"",IF(AND(B672&gt;=_TM1,B672&lt;=_TM2,OR(TH!L672="1111",TH!M672="1111")),TH!D672,""),"")</f>
        <v/>
      </c>
      <c r="B672" s="36" t="str">
        <f t="shared" si="32"/>
        <v/>
      </c>
      <c r="C672" s="37"/>
      <c r="D672" s="204"/>
      <c r="E672" s="37"/>
      <c r="F672" s="40"/>
      <c r="G672" s="626"/>
      <c r="H672" s="7"/>
      <c r="I672" s="276"/>
      <c r="J672" s="276"/>
      <c r="K672" s="38"/>
      <c r="L672" s="39"/>
      <c r="M672" s="749"/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</row>
    <row r="673" spans="1:30" s="225" customFormat="1" ht="15.75" customHeight="1">
      <c r="A673" s="218" t="str">
        <f>IF(B673&lt;&gt;"",IF(AND(B673&gt;=_TM1,B673&lt;=_TM2,OR(TH!L673="1111",TH!M673="1111")),TH!D673,""),"")</f>
        <v/>
      </c>
      <c r="B673" s="36" t="str">
        <f t="shared" si="32"/>
        <v/>
      </c>
      <c r="C673" s="37"/>
      <c r="D673" s="204"/>
      <c r="E673" s="37"/>
      <c r="F673" s="40"/>
      <c r="G673" s="626"/>
      <c r="H673" s="7"/>
      <c r="I673" s="276"/>
      <c r="J673" s="276"/>
      <c r="K673" s="38"/>
      <c r="L673" s="39"/>
      <c r="M673" s="749"/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5" customFormat="1" ht="15.75" customHeight="1">
      <c r="A674" s="218" t="str">
        <f>IF(B674&lt;&gt;"",IF(AND(B674&gt;=_TM1,B674&lt;=_TM2,OR(TH!L674="1111",TH!M674="1111")),TH!D674,""),"")</f>
        <v/>
      </c>
      <c r="B674" s="36" t="str">
        <f t="shared" si="32"/>
        <v/>
      </c>
      <c r="C674" s="37"/>
      <c r="D674" s="37"/>
      <c r="E674" s="37"/>
      <c r="F674" s="40"/>
      <c r="G674" s="626"/>
      <c r="H674" s="224"/>
      <c r="I674" s="276"/>
      <c r="J674" s="276"/>
      <c r="K674" s="38"/>
      <c r="L674" s="39"/>
      <c r="M674" s="39"/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/>
      </c>
      <c r="R674" s="55" t="str">
        <f>IF(ISERROR(FIND('112'!$M$9,G674,1)),"",IF((AND(FIND('112'!$M$9,G674,1)&gt;=1,$B674&gt;='112'!$N$8,$B674&lt;='112'!$O$8,OR($L674='112'!$I$6,$M674='112'!$I$6))),"x",""))</f>
        <v/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30" s="225" customFormat="1" ht="15.75" customHeight="1">
      <c r="A675" s="218" t="str">
        <f>IF(B675&lt;&gt;"",IF(AND(B675&gt;=_TM1,B675&lt;=_TM2,OR(TH!L675="1111",TH!M675="1111")),TH!D675,""),"")</f>
        <v/>
      </c>
      <c r="B675" s="36" t="str">
        <f t="shared" si="32"/>
        <v/>
      </c>
      <c r="C675" s="37"/>
      <c r="D675" s="37"/>
      <c r="E675" s="37"/>
      <c r="F675" s="40"/>
      <c r="G675" s="626"/>
      <c r="H675" s="7"/>
      <c r="I675" s="276"/>
      <c r="J675" s="276"/>
      <c r="K675" s="38"/>
      <c r="L675" s="39"/>
      <c r="M675" s="39"/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/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  <c r="AD675" s="739"/>
    </row>
    <row r="676" spans="1:30" s="225" customFormat="1" ht="15.75" customHeight="1">
      <c r="A676" s="218" t="str">
        <f>IF(B676&lt;&gt;"",IF(AND(B676&gt;=_TM1,B676&lt;=_TM2,OR(TH!L676="1111",TH!M676="1111")),TH!D676,""),"")</f>
        <v/>
      </c>
      <c r="B676" s="36" t="str">
        <f t="shared" si="32"/>
        <v/>
      </c>
      <c r="C676" s="37"/>
      <c r="D676" s="37"/>
      <c r="E676" s="37"/>
      <c r="F676" s="40"/>
      <c r="G676" s="626"/>
      <c r="H676" s="224"/>
      <c r="I676" s="276"/>
      <c r="J676" s="276"/>
      <c r="K676" s="38"/>
      <c r="L676" s="39"/>
      <c r="M676" s="39"/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/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30" s="225" customFormat="1" ht="15.75" customHeight="1">
      <c r="A677" s="218" t="str">
        <f>IF(B677&lt;&gt;"",IF(AND(B677&gt;=_TM1,B677&lt;=_TM2,OR(TH!L677="1111",TH!M677="1111")),TH!D677,""),"")</f>
        <v/>
      </c>
      <c r="B677" s="36" t="str">
        <f t="shared" si="32"/>
        <v/>
      </c>
      <c r="C677" s="37"/>
      <c r="D677" s="37"/>
      <c r="E677" s="37"/>
      <c r="F677" s="40"/>
      <c r="G677" s="626"/>
      <c r="H677" s="224"/>
      <c r="I677" s="276"/>
      <c r="J677" s="276"/>
      <c r="K677" s="38"/>
      <c r="L677" s="39"/>
      <c r="M677" s="39"/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/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30" s="225" customFormat="1" ht="15.75" customHeight="1">
      <c r="A678" s="218" t="str">
        <f>IF(B678&lt;&gt;"",IF(AND(B678&gt;=_TM1,B678&lt;=_TM2,OR(TH!L678="1111",TH!M678="1111")),TH!D678,""),"")</f>
        <v/>
      </c>
      <c r="B678" s="36" t="str">
        <f t="shared" si="32"/>
        <v/>
      </c>
      <c r="C678" s="37"/>
      <c r="D678" s="37"/>
      <c r="E678" s="37"/>
      <c r="F678" s="40"/>
      <c r="G678" s="626"/>
      <c r="H678" s="224"/>
      <c r="I678" s="276"/>
      <c r="J678" s="276"/>
      <c r="K678" s="38"/>
      <c r="L678" s="39"/>
      <c r="M678" s="39"/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/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D678" s="739"/>
    </row>
    <row r="679" spans="1:30" s="225" customFormat="1" ht="15.75" customHeight="1">
      <c r="A679" s="218" t="str">
        <f>IF(B679&lt;&gt;"",IF(AND(B679&gt;=_TM1,B679&lt;=_TM2,OR(TH!L679="1111",TH!M679="1111")),TH!D679,""),"")</f>
        <v/>
      </c>
      <c r="B679" s="36" t="str">
        <f t="shared" si="32"/>
        <v/>
      </c>
      <c r="C679" s="37"/>
      <c r="D679" s="37"/>
      <c r="E679" s="37"/>
      <c r="F679" s="40"/>
      <c r="G679" s="626"/>
      <c r="H679" s="7"/>
      <c r="I679" s="276"/>
      <c r="J679" s="276"/>
      <c r="K679" s="38"/>
      <c r="L679" s="39"/>
      <c r="M679" s="39"/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/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  <c r="AD679" s="739"/>
    </row>
    <row r="680" spans="1:30" s="739" customFormat="1" ht="15.75" customHeight="1">
      <c r="A680" s="218" t="str">
        <f>IF(B680&lt;&gt;"",IF(AND(B680&gt;=_TM1,B680&lt;=_TM2,OR(TH!L680="1111",TH!M680="1111")),TH!D680,""),"")</f>
        <v/>
      </c>
      <c r="B680" s="36" t="str">
        <f t="shared" ref="B680:B704" si="33">IF(C680&lt;&gt;"",MONTH(C680),"")</f>
        <v/>
      </c>
      <c r="C680" s="37"/>
      <c r="D680" s="37"/>
      <c r="E680" s="37"/>
      <c r="F680" s="40"/>
      <c r="G680" s="40"/>
      <c r="H680" s="206"/>
      <c r="I680" s="276"/>
      <c r="J680" s="276"/>
      <c r="K680" s="38"/>
      <c r="L680" s="39"/>
      <c r="M680" s="39"/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/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30" s="739" customFormat="1" ht="15.75" customHeight="1">
      <c r="A681" s="218" t="str">
        <f>IF(B681&lt;&gt;"",IF(AND(B681&gt;=_TM1,B681&lt;=_TM2,OR(TH!L681="1111",TH!M681="1111")),TH!D681,""),"")</f>
        <v/>
      </c>
      <c r="B681" s="36" t="str">
        <f t="shared" si="33"/>
        <v/>
      </c>
      <c r="C681" s="37"/>
      <c r="D681" s="37"/>
      <c r="E681" s="37"/>
      <c r="F681" s="40"/>
      <c r="G681" s="40"/>
      <c r="H681" s="45"/>
      <c r="I681" s="276"/>
      <c r="J681" s="276"/>
      <c r="K681" s="38"/>
      <c r="L681" s="39"/>
      <c r="M681" s="39"/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/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30" s="739" customFormat="1" ht="15.75" customHeight="1">
      <c r="A682" s="218" t="str">
        <f>IF(B682&lt;&gt;"",IF(AND(B682&gt;=_TM1,B682&lt;=_TM2,OR(TH!L682="1111",TH!M682="1111")),TH!D682,""),"")</f>
        <v/>
      </c>
      <c r="B682" s="36" t="str">
        <f t="shared" si="33"/>
        <v/>
      </c>
      <c r="C682" s="37"/>
      <c r="D682" s="37"/>
      <c r="E682" s="37"/>
      <c r="F682" s="40"/>
      <c r="G682" s="40"/>
      <c r="H682" s="45"/>
      <c r="I682" s="276"/>
      <c r="J682" s="276"/>
      <c r="K682" s="38"/>
      <c r="L682" s="39"/>
      <c r="M682" s="39"/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/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30" s="739" customFormat="1" ht="15.75" customHeight="1">
      <c r="A683" s="218" t="str">
        <f>IF(B683&lt;&gt;"",IF(AND(B683&gt;=_TM1,B683&lt;=_TM2,OR(TH!L683="1111",TH!M683="1111")),TH!D683,""),"")</f>
        <v/>
      </c>
      <c r="B683" s="36" t="str">
        <f t="shared" si="33"/>
        <v/>
      </c>
      <c r="C683" s="37"/>
      <c r="D683" s="204"/>
      <c r="E683" s="37"/>
      <c r="F683" s="40"/>
      <c r="G683" s="40"/>
      <c r="H683" s="7"/>
      <c r="I683" s="276"/>
      <c r="J683" s="276"/>
      <c r="K683" s="38"/>
      <c r="L683" s="39"/>
      <c r="M683" s="749"/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5"/>
    </row>
    <row r="684" spans="1:30" s="739" customFormat="1" ht="15.75" customHeight="1">
      <c r="A684" s="218" t="str">
        <f>IF(B684&lt;&gt;"",IF(AND(B684&gt;=_TM1,B684&lt;=_TM2,OR(TH!L684="1111",TH!M684="1111")),TH!D684,""),"")</f>
        <v/>
      </c>
      <c r="B684" s="36" t="str">
        <f t="shared" si="33"/>
        <v/>
      </c>
      <c r="C684" s="37"/>
      <c r="D684" s="204"/>
      <c r="E684" s="37"/>
      <c r="F684" s="40"/>
      <c r="G684" s="40"/>
      <c r="H684" s="7"/>
      <c r="I684" s="276"/>
      <c r="J684" s="276"/>
      <c r="K684" s="38"/>
      <c r="L684" s="39"/>
      <c r="M684" s="749"/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5"/>
    </row>
    <row r="685" spans="1:30" s="739" customFormat="1" ht="15.75" customHeight="1">
      <c r="A685" s="218" t="str">
        <f>IF(B685&lt;&gt;"",IF(AND(B685&gt;=_TM1,B685&lt;=_TM2,OR(TH!L685="1111",TH!M685="1111")),TH!D685,""),"")</f>
        <v/>
      </c>
      <c r="B685" s="36" t="str">
        <f t="shared" si="33"/>
        <v/>
      </c>
      <c r="C685" s="37"/>
      <c r="D685" s="204"/>
      <c r="E685" s="37"/>
      <c r="F685" s="40"/>
      <c r="G685" s="40"/>
      <c r="H685" s="7"/>
      <c r="I685" s="276"/>
      <c r="J685" s="276"/>
      <c r="K685" s="38"/>
      <c r="L685" s="39"/>
      <c r="M685" s="749"/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5"/>
    </row>
    <row r="686" spans="1:30" s="739" customFormat="1" ht="15.75" customHeight="1">
      <c r="A686" s="218" t="str">
        <f>IF(B686&lt;&gt;"",IF(AND(B686&gt;=_TM1,B686&lt;=_TM2,OR(TH!L686="1111",TH!M686="1111")),TH!D686,""),"")</f>
        <v/>
      </c>
      <c r="B686" s="36" t="str">
        <f t="shared" si="33"/>
        <v/>
      </c>
      <c r="C686" s="37"/>
      <c r="D686" s="204"/>
      <c r="E686" s="37"/>
      <c r="F686" s="40"/>
      <c r="G686" s="40"/>
      <c r="H686" s="7"/>
      <c r="I686" s="276"/>
      <c r="J686" s="276"/>
      <c r="K686" s="38"/>
      <c r="L686" s="39"/>
      <c r="M686" s="749"/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5"/>
    </row>
    <row r="687" spans="1:30" s="739" customFormat="1" ht="15.75" customHeight="1">
      <c r="A687" s="218" t="str">
        <f>IF(B687&lt;&gt;"",IF(AND(B687&gt;=_TM1,B687&lt;=_TM2,OR(TH!L687="1111",TH!M687="1111")),TH!D687,""),"")</f>
        <v/>
      </c>
      <c r="B687" s="36" t="str">
        <f t="shared" si="33"/>
        <v/>
      </c>
      <c r="C687" s="37"/>
      <c r="D687" s="204"/>
      <c r="E687" s="37"/>
      <c r="F687" s="40"/>
      <c r="G687" s="40"/>
      <c r="H687" s="7"/>
      <c r="I687" s="276"/>
      <c r="J687" s="276"/>
      <c r="K687" s="38"/>
      <c r="L687" s="39"/>
      <c r="M687" s="749"/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5"/>
    </row>
    <row r="688" spans="1:30" s="739" customFormat="1" ht="15.75" customHeight="1">
      <c r="A688" s="218" t="str">
        <f>IF(B688&lt;&gt;"",IF(AND(B688&gt;=_TM1,B688&lt;=_TM2,OR(TH!L688="1111",TH!M688="1111")),TH!D688,""),"")</f>
        <v/>
      </c>
      <c r="B688" s="36" t="str">
        <f t="shared" si="33"/>
        <v/>
      </c>
      <c r="C688" s="37"/>
      <c r="D688" s="204"/>
      <c r="E688" s="37"/>
      <c r="F688" s="40"/>
      <c r="G688" s="40"/>
      <c r="H688" s="7"/>
      <c r="I688" s="276"/>
      <c r="J688" s="276"/>
      <c r="K688" s="38"/>
      <c r="L688" s="39"/>
      <c r="M688" s="749"/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5"/>
    </row>
    <row r="689" spans="1:29" s="739" customFormat="1" ht="15.75" customHeight="1">
      <c r="A689" s="218" t="str">
        <f>IF(B689&lt;&gt;"",IF(AND(B689&gt;=_TM1,B689&lt;=_TM2,OR(TH!L689="1111",TH!M689="1111")),TH!D689,""),"")</f>
        <v/>
      </c>
      <c r="B689" s="36" t="str">
        <f t="shared" si="33"/>
        <v/>
      </c>
      <c r="C689" s="37"/>
      <c r="D689" s="204"/>
      <c r="E689" s="37"/>
      <c r="F689" s="40"/>
      <c r="G689" s="40"/>
      <c r="H689" s="7"/>
      <c r="I689" s="276"/>
      <c r="J689" s="276"/>
      <c r="K689" s="38"/>
      <c r="L689" s="39"/>
      <c r="M689" s="749"/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39" customFormat="1" ht="15.75" customHeight="1">
      <c r="A690" s="218" t="str">
        <f>IF(B690&lt;&gt;"",IF(AND(B690&gt;=_TM1,B690&lt;=_TM2,OR(TH!L690="1111",TH!M690="1111")),TH!D690,""),"")</f>
        <v/>
      </c>
      <c r="B690" s="36" t="str">
        <f t="shared" si="33"/>
        <v/>
      </c>
      <c r="C690" s="37"/>
      <c r="D690" s="37"/>
      <c r="E690" s="37"/>
      <c r="F690" s="40"/>
      <c r="G690" s="40"/>
      <c r="H690" s="45"/>
      <c r="I690" s="276"/>
      <c r="J690" s="276"/>
      <c r="K690" s="38"/>
      <c r="L690" s="39"/>
      <c r="M690" s="39"/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/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39" customFormat="1" ht="15.75" customHeight="1">
      <c r="A691" s="218" t="str">
        <f>IF(B691&lt;&gt;"",IF(AND(B691&gt;=_TM1,B691&lt;=_TM2,OR(TH!L691="1111",TH!M691="1111")),TH!D691,""),"")</f>
        <v/>
      </c>
      <c r="B691" s="36" t="str">
        <f t="shared" si="33"/>
        <v/>
      </c>
      <c r="C691" s="37"/>
      <c r="D691" s="37"/>
      <c r="E691" s="37"/>
      <c r="F691" s="40"/>
      <c r="G691" s="40"/>
      <c r="H691" s="45"/>
      <c r="I691" s="276"/>
      <c r="J691" s="276"/>
      <c r="K691" s="38"/>
      <c r="L691" s="39"/>
      <c r="M691" s="39"/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/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39" customFormat="1" ht="15.75" customHeight="1">
      <c r="A692" s="218" t="str">
        <f>IF(B692&lt;&gt;"",IF(AND(B692&gt;=_TM1,B692&lt;=_TM2,OR(TH!L692="1111",TH!M692="1111")),TH!D692,""),"")</f>
        <v/>
      </c>
      <c r="B692" s="36" t="str">
        <f t="shared" si="33"/>
        <v/>
      </c>
      <c r="C692" s="37"/>
      <c r="D692" s="37"/>
      <c r="E692" s="37"/>
      <c r="F692" s="40"/>
      <c r="G692" s="40"/>
      <c r="H692" s="45"/>
      <c r="I692" s="276"/>
      <c r="J692" s="276"/>
      <c r="K692" s="38"/>
      <c r="L692" s="41"/>
      <c r="M692" s="39"/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/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39" customFormat="1" ht="15.75" customHeight="1">
      <c r="A693" s="218" t="str">
        <f>IF(B693&lt;&gt;"",IF(AND(B693&gt;=_TM1,B693&lt;=_TM2,OR(TH!L693="1111",TH!M693="1111")),TH!D693,""),"")</f>
        <v/>
      </c>
      <c r="B693" s="36" t="str">
        <f t="shared" si="33"/>
        <v/>
      </c>
      <c r="C693" s="37"/>
      <c r="D693" s="204"/>
      <c r="E693" s="37"/>
      <c r="F693" s="40"/>
      <c r="G693" s="40"/>
      <c r="H693" s="7"/>
      <c r="I693" s="276"/>
      <c r="J693" s="276"/>
      <c r="K693" s="38"/>
      <c r="L693" s="39"/>
      <c r="M693" s="749"/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5"/>
    </row>
    <row r="694" spans="1:29" s="739" customFormat="1" ht="15.75" customHeight="1">
      <c r="A694" s="218" t="str">
        <f>IF(B694&lt;&gt;"",IF(AND(B694&gt;=_TM1,B694&lt;=_TM2,OR(TH!L694="1111",TH!M694="1111")),TH!D694,""),"")</f>
        <v/>
      </c>
      <c r="B694" s="36" t="str">
        <f t="shared" si="33"/>
        <v/>
      </c>
      <c r="C694" s="37"/>
      <c r="D694" s="204"/>
      <c r="E694" s="37"/>
      <c r="F694" s="40"/>
      <c r="G694" s="40"/>
      <c r="H694" s="7"/>
      <c r="I694" s="276"/>
      <c r="J694" s="276"/>
      <c r="K694" s="38"/>
      <c r="L694" s="39"/>
      <c r="M694" s="749"/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39" customFormat="1" ht="15.75" customHeight="1">
      <c r="A695" s="218" t="str">
        <f>IF(B695&lt;&gt;"",IF(AND(B695&gt;=_TM1,B695&lt;=_TM2,OR(TH!L695="1111",TH!M695="1111")),TH!D695,""),"")</f>
        <v/>
      </c>
      <c r="B695" s="36" t="str">
        <f t="shared" si="33"/>
        <v/>
      </c>
      <c r="C695" s="37"/>
      <c r="D695" s="204"/>
      <c r="E695" s="37"/>
      <c r="F695" s="40"/>
      <c r="G695" s="40"/>
      <c r="H695" s="7"/>
      <c r="I695" s="276"/>
      <c r="J695" s="276"/>
      <c r="K695" s="38"/>
      <c r="L695" s="41"/>
      <c r="M695" s="749"/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5"/>
    </row>
    <row r="696" spans="1:29" s="739" customFormat="1" ht="15.75" customHeight="1">
      <c r="A696" s="218" t="str">
        <f>IF(B696&lt;&gt;"",IF(AND(B696&gt;=_TM1,B696&lt;=_TM2,OR(TH!L696="1111",TH!M696="1111")),TH!D696,""),"")</f>
        <v/>
      </c>
      <c r="B696" s="36" t="str">
        <f t="shared" si="33"/>
        <v/>
      </c>
      <c r="C696" s="37"/>
      <c r="D696" s="204"/>
      <c r="E696" s="37"/>
      <c r="F696" s="40"/>
      <c r="G696" s="40"/>
      <c r="H696" s="7"/>
      <c r="I696" s="276"/>
      <c r="J696" s="276"/>
      <c r="K696" s="38"/>
      <c r="L696" s="41"/>
      <c r="M696" s="749"/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39" customFormat="1" ht="15.75" customHeight="1">
      <c r="A697" s="218" t="str">
        <f>IF(B697&lt;&gt;"",IF(AND(B697&gt;=_TM1,B697&lt;=_TM2,OR(TH!L697="1111",TH!M697="1111")),TH!D697,""),"")</f>
        <v/>
      </c>
      <c r="B697" s="36" t="str">
        <f t="shared" si="33"/>
        <v/>
      </c>
      <c r="C697" s="37"/>
      <c r="D697" s="37"/>
      <c r="E697" s="37"/>
      <c r="F697" s="40"/>
      <c r="G697" s="40"/>
      <c r="H697" s="45"/>
      <c r="I697" s="276"/>
      <c r="J697" s="276"/>
      <c r="K697" s="38"/>
      <c r="L697" s="39"/>
      <c r="M697" s="39"/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/>
      </c>
      <c r="R697" s="55" t="str">
        <f>IF(ISERROR(FIND('112'!$M$9,G697,1)),"",IF((AND(FIND('112'!$M$9,G697,1)&gt;=1,$B697&gt;='112'!$N$8,$B697&lt;='112'!$O$8,OR($L697='112'!$I$6,$M697='112'!$I$6))),"x",""))</f>
        <v/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39" customFormat="1" ht="15.75" customHeight="1">
      <c r="A698" s="218" t="str">
        <f>IF(B698&lt;&gt;"",IF(AND(B698&gt;=_TM1,B698&lt;=_TM2,OR(TH!L698="1111",TH!M698="1111")),TH!D698,""),"")</f>
        <v/>
      </c>
      <c r="B698" s="36" t="str">
        <f t="shared" si="33"/>
        <v/>
      </c>
      <c r="C698" s="37"/>
      <c r="D698" s="37"/>
      <c r="E698" s="37"/>
      <c r="F698" s="40"/>
      <c r="G698" s="40"/>
      <c r="H698" s="45"/>
      <c r="I698" s="276"/>
      <c r="J698" s="276"/>
      <c r="K698" s="38"/>
      <c r="L698" s="39"/>
      <c r="M698" s="39"/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/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39" customFormat="1" ht="15.75" customHeight="1">
      <c r="A699" s="218" t="str">
        <f>IF(B699&lt;&gt;"",IF(AND(B699&gt;=_TM1,B699&lt;=_TM2,OR(TH!L699="1111",TH!M699="1111")),TH!D699,""),"")</f>
        <v/>
      </c>
      <c r="B699" s="36" t="str">
        <f t="shared" si="33"/>
        <v/>
      </c>
      <c r="C699" s="37"/>
      <c r="D699" s="37"/>
      <c r="E699" s="37"/>
      <c r="F699" s="40"/>
      <c r="G699" s="626"/>
      <c r="H699" s="45"/>
      <c r="I699" s="276"/>
      <c r="J699" s="276"/>
      <c r="K699" s="38"/>
      <c r="L699" s="39"/>
      <c r="M699" s="39"/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/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39" customFormat="1" ht="15.75" customHeight="1">
      <c r="A700" s="218" t="str">
        <f>IF(B700&lt;&gt;"",IF(AND(B700&gt;=_TM1,B700&lt;=_TM2,OR(TH!L700="1111",TH!M700="1111")),TH!D700,""),"")</f>
        <v/>
      </c>
      <c r="B700" s="36" t="str">
        <f t="shared" si="33"/>
        <v/>
      </c>
      <c r="C700" s="37"/>
      <c r="D700" s="204"/>
      <c r="E700" s="37"/>
      <c r="F700" s="40"/>
      <c r="G700" s="626"/>
      <c r="H700" s="7"/>
      <c r="I700" s="276"/>
      <c r="J700" s="276"/>
      <c r="K700" s="38"/>
      <c r="L700" s="39"/>
      <c r="M700" s="749"/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5"/>
    </row>
    <row r="701" spans="1:29" s="739" customFormat="1" ht="15.75" customHeight="1">
      <c r="A701" s="218" t="str">
        <f>IF(B701&lt;&gt;"",IF(AND(B701&gt;=_TM1,B701&lt;=_TM2,OR(TH!L701="1111",TH!M701="1111")),TH!D701,""),"")</f>
        <v/>
      </c>
      <c r="B701" s="36" t="str">
        <f t="shared" si="33"/>
        <v/>
      </c>
      <c r="C701" s="37"/>
      <c r="D701" s="204"/>
      <c r="E701" s="37"/>
      <c r="F701" s="40"/>
      <c r="G701" s="40"/>
      <c r="H701" s="7"/>
      <c r="I701" s="276"/>
      <c r="J701" s="276"/>
      <c r="K701" s="38"/>
      <c r="L701" s="41"/>
      <c r="M701" s="749"/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5"/>
    </row>
    <row r="702" spans="1:29" s="739" customFormat="1" ht="15.75" customHeight="1">
      <c r="A702" s="218" t="str">
        <f>IF(B702&lt;&gt;"",IF(AND(B702&gt;=_TM1,B702&lt;=_TM2,OR(TH!L702="1111",TH!M702="1111")),TH!D702,""),"")</f>
        <v/>
      </c>
      <c r="B702" s="36" t="str">
        <f t="shared" si="33"/>
        <v/>
      </c>
      <c r="C702" s="37"/>
      <c r="D702" s="204"/>
      <c r="E702" s="37"/>
      <c r="F702" s="40"/>
      <c r="G702" s="40"/>
      <c r="H702" s="7"/>
      <c r="I702" s="276"/>
      <c r="J702" s="276"/>
      <c r="K702" s="38"/>
      <c r="L702" s="39"/>
      <c r="M702" s="749"/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39" customFormat="1" ht="15.75" customHeight="1">
      <c r="A703" s="218" t="str">
        <f>IF(B703&lt;&gt;"",IF(AND(B703&gt;=_TM1,B703&lt;=_TM2,OR(TH!L703="1111",TH!M703="1111")),TH!D703,""),"")</f>
        <v/>
      </c>
      <c r="B703" s="36" t="str">
        <f t="shared" si="33"/>
        <v/>
      </c>
      <c r="C703" s="37"/>
      <c r="D703" s="204"/>
      <c r="E703" s="37"/>
      <c r="F703" s="40"/>
      <c r="G703" s="40"/>
      <c r="H703" s="45"/>
      <c r="I703" s="276"/>
      <c r="J703" s="276"/>
      <c r="K703" s="38"/>
      <c r="L703" s="39"/>
      <c r="M703" s="749"/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5"/>
    </row>
    <row r="704" spans="1:29" s="739" customFormat="1" ht="15.75" customHeight="1">
      <c r="A704" s="218" t="str">
        <f>IF(B704&lt;&gt;"",IF(AND(B704&gt;=_TM1,B704&lt;=_TM2,OR(TH!L704="1111",TH!M704="1111")),TH!D704,""),"")</f>
        <v/>
      </c>
      <c r="B704" s="36" t="str">
        <f t="shared" si="33"/>
        <v/>
      </c>
      <c r="C704" s="37"/>
      <c r="D704" s="204"/>
      <c r="E704" s="37"/>
      <c r="F704" s="40"/>
      <c r="G704" s="626"/>
      <c r="H704" s="45"/>
      <c r="I704" s="276"/>
      <c r="J704" s="276"/>
      <c r="K704" s="38"/>
      <c r="L704" s="39"/>
      <c r="M704" s="749"/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5"/>
    </row>
    <row r="705" spans="1:30" s="225" customFormat="1" ht="15.75" customHeight="1">
      <c r="A705" s="218" t="str">
        <f>IF(B705&lt;&gt;"",IF(AND(B705&gt;=_TM1,B705&lt;=_TM2,OR(TH!L705="1111",TH!M705="1111")),TH!D705,""),"")</f>
        <v/>
      </c>
      <c r="B705" s="36" t="str">
        <f t="shared" ref="B705:B715" si="34">IF(C705&lt;&gt;"",MONTH(C705),"")</f>
        <v/>
      </c>
      <c r="C705" s="37"/>
      <c r="D705" s="204"/>
      <c r="E705" s="204"/>
      <c r="F705" s="205"/>
      <c r="G705" s="627"/>
      <c r="H705" s="206"/>
      <c r="I705" s="276"/>
      <c r="J705" s="276"/>
      <c r="K705" s="38"/>
      <c r="L705" s="207"/>
      <c r="M705" s="749"/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</row>
    <row r="706" spans="1:30" s="225" customFormat="1" ht="15.75" customHeight="1">
      <c r="A706" s="218" t="str">
        <f>IF(B706&lt;&gt;"",IF(AND(B706&gt;=_TM1,B706&lt;=_TM2,OR(TH!L706="1111",TH!M706="1111")),TH!D706,""),"")</f>
        <v/>
      </c>
      <c r="B706" s="36" t="str">
        <f t="shared" si="34"/>
        <v/>
      </c>
      <c r="C706" s="37"/>
      <c r="D706" s="204"/>
      <c r="E706" s="204"/>
      <c r="F706" s="205"/>
      <c r="G706" s="627"/>
      <c r="H706" s="206"/>
      <c r="I706" s="276"/>
      <c r="J706" s="276"/>
      <c r="K706" s="38"/>
      <c r="L706" s="207"/>
      <c r="M706" s="749"/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5" customFormat="1" ht="15.75" customHeight="1">
      <c r="A707" s="218" t="str">
        <f>IF(B707&lt;&gt;"",IF(AND(B707&gt;=_TM1,B707&lt;=_TM2,OR(TH!L707="1111",TH!M707="1111")),TH!D707,""),"")</f>
        <v/>
      </c>
      <c r="B707" s="36" t="str">
        <f t="shared" si="34"/>
        <v/>
      </c>
      <c r="C707" s="37"/>
      <c r="D707" s="204"/>
      <c r="E707" s="204"/>
      <c r="F707" s="205"/>
      <c r="G707" s="627"/>
      <c r="H707" s="206"/>
      <c r="I707" s="276"/>
      <c r="J707" s="276"/>
      <c r="K707" s="38"/>
      <c r="L707" s="207"/>
      <c r="M707" s="207"/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/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30" s="225" customFormat="1" ht="15.75" customHeight="1">
      <c r="A708" s="218" t="str">
        <f>IF(B708&lt;&gt;"",IF(AND(B708&gt;=_TM1,B708&lt;=_TM2,OR(TH!L708="1111",TH!M708="1111")),TH!D708,""),"")</f>
        <v/>
      </c>
      <c r="B708" s="36" t="str">
        <f t="shared" si="34"/>
        <v/>
      </c>
      <c r="C708" s="37"/>
      <c r="D708" s="204"/>
      <c r="E708" s="204"/>
      <c r="F708" s="205"/>
      <c r="G708" s="627"/>
      <c r="H708" s="206"/>
      <c r="I708" s="276"/>
      <c r="J708" s="276"/>
      <c r="K708" s="38"/>
      <c r="L708" s="207"/>
      <c r="M708" s="207"/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/>
      </c>
      <c r="R708" s="55" t="str">
        <f>IF(ISERROR(FIND('112'!$M$9,G708,1)),"",IF((AND(FIND('112'!$M$9,G708,1)&gt;=1,$B708&gt;='112'!$N$8,$B708&lt;='112'!$O$8,OR($L708='112'!$I$6,$M708='112'!$I$6))),"x",""))</f>
        <v/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5" customFormat="1" ht="15.75" customHeight="1">
      <c r="A709" s="218" t="str">
        <f>IF(B709&lt;&gt;"",IF(AND(B709&gt;=_TM1,B709&lt;=_TM2,OR(TH!L709="1111",TH!M709="1111")),TH!D709,""),"")</f>
        <v/>
      </c>
      <c r="B709" s="36" t="str">
        <f t="shared" si="34"/>
        <v/>
      </c>
      <c r="C709" s="37"/>
      <c r="D709" s="204"/>
      <c r="E709" s="204"/>
      <c r="F709" s="205"/>
      <c r="G709" s="627"/>
      <c r="H709" s="7"/>
      <c r="I709" s="276"/>
      <c r="J709" s="276"/>
      <c r="K709" s="38"/>
      <c r="L709" s="207"/>
      <c r="M709" s="749"/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</row>
    <row r="710" spans="1:30" s="225" customFormat="1" ht="15.75" customHeight="1">
      <c r="A710" s="218" t="str">
        <f>IF(B710&lt;&gt;"",IF(AND(B710&gt;=_TM1,B710&lt;=_TM2,OR(TH!L710="1111",TH!M710="1111")),TH!D710,""),"")</f>
        <v/>
      </c>
      <c r="B710" s="36" t="str">
        <f t="shared" si="34"/>
        <v/>
      </c>
      <c r="C710" s="37"/>
      <c r="D710" s="204"/>
      <c r="E710" s="204"/>
      <c r="F710" s="205"/>
      <c r="G710" s="627"/>
      <c r="H710" s="7"/>
      <c r="I710" s="276"/>
      <c r="J710" s="276"/>
      <c r="K710" s="38"/>
      <c r="L710" s="207"/>
      <c r="M710" s="749"/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</row>
    <row r="711" spans="1:30" s="225" customFormat="1" ht="15.75" customHeight="1">
      <c r="A711" s="218" t="str">
        <f>IF(B711&lt;&gt;"",IF(AND(B711&gt;=_TM1,B711&lt;=_TM2,OR(TH!L711="1111",TH!M711="1111")),TH!D711,""),"")</f>
        <v/>
      </c>
      <c r="B711" s="36" t="str">
        <f t="shared" si="34"/>
        <v/>
      </c>
      <c r="C711" s="37"/>
      <c r="D711" s="204"/>
      <c r="E711" s="204"/>
      <c r="F711" s="205"/>
      <c r="G711" s="627"/>
      <c r="H711" s="7"/>
      <c r="I711" s="276"/>
      <c r="J711" s="276"/>
      <c r="K711" s="38"/>
      <c r="L711" s="207"/>
      <c r="M711" s="749"/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</row>
    <row r="712" spans="1:30" s="225" customFormat="1" ht="15.75" customHeight="1">
      <c r="A712" s="218" t="str">
        <f>IF(B712&lt;&gt;"",IF(AND(B712&gt;=_TM1,B712&lt;=_TM2,OR(TH!L712="1111",TH!M712="1111")),TH!D712,""),"")</f>
        <v/>
      </c>
      <c r="B712" s="36" t="str">
        <f t="shared" si="34"/>
        <v/>
      </c>
      <c r="C712" s="37"/>
      <c r="D712" s="204"/>
      <c r="E712" s="204"/>
      <c r="F712" s="205"/>
      <c r="G712" s="627"/>
      <c r="H712" s="7"/>
      <c r="I712" s="276"/>
      <c r="J712" s="276"/>
      <c r="K712" s="38"/>
      <c r="L712" s="207"/>
      <c r="M712" s="749"/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225" customFormat="1" ht="15.75" customHeight="1">
      <c r="A713" s="218" t="str">
        <f>IF(B713&lt;&gt;"",IF(AND(B713&gt;=_TM1,B713&lt;=_TM2,OR(TH!L713="1111",TH!M713="1111")),TH!D713,""),"")</f>
        <v/>
      </c>
      <c r="B713" s="36" t="str">
        <f t="shared" si="34"/>
        <v/>
      </c>
      <c r="C713" s="37"/>
      <c r="D713" s="204"/>
      <c r="E713" s="204"/>
      <c r="F713" s="205"/>
      <c r="G713" s="627"/>
      <c r="H713" s="206"/>
      <c r="I713" s="276"/>
      <c r="J713" s="276"/>
      <c r="K713" s="38"/>
      <c r="L713" s="207"/>
      <c r="M713" s="207"/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/>
      </c>
      <c r="R713" s="55" t="str">
        <f>IF(ISERROR(FIND('112'!$M$9,G713,1)),"",IF((AND(FIND('112'!$M$9,G713,1)&gt;=1,$B713&gt;='112'!$N$8,$B713&lt;='112'!$O$8,OR($L713='112'!$I$6,$M713='112'!$I$6))),"x",""))</f>
        <v/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225" customFormat="1" ht="15.75" customHeight="1">
      <c r="A714" s="218" t="str">
        <f>IF(B714&lt;&gt;"",IF(AND(B714&gt;=_TM1,B714&lt;=_TM2,OR(TH!L714="1111",TH!M714="1111")),TH!D714,""),"")</f>
        <v/>
      </c>
      <c r="B714" s="36" t="str">
        <f t="shared" si="34"/>
        <v/>
      </c>
      <c r="C714" s="37"/>
      <c r="D714" s="204"/>
      <c r="E714" s="204"/>
      <c r="F714" s="205"/>
      <c r="G714" s="205"/>
      <c r="H714" s="206"/>
      <c r="I714" s="276"/>
      <c r="J714" s="276"/>
      <c r="K714" s="38"/>
      <c r="L714" s="207"/>
      <c r="M714" s="207"/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/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225" customFormat="1" ht="15.75" customHeight="1">
      <c r="A715" s="218" t="str">
        <f>IF(B715&lt;&gt;"",IF(AND(B715&gt;=_TM1,B715&lt;=_TM2,OR(TH!L715="1111",TH!M715="1111")),TH!D715,""),"")</f>
        <v/>
      </c>
      <c r="B715" s="36" t="str">
        <f t="shared" si="34"/>
        <v/>
      </c>
      <c r="C715" s="37"/>
      <c r="D715" s="204"/>
      <c r="E715" s="204"/>
      <c r="F715" s="205"/>
      <c r="G715" s="205"/>
      <c r="H715" s="206"/>
      <c r="I715" s="276"/>
      <c r="J715" s="276"/>
      <c r="K715" s="38"/>
      <c r="L715" s="207"/>
      <c r="M715" s="207"/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/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30" s="225" customFormat="1" ht="15.75" customHeight="1">
      <c r="A716" s="218" t="str">
        <f>IF(B716&lt;&gt;"",IF(AND(B716&gt;=_TM1,B716&lt;=_TM2,OR(TH!L716="1111",TH!M716="1111")),TH!D716,""),"")</f>
        <v/>
      </c>
      <c r="B716" s="36" t="str">
        <f t="shared" ref="B716:B730" si="35">IF(C716&lt;&gt;"",MONTH(C716),"")</f>
        <v/>
      </c>
      <c r="C716" s="37"/>
      <c r="D716" s="204"/>
      <c r="E716" s="204"/>
      <c r="F716" s="205"/>
      <c r="G716" s="627"/>
      <c r="H716" s="206"/>
      <c r="I716" s="276"/>
      <c r="J716" s="276"/>
      <c r="K716" s="38"/>
      <c r="L716" s="207"/>
      <c r="M716" s="207"/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/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D716" s="739"/>
    </row>
    <row r="717" spans="1:30" s="225" customFormat="1" ht="15.75" customHeight="1">
      <c r="A717" s="218" t="str">
        <f>IF(B717&lt;&gt;"",IF(AND(B717&gt;=_TM1,B717&lt;=_TM2,OR(TH!L717="1111",TH!M717="1111")),TH!D717,""),"")</f>
        <v/>
      </c>
      <c r="B717" s="36" t="str">
        <f t="shared" si="35"/>
        <v/>
      </c>
      <c r="C717" s="37"/>
      <c r="D717" s="204"/>
      <c r="E717" s="204"/>
      <c r="F717" s="205"/>
      <c r="G717" s="627"/>
      <c r="H717" s="206"/>
      <c r="I717" s="276"/>
      <c r="J717" s="276"/>
      <c r="K717" s="38"/>
      <c r="L717" s="207"/>
      <c r="M717" s="207"/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/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30" s="225" customFormat="1" ht="15.75" customHeight="1">
      <c r="A718" s="218" t="str">
        <f>IF(B718&lt;&gt;"",IF(AND(B718&gt;=_TM1,B718&lt;=_TM2,OR(TH!L718="1111",TH!M718="1111")),TH!D718,""),"")</f>
        <v/>
      </c>
      <c r="B718" s="36" t="str">
        <f t="shared" si="35"/>
        <v/>
      </c>
      <c r="C718" s="37"/>
      <c r="D718" s="204"/>
      <c r="E718" s="204"/>
      <c r="F718" s="205"/>
      <c r="G718" s="627"/>
      <c r="H718" s="206"/>
      <c r="I718" s="276"/>
      <c r="J718" s="276"/>
      <c r="K718" s="38"/>
      <c r="L718" s="207"/>
      <c r="M718" s="207"/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/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30" s="225" customFormat="1" ht="15.75" customHeight="1">
      <c r="A719" s="218" t="str">
        <f>IF(B719&lt;&gt;"",IF(AND(B719&gt;=_TM1,B719&lt;=_TM2,OR(TH!L719="1111",TH!M719="1111")),TH!D719,""),"")</f>
        <v/>
      </c>
      <c r="B719" s="36" t="str">
        <f t="shared" si="35"/>
        <v/>
      </c>
      <c r="C719" s="37"/>
      <c r="D719" s="204"/>
      <c r="E719" s="204"/>
      <c r="F719" s="205"/>
      <c r="G719" s="627"/>
      <c r="H719" s="206"/>
      <c r="I719" s="276"/>
      <c r="J719" s="276"/>
      <c r="K719" s="38"/>
      <c r="L719" s="207"/>
      <c r="M719" s="207"/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/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30" s="225" customFormat="1" ht="15.75" customHeight="1">
      <c r="A720" s="218" t="str">
        <f>IF(B720&lt;&gt;"",IF(AND(B720&gt;=_TM1,B720&lt;=_TM2,OR(TH!L720="1111",TH!M720="1111")),TH!D720,""),"")</f>
        <v/>
      </c>
      <c r="B720" s="36" t="str">
        <f t="shared" si="35"/>
        <v/>
      </c>
      <c r="C720" s="37"/>
      <c r="D720" s="204"/>
      <c r="E720" s="204"/>
      <c r="F720" s="205"/>
      <c r="G720" s="627"/>
      <c r="H720" s="206"/>
      <c r="I720" s="276"/>
      <c r="J720" s="276"/>
      <c r="K720" s="38"/>
      <c r="L720" s="207"/>
      <c r="M720" s="207"/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/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7" s="225" customFormat="1" ht="15.75" customHeight="1">
      <c r="A721" s="218" t="str">
        <f>IF(B721&lt;&gt;"",IF(AND(B721&gt;=_TM1,B721&lt;=_TM2,OR(TH!L721="1111",TH!M721="1111")),TH!D721,""),"")</f>
        <v/>
      </c>
      <c r="B721" s="36" t="str">
        <f t="shared" si="35"/>
        <v/>
      </c>
      <c r="C721" s="37"/>
      <c r="D721" s="204"/>
      <c r="E721" s="204"/>
      <c r="F721" s="205"/>
      <c r="G721" s="627"/>
      <c r="H721" s="7"/>
      <c r="I721" s="276"/>
      <c r="J721" s="276"/>
      <c r="K721" s="38"/>
      <c r="L721" s="207"/>
      <c r="M721" s="749"/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</row>
    <row r="722" spans="1:27" s="225" customFormat="1" ht="15.75" customHeight="1">
      <c r="A722" s="218" t="str">
        <f>IF(B722&lt;&gt;"",IF(AND(B722&gt;=_TM1,B722&lt;=_TM2,OR(TH!L722="1111",TH!M722="1111")),TH!D722,""),"")</f>
        <v/>
      </c>
      <c r="B722" s="36" t="str">
        <f t="shared" si="35"/>
        <v/>
      </c>
      <c r="C722" s="37"/>
      <c r="D722" s="204"/>
      <c r="E722" s="204"/>
      <c r="F722" s="205"/>
      <c r="G722" s="627"/>
      <c r="H722" s="7"/>
      <c r="I722" s="276"/>
      <c r="J722" s="276"/>
      <c r="K722" s="38"/>
      <c r="L722" s="207"/>
      <c r="M722" s="749"/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</row>
    <row r="723" spans="1:27" s="225" customFormat="1" ht="15.75" customHeight="1">
      <c r="A723" s="218" t="str">
        <f>IF(B723&lt;&gt;"",IF(AND(B723&gt;=_TM1,B723&lt;=_TM2,OR(TH!L723="1111",TH!M723="1111")),TH!D723,""),"")</f>
        <v/>
      </c>
      <c r="B723" s="36" t="str">
        <f t="shared" si="35"/>
        <v/>
      </c>
      <c r="C723" s="37"/>
      <c r="D723" s="204"/>
      <c r="E723" s="204"/>
      <c r="F723" s="205"/>
      <c r="G723" s="627"/>
      <c r="H723" s="7"/>
      <c r="I723" s="276"/>
      <c r="J723" s="276"/>
      <c r="K723" s="38"/>
      <c r="L723" s="207"/>
      <c r="M723" s="749"/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</row>
    <row r="724" spans="1:27" s="225" customFormat="1" ht="15.75" customHeight="1">
      <c r="A724" s="218" t="str">
        <f>IF(B724&lt;&gt;"",IF(AND(B724&gt;=_TM1,B724&lt;=_TM2,OR(TH!L724="1111",TH!M724="1111")),TH!D724,""),"")</f>
        <v/>
      </c>
      <c r="B724" s="36" t="str">
        <f t="shared" si="35"/>
        <v/>
      </c>
      <c r="C724" s="37"/>
      <c r="D724" s="204"/>
      <c r="E724" s="37"/>
      <c r="F724" s="40"/>
      <c r="G724" s="626"/>
      <c r="H724" s="7"/>
      <c r="I724" s="276"/>
      <c r="J724" s="276"/>
      <c r="K724" s="38"/>
      <c r="L724" s="39"/>
      <c r="M724" s="749"/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7" s="225" customFormat="1" ht="15.75" customHeight="1">
      <c r="A725" s="218" t="str">
        <f>IF(B725&lt;&gt;"",IF(AND(B725&gt;=_TM1,B725&lt;=_TM2,OR(TH!L725="1111",TH!M725="1111")),TH!D725,""),"")</f>
        <v/>
      </c>
      <c r="B725" s="36" t="str">
        <f t="shared" si="35"/>
        <v/>
      </c>
      <c r="C725" s="37"/>
      <c r="D725" s="204"/>
      <c r="E725" s="37"/>
      <c r="F725" s="40"/>
      <c r="G725" s="626"/>
      <c r="H725" s="7"/>
      <c r="I725" s="276"/>
      <c r="J725" s="276"/>
      <c r="K725" s="38"/>
      <c r="L725" s="207"/>
      <c r="M725" s="749"/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</row>
    <row r="726" spans="1:27" s="225" customFormat="1" ht="15.75" customHeight="1">
      <c r="A726" s="218" t="str">
        <f>IF(B726&lt;&gt;"",IF(AND(B726&gt;=_TM1,B726&lt;=_TM2,OR(TH!L726="1111",TH!M726="1111")),TH!D726,""),"")</f>
        <v/>
      </c>
      <c r="B726" s="36" t="str">
        <f t="shared" si="35"/>
        <v/>
      </c>
      <c r="C726" s="37"/>
      <c r="D726" s="204"/>
      <c r="E726" s="37"/>
      <c r="F726" s="40"/>
      <c r="G726" s="626"/>
      <c r="H726" s="7"/>
      <c r="I726" s="276"/>
      <c r="J726" s="276"/>
      <c r="K726" s="38"/>
      <c r="L726" s="39"/>
      <c r="M726" s="749"/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7" s="225" customFormat="1" ht="15.75" customHeight="1">
      <c r="A727" s="218" t="str">
        <f>IF(B727&lt;&gt;"",IF(AND(B727&gt;=_TM1,B727&lt;=_TM2,OR(TH!L727="1111",TH!M727="1111")),TH!D727,""),"")</f>
        <v/>
      </c>
      <c r="B727" s="36" t="str">
        <f t="shared" si="35"/>
        <v/>
      </c>
      <c r="C727" s="37"/>
      <c r="D727" s="204"/>
      <c r="E727" s="37"/>
      <c r="F727" s="40"/>
      <c r="G727" s="626"/>
      <c r="H727" s="47"/>
      <c r="I727" s="276"/>
      <c r="J727" s="276"/>
      <c r="K727" s="38"/>
      <c r="L727" s="39"/>
      <c r="M727" s="207"/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/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7" s="225" customFormat="1" ht="15.75" customHeight="1">
      <c r="A728" s="218" t="str">
        <f>IF(B728&lt;&gt;"",IF(AND(B728&gt;=_TM1,B728&lt;=_TM2,OR(TH!L728="1111",TH!M728="1111")),TH!D728,""),"")</f>
        <v/>
      </c>
      <c r="B728" s="36" t="str">
        <f t="shared" si="35"/>
        <v/>
      </c>
      <c r="C728" s="37"/>
      <c r="D728" s="204"/>
      <c r="E728" s="204"/>
      <c r="F728" s="40"/>
      <c r="G728" s="626"/>
      <c r="H728" s="7"/>
      <c r="I728" s="276"/>
      <c r="J728" s="276"/>
      <c r="K728" s="38"/>
      <c r="L728" s="39"/>
      <c r="M728" s="749"/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</row>
    <row r="729" spans="1:27" s="225" customFormat="1" ht="15.75" customHeight="1">
      <c r="A729" s="218" t="str">
        <f>IF(B729&lt;&gt;"",IF(AND(B729&gt;=_TM1,B729&lt;=_TM2,OR(TH!L729="1111",TH!M729="1111")),TH!D729,""),"")</f>
        <v/>
      </c>
      <c r="B729" s="36" t="str">
        <f t="shared" si="35"/>
        <v/>
      </c>
      <c r="C729" s="37"/>
      <c r="D729" s="204"/>
      <c r="E729" s="204"/>
      <c r="F729" s="205"/>
      <c r="G729" s="627"/>
      <c r="H729" s="7"/>
      <c r="I729" s="276"/>
      <c r="J729" s="276"/>
      <c r="K729" s="38"/>
      <c r="L729" s="207"/>
      <c r="M729" s="749"/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</row>
    <row r="730" spans="1:27" s="225" customFormat="1" ht="15.75" customHeight="1">
      <c r="A730" s="218" t="str">
        <f>IF(B730&lt;&gt;"",IF(AND(B730&gt;=_TM1,B730&lt;=_TM2,OR(TH!L730="1111",TH!M730="1111")),TH!D730,""),"")</f>
        <v/>
      </c>
      <c r="B730" s="36" t="str">
        <f t="shared" si="35"/>
        <v/>
      </c>
      <c r="C730" s="37"/>
      <c r="D730" s="204"/>
      <c r="E730" s="204"/>
      <c r="F730" s="205"/>
      <c r="G730" s="627"/>
      <c r="H730" s="7"/>
      <c r="I730" s="276"/>
      <c r="J730" s="276"/>
      <c r="K730" s="38"/>
      <c r="L730" s="207"/>
      <c r="M730" s="749"/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7" s="225" customFormat="1" ht="15.75" customHeight="1">
      <c r="A731" s="218" t="str">
        <f>IF(B731&lt;&gt;"",IF(AND(B731&gt;=_TM1,B731&lt;=_TM2,OR(TH!L731="1111",TH!M731="1111")),TH!D731,""),"")</f>
        <v/>
      </c>
      <c r="B731" s="36" t="str">
        <f>IF(C731&lt;&gt;"",MONTH(C731),"")</f>
        <v/>
      </c>
      <c r="C731" s="37"/>
      <c r="D731" s="204"/>
      <c r="E731" s="204"/>
      <c r="F731" s="205"/>
      <c r="G731" s="627"/>
      <c r="H731" s="7"/>
      <c r="I731" s="276"/>
      <c r="J731" s="276"/>
      <c r="K731" s="38"/>
      <c r="L731" s="207"/>
      <c r="M731" s="749"/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</row>
    <row r="732" spans="1:27" s="225" customFormat="1" ht="15.75" customHeight="1">
      <c r="A732" s="218" t="str">
        <f>IF(B732&lt;&gt;"",IF(AND(B732&gt;=_TM1,B732&lt;=_TM2,OR(TH!L732="1111",TH!M732="1111")),TH!D732,""),"")</f>
        <v/>
      </c>
      <c r="B732" s="36" t="str">
        <f t="shared" ref="B732:B740" si="36">IF(C732&lt;&gt;"",MONTH(C732),"")</f>
        <v/>
      </c>
      <c r="C732" s="37"/>
      <c r="D732" s="204"/>
      <c r="E732" s="37"/>
      <c r="F732" s="40"/>
      <c r="G732" s="40"/>
      <c r="H732" s="7"/>
      <c r="I732" s="276"/>
      <c r="J732" s="276"/>
      <c r="K732" s="38"/>
      <c r="L732" s="39"/>
      <c r="M732" s="749"/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</row>
    <row r="733" spans="1:27" s="225" customFormat="1" ht="15.75" customHeight="1">
      <c r="A733" s="218" t="str">
        <f>IF(B733&lt;&gt;"",IF(AND(B733&gt;=_TM1,B733&lt;=_TM2,OR(TH!L733="1111",TH!M733="1111")),TH!D733,""),"")</f>
        <v/>
      </c>
      <c r="B733" s="36" t="str">
        <f t="shared" si="36"/>
        <v/>
      </c>
      <c r="C733" s="37"/>
      <c r="D733" s="204"/>
      <c r="E733" s="37"/>
      <c r="F733" s="40"/>
      <c r="G733" s="40"/>
      <c r="H733" s="7"/>
      <c r="I733" s="276"/>
      <c r="J733" s="276"/>
      <c r="K733" s="38"/>
      <c r="L733" s="39"/>
      <c r="M733" s="749"/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7" s="225" customFormat="1" ht="15.75" customHeight="1">
      <c r="A734" s="218" t="str">
        <f>IF(B734&lt;&gt;"",IF(AND(B734&gt;=_TM1,B734&lt;=_TM2,OR(TH!L734="1111",TH!M734="1111")),TH!D734,""),"")</f>
        <v/>
      </c>
      <c r="B734" s="36" t="str">
        <f t="shared" si="36"/>
        <v/>
      </c>
      <c r="C734" s="37"/>
      <c r="D734" s="37"/>
      <c r="E734" s="37"/>
      <c r="F734" s="40"/>
      <c r="G734" s="40"/>
      <c r="H734" s="45"/>
      <c r="I734" s="276"/>
      <c r="J734" s="276"/>
      <c r="K734" s="38"/>
      <c r="L734" s="39"/>
      <c r="M734" s="39"/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/>
      </c>
      <c r="R734" s="55" t="str">
        <f>IF(ISERROR(FIND('112'!$M$9,G734,1)),"",IF((AND(FIND('112'!$M$9,G734,1)&gt;=1,$B734&gt;='112'!$N$8,$B734&lt;='112'!$O$8,OR($L734='112'!$I$6,$M734='112'!$I$6))),"x",""))</f>
        <v/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7" s="225" customFormat="1" ht="15.75" customHeight="1">
      <c r="A735" s="218" t="str">
        <f>IF(B735&lt;&gt;"",IF(AND(B735&gt;=_TM1,B735&lt;=_TM2,OR(TH!L735="1111",TH!M735="1111")),TH!D735,""),"")</f>
        <v/>
      </c>
      <c r="B735" s="36" t="str">
        <f t="shared" si="36"/>
        <v/>
      </c>
      <c r="C735" s="37"/>
      <c r="D735" s="37"/>
      <c r="E735" s="37"/>
      <c r="F735" s="40"/>
      <c r="G735" s="40"/>
      <c r="H735" s="45"/>
      <c r="I735" s="276"/>
      <c r="J735" s="276"/>
      <c r="K735" s="38"/>
      <c r="L735" s="39"/>
      <c r="M735" s="39"/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/>
      </c>
      <c r="R735" s="55" t="str">
        <f>IF(ISERROR(FIND('112'!$M$9,G735,1)),"",IF((AND(FIND('112'!$M$9,G735,1)&gt;=1,$B735&gt;='112'!$N$8,$B735&lt;='112'!$O$8,OR($L735='112'!$I$6,$M735='112'!$I$6))),"x",""))</f>
        <v/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7" s="225" customFormat="1" ht="15.75" customHeight="1">
      <c r="A736" s="218" t="str">
        <f>IF(B736&lt;&gt;"",IF(AND(B736&gt;=_TM1,B736&lt;=_TM2,OR(TH!L736="1111",TH!M736="1111")),TH!D736,""),"")</f>
        <v/>
      </c>
      <c r="B736" s="36" t="str">
        <f t="shared" si="36"/>
        <v/>
      </c>
      <c r="C736" s="37"/>
      <c r="D736" s="204"/>
      <c r="E736" s="37"/>
      <c r="F736" s="40"/>
      <c r="G736" s="40"/>
      <c r="H736" s="7"/>
      <c r="I736" s="276"/>
      <c r="J736" s="276"/>
      <c r="K736" s="38"/>
      <c r="L736" s="39"/>
      <c r="M736" s="749"/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</row>
    <row r="737" spans="1:27" s="225" customFormat="1" ht="15.75" customHeight="1">
      <c r="A737" s="218" t="str">
        <f>IF(B737&lt;&gt;"",IF(AND(B737&gt;=_TM1,B737&lt;=_TM2,OR(TH!L737="1111",TH!M737="1111")),TH!D737,""),"")</f>
        <v/>
      </c>
      <c r="B737" s="36" t="str">
        <f t="shared" si="36"/>
        <v/>
      </c>
      <c r="C737" s="37"/>
      <c r="D737" s="204"/>
      <c r="E737" s="37"/>
      <c r="F737" s="40"/>
      <c r="G737" s="40"/>
      <c r="H737" s="7"/>
      <c r="I737" s="277"/>
      <c r="J737" s="277"/>
      <c r="K737" s="38"/>
      <c r="L737" s="39"/>
      <c r="M737" s="749"/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</row>
    <row r="738" spans="1:27" s="225" customFormat="1" ht="15.75" customHeight="1">
      <c r="A738" s="218" t="str">
        <f>IF(B738&lt;&gt;"",IF(AND(B738&gt;=_TM1,B738&lt;=_TM2,OR(TH!L738="1111",TH!M738="1111")),TH!D738,""),"")</f>
        <v/>
      </c>
      <c r="B738" s="36" t="str">
        <f t="shared" si="36"/>
        <v/>
      </c>
      <c r="C738" s="37"/>
      <c r="D738" s="204"/>
      <c r="E738" s="37"/>
      <c r="F738" s="40"/>
      <c r="G738" s="40"/>
      <c r="H738" s="7"/>
      <c r="I738" s="276"/>
      <c r="J738" s="276"/>
      <c r="K738" s="38"/>
      <c r="L738" s="39"/>
      <c r="M738" s="749"/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</row>
    <row r="739" spans="1:27" s="225" customFormat="1" ht="15.75" customHeight="1">
      <c r="A739" s="218" t="str">
        <f>IF(B739&lt;&gt;"",IF(AND(B739&gt;=_TM1,B739&lt;=_TM2,OR(TH!L739="1111",TH!M739="1111")),TH!D739,""),"")</f>
        <v/>
      </c>
      <c r="B739" s="36" t="str">
        <f t="shared" si="36"/>
        <v/>
      </c>
      <c r="C739" s="37"/>
      <c r="D739" s="204"/>
      <c r="E739" s="37"/>
      <c r="F739" s="40"/>
      <c r="G739" s="40"/>
      <c r="H739" s="7"/>
      <c r="I739" s="276"/>
      <c r="J739" s="276"/>
      <c r="K739" s="38"/>
      <c r="L739" s="39"/>
      <c r="M739" s="749"/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</row>
    <row r="740" spans="1:27" s="225" customFormat="1" ht="15.75" customHeight="1">
      <c r="A740" s="218" t="str">
        <f>IF(B740&lt;&gt;"",IF(AND(B740&gt;=_TM1,B740&lt;=_TM2,OR(TH!L740="1111",TH!M740="1111")),TH!D740,""),"")</f>
        <v/>
      </c>
      <c r="B740" s="36" t="str">
        <f t="shared" si="36"/>
        <v/>
      </c>
      <c r="C740" s="37"/>
      <c r="D740" s="204"/>
      <c r="E740" s="37"/>
      <c r="F740" s="40"/>
      <c r="G740" s="40"/>
      <c r="H740" s="7"/>
      <c r="I740" s="277"/>
      <c r="J740" s="277"/>
      <c r="K740" s="38"/>
      <c r="L740" s="39"/>
      <c r="M740" s="749"/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</row>
    <row r="741" spans="1:27" s="225" customFormat="1" ht="15.75" customHeight="1">
      <c r="A741" s="218" t="str">
        <f>IF(B741&lt;&gt;"",IF(AND(B741&gt;=_TM1,B741&lt;=_TM2,OR(TH!L741="1111",TH!M741="1111")),TH!D741,""),"")</f>
        <v/>
      </c>
      <c r="B741" s="36" t="str">
        <f t="shared" ref="B741:B772" si="37">IF(C741&lt;&gt;"",MONTH(C741),"")</f>
        <v/>
      </c>
      <c r="C741" s="37"/>
      <c r="D741" s="204"/>
      <c r="E741" s="37"/>
      <c r="F741" s="40"/>
      <c r="G741" s="40"/>
      <c r="H741" s="7"/>
      <c r="I741" s="276"/>
      <c r="J741" s="276"/>
      <c r="K741" s="38"/>
      <c r="L741" s="39"/>
      <c r="M741" s="749"/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</row>
    <row r="742" spans="1:27" s="225" customFormat="1" ht="15.75" customHeight="1">
      <c r="A742" s="218" t="str">
        <f>IF(B742&lt;&gt;"",IF(AND(B742&gt;=_TM1,B742&lt;=_TM2,OR(TH!L742="1111",TH!M742="1111")),TH!D742,""),"")</f>
        <v/>
      </c>
      <c r="B742" s="36" t="str">
        <f t="shared" si="37"/>
        <v/>
      </c>
      <c r="C742" s="37"/>
      <c r="D742" s="204"/>
      <c r="E742" s="37"/>
      <c r="F742" s="40"/>
      <c r="G742" s="40"/>
      <c r="H742" s="7"/>
      <c r="I742" s="276"/>
      <c r="J742" s="276"/>
      <c r="K742" s="38"/>
      <c r="L742" s="39"/>
      <c r="M742" s="749"/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7" s="225" customFormat="1" ht="15.75" customHeight="1">
      <c r="A743" s="218" t="str">
        <f>IF(B743&lt;&gt;"",IF(AND(B743&gt;=_TM1,B743&lt;=_TM2,OR(TH!L743="1111",TH!M743="1111")),TH!D743,""),"")</f>
        <v/>
      </c>
      <c r="B743" s="36" t="str">
        <f t="shared" si="37"/>
        <v/>
      </c>
      <c r="C743" s="37"/>
      <c r="D743" s="204"/>
      <c r="E743" s="37"/>
      <c r="F743" s="40"/>
      <c r="G743" s="40"/>
      <c r="H743" s="7"/>
      <c r="I743" s="276"/>
      <c r="J743" s="276"/>
      <c r="K743" s="38"/>
      <c r="L743" s="39"/>
      <c r="M743" s="749"/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</row>
    <row r="744" spans="1:27" s="225" customFormat="1" ht="15.75" customHeight="1">
      <c r="A744" s="218" t="str">
        <f>IF(B744&lt;&gt;"",IF(AND(B744&gt;=_TM1,B744&lt;=_TM2,OR(TH!L744="1111",TH!M744="1111")),TH!D744,""),"")</f>
        <v/>
      </c>
      <c r="B744" s="36" t="str">
        <f t="shared" si="37"/>
        <v/>
      </c>
      <c r="C744" s="37"/>
      <c r="D744" s="204"/>
      <c r="E744" s="37"/>
      <c r="F744" s="40"/>
      <c r="G744" s="40"/>
      <c r="H744" s="7"/>
      <c r="I744" s="276"/>
      <c r="J744" s="276"/>
      <c r="K744" s="38"/>
      <c r="L744" s="39"/>
      <c r="M744" s="749"/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</row>
    <row r="745" spans="1:27" s="225" customFormat="1" ht="15.75" customHeight="1">
      <c r="A745" s="218" t="str">
        <f>IF(B745&lt;&gt;"",IF(AND(B745&gt;=_TM1,B745&lt;=_TM2,OR(TH!L745="1111",TH!M745="1111")),TH!D745,""),"")</f>
        <v/>
      </c>
      <c r="B745" s="36" t="str">
        <f t="shared" si="37"/>
        <v/>
      </c>
      <c r="C745" s="37"/>
      <c r="D745" s="204"/>
      <c r="E745" s="37"/>
      <c r="F745" s="40"/>
      <c r="G745" s="40"/>
      <c r="H745" s="7"/>
      <c r="I745" s="277"/>
      <c r="J745" s="277"/>
      <c r="K745" s="38"/>
      <c r="L745" s="39"/>
      <c r="M745" s="749"/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</row>
    <row r="746" spans="1:27" s="225" customFormat="1" ht="15.75" customHeight="1">
      <c r="A746" s="218" t="str">
        <f>IF(B746&lt;&gt;"",IF(AND(B746&gt;=_TM1,B746&lt;=_TM2,OR(TH!L746="1111",TH!M746="1111")),TH!D746,""),"")</f>
        <v/>
      </c>
      <c r="B746" s="36" t="str">
        <f t="shared" si="37"/>
        <v/>
      </c>
      <c r="C746" s="37"/>
      <c r="D746" s="204"/>
      <c r="E746" s="37"/>
      <c r="F746" s="40"/>
      <c r="G746" s="40"/>
      <c r="H746" s="7"/>
      <c r="I746" s="276"/>
      <c r="J746" s="276"/>
      <c r="K746" s="38"/>
      <c r="L746" s="39"/>
      <c r="M746" s="749"/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7" s="225" customFormat="1" ht="15.75" customHeight="1">
      <c r="A747" s="218" t="str">
        <f>IF(B747&lt;&gt;"",IF(AND(B747&gt;=_TM1,B747&lt;=_TM2,OR(TH!L747="1111",TH!M747="1111")),TH!D747,""),"")</f>
        <v/>
      </c>
      <c r="B747" s="36" t="str">
        <f t="shared" si="37"/>
        <v/>
      </c>
      <c r="C747" s="37"/>
      <c r="D747" s="37"/>
      <c r="E747" s="37"/>
      <c r="F747" s="40"/>
      <c r="G747" s="40"/>
      <c r="H747" s="224"/>
      <c r="I747" s="276"/>
      <c r="J747" s="276"/>
      <c r="K747" s="38"/>
      <c r="L747" s="39"/>
      <c r="M747" s="39"/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/>
      </c>
      <c r="R747" s="55" t="str">
        <f>IF(ISERROR(FIND('112'!$M$9,G747,1)),"",IF((AND(FIND('112'!$M$9,G747,1)&gt;=1,$B747&gt;='112'!$N$8,$B747&lt;='112'!$O$8,OR($L747='112'!$I$6,$M747='112'!$I$6))),"x",""))</f>
        <v/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7" s="225" customFormat="1" ht="15.75" customHeight="1">
      <c r="A748" s="218" t="str">
        <f>IF(B748&lt;&gt;"",IF(AND(B748&gt;=_TM1,B748&lt;=_TM2,OR(TH!L748="1111",TH!M748="1111")),TH!D748,""),"")</f>
        <v/>
      </c>
      <c r="B748" s="36" t="str">
        <f t="shared" si="37"/>
        <v/>
      </c>
      <c r="C748" s="37"/>
      <c r="D748" s="37"/>
      <c r="E748" s="37"/>
      <c r="F748" s="40"/>
      <c r="G748" s="40"/>
      <c r="H748" s="7"/>
      <c r="I748" s="276"/>
      <c r="J748" s="276"/>
      <c r="K748" s="38"/>
      <c r="L748" s="39"/>
      <c r="M748" s="39"/>
      <c r="N748" s="39" t="str">
        <f>IF(AND('331-CT'!$E$7=TH!H748,OR(L748="331",M748="331")),"x","")</f>
        <v/>
      </c>
      <c r="O748" s="39" t="str">
        <f>IF(AND($B748&gt;='111'!$N$11,$B748&lt;='111'!$O$11,OR($L748=$O$7,$M748=$O$7)),"x","")</f>
        <v/>
      </c>
      <c r="P748" s="39" t="str">
        <f>IF(AND($L748=$O$7,$B748&lt;'111'!$N$11),"x","")</f>
        <v/>
      </c>
      <c r="Q748" s="39" t="str">
        <f>IF(AND($M748=$O$7,$B748&lt;'111'!$N$11),"x","")</f>
        <v/>
      </c>
      <c r="R748" s="39" t="str">
        <f>IF(ISERROR(FIND('112'!$M$9,G748,1)),"",IF((AND(FIND('112'!$M$9,G748,1)&gt;=1,$B748&gt;='112'!$N$8,$B748&lt;='112'!$O$8,OR($L748='112'!$I$6,$M748='112'!$I$6))),"x",""))</f>
        <v/>
      </c>
      <c r="S748" s="39" t="str">
        <f>IF(ISERROR(FIND('112'!$M$9,G748,1)),"",IF((AND(LEFT(G748,2)=LEFT('112'!$M$9,2),B748&lt;'112'!$N$8,$L748='112'!$I$6)),"x",""))</f>
        <v/>
      </c>
      <c r="T748" s="39" t="str">
        <f>IF(ISERROR(FIND('112'!$M$9,G748,1)),"",IF((AND(RIGHT(G748,2)=RIGHT('112'!$M$9,2),B748&lt;'112'!$N$8,$M748='112'!$I$6)),"x",""))</f>
        <v/>
      </c>
      <c r="U748" s="39" t="str">
        <f>IF(AND('3411-CT'!$F$9=H748,OR(LEFT(L748,3)=$U$7,LEFT(M748,3)=$U$7)),"x","")</f>
        <v/>
      </c>
      <c r="V748" s="39" t="str">
        <f>IF(OR(TH!L748=TH!$V$7,M748=TH!$V$7),"x","")</f>
        <v/>
      </c>
      <c r="W748" s="39" t="str">
        <f>IF(AND(OR(L748="131",M748="131"),H748='131-CT'!$E$7),"x","")</f>
        <v/>
      </c>
      <c r="X748" s="39" t="str">
        <f>IF(AND(B748&gt;='IN-NX'!$P$3,B748&lt;='IN-NX'!$Q$3,'IN-NX'!$D$7=D748,OR(LEFT(TH!L748,2)="15",LEFT(TH!M748,2)="15")),"x","")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  <c r="AA748" s="39" t="str">
        <f>IF(AND(B748&lt;=NKC!$N$8,B748&gt;=NKC!$M$8),"x","")</f>
        <v/>
      </c>
    </row>
    <row r="749" spans="1:27" s="225" customFormat="1" ht="15.75" customHeight="1">
      <c r="A749" s="218" t="str">
        <f>IF(B749&lt;&gt;"",IF(AND(B749&gt;=_TM1,B749&lt;=_TM2,OR(TH!L749="1111",TH!M749="1111")),TH!D749,""),"")</f>
        <v/>
      </c>
      <c r="B749" s="36" t="str">
        <f t="shared" si="37"/>
        <v/>
      </c>
      <c r="C749" s="37"/>
      <c r="D749" s="37"/>
      <c r="E749" s="37"/>
      <c r="F749" s="40"/>
      <c r="G749" s="40"/>
      <c r="H749" s="7"/>
      <c r="I749" s="276"/>
      <c r="J749" s="276"/>
      <c r="K749" s="38"/>
      <c r="L749" s="39"/>
      <c r="M749" s="39"/>
      <c r="N749" s="39" t="str">
        <f>IF(AND('331-CT'!$E$7=TH!H749,OR(L749="331",M749="331")),"x","")</f>
        <v/>
      </c>
      <c r="O749" s="39" t="str">
        <f>IF(AND($B749&gt;='111'!$N$11,$B749&lt;='111'!$O$11,OR($L749=$O$7,$M749=$O$7)),"x","")</f>
        <v/>
      </c>
      <c r="P749" s="39" t="str">
        <f>IF(AND($L749=$O$7,$B749&lt;'111'!$N$11),"x","")</f>
        <v/>
      </c>
      <c r="Q749" s="39" t="str">
        <f>IF(AND($M749=$O$7,$B749&lt;'111'!$N$11),"x","")</f>
        <v/>
      </c>
      <c r="R749" s="39" t="str">
        <f>IF(ISERROR(FIND('112'!$M$9,G749,1)),"",IF((AND(FIND('112'!$M$9,G749,1)&gt;=1,$B749&gt;='112'!$N$8,$B749&lt;='112'!$O$8,OR($L749='112'!$I$6,$M749='112'!$I$6))),"x",""))</f>
        <v/>
      </c>
      <c r="S749" s="39" t="str">
        <f>IF(ISERROR(FIND('112'!$M$9,G749,1)),"",IF((AND(LEFT(G749,2)=LEFT('112'!$M$9,2),B749&lt;'112'!$N$8,$L749='112'!$I$6)),"x",""))</f>
        <v/>
      </c>
      <c r="T749" s="39" t="str">
        <f>IF(ISERROR(FIND('112'!$M$9,G749,1)),"",IF((AND(RIGHT(G749,2)=RIGHT('112'!$M$9,2),B749&lt;'112'!$N$8,$M749='112'!$I$6)),"x",""))</f>
        <v/>
      </c>
      <c r="U749" s="39" t="str">
        <f>IF(AND('3411-CT'!$F$9=H749,OR(LEFT(L749,3)=$U$7,LEFT(M749,3)=$U$7)),"x","")</f>
        <v/>
      </c>
      <c r="V749" s="39" t="str">
        <f>IF(OR(TH!L749=TH!$V$7,M749=TH!$V$7),"x","")</f>
        <v/>
      </c>
      <c r="W749" s="39" t="str">
        <f>IF(AND(OR(L749="131",M749="131"),H749='131-CT'!$E$7),"x","")</f>
        <v/>
      </c>
      <c r="X749" s="39" t="str">
        <f>IF(AND(B749&gt;='IN-NX'!$P$3,B749&lt;='IN-NX'!$Q$3,'IN-NX'!$D$7=D749,OR(LEFT(TH!L749,2)="15",LEFT(TH!M749,2)="15")),"x","")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  <c r="AA749" s="39" t="str">
        <f>IF(AND(B749&lt;=NKC!$N$8,B749&gt;=NKC!$M$8),"x","")</f>
        <v/>
      </c>
    </row>
    <row r="750" spans="1:27" s="225" customFormat="1" ht="15.75" customHeight="1">
      <c r="A750" s="218" t="str">
        <f>IF(B750&lt;&gt;"",IF(AND(B750&gt;=_TM1,B750&lt;=_TM2,OR(TH!L750="1111",TH!M750="1111")),TH!D750,""),"")</f>
        <v/>
      </c>
      <c r="B750" s="36" t="str">
        <f t="shared" si="37"/>
        <v/>
      </c>
      <c r="C750" s="37"/>
      <c r="D750" s="37"/>
      <c r="E750" s="37"/>
      <c r="F750" s="40"/>
      <c r="G750" s="40"/>
      <c r="H750" s="7"/>
      <c r="I750" s="277"/>
      <c r="J750" s="277"/>
      <c r="K750" s="38"/>
      <c r="L750" s="39"/>
      <c r="M750" s="39"/>
      <c r="N750" s="39" t="str">
        <f>IF(AND('331-CT'!$E$7=TH!H750,OR(L750="331",M750="331")),"x","")</f>
        <v/>
      </c>
      <c r="O750" s="39" t="str">
        <f>IF(AND($B750&gt;='111'!$N$11,$B750&lt;='111'!$O$11,OR($L750=$O$7,$M750=$O$7)),"x","")</f>
        <v/>
      </c>
      <c r="P750" s="39" t="str">
        <f>IF(AND($L750=$O$7,$B750&lt;'111'!$N$11),"x","")</f>
        <v/>
      </c>
      <c r="Q750" s="39" t="str">
        <f>IF(AND($M750=$O$7,$B750&lt;'111'!$N$11),"x","")</f>
        <v/>
      </c>
      <c r="R750" s="39" t="str">
        <f>IF(ISERROR(FIND('112'!$M$9,G750,1)),"",IF((AND(FIND('112'!$M$9,G750,1)&gt;=1,$B750&gt;='112'!$N$8,$B750&lt;='112'!$O$8,OR($L750='112'!$I$6,$M750='112'!$I$6))),"x",""))</f>
        <v/>
      </c>
      <c r="S750" s="39" t="str">
        <f>IF(ISERROR(FIND('112'!$M$9,G750,1)),"",IF((AND(LEFT(G750,2)=LEFT('112'!$M$9,2),B750&lt;'112'!$N$8,$L750='112'!$I$6)),"x",""))</f>
        <v/>
      </c>
      <c r="T750" s="39" t="str">
        <f>IF(ISERROR(FIND('112'!$M$9,G750,1)),"",IF((AND(RIGHT(G750,2)=RIGHT('112'!$M$9,2),B750&lt;'112'!$N$8,$M750='112'!$I$6)),"x",""))</f>
        <v/>
      </c>
      <c r="U750" s="39" t="str">
        <f>IF(AND('3411-CT'!$F$9=H750,OR(LEFT(L750,3)=$U$7,LEFT(M750,3)=$U$7)),"x","")</f>
        <v/>
      </c>
      <c r="V750" s="39" t="str">
        <f>IF(OR(TH!L750=TH!$V$7,M750=TH!$V$7),"x","")</f>
        <v/>
      </c>
      <c r="W750" s="39" t="str">
        <f>IF(AND(OR(L750="131",M750="131"),H750='131-CT'!$E$7),"x","")</f>
        <v/>
      </c>
      <c r="X750" s="39" t="str">
        <f>IF(AND(B750&gt;='IN-NX'!$P$3,B750&lt;='IN-NX'!$Q$3,'IN-NX'!$D$7=D750,OR(LEFT(TH!L750,2)="15",LEFT(TH!M750,2)="15")),"x","")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  <c r="AA750" s="39" t="str">
        <f>IF(AND(B750&lt;=NKC!$N$8,B750&gt;=NKC!$M$8),"x","")</f>
        <v/>
      </c>
    </row>
    <row r="751" spans="1:27" s="739" customFormat="1" ht="15.75" customHeight="1">
      <c r="A751" s="218" t="str">
        <f>IF(B751&lt;&gt;"",IF(AND(B751&gt;=_TM1,B751&lt;=_TM2,OR(TH!L751="1111",TH!M751="1111")),TH!D751,""),"")</f>
        <v/>
      </c>
      <c r="B751" s="36" t="str">
        <f t="shared" si="37"/>
        <v/>
      </c>
      <c r="C751" s="37"/>
      <c r="D751" s="194"/>
      <c r="E751" s="194"/>
      <c r="F751" s="202"/>
      <c r="G751" s="202"/>
      <c r="H751" s="45"/>
      <c r="I751" s="276"/>
      <c r="J751" s="276"/>
      <c r="K751" s="748"/>
      <c r="L751" s="749"/>
      <c r="M751" s="934"/>
      <c r="N751" s="39" t="str">
        <f>IF(AND('331-CT'!$E$7=TH!H751,OR(L751="331",M751="331")),"x","")</f>
        <v/>
      </c>
      <c r="O751" s="39" t="str">
        <f>IF(AND($B751&gt;='111'!$N$11,$B751&lt;='111'!$O$11,OR($L751=$O$7,$M751=$O$7)),"x","")</f>
        <v/>
      </c>
      <c r="P751" s="39" t="str">
        <f>IF(AND($L751=$O$7,$B751&lt;'111'!$N$11),"x","")</f>
        <v/>
      </c>
      <c r="Q751" s="39" t="str">
        <f>IF(AND($M751=$O$7,$B751&lt;'111'!$N$11),"x","")</f>
        <v/>
      </c>
      <c r="R751" s="39" t="str">
        <f>IF(ISERROR(FIND('112'!$M$9,G751,1)),"",IF((AND(FIND('112'!$M$9,G751,1)&gt;=1,$B751&gt;='112'!$N$8,$B751&lt;='112'!$O$8,OR($L751='112'!$I$6,$M751='112'!$I$6))),"x",""))</f>
        <v/>
      </c>
      <c r="S751" s="39" t="str">
        <f>IF(ISERROR(FIND('112'!$M$9,G751,1)),"",IF((AND(LEFT(G751,2)=LEFT('112'!$M$9,2),B751&lt;'112'!$N$8,$L751='112'!$I$6)),"x",""))</f>
        <v/>
      </c>
      <c r="T751" s="39" t="str">
        <f>IF(ISERROR(FIND('112'!$M$9,G751,1)),"",IF((AND(RIGHT(G751,2)=RIGHT('112'!$M$9,2),B751&lt;'112'!$N$8,$M751='112'!$I$6)),"x",""))</f>
        <v/>
      </c>
      <c r="U751" s="39" t="str">
        <f>IF(AND('3411-CT'!$F$9=H751,OR(LEFT(L751,3)=$U$7,LEFT(M751,3)=$U$7)),"x","")</f>
        <v/>
      </c>
      <c r="V751" s="39" t="str">
        <f>IF(OR(TH!L751=TH!$V$7,M751=TH!$V$7),"x","")</f>
        <v/>
      </c>
      <c r="W751" s="39" t="str">
        <f>IF(AND(OR(L751="131",M751="131"),H751='131-CT'!$E$7),"x","")</f>
        <v/>
      </c>
      <c r="X751" s="39" t="str">
        <f>IF(AND(B751&gt;='IN-NX'!$P$3,B751&lt;='IN-NX'!$Q$3,'IN-NX'!$D$7=D751,OR(LEFT(TH!L751,2)="15",LEFT(TH!M751,2)="15")),"x","")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  <c r="AA751" s="39" t="str">
        <f>IF(AND(B751&lt;=NKC!$N$8,B751&gt;=NKC!$M$8),"x","")</f>
        <v/>
      </c>
    </row>
    <row r="752" spans="1:27" s="739" customFormat="1" ht="15.75" customHeight="1">
      <c r="A752" s="218" t="str">
        <f>IF(B752&lt;&gt;"",IF(AND(B752&gt;=_TM1,B752&lt;=_TM2,OR(TH!L752="1111",TH!M752="1111")),TH!D752,""),"")</f>
        <v/>
      </c>
      <c r="B752" s="36" t="str">
        <f t="shared" si="37"/>
        <v/>
      </c>
      <c r="C752" s="37"/>
      <c r="D752" s="194"/>
      <c r="E752" s="194"/>
      <c r="F752" s="202"/>
      <c r="G752" s="750"/>
      <c r="H752" s="45"/>
      <c r="I752" s="276"/>
      <c r="J752" s="276"/>
      <c r="K752" s="748"/>
      <c r="L752" s="935"/>
      <c r="M752" s="935"/>
      <c r="N752" s="39" t="str">
        <f>IF(AND('331-CT'!$E$7=TH!H752,OR(L752="331",M752="331")),"x","")</f>
        <v/>
      </c>
      <c r="O752" s="39" t="str">
        <f>IF(AND($B752&gt;='111'!$N$11,$B752&lt;='111'!$O$11,OR($L752=$O$7,$M752=$O$7)),"x","")</f>
        <v/>
      </c>
      <c r="P752" s="39" t="str">
        <f>IF(AND($L752=$O$7,$B752&lt;'111'!$N$11),"x","")</f>
        <v/>
      </c>
      <c r="Q752" s="39" t="str">
        <f>IF(AND($M752=$O$7,$B752&lt;'111'!$N$11),"x","")</f>
        <v/>
      </c>
      <c r="R752" s="39" t="str">
        <f>IF(ISERROR(FIND('112'!$M$9,G752,1)),"",IF((AND(FIND('112'!$M$9,G752,1)&gt;=1,$B752&gt;='112'!$N$8,$B752&lt;='112'!$O$8,OR($L752='112'!$I$6,$M752='112'!$I$6))),"x",""))</f>
        <v/>
      </c>
      <c r="S752" s="39" t="str">
        <f>IF(ISERROR(FIND('112'!$M$9,G752,1)),"",IF((AND(LEFT(G752,2)=LEFT('112'!$M$9,2),B752&lt;'112'!$N$8,$L752='112'!$I$6)),"x",""))</f>
        <v/>
      </c>
      <c r="T752" s="39" t="str">
        <f>IF(ISERROR(FIND('112'!$M$9,G752,1)),"",IF((AND(RIGHT(G752,2)=RIGHT('112'!$M$9,2),B752&lt;'112'!$N$8,$M752='112'!$I$6)),"x",""))</f>
        <v/>
      </c>
      <c r="U752" s="39" t="str">
        <f>IF(AND('3411-CT'!$F$9=H752,OR(LEFT(L752,3)=$U$7,LEFT(M752,3)=$U$7)),"x","")</f>
        <v/>
      </c>
      <c r="V752" s="39" t="str">
        <f>IF(OR(TH!L752=TH!$V$7,M752=TH!$V$7),"x","")</f>
        <v/>
      </c>
      <c r="W752" s="39" t="str">
        <f>IF(AND(OR(L752="131",M752="131"),H752='131-CT'!$E$7),"x","")</f>
        <v/>
      </c>
      <c r="X752" s="39" t="str">
        <f>IF(AND(B752&gt;='IN-NX'!$P$3,B752&lt;='IN-NX'!$Q$3,'IN-NX'!$D$7=D752,OR(LEFT(TH!L752,2)="15",LEFT(TH!M752,2)="15")),"x","")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  <c r="AA752" s="39" t="str">
        <f>IF(AND(B752&lt;=NKC!$N$8,B752&gt;=NKC!$M$8),"x","")</f>
        <v/>
      </c>
    </row>
    <row r="753" spans="1:29" s="739" customFormat="1" ht="15.75" customHeight="1">
      <c r="A753" s="218" t="str">
        <f>IF(B753&lt;&gt;"",IF(AND(B753&gt;=_TM1,B753&lt;=_TM2,OR(TH!L753="1111",TH!M753="1111")),TH!D753,""),"")</f>
        <v/>
      </c>
      <c r="B753" s="36" t="str">
        <f t="shared" si="37"/>
        <v/>
      </c>
      <c r="C753" s="37"/>
      <c r="D753" s="194"/>
      <c r="E753" s="194"/>
      <c r="F753" s="202"/>
      <c r="G753" s="202"/>
      <c r="H753" s="45"/>
      <c r="I753" s="276"/>
      <c r="J753" s="276"/>
      <c r="K753" s="748"/>
      <c r="L753" s="935"/>
      <c r="M753" s="935"/>
      <c r="N753" s="39" t="str">
        <f>IF(AND('331-CT'!$E$7=TH!H753,OR(L753="331",M753="331")),"x","")</f>
        <v/>
      </c>
      <c r="O753" s="39" t="str">
        <f>IF(AND($B753&gt;='111'!$N$11,$B753&lt;='111'!$O$11,OR($L753=$O$7,$M753=$O$7)),"x","")</f>
        <v/>
      </c>
      <c r="P753" s="39" t="str">
        <f>IF(AND($L753=$O$7,$B753&lt;'111'!$N$11),"x","")</f>
        <v/>
      </c>
      <c r="Q753" s="39" t="str">
        <f>IF(AND($M753=$O$7,$B753&lt;'111'!$N$11),"x","")</f>
        <v/>
      </c>
      <c r="R753" s="39" t="str">
        <f>IF(ISERROR(FIND('112'!$M$9,G753,1)),"",IF((AND(FIND('112'!$M$9,G753,1)&gt;=1,$B753&gt;='112'!$N$8,$B753&lt;='112'!$O$8,OR($L753='112'!$I$6,$M753='112'!$I$6))),"x",""))</f>
        <v/>
      </c>
      <c r="S753" s="39" t="str">
        <f>IF(ISERROR(FIND('112'!$M$9,G753,1)),"",IF((AND(LEFT(G753,2)=LEFT('112'!$M$9,2),B753&lt;'112'!$N$8,$L753='112'!$I$6)),"x",""))</f>
        <v/>
      </c>
      <c r="T753" s="39" t="str">
        <f>IF(ISERROR(FIND('112'!$M$9,G753,1)),"",IF((AND(RIGHT(G753,2)=RIGHT('112'!$M$9,2),B753&lt;'112'!$N$8,$M753='112'!$I$6)),"x",""))</f>
        <v/>
      </c>
      <c r="U753" s="39" t="str">
        <f>IF(AND('3411-CT'!$F$9=H753,OR(LEFT(L753,3)=$U$7,LEFT(M753,3)=$U$7)),"x","")</f>
        <v/>
      </c>
      <c r="V753" s="39" t="str">
        <f>IF(OR(TH!L753=TH!$V$7,M753=TH!$V$7),"x","")</f>
        <v/>
      </c>
      <c r="W753" s="39" t="str">
        <f>IF(AND(OR(L753="131",M753="131"),H753='131-CT'!$E$7),"x","")</f>
        <v/>
      </c>
      <c r="X753" s="39" t="str">
        <f>IF(AND(B753&gt;='IN-NX'!$P$3,B753&lt;='IN-NX'!$Q$3,'IN-NX'!$D$7=D753,OR(LEFT(TH!L753,2)="15",LEFT(TH!M753,2)="15")),"x","")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  <c r="AA753" s="39" t="str">
        <f>IF(AND(B753&lt;=NKC!$N$8,B753&gt;=NKC!$M$8),"x","")</f>
        <v/>
      </c>
    </row>
    <row r="754" spans="1:29" s="739" customFormat="1" ht="15.75" customHeight="1">
      <c r="A754" s="218" t="str">
        <f>IF(B754&lt;&gt;"",IF(AND(B754&gt;=_TM1,B754&lt;=_TM2,OR(TH!L754="1111",TH!M754="1111")),TH!D754,""),"")</f>
        <v/>
      </c>
      <c r="B754" s="36" t="str">
        <f t="shared" si="37"/>
        <v/>
      </c>
      <c r="C754" s="37"/>
      <c r="D754" s="204"/>
      <c r="E754" s="194"/>
      <c r="F754" s="202"/>
      <c r="G754" s="202"/>
      <c r="H754" s="7"/>
      <c r="I754" s="276"/>
      <c r="J754" s="276"/>
      <c r="K754" s="748"/>
      <c r="L754" s="749"/>
      <c r="M754" s="749"/>
      <c r="N754" s="39" t="str">
        <f>IF(AND('331-CT'!$E$7=TH!H754,OR(L754="331",M754="331")),"x","")</f>
        <v/>
      </c>
      <c r="O754" s="39" t="str">
        <f>IF(AND($B754&gt;='111'!$N$11,$B754&lt;='111'!$O$11,OR($L754=$O$7,$M754=$O$7)),"x","")</f>
        <v/>
      </c>
      <c r="P754" s="39" t="str">
        <f>IF(AND($L754=$O$7,$B754&lt;'111'!$N$11),"x","")</f>
        <v/>
      </c>
      <c r="Q754" s="39" t="str">
        <f>IF(AND($M754=$O$7,$B754&lt;'111'!$N$11),"x","")</f>
        <v/>
      </c>
      <c r="R754" s="39" t="str">
        <f>IF(ISERROR(FIND('112'!$M$9,G754,1)),"",IF((AND(FIND('112'!$M$9,G754,1)&gt;=1,$B754&gt;='112'!$N$8,$B754&lt;='112'!$O$8,OR($L754='112'!$I$6,$M754='112'!$I$6))),"x",""))</f>
        <v/>
      </c>
      <c r="S754" s="39" t="str">
        <f>IF(ISERROR(FIND('112'!$M$9,G754,1)),"",IF((AND(LEFT(G754,2)=LEFT('112'!$M$9,2),B754&lt;'112'!$N$8,$L754='112'!$I$6)),"x",""))</f>
        <v/>
      </c>
      <c r="T754" s="39" t="str">
        <f>IF(ISERROR(FIND('112'!$M$9,G754,1)),"",IF((AND(RIGHT(G754,2)=RIGHT('112'!$M$9,2),B754&lt;'112'!$N$8,$M754='112'!$I$6)),"x",""))</f>
        <v/>
      </c>
      <c r="U754" s="39" t="str">
        <f>IF(AND('3411-CT'!$F$9=H754,OR(LEFT(L754,3)=$U$7,LEFT(M754,3)=$U$7)),"x","")</f>
        <v/>
      </c>
      <c r="V754" s="39" t="str">
        <f>IF(OR(TH!L754=TH!$V$7,M754=TH!$V$7),"x","")</f>
        <v/>
      </c>
      <c r="W754" s="39" t="str">
        <f>IF(AND(OR(L754="131",M754="131"),H754='131-CT'!$E$7),"x","")</f>
        <v/>
      </c>
      <c r="X754" s="39" t="str">
        <f>IF(AND(B754&gt;='IN-NX'!$P$3,B754&lt;='IN-NX'!$Q$3,'IN-NX'!$D$7=D754,OR(LEFT(TH!L754,2)="15",LEFT(TH!M754,2)="15")),"x","")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  <c r="AA754" s="39" t="str">
        <f>IF(AND(B754&lt;=NKC!$N$8,B754&gt;=NKC!$M$8),"x","")</f>
        <v/>
      </c>
      <c r="AC754" s="225"/>
    </row>
    <row r="755" spans="1:29" s="739" customFormat="1" ht="15.75" customHeight="1">
      <c r="A755" s="218" t="str">
        <f>IF(B755&lt;&gt;"",IF(AND(B755&gt;=_TM1,B755&lt;=_TM2,OR(TH!L755="1111",TH!M755="1111")),TH!D755,""),"")</f>
        <v/>
      </c>
      <c r="B755" s="36" t="str">
        <f t="shared" si="37"/>
        <v/>
      </c>
      <c r="C755" s="37"/>
      <c r="D755" s="204"/>
      <c r="E755" s="194"/>
      <c r="F755" s="202"/>
      <c r="G755" s="750"/>
      <c r="H755" s="7"/>
      <c r="I755" s="276"/>
      <c r="J755" s="276"/>
      <c r="K755" s="748"/>
      <c r="L755" s="935"/>
      <c r="M755" s="749"/>
      <c r="N755" s="39" t="str">
        <f>IF(AND('331-CT'!$E$7=TH!H755,OR(L755="331",M755="331")),"x","")</f>
        <v/>
      </c>
      <c r="O755" s="39" t="str">
        <f>IF(AND($B755&gt;='111'!$N$11,$B755&lt;='111'!$O$11,OR($L755=$O$7,$M755=$O$7)),"x","")</f>
        <v/>
      </c>
      <c r="P755" s="39" t="str">
        <f>IF(AND($L755=$O$7,$B755&lt;'111'!$N$11),"x","")</f>
        <v/>
      </c>
      <c r="Q755" s="39" t="str">
        <f>IF(AND($M755=$O$7,$B755&lt;'111'!$N$11),"x","")</f>
        <v/>
      </c>
      <c r="R755" s="39" t="str">
        <f>IF(ISERROR(FIND('112'!$M$9,G755,1)),"",IF((AND(FIND('112'!$M$9,G755,1)&gt;=1,$B755&gt;='112'!$N$8,$B755&lt;='112'!$O$8,OR($L755='112'!$I$6,$M755='112'!$I$6))),"x",""))</f>
        <v/>
      </c>
      <c r="S755" s="39" t="str">
        <f>IF(ISERROR(FIND('112'!$M$9,G755,1)),"",IF((AND(LEFT(G755,2)=LEFT('112'!$M$9,2),B755&lt;'112'!$N$8,$L755='112'!$I$6)),"x",""))</f>
        <v/>
      </c>
      <c r="T755" s="39" t="str">
        <f>IF(ISERROR(FIND('112'!$M$9,G755,1)),"",IF((AND(RIGHT(G755,2)=RIGHT('112'!$M$9,2),B755&lt;'112'!$N$8,$M755='112'!$I$6)),"x",""))</f>
        <v/>
      </c>
      <c r="U755" s="39" t="str">
        <f>IF(AND('3411-CT'!$F$9=H755,OR(LEFT(L755,3)=$U$7,LEFT(M755,3)=$U$7)),"x","")</f>
        <v/>
      </c>
      <c r="V755" s="39" t="str">
        <f>IF(OR(TH!L755=TH!$V$7,M755=TH!$V$7),"x","")</f>
        <v/>
      </c>
      <c r="W755" s="39" t="str">
        <f>IF(AND(OR(L755="131",M755="131"),H755='131-CT'!$E$7),"x","")</f>
        <v/>
      </c>
      <c r="X755" s="39" t="str">
        <f>IF(AND(B755&gt;='IN-NX'!$P$3,B755&lt;='IN-NX'!$Q$3,'IN-NX'!$D$7=D755,OR(LEFT(TH!L755,2)="15",LEFT(TH!M755,2)="15")),"x","")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  <c r="AA755" s="39" t="str">
        <f>IF(AND(B755&lt;=NKC!$N$8,B755&gt;=NKC!$M$8),"x","")</f>
        <v/>
      </c>
      <c r="AC755" s="225"/>
    </row>
    <row r="756" spans="1:29" s="739" customFormat="1" ht="15.75" customHeight="1">
      <c r="A756" s="218" t="str">
        <f>IF(B756&lt;&gt;"",IF(AND(B756&gt;=_TM1,B756&lt;=_TM2,OR(TH!L756="1111",TH!M756="1111")),TH!D756,""),"")</f>
        <v/>
      </c>
      <c r="B756" s="36" t="str">
        <f t="shared" si="37"/>
        <v/>
      </c>
      <c r="C756" s="37"/>
      <c r="D756" s="204"/>
      <c r="E756" s="194"/>
      <c r="F756" s="202"/>
      <c r="G756" s="202"/>
      <c r="H756" s="7"/>
      <c r="I756" s="276"/>
      <c r="J756" s="276"/>
      <c r="K756" s="748"/>
      <c r="L756" s="935"/>
      <c r="M756" s="749"/>
      <c r="N756" s="39" t="str">
        <f>IF(AND('331-CT'!$E$7=TH!H756,OR(L756="331",M756="331")),"x","")</f>
        <v/>
      </c>
      <c r="O756" s="39" t="str">
        <f>IF(AND($B756&gt;='111'!$N$11,$B756&lt;='111'!$O$11,OR($L756=$O$7,$M756=$O$7)),"x","")</f>
        <v/>
      </c>
      <c r="P756" s="39" t="str">
        <f>IF(AND($L756=$O$7,$B756&lt;'111'!$N$11),"x","")</f>
        <v/>
      </c>
      <c r="Q756" s="39" t="str">
        <f>IF(AND($M756=$O$7,$B756&lt;'111'!$N$11),"x","")</f>
        <v/>
      </c>
      <c r="R756" s="39" t="str">
        <f>IF(ISERROR(FIND('112'!$M$9,G756,1)),"",IF((AND(FIND('112'!$M$9,G756,1)&gt;=1,$B756&gt;='112'!$N$8,$B756&lt;='112'!$O$8,OR($L756='112'!$I$6,$M756='112'!$I$6))),"x",""))</f>
        <v/>
      </c>
      <c r="S756" s="39" t="str">
        <f>IF(ISERROR(FIND('112'!$M$9,G756,1)),"",IF((AND(LEFT(G756,2)=LEFT('112'!$M$9,2),B756&lt;'112'!$N$8,$L756='112'!$I$6)),"x",""))</f>
        <v/>
      </c>
      <c r="T756" s="39" t="str">
        <f>IF(ISERROR(FIND('112'!$M$9,G756,1)),"",IF((AND(RIGHT(G756,2)=RIGHT('112'!$M$9,2),B756&lt;'112'!$N$8,$M756='112'!$I$6)),"x",""))</f>
        <v/>
      </c>
      <c r="U756" s="39" t="str">
        <f>IF(AND('3411-CT'!$F$9=H756,OR(LEFT(L756,3)=$U$7,LEFT(M756,3)=$U$7)),"x","")</f>
        <v/>
      </c>
      <c r="V756" s="39" t="str">
        <f>IF(OR(TH!L756=TH!$V$7,M756=TH!$V$7),"x","")</f>
        <v/>
      </c>
      <c r="W756" s="39" t="str">
        <f>IF(AND(OR(L756="131",M756="131"),H756='131-CT'!$E$7),"x","")</f>
        <v/>
      </c>
      <c r="X756" s="39" t="str">
        <f>IF(AND(B756&gt;='IN-NX'!$P$3,B756&lt;='IN-NX'!$Q$3,'IN-NX'!$D$7=D756,OR(LEFT(TH!L756,2)="15",LEFT(TH!M756,2)="15")),"x","")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  <c r="AA756" s="39" t="str">
        <f>IF(AND(B756&lt;=NKC!$N$8,B756&gt;=NKC!$M$8),"x","")</f>
        <v/>
      </c>
    </row>
    <row r="757" spans="1:29" s="739" customFormat="1" ht="15.75" customHeight="1">
      <c r="A757" s="218" t="str">
        <f>IF(B757&lt;&gt;"",IF(AND(B757&gt;=_TM1,B757&lt;=_TM2,OR(TH!L757="1111",TH!M757="1111")),TH!D757,""),"")</f>
        <v/>
      </c>
      <c r="B757" s="36" t="str">
        <f t="shared" si="37"/>
        <v/>
      </c>
      <c r="C757" s="37"/>
      <c r="D757" s="204"/>
      <c r="E757" s="194"/>
      <c r="F757" s="202"/>
      <c r="G757" s="202"/>
      <c r="H757" s="45"/>
      <c r="I757" s="276"/>
      <c r="J757" s="276"/>
      <c r="K757" s="748"/>
      <c r="L757" s="749"/>
      <c r="M757" s="749"/>
      <c r="N757" s="39" t="str">
        <f>IF(AND('331-CT'!$E$7=TH!H757,OR(L757="331",M757="331")),"x","")</f>
        <v/>
      </c>
      <c r="O757" s="39" t="str">
        <f>IF(AND($B757&gt;='111'!$N$11,$B757&lt;='111'!$O$11,OR($L757=$O$7,$M757=$O$7)),"x","")</f>
        <v/>
      </c>
      <c r="P757" s="39" t="str">
        <f>IF(AND($L757=$O$7,$B757&lt;'111'!$N$11),"x","")</f>
        <v/>
      </c>
      <c r="Q757" s="39" t="str">
        <f>IF(AND($M757=$O$7,$B757&lt;'111'!$N$11),"x","")</f>
        <v/>
      </c>
      <c r="R757" s="39" t="str">
        <f>IF(ISERROR(FIND('112'!$M$9,G757,1)),"",IF((AND(FIND('112'!$M$9,G757,1)&gt;=1,$B757&gt;='112'!$N$8,$B757&lt;='112'!$O$8,OR($L757='112'!$I$6,$M757='112'!$I$6))),"x",""))</f>
        <v/>
      </c>
      <c r="S757" s="39" t="str">
        <f>IF(ISERROR(FIND('112'!$M$9,G757,1)),"",IF((AND(LEFT(G757,2)=LEFT('112'!$M$9,2),B757&lt;'112'!$N$8,$L757='112'!$I$6)),"x",""))</f>
        <v/>
      </c>
      <c r="T757" s="39" t="str">
        <f>IF(ISERROR(FIND('112'!$M$9,G757,1)),"",IF((AND(RIGHT(G757,2)=RIGHT('112'!$M$9,2),B757&lt;'112'!$N$8,$M757='112'!$I$6)),"x",""))</f>
        <v/>
      </c>
      <c r="U757" s="39" t="str">
        <f>IF(AND('3411-CT'!$F$9=H757,OR(LEFT(L757,3)=$U$7,LEFT(M757,3)=$U$7)),"x","")</f>
        <v/>
      </c>
      <c r="V757" s="39" t="str">
        <f>IF(OR(TH!L757=TH!$V$7,M757=TH!$V$7),"x","")</f>
        <v/>
      </c>
      <c r="W757" s="39" t="str">
        <f>IF(AND(OR(L757="131",M757="131"),H757='131-CT'!$E$7),"x","")</f>
        <v/>
      </c>
      <c r="X757" s="39" t="str">
        <f>IF(AND(B757&gt;='IN-NX'!$P$3,B757&lt;='IN-NX'!$Q$3,'IN-NX'!$D$7=D757,OR(LEFT(TH!L757,2)="15",LEFT(TH!M757,2)="15")),"x","")</f>
        <v/>
      </c>
      <c r="Y757" s="39" t="str">
        <f>IF(AND(OR(LEFT(TH!L757,2)="15",LEFT(TH!M757,2)="15"),'152-CT'!$J$8=TH!F757),"x","")</f>
        <v/>
      </c>
      <c r="Z757" s="39" t="str">
        <f>IF(AND(OR(LEFT(TH!L757,2)="15",LEFT(TH!M757,2)="15"),TK!$E$7=TH!F757),"x","")</f>
        <v/>
      </c>
      <c r="AA757" s="39" t="str">
        <f>IF(AND(B757&lt;=NKC!$N$8,B757&gt;=NKC!$M$8),"x","")</f>
        <v/>
      </c>
    </row>
    <row r="758" spans="1:29" s="739" customFormat="1" ht="15.75" customHeight="1">
      <c r="A758" s="218" t="str">
        <f>IF(B758&lt;&gt;"",IF(AND(B758&gt;=_TM1,B758&lt;=_TM2,OR(TH!L758="1111",TH!M758="1111")),TH!D758,""),"")</f>
        <v/>
      </c>
      <c r="B758" s="36" t="str">
        <f t="shared" si="37"/>
        <v/>
      </c>
      <c r="C758" s="37"/>
      <c r="D758" s="204"/>
      <c r="E758" s="194"/>
      <c r="F758" s="202"/>
      <c r="G758" s="750"/>
      <c r="H758" s="45"/>
      <c r="I758" s="276"/>
      <c r="J758" s="276"/>
      <c r="K758" s="748"/>
      <c r="L758" s="935"/>
      <c r="M758" s="749"/>
      <c r="N758" s="39" t="str">
        <f>IF(AND('331-CT'!$E$7=TH!H758,OR(L758="331",M758="331")),"x","")</f>
        <v/>
      </c>
      <c r="O758" s="39" t="str">
        <f>IF(AND($B758&gt;='111'!$N$11,$B758&lt;='111'!$O$11,OR($L758=$O$7,$M758=$O$7)),"x","")</f>
        <v/>
      </c>
      <c r="P758" s="39" t="str">
        <f>IF(AND($L758=$O$7,$B758&lt;'111'!$N$11),"x","")</f>
        <v/>
      </c>
      <c r="Q758" s="39" t="str">
        <f>IF(AND($M758=$O$7,$B758&lt;'111'!$N$11),"x","")</f>
        <v/>
      </c>
      <c r="R758" s="39" t="str">
        <f>IF(ISERROR(FIND('112'!$M$9,G758,1)),"",IF((AND(FIND('112'!$M$9,G758,1)&gt;=1,$B758&gt;='112'!$N$8,$B758&lt;='112'!$O$8,OR($L758='112'!$I$6,$M758='112'!$I$6))),"x",""))</f>
        <v/>
      </c>
      <c r="S758" s="39" t="str">
        <f>IF(ISERROR(FIND('112'!$M$9,G758,1)),"",IF((AND(LEFT(G758,2)=LEFT('112'!$M$9,2),B758&lt;'112'!$N$8,$L758='112'!$I$6)),"x",""))</f>
        <v/>
      </c>
      <c r="T758" s="39" t="str">
        <f>IF(ISERROR(FIND('112'!$M$9,G758,1)),"",IF((AND(RIGHT(G758,2)=RIGHT('112'!$M$9,2),B758&lt;'112'!$N$8,$M758='112'!$I$6)),"x",""))</f>
        <v/>
      </c>
      <c r="U758" s="39" t="str">
        <f>IF(AND('3411-CT'!$F$9=H758,OR(LEFT(L758,3)=$U$7,LEFT(M758,3)=$U$7)),"x","")</f>
        <v/>
      </c>
      <c r="V758" s="39" t="str">
        <f>IF(OR(TH!L758=TH!$V$7,M758=TH!$V$7),"x","")</f>
        <v/>
      </c>
      <c r="W758" s="39" t="str">
        <f>IF(AND(OR(L758="131",M758="131"),H758='131-CT'!$E$7),"x","")</f>
        <v/>
      </c>
      <c r="X758" s="39" t="str">
        <f>IF(AND(B758&gt;='IN-NX'!$P$3,B758&lt;='IN-NX'!$Q$3,'IN-NX'!$D$7=D758,OR(LEFT(TH!L758,2)="15",LEFT(TH!M758,2)="15")),"x","")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  <c r="AA758" s="39" t="str">
        <f>IF(AND(B758&lt;=NKC!$N$8,B758&gt;=NKC!$M$8),"x","")</f>
        <v/>
      </c>
    </row>
    <row r="759" spans="1:29" s="739" customFormat="1" ht="15.75" customHeight="1">
      <c r="A759" s="218" t="str">
        <f>IF(B759&lt;&gt;"",IF(AND(B759&gt;=_TM1,B759&lt;=_TM2,OR(TH!L759="1111",TH!M759="1111")),TH!D759,""),"")</f>
        <v/>
      </c>
      <c r="B759" s="36" t="str">
        <f t="shared" si="37"/>
        <v/>
      </c>
      <c r="C759" s="37"/>
      <c r="D759" s="194"/>
      <c r="E759" s="194"/>
      <c r="F759" s="202"/>
      <c r="G759" s="202"/>
      <c r="H759" s="45"/>
      <c r="I759" s="276"/>
      <c r="J759" s="276"/>
      <c r="K759" s="748"/>
      <c r="L759" s="935"/>
      <c r="M759" s="935"/>
      <c r="N759" s="39" t="str">
        <f>IF(AND('331-CT'!$E$7=TH!H759,OR(L759="331",M759="331")),"x","")</f>
        <v/>
      </c>
      <c r="O759" s="39" t="str">
        <f>IF(AND($B759&gt;='111'!$N$11,$B759&lt;='111'!$O$11,OR($L759=$O$7,$M759=$O$7)),"x","")</f>
        <v/>
      </c>
      <c r="P759" s="39" t="str">
        <f>IF(AND($L759=$O$7,$B759&lt;'111'!$N$11),"x","")</f>
        <v/>
      </c>
      <c r="Q759" s="39" t="str">
        <f>IF(AND($M759=$O$7,$B759&lt;'111'!$N$11),"x","")</f>
        <v/>
      </c>
      <c r="R759" s="39" t="str">
        <f>IF(ISERROR(FIND('112'!$M$9,G759,1)),"",IF((AND(FIND('112'!$M$9,G759,1)&gt;=1,$B759&gt;='112'!$N$8,$B759&lt;='112'!$O$8,OR($L759='112'!$I$6,$M759='112'!$I$6))),"x",""))</f>
        <v/>
      </c>
      <c r="S759" s="39" t="str">
        <f>IF(ISERROR(FIND('112'!$M$9,G759,1)),"",IF((AND(LEFT(G759,2)=LEFT('112'!$M$9,2),B759&lt;'112'!$N$8,$L759='112'!$I$6)),"x",""))</f>
        <v/>
      </c>
      <c r="T759" s="39" t="str">
        <f>IF(ISERROR(FIND('112'!$M$9,G759,1)),"",IF((AND(RIGHT(G759,2)=RIGHT('112'!$M$9,2),B759&lt;'112'!$N$8,$M759='112'!$I$6)),"x",""))</f>
        <v/>
      </c>
      <c r="U759" s="39" t="str">
        <f>IF(AND('3411-CT'!$F$9=H759,OR(LEFT(L759,3)=$U$7,LEFT(M759,3)=$U$7)),"x","")</f>
        <v/>
      </c>
      <c r="V759" s="39" t="str">
        <f>IF(OR(TH!L759=TH!$V$7,M759=TH!$V$7),"x","")</f>
        <v/>
      </c>
      <c r="W759" s="39" t="str">
        <f>IF(AND(OR(L759="131",M759="131"),H759='131-CT'!$E$7),"x","")</f>
        <v/>
      </c>
      <c r="X759" s="39" t="str">
        <f>IF(AND(B759&gt;='IN-NX'!$P$3,B759&lt;='IN-NX'!$Q$3,'IN-NX'!$D$7=D759,OR(LEFT(TH!L759,2)="15",LEFT(TH!M759,2)="15")),"x","")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  <c r="AA759" s="39" t="str">
        <f>IF(AND(B759&lt;=NKC!$N$8,B759&gt;=NKC!$M$8),"x","")</f>
        <v/>
      </c>
    </row>
    <row r="760" spans="1:29" s="739" customFormat="1" ht="15.75" customHeight="1">
      <c r="A760" s="218" t="str">
        <f>IF(B760&lt;&gt;"",IF(AND(B760&gt;=_TM1,B760&lt;=_TM2,OR(TH!L760="1111",TH!M760="1111")),TH!D760,""),"")</f>
        <v/>
      </c>
      <c r="B760" s="36" t="str">
        <f t="shared" si="37"/>
        <v/>
      </c>
      <c r="C760" s="37"/>
      <c r="D760" s="194"/>
      <c r="E760" s="194"/>
      <c r="F760" s="202"/>
      <c r="G760" s="202"/>
      <c r="H760" s="7"/>
      <c r="I760" s="276"/>
      <c r="J760" s="276"/>
      <c r="K760" s="748"/>
      <c r="L760" s="935"/>
      <c r="M760" s="935"/>
      <c r="N760" s="39" t="str">
        <f>IF(AND('331-CT'!$E$7=TH!H760,OR(L760="331",M760="331")),"x","")</f>
        <v/>
      </c>
      <c r="O760" s="39" t="str">
        <f>IF(AND($B760&gt;='111'!$N$11,$B760&lt;='111'!$O$11,OR($L760=$O$7,$M760=$O$7)),"x","")</f>
        <v/>
      </c>
      <c r="P760" s="39" t="str">
        <f>IF(AND($L760=$O$7,$B760&lt;'111'!$N$11),"x","")</f>
        <v/>
      </c>
      <c r="Q760" s="39" t="str">
        <f>IF(AND($M760=$O$7,$B760&lt;'111'!$N$11),"x","")</f>
        <v/>
      </c>
      <c r="R760" s="39" t="str">
        <f>IF(ISERROR(FIND('112'!$M$9,G760,1)),"",IF((AND(FIND('112'!$M$9,G760,1)&gt;=1,$B760&gt;='112'!$N$8,$B760&lt;='112'!$O$8,OR($L760='112'!$I$6,$M760='112'!$I$6))),"x",""))</f>
        <v/>
      </c>
      <c r="S760" s="39" t="str">
        <f>IF(ISERROR(FIND('112'!$M$9,G760,1)),"",IF((AND(LEFT(G760,2)=LEFT('112'!$M$9,2),B760&lt;'112'!$N$8,$L760='112'!$I$6)),"x",""))</f>
        <v/>
      </c>
      <c r="T760" s="39" t="str">
        <f>IF(ISERROR(FIND('112'!$M$9,G760,1)),"",IF((AND(RIGHT(G760,2)=RIGHT('112'!$M$9,2),B760&lt;'112'!$N$8,$M760='112'!$I$6)),"x",""))</f>
        <v/>
      </c>
      <c r="U760" s="39" t="str">
        <f>IF(AND('3411-CT'!$F$9=H760,OR(LEFT(L760,3)=$U$7,LEFT(M760,3)=$U$7)),"x","")</f>
        <v/>
      </c>
      <c r="V760" s="39" t="str">
        <f>IF(OR(TH!L760=TH!$V$7,M760=TH!$V$7),"x","")</f>
        <v/>
      </c>
      <c r="W760" s="39" t="str">
        <f>IF(AND(OR(L760="131",M760="131"),H760='131-CT'!$E$7),"x","")</f>
        <v/>
      </c>
      <c r="X760" s="39" t="str">
        <f>IF(AND(B760&gt;='IN-NX'!$P$3,B760&lt;='IN-NX'!$Q$3,'IN-NX'!$D$7=D760,OR(LEFT(TH!L760,2)="15",LEFT(TH!M760,2)="15")),"x","")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  <c r="AA760" s="39" t="str">
        <f>IF(AND(B760&lt;=NKC!$N$8,B760&gt;=NKC!$M$8),"x","")</f>
        <v/>
      </c>
    </row>
    <row r="761" spans="1:29" s="739" customFormat="1" ht="15.75" customHeight="1">
      <c r="A761" s="218" t="str">
        <f>IF(B761&lt;&gt;"",IF(AND(B761&gt;=_TM1,B761&lt;=_TM2,OR(TH!L761="1111",TH!M761="1111")),TH!D761,""),"")</f>
        <v/>
      </c>
      <c r="B761" s="36" t="str">
        <f t="shared" si="37"/>
        <v/>
      </c>
      <c r="C761" s="37"/>
      <c r="D761" s="204"/>
      <c r="E761" s="194"/>
      <c r="F761" s="202"/>
      <c r="G761" s="202"/>
      <c r="H761" s="7"/>
      <c r="I761" s="276"/>
      <c r="J761" s="276"/>
      <c r="K761" s="748"/>
      <c r="L761" s="935"/>
      <c r="M761" s="749"/>
      <c r="N761" s="39" t="str">
        <f>IF(AND('331-CT'!$E$7=TH!H761,OR(L761="331",M761="331")),"x","")</f>
        <v/>
      </c>
      <c r="O761" s="39" t="str">
        <f>IF(AND($B761&gt;='111'!$N$11,$B761&lt;='111'!$O$11,OR($L761=$O$7,$M761=$O$7)),"x","")</f>
        <v/>
      </c>
      <c r="P761" s="39" t="str">
        <f>IF(AND($L761=$O$7,$B761&lt;'111'!$N$11),"x","")</f>
        <v/>
      </c>
      <c r="Q761" s="39" t="str">
        <f>IF(AND($M761=$O$7,$B761&lt;'111'!$N$11),"x","")</f>
        <v/>
      </c>
      <c r="R761" s="39" t="str">
        <f>IF(ISERROR(FIND('112'!$M$9,G761,1)),"",IF((AND(FIND('112'!$M$9,G761,1)&gt;=1,$B761&gt;='112'!$N$8,$B761&lt;='112'!$O$8,OR($L761='112'!$I$6,$M761='112'!$I$6))),"x",""))</f>
        <v/>
      </c>
      <c r="S761" s="39" t="str">
        <f>IF(ISERROR(FIND('112'!$M$9,G761,1)),"",IF((AND(LEFT(G761,2)=LEFT('112'!$M$9,2),B761&lt;'112'!$N$8,$L761='112'!$I$6)),"x",""))</f>
        <v/>
      </c>
      <c r="T761" s="39" t="str">
        <f>IF(ISERROR(FIND('112'!$M$9,G761,1)),"",IF((AND(RIGHT(G761,2)=RIGHT('112'!$M$9,2),B761&lt;'112'!$N$8,$M761='112'!$I$6)),"x",""))</f>
        <v/>
      </c>
      <c r="U761" s="39" t="str">
        <f>IF(AND('3411-CT'!$F$9=H761,OR(LEFT(L761,3)=$U$7,LEFT(M761,3)=$U$7)),"x","")</f>
        <v/>
      </c>
      <c r="V761" s="39" t="str">
        <f>IF(OR(TH!L761=TH!$V$7,M761=TH!$V$7),"x","")</f>
        <v/>
      </c>
      <c r="W761" s="39" t="str">
        <f>IF(AND(OR(L761="131",M761="131"),H761='131-CT'!$E$7),"x","")</f>
        <v/>
      </c>
      <c r="X761" s="39" t="str">
        <f>IF(AND(B761&gt;='IN-NX'!$P$3,B761&lt;='IN-NX'!$Q$3,'IN-NX'!$D$7=D761,OR(LEFT(TH!L761,2)="15",LEFT(TH!M761,2)="15")),"x","")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  <c r="AA761" s="39" t="str">
        <f>IF(AND(B761&lt;=NKC!$N$8,B761&gt;=NKC!$M$8),"x","")</f>
        <v/>
      </c>
      <c r="AC761" s="225"/>
    </row>
    <row r="762" spans="1:29" s="739" customFormat="1" ht="15.75" customHeight="1">
      <c r="A762" s="218" t="str">
        <f>IF(B762&lt;&gt;"",IF(AND(B762&gt;=_TM1,B762&lt;=_TM2,OR(TH!L762="1111",TH!M762="1111")),TH!D762,""),"")</f>
        <v/>
      </c>
      <c r="B762" s="36" t="str">
        <f t="shared" si="37"/>
        <v/>
      </c>
      <c r="C762" s="37"/>
      <c r="D762" s="204"/>
      <c r="E762" s="194"/>
      <c r="F762" s="202"/>
      <c r="G762" s="623"/>
      <c r="H762" s="7"/>
      <c r="I762" s="276"/>
      <c r="J762" s="276"/>
      <c r="K762" s="748"/>
      <c r="L762" s="935"/>
      <c r="M762" s="749"/>
      <c r="N762" s="39" t="str">
        <f>IF(AND('331-CT'!$E$7=TH!H762,OR(L762="331",M762="331")),"x","")</f>
        <v/>
      </c>
      <c r="O762" s="39" t="str">
        <f>IF(AND($B762&gt;='111'!$N$11,$B762&lt;='111'!$O$11,OR($L762=$O$7,$M762=$O$7)),"x","")</f>
        <v/>
      </c>
      <c r="P762" s="39" t="str">
        <f>IF(AND($L762=$O$7,$B762&lt;'111'!$N$11),"x","")</f>
        <v/>
      </c>
      <c r="Q762" s="39" t="str">
        <f>IF(AND($M762=$O$7,$B762&lt;'111'!$N$11),"x","")</f>
        <v/>
      </c>
      <c r="R762" s="39" t="str">
        <f>IF(ISERROR(FIND('112'!$M$9,G762,1)),"",IF((AND(FIND('112'!$M$9,G762,1)&gt;=1,$B762&gt;='112'!$N$8,$B762&lt;='112'!$O$8,OR($L762='112'!$I$6,$M762='112'!$I$6))),"x",""))</f>
        <v/>
      </c>
      <c r="S762" s="39" t="str">
        <f>IF(ISERROR(FIND('112'!$M$9,G762,1)),"",IF((AND(LEFT(G762,2)=LEFT('112'!$M$9,2),B762&lt;'112'!$N$8,$L762='112'!$I$6)),"x",""))</f>
        <v/>
      </c>
      <c r="T762" s="39" t="str">
        <f>IF(ISERROR(FIND('112'!$M$9,G762,1)),"",IF((AND(RIGHT(G762,2)=RIGHT('112'!$M$9,2),B762&lt;'112'!$N$8,$M762='112'!$I$6)),"x",""))</f>
        <v/>
      </c>
      <c r="U762" s="39" t="str">
        <f>IF(AND('3411-CT'!$F$9=H762,OR(LEFT(L762,3)=$U$7,LEFT(M762,3)=$U$7)),"x","")</f>
        <v/>
      </c>
      <c r="V762" s="39" t="str">
        <f>IF(OR(TH!L762=TH!$V$7,M762=TH!$V$7),"x","")</f>
        <v/>
      </c>
      <c r="W762" s="39" t="str">
        <f>IF(AND(OR(L762="131",M762="131"),H762='131-CT'!$E$7),"x","")</f>
        <v/>
      </c>
      <c r="X762" s="39" t="str">
        <f>IF(AND(B762&gt;='IN-NX'!$P$3,B762&lt;='IN-NX'!$Q$3,'IN-NX'!$D$7=D762,OR(LEFT(TH!L762,2)="15",LEFT(TH!M762,2)="15")),"x","")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  <c r="AA762" s="39" t="str">
        <f>IF(AND(B762&lt;=NKC!$N$8,B762&gt;=NKC!$M$8),"x","")</f>
        <v/>
      </c>
    </row>
    <row r="763" spans="1:29" s="739" customFormat="1" ht="15.75" customHeight="1">
      <c r="A763" s="218" t="str">
        <f>IF(B763&lt;&gt;"",IF(AND(B763&gt;=_TM1,B763&lt;=_TM2,OR(TH!L763="1111",TH!M763="1111")),TH!D763,""),"")</f>
        <v/>
      </c>
      <c r="B763" s="36" t="str">
        <f t="shared" si="37"/>
        <v/>
      </c>
      <c r="C763" s="37"/>
      <c r="D763" s="204"/>
      <c r="E763" s="194"/>
      <c r="F763" s="202"/>
      <c r="G763" s="202"/>
      <c r="H763" s="7"/>
      <c r="I763" s="276"/>
      <c r="J763" s="276"/>
      <c r="K763" s="748"/>
      <c r="L763" s="749"/>
      <c r="M763" s="749"/>
      <c r="N763" s="39" t="str">
        <f>IF(AND('331-CT'!$E$7=TH!H763,OR(L763="331",M763="331")),"x","")</f>
        <v/>
      </c>
      <c r="O763" s="39" t="str">
        <f>IF(AND($B763&gt;='111'!$N$11,$B763&lt;='111'!$O$11,OR($L763=$O$7,$M763=$O$7)),"x","")</f>
        <v/>
      </c>
      <c r="P763" s="39" t="str">
        <f>IF(AND($L763=$O$7,$B763&lt;'111'!$N$11),"x","")</f>
        <v/>
      </c>
      <c r="Q763" s="39" t="str">
        <f>IF(AND($M763=$O$7,$B763&lt;'111'!$N$11),"x","")</f>
        <v/>
      </c>
      <c r="R763" s="39" t="str">
        <f>IF(ISERROR(FIND('112'!$M$9,G763,1)),"",IF((AND(FIND('112'!$M$9,G763,1)&gt;=1,$B763&gt;='112'!$N$8,$B763&lt;='112'!$O$8,OR($L763='112'!$I$6,$M763='112'!$I$6))),"x",""))</f>
        <v/>
      </c>
      <c r="S763" s="39" t="str">
        <f>IF(ISERROR(FIND('112'!$M$9,G763,1)),"",IF((AND(LEFT(G763,2)=LEFT('112'!$M$9,2),B763&lt;'112'!$N$8,$L763='112'!$I$6)),"x",""))</f>
        <v/>
      </c>
      <c r="T763" s="39" t="str">
        <f>IF(ISERROR(FIND('112'!$M$9,G763,1)),"",IF((AND(RIGHT(G763,2)=RIGHT('112'!$M$9,2),B763&lt;'112'!$N$8,$M763='112'!$I$6)),"x",""))</f>
        <v/>
      </c>
      <c r="U763" s="39" t="str">
        <f>IF(AND('3411-CT'!$F$9=H763,OR(LEFT(L763,3)=$U$7,LEFT(M763,3)=$U$7)),"x","")</f>
        <v/>
      </c>
      <c r="V763" s="39" t="str">
        <f>IF(OR(TH!L763=TH!$V$7,M763=TH!$V$7),"x","")</f>
        <v/>
      </c>
      <c r="W763" s="39" t="str">
        <f>IF(AND(OR(L763="131",M763="131"),H763='131-CT'!$E$7),"x","")</f>
        <v/>
      </c>
      <c r="X763" s="39" t="str">
        <f>IF(AND(B763&gt;='IN-NX'!$P$3,B763&lt;='IN-NX'!$Q$3,'IN-NX'!$D$7=D763,OR(LEFT(TH!L763,2)="15",LEFT(TH!M763,2)="15")),"x","")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  <c r="AA763" s="39" t="str">
        <f>IF(AND(B763&lt;=NKC!$N$8,B763&gt;=NKC!$M$8),"x","")</f>
        <v/>
      </c>
      <c r="AC763" s="225"/>
    </row>
    <row r="764" spans="1:29" s="739" customFormat="1" ht="15.75" customHeight="1">
      <c r="A764" s="218" t="str">
        <f>IF(B764&lt;&gt;"",IF(AND(B764&gt;=_TM1,B764&lt;=_TM2,OR(TH!L764="1111",TH!M764="1111")),TH!D764,""),"")</f>
        <v/>
      </c>
      <c r="B764" s="36" t="str">
        <f t="shared" si="37"/>
        <v/>
      </c>
      <c r="C764" s="37"/>
      <c r="D764" s="204"/>
      <c r="E764" s="194"/>
      <c r="F764" s="202"/>
      <c r="G764" s="623"/>
      <c r="H764" s="7"/>
      <c r="I764" s="276"/>
      <c r="J764" s="276"/>
      <c r="K764" s="748"/>
      <c r="L764" s="935"/>
      <c r="M764" s="749"/>
      <c r="N764" s="39" t="str">
        <f>IF(AND('331-CT'!$E$7=TH!H764,OR(L764="331",M764="331")),"x","")</f>
        <v/>
      </c>
      <c r="O764" s="39" t="str">
        <f>IF(AND($B764&gt;='111'!$N$11,$B764&lt;='111'!$O$11,OR($L764=$O$7,$M764=$O$7)),"x","")</f>
        <v/>
      </c>
      <c r="P764" s="39" t="str">
        <f>IF(AND($L764=$O$7,$B764&lt;'111'!$N$11),"x","")</f>
        <v/>
      </c>
      <c r="Q764" s="39" t="str">
        <f>IF(AND($M764=$O$7,$B764&lt;'111'!$N$11),"x","")</f>
        <v/>
      </c>
      <c r="R764" s="39" t="str">
        <f>IF(ISERROR(FIND('112'!$M$9,G764,1)),"",IF((AND(FIND('112'!$M$9,G764,1)&gt;=1,$B764&gt;='112'!$N$8,$B764&lt;='112'!$O$8,OR($L764='112'!$I$6,$M764='112'!$I$6))),"x",""))</f>
        <v/>
      </c>
      <c r="S764" s="39" t="str">
        <f>IF(ISERROR(FIND('112'!$M$9,G764,1)),"",IF((AND(LEFT(G764,2)=LEFT('112'!$M$9,2),B764&lt;'112'!$N$8,$L764='112'!$I$6)),"x",""))</f>
        <v/>
      </c>
      <c r="T764" s="39" t="str">
        <f>IF(ISERROR(FIND('112'!$M$9,G764,1)),"",IF((AND(RIGHT(G764,2)=RIGHT('112'!$M$9,2),B764&lt;'112'!$N$8,$M764='112'!$I$6)),"x",""))</f>
        <v/>
      </c>
      <c r="U764" s="39" t="str">
        <f>IF(AND('3411-CT'!$F$9=H764,OR(LEFT(L764,3)=$U$7,LEFT(M764,3)=$U$7)),"x","")</f>
        <v/>
      </c>
      <c r="V764" s="39" t="str">
        <f>IF(OR(TH!L764=TH!$V$7,M764=TH!$V$7),"x","")</f>
        <v/>
      </c>
      <c r="W764" s="39" t="str">
        <f>IF(AND(OR(L764="131",M764="131"),H764='131-CT'!$E$7),"x","")</f>
        <v/>
      </c>
      <c r="X764" s="39" t="str">
        <f>IF(AND(B764&gt;='IN-NX'!$P$3,B764&lt;='IN-NX'!$Q$3,'IN-NX'!$D$7=D764,OR(LEFT(TH!L764,2)="15",LEFT(TH!M764,2)="15")),"x","")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  <c r="AA764" s="39" t="str">
        <f>IF(AND(B764&lt;=NKC!$N$8,B764&gt;=NKC!$M$8),"x","")</f>
        <v/>
      </c>
      <c r="AC764" s="225"/>
    </row>
    <row r="765" spans="1:29" s="739" customFormat="1" ht="15.75" customHeight="1">
      <c r="A765" s="218" t="str">
        <f>IF(B765&lt;&gt;"",IF(AND(B765&gt;=_TM1,B765&lt;=_TM2,OR(TH!L765="1111",TH!M765="1111")),TH!D765,""),"")</f>
        <v/>
      </c>
      <c r="B765" s="36" t="str">
        <f t="shared" si="37"/>
        <v/>
      </c>
      <c r="C765" s="37"/>
      <c r="D765" s="204"/>
      <c r="E765" s="194"/>
      <c r="F765" s="202"/>
      <c r="G765" s="202"/>
      <c r="H765" s="7"/>
      <c r="I765" s="276"/>
      <c r="J765" s="276"/>
      <c r="K765" s="748"/>
      <c r="L765" s="935"/>
      <c r="M765" s="749"/>
      <c r="N765" s="39" t="str">
        <f>IF(AND('331-CT'!$E$7=TH!H765,OR(L765="331",M765="331")),"x","")</f>
        <v/>
      </c>
      <c r="O765" s="39" t="str">
        <f>IF(AND($B765&gt;='111'!$N$11,$B765&lt;='111'!$O$11,OR($L765=$O$7,$M765=$O$7)),"x","")</f>
        <v/>
      </c>
      <c r="P765" s="39" t="str">
        <f>IF(AND($L765=$O$7,$B765&lt;'111'!$N$11),"x","")</f>
        <v/>
      </c>
      <c r="Q765" s="39" t="str">
        <f>IF(AND($M765=$O$7,$B765&lt;'111'!$N$11),"x","")</f>
        <v/>
      </c>
      <c r="R765" s="39" t="str">
        <f>IF(ISERROR(FIND('112'!$M$9,G765,1)),"",IF((AND(FIND('112'!$M$9,G765,1)&gt;=1,$B765&gt;='112'!$N$8,$B765&lt;='112'!$O$8,OR($L765='112'!$I$6,$M765='112'!$I$6))),"x",""))</f>
        <v/>
      </c>
      <c r="S765" s="39" t="str">
        <f>IF(ISERROR(FIND('112'!$M$9,G765,1)),"",IF((AND(LEFT(G765,2)=LEFT('112'!$M$9,2),B765&lt;'112'!$N$8,$L765='112'!$I$6)),"x",""))</f>
        <v/>
      </c>
      <c r="T765" s="39" t="str">
        <f>IF(ISERROR(FIND('112'!$M$9,G765,1)),"",IF((AND(RIGHT(G765,2)=RIGHT('112'!$M$9,2),B765&lt;'112'!$N$8,$M765='112'!$I$6)),"x",""))</f>
        <v/>
      </c>
      <c r="U765" s="39" t="str">
        <f>IF(AND('3411-CT'!$F$9=H765,OR(LEFT(L765,3)=$U$7,LEFT(M765,3)=$U$7)),"x","")</f>
        <v/>
      </c>
      <c r="V765" s="39" t="str">
        <f>IF(OR(TH!L765=TH!$V$7,M765=TH!$V$7),"x","")</f>
        <v/>
      </c>
      <c r="W765" s="39" t="str">
        <f>IF(AND(OR(L765="131",M765="131"),H765='131-CT'!$E$7),"x","")</f>
        <v/>
      </c>
      <c r="X765" s="39" t="str">
        <f>IF(AND(B765&gt;='IN-NX'!$P$3,B765&lt;='IN-NX'!$Q$3,'IN-NX'!$D$7=D765,OR(LEFT(TH!L765,2)="15",LEFT(TH!M765,2)="15")),"x","")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  <c r="AA765" s="39" t="str">
        <f>IF(AND(B765&lt;=NKC!$N$8,B765&gt;=NKC!$M$8),"x","")</f>
        <v/>
      </c>
      <c r="AC765" s="225"/>
    </row>
    <row r="766" spans="1:29" s="739" customFormat="1" ht="15.75" customHeight="1">
      <c r="A766" s="218" t="str">
        <f>IF(B766&lt;&gt;"",IF(AND(B766&gt;=_TM1,B766&lt;=_TM2,OR(TH!L766="1111",TH!M766="1111")),TH!D766,""),"")</f>
        <v/>
      </c>
      <c r="B766" s="36" t="str">
        <f t="shared" si="37"/>
        <v/>
      </c>
      <c r="C766" s="37"/>
      <c r="D766" s="204"/>
      <c r="E766" s="194"/>
      <c r="F766" s="202"/>
      <c r="G766" s="623"/>
      <c r="H766" s="7"/>
      <c r="I766" s="276"/>
      <c r="J766" s="276"/>
      <c r="K766" s="748"/>
      <c r="L766" s="935"/>
      <c r="M766" s="749"/>
      <c r="N766" s="39" t="str">
        <f>IF(AND('331-CT'!$E$7=TH!H766,OR(L766="331",M766="331")),"x","")</f>
        <v/>
      </c>
      <c r="O766" s="39" t="str">
        <f>IF(AND($B766&gt;='111'!$N$11,$B766&lt;='111'!$O$11,OR($L766=$O$7,$M766=$O$7)),"x","")</f>
        <v/>
      </c>
      <c r="P766" s="39" t="str">
        <f>IF(AND($L766=$O$7,$B766&lt;'111'!$N$11),"x","")</f>
        <v/>
      </c>
      <c r="Q766" s="39" t="str">
        <f>IF(AND($M766=$O$7,$B766&lt;'111'!$N$11),"x","")</f>
        <v/>
      </c>
      <c r="R766" s="39" t="str">
        <f>IF(ISERROR(FIND('112'!$M$9,G766,1)),"",IF((AND(FIND('112'!$M$9,G766,1)&gt;=1,$B766&gt;='112'!$N$8,$B766&lt;='112'!$O$8,OR($L766='112'!$I$6,$M766='112'!$I$6))),"x",""))</f>
        <v/>
      </c>
      <c r="S766" s="39" t="str">
        <f>IF(ISERROR(FIND('112'!$M$9,G766,1)),"",IF((AND(LEFT(G766,2)=LEFT('112'!$M$9,2),B766&lt;'112'!$N$8,$L766='112'!$I$6)),"x",""))</f>
        <v/>
      </c>
      <c r="T766" s="39" t="str">
        <f>IF(ISERROR(FIND('112'!$M$9,G766,1)),"",IF((AND(RIGHT(G766,2)=RIGHT('112'!$M$9,2),B766&lt;'112'!$N$8,$M766='112'!$I$6)),"x",""))</f>
        <v/>
      </c>
      <c r="U766" s="39" t="str">
        <f>IF(AND('3411-CT'!$F$9=H766,OR(LEFT(L766,3)=$U$7,LEFT(M766,3)=$U$7)),"x","")</f>
        <v/>
      </c>
      <c r="V766" s="39" t="str">
        <f>IF(OR(TH!L766=TH!$V$7,M766=TH!$V$7),"x","")</f>
        <v/>
      </c>
      <c r="W766" s="39" t="str">
        <f>IF(AND(OR(L766="131",M766="131"),H766='131-CT'!$E$7),"x","")</f>
        <v/>
      </c>
      <c r="X766" s="39" t="str">
        <f>IF(AND(B766&gt;='IN-NX'!$P$3,B766&lt;='IN-NX'!$Q$3,'IN-NX'!$D$7=D766,OR(LEFT(TH!L766,2)="15",LEFT(TH!M766,2)="15")),"x","")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  <c r="AA766" s="39" t="str">
        <f>IF(AND(B766&lt;=NKC!$N$8,B766&gt;=NKC!$M$8),"x","")</f>
        <v/>
      </c>
    </row>
    <row r="767" spans="1:29" s="739" customFormat="1" ht="15.75" customHeight="1">
      <c r="A767" s="218" t="str">
        <f>IF(B767&lt;&gt;"",IF(AND(B767&gt;=_TM1,B767&lt;=_TM2,OR(TH!L767="1111",TH!M767="1111")),TH!D767,""),"")</f>
        <v/>
      </c>
      <c r="B767" s="36" t="str">
        <f t="shared" si="37"/>
        <v/>
      </c>
      <c r="C767" s="37"/>
      <c r="D767" s="204"/>
      <c r="E767" s="194"/>
      <c r="F767" s="202"/>
      <c r="G767" s="202"/>
      <c r="H767" s="7"/>
      <c r="I767" s="276"/>
      <c r="J767" s="276"/>
      <c r="K767" s="748"/>
      <c r="L767" s="935"/>
      <c r="M767" s="749"/>
      <c r="N767" s="39" t="str">
        <f>IF(AND('331-CT'!$E$7=TH!H767,OR(L767="331",M767="331")),"x","")</f>
        <v/>
      </c>
      <c r="O767" s="39" t="str">
        <f>IF(AND($B767&gt;='111'!$N$11,$B767&lt;='111'!$O$11,OR($L767=$O$7,$M767=$O$7)),"x","")</f>
        <v/>
      </c>
      <c r="P767" s="39" t="str">
        <f>IF(AND($L767=$O$7,$B767&lt;'111'!$N$11),"x","")</f>
        <v/>
      </c>
      <c r="Q767" s="39" t="str">
        <f>IF(AND($M767=$O$7,$B767&lt;'111'!$N$11),"x","")</f>
        <v/>
      </c>
      <c r="R767" s="39" t="str">
        <f>IF(ISERROR(FIND('112'!$M$9,G767,1)),"",IF((AND(FIND('112'!$M$9,G767,1)&gt;=1,$B767&gt;='112'!$N$8,$B767&lt;='112'!$O$8,OR($L767='112'!$I$6,$M767='112'!$I$6))),"x",""))</f>
        <v/>
      </c>
      <c r="S767" s="39" t="str">
        <f>IF(ISERROR(FIND('112'!$M$9,G767,1)),"",IF((AND(LEFT(G767,2)=LEFT('112'!$M$9,2),B767&lt;'112'!$N$8,$L767='112'!$I$6)),"x",""))</f>
        <v/>
      </c>
      <c r="T767" s="39" t="str">
        <f>IF(ISERROR(FIND('112'!$M$9,G767,1)),"",IF((AND(RIGHT(G767,2)=RIGHT('112'!$M$9,2),B767&lt;'112'!$N$8,$M767='112'!$I$6)),"x",""))</f>
        <v/>
      </c>
      <c r="U767" s="39" t="str">
        <f>IF(AND('3411-CT'!$F$9=H767,OR(LEFT(L767,3)=$U$7,LEFT(M767,3)=$U$7)),"x","")</f>
        <v/>
      </c>
      <c r="V767" s="39" t="str">
        <f>IF(OR(TH!L767=TH!$V$7,M767=TH!$V$7),"x","")</f>
        <v/>
      </c>
      <c r="W767" s="39" t="str">
        <f>IF(AND(OR(L767="131",M767="131"),H767='131-CT'!$E$7),"x","")</f>
        <v/>
      </c>
      <c r="X767" s="39" t="str">
        <f>IF(AND(B767&gt;='IN-NX'!$P$3,B767&lt;='IN-NX'!$Q$3,'IN-NX'!$D$7=D767,OR(LEFT(TH!L767,2)="15",LEFT(TH!M767,2)="15")),"x","")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  <c r="AA767" s="39" t="str">
        <f>IF(AND(B767&lt;=NKC!$N$8,B767&gt;=NKC!$M$8),"x","")</f>
        <v/>
      </c>
      <c r="AC767" s="225"/>
    </row>
    <row r="768" spans="1:29" s="739" customFormat="1" ht="15.75" customHeight="1">
      <c r="A768" s="218" t="str">
        <f>IF(B768&lt;&gt;"",IF(AND(B768&gt;=_TM1,B768&lt;=_TM2,OR(TH!L768="1111",TH!M768="1111")),TH!D768,""),"")</f>
        <v/>
      </c>
      <c r="B768" s="36" t="str">
        <f t="shared" si="37"/>
        <v/>
      </c>
      <c r="C768" s="37"/>
      <c r="D768" s="204"/>
      <c r="E768" s="194"/>
      <c r="F768" s="202"/>
      <c r="G768" s="623"/>
      <c r="H768" s="7"/>
      <c r="I768" s="276"/>
      <c r="J768" s="276"/>
      <c r="K768" s="748"/>
      <c r="L768" s="935"/>
      <c r="M768" s="749"/>
      <c r="N768" s="39" t="str">
        <f>IF(AND('331-CT'!$E$7=TH!H768,OR(L768="331",M768="331")),"x","")</f>
        <v/>
      </c>
      <c r="O768" s="39" t="str">
        <f>IF(AND($B768&gt;='111'!$N$11,$B768&lt;='111'!$O$11,OR($L768=$O$7,$M768=$O$7)),"x","")</f>
        <v/>
      </c>
      <c r="P768" s="39" t="str">
        <f>IF(AND($L768=$O$7,$B768&lt;'111'!$N$11),"x","")</f>
        <v/>
      </c>
      <c r="Q768" s="39" t="str">
        <f>IF(AND($M768=$O$7,$B768&lt;'111'!$N$11),"x","")</f>
        <v/>
      </c>
      <c r="R768" s="39" t="str">
        <f>IF(ISERROR(FIND('112'!$M$9,G768,1)),"",IF((AND(FIND('112'!$M$9,G768,1)&gt;=1,$B768&gt;='112'!$N$8,$B768&lt;='112'!$O$8,OR($L768='112'!$I$6,$M768='112'!$I$6))),"x",""))</f>
        <v/>
      </c>
      <c r="S768" s="39" t="str">
        <f>IF(ISERROR(FIND('112'!$M$9,G768,1)),"",IF((AND(LEFT(G768,2)=LEFT('112'!$M$9,2),B768&lt;'112'!$N$8,$L768='112'!$I$6)),"x",""))</f>
        <v/>
      </c>
      <c r="T768" s="39" t="str">
        <f>IF(ISERROR(FIND('112'!$M$9,G768,1)),"",IF((AND(RIGHT(G768,2)=RIGHT('112'!$M$9,2),B768&lt;'112'!$N$8,$M768='112'!$I$6)),"x",""))</f>
        <v/>
      </c>
      <c r="U768" s="39" t="str">
        <f>IF(AND('3411-CT'!$F$9=H768,OR(LEFT(L768,3)=$U$7,LEFT(M768,3)=$U$7)),"x","")</f>
        <v/>
      </c>
      <c r="V768" s="39" t="str">
        <f>IF(OR(TH!L768=TH!$V$7,M768=TH!$V$7),"x","")</f>
        <v/>
      </c>
      <c r="W768" s="39" t="str">
        <f>IF(AND(OR(L768="131",M768="131"),H768='131-CT'!$E$7),"x","")</f>
        <v/>
      </c>
      <c r="X768" s="39" t="str">
        <f>IF(AND(B768&gt;='IN-NX'!$P$3,B768&lt;='IN-NX'!$Q$3,'IN-NX'!$D$7=D768,OR(LEFT(TH!L768,2)="15",LEFT(TH!M768,2)="15")),"x","")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  <c r="AA768" s="39" t="str">
        <f>IF(AND(B768&lt;=NKC!$N$8,B768&gt;=NKC!$M$8),"x","")</f>
        <v/>
      </c>
      <c r="AC768" s="225"/>
    </row>
    <row r="769" spans="1:29" s="739" customFormat="1" ht="15.75" customHeight="1">
      <c r="A769" s="218" t="str">
        <f>IF(B769&lt;&gt;"",IF(AND(B769&gt;=_TM1,B769&lt;=_TM2,OR(TH!L769="1111",TH!M769="1111")),TH!D769,""),"")</f>
        <v/>
      </c>
      <c r="B769" s="36" t="str">
        <f t="shared" si="37"/>
        <v/>
      </c>
      <c r="C769" s="37"/>
      <c r="D769" s="204"/>
      <c r="E769" s="194"/>
      <c r="F769" s="202"/>
      <c r="G769" s="202"/>
      <c r="H769" s="7"/>
      <c r="I769" s="276"/>
      <c r="J769" s="276"/>
      <c r="K769" s="748"/>
      <c r="L769" s="935"/>
      <c r="M769" s="749"/>
      <c r="N769" s="39" t="str">
        <f>IF(AND('331-CT'!$E$7=TH!H769,OR(L769="331",M769="331")),"x","")</f>
        <v/>
      </c>
      <c r="O769" s="39" t="str">
        <f>IF(AND($B769&gt;='111'!$N$11,$B769&lt;='111'!$O$11,OR($L769=$O$7,$M769=$O$7)),"x","")</f>
        <v/>
      </c>
      <c r="P769" s="39" t="str">
        <f>IF(AND($L769=$O$7,$B769&lt;'111'!$N$11),"x","")</f>
        <v/>
      </c>
      <c r="Q769" s="39" t="str">
        <f>IF(AND($M769=$O$7,$B769&lt;'111'!$N$11),"x","")</f>
        <v/>
      </c>
      <c r="R769" s="39" t="str">
        <f>IF(ISERROR(FIND('112'!$M$9,G769,1)),"",IF((AND(FIND('112'!$M$9,G769,1)&gt;=1,$B769&gt;='112'!$N$8,$B769&lt;='112'!$O$8,OR($L769='112'!$I$6,$M769='112'!$I$6))),"x",""))</f>
        <v/>
      </c>
      <c r="S769" s="39" t="str">
        <f>IF(ISERROR(FIND('112'!$M$9,G769,1)),"",IF((AND(LEFT(G769,2)=LEFT('112'!$M$9,2),B769&lt;'112'!$N$8,$L769='112'!$I$6)),"x",""))</f>
        <v/>
      </c>
      <c r="T769" s="39" t="str">
        <f>IF(ISERROR(FIND('112'!$M$9,G769,1)),"",IF((AND(RIGHT(G769,2)=RIGHT('112'!$M$9,2),B769&lt;'112'!$N$8,$M769='112'!$I$6)),"x",""))</f>
        <v/>
      </c>
      <c r="U769" s="39" t="str">
        <f>IF(AND('3411-CT'!$F$9=H769,OR(LEFT(L769,3)=$U$7,LEFT(M769,3)=$U$7)),"x","")</f>
        <v/>
      </c>
      <c r="V769" s="39" t="str">
        <f>IF(OR(TH!L769=TH!$V$7,M769=TH!$V$7),"x","")</f>
        <v/>
      </c>
      <c r="W769" s="39" t="str">
        <f>IF(AND(OR(L769="131",M769="131"),H769='131-CT'!$E$7),"x","")</f>
        <v/>
      </c>
      <c r="X769" s="39" t="str">
        <f>IF(AND(B769&gt;='IN-NX'!$P$3,B769&lt;='IN-NX'!$Q$3,'IN-NX'!$D$7=D769,OR(LEFT(TH!L769,2)="15",LEFT(TH!M769,2)="15")),"x","")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  <c r="AA769" s="39" t="str">
        <f>IF(AND(B769&lt;=NKC!$N$8,B769&gt;=NKC!$M$8),"x","")</f>
        <v/>
      </c>
      <c r="AC769" s="225"/>
    </row>
    <row r="770" spans="1:29" s="739" customFormat="1" ht="15.75" customHeight="1">
      <c r="A770" s="218" t="str">
        <f>IF(B770&lt;&gt;"",IF(AND(B770&gt;=_TM1,B770&lt;=_TM2,OR(TH!L770="1111",TH!M770="1111")),TH!D770,""),"")</f>
        <v/>
      </c>
      <c r="B770" s="36" t="str">
        <f t="shared" si="37"/>
        <v/>
      </c>
      <c r="C770" s="37"/>
      <c r="D770" s="204"/>
      <c r="E770" s="194"/>
      <c r="F770" s="202"/>
      <c r="G770" s="623"/>
      <c r="H770" s="7"/>
      <c r="I770" s="276"/>
      <c r="J770" s="276"/>
      <c r="K770" s="748"/>
      <c r="L770" s="935"/>
      <c r="M770" s="749"/>
      <c r="N770" s="39" t="str">
        <f>IF(AND('331-CT'!$E$7=TH!H770,OR(L770="331",M770="331")),"x","")</f>
        <v/>
      </c>
      <c r="O770" s="39" t="str">
        <f>IF(AND($B770&gt;='111'!$N$11,$B770&lt;='111'!$O$11,OR($L770=$O$7,$M770=$O$7)),"x","")</f>
        <v/>
      </c>
      <c r="P770" s="39" t="str">
        <f>IF(AND($L770=$O$7,$B770&lt;'111'!$N$11),"x","")</f>
        <v/>
      </c>
      <c r="Q770" s="39" t="str">
        <f>IF(AND($M770=$O$7,$B770&lt;'111'!$N$11),"x","")</f>
        <v/>
      </c>
      <c r="R770" s="39" t="str">
        <f>IF(ISERROR(FIND('112'!$M$9,G770,1)),"",IF((AND(FIND('112'!$M$9,G770,1)&gt;=1,$B770&gt;='112'!$N$8,$B770&lt;='112'!$O$8,OR($L770='112'!$I$6,$M770='112'!$I$6))),"x",""))</f>
        <v/>
      </c>
      <c r="S770" s="39" t="str">
        <f>IF(ISERROR(FIND('112'!$M$9,G770,1)),"",IF((AND(LEFT(G770,2)=LEFT('112'!$M$9,2),B770&lt;'112'!$N$8,$L770='112'!$I$6)),"x",""))</f>
        <v/>
      </c>
      <c r="T770" s="39" t="str">
        <f>IF(ISERROR(FIND('112'!$M$9,G770,1)),"",IF((AND(RIGHT(G770,2)=RIGHT('112'!$M$9,2),B770&lt;'112'!$N$8,$M770='112'!$I$6)),"x",""))</f>
        <v/>
      </c>
      <c r="U770" s="39" t="str">
        <f>IF(AND('3411-CT'!$F$9=H770,OR(LEFT(L770,3)=$U$7,LEFT(M770,3)=$U$7)),"x","")</f>
        <v/>
      </c>
      <c r="V770" s="39" t="str">
        <f>IF(OR(TH!L770=TH!$V$7,M770=TH!$V$7),"x","")</f>
        <v/>
      </c>
      <c r="W770" s="39" t="str">
        <f>IF(AND(OR(L770="131",M770="131"),H770='131-CT'!$E$7),"x","")</f>
        <v/>
      </c>
      <c r="X770" s="39" t="str">
        <f>IF(AND(B770&gt;='IN-NX'!$P$3,B770&lt;='IN-NX'!$Q$3,'IN-NX'!$D$7=D770,OR(LEFT(TH!L770,2)="15",LEFT(TH!M770,2)="15")),"x","")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  <c r="AA770" s="39" t="str">
        <f>IF(AND(B770&lt;=NKC!$N$8,B770&gt;=NKC!$M$8),"x","")</f>
        <v/>
      </c>
    </row>
    <row r="771" spans="1:29" s="739" customFormat="1" ht="15.75" customHeight="1">
      <c r="A771" s="218" t="str">
        <f>IF(B771&lt;&gt;"",IF(AND(B771&gt;=_TM1,B771&lt;=_TM2,OR(TH!L771="1111",TH!M771="1111")),TH!D771,""),"")</f>
        <v/>
      </c>
      <c r="B771" s="36" t="str">
        <f t="shared" si="37"/>
        <v/>
      </c>
      <c r="C771" s="37"/>
      <c r="D771" s="194"/>
      <c r="E771" s="194"/>
      <c r="F771" s="202"/>
      <c r="G771" s="202"/>
      <c r="H771" s="206"/>
      <c r="I771" s="276"/>
      <c r="J771" s="276"/>
      <c r="K771" s="748"/>
      <c r="L771" s="935"/>
      <c r="M771" s="935"/>
      <c r="N771" s="39" t="str">
        <f>IF(AND('331-CT'!$E$7=TH!H771,OR(L771="331",M771="331")),"x","")</f>
        <v/>
      </c>
      <c r="O771" s="39" t="str">
        <f>IF(AND($B771&gt;='111'!$N$11,$B771&lt;='111'!$O$11,OR($L771=$O$7,$M771=$O$7)),"x","")</f>
        <v/>
      </c>
      <c r="P771" s="39" t="str">
        <f>IF(AND($L771=$O$7,$B771&lt;'111'!$N$11),"x","")</f>
        <v/>
      </c>
      <c r="Q771" s="39" t="str">
        <f>IF(AND($M771=$O$7,$B771&lt;'111'!$N$11),"x","")</f>
        <v/>
      </c>
      <c r="R771" s="39" t="str">
        <f>IF(ISERROR(FIND('112'!$M$9,G771,1)),"",IF((AND(FIND('112'!$M$9,G771,1)&gt;=1,$B771&gt;='112'!$N$8,$B771&lt;='112'!$O$8,OR($L771='112'!$I$6,$M771='112'!$I$6))),"x",""))</f>
        <v/>
      </c>
      <c r="S771" s="39" t="str">
        <f>IF(ISERROR(FIND('112'!$M$9,G771,1)),"",IF((AND(LEFT(G771,2)=LEFT('112'!$M$9,2),B771&lt;'112'!$N$8,$L771='112'!$I$6)),"x",""))</f>
        <v/>
      </c>
      <c r="T771" s="39" t="str">
        <f>IF(ISERROR(FIND('112'!$M$9,G771,1)),"",IF((AND(RIGHT(G771,2)=RIGHT('112'!$M$9,2),B771&lt;'112'!$N$8,$M771='112'!$I$6)),"x",""))</f>
        <v/>
      </c>
      <c r="U771" s="39" t="str">
        <f>IF(AND('3411-CT'!$F$9=H771,OR(LEFT(L771,3)=$U$7,LEFT(M771,3)=$U$7)),"x","")</f>
        <v/>
      </c>
      <c r="V771" s="39" t="str">
        <f>IF(OR(TH!L771=TH!$V$7,M771=TH!$V$7),"x","")</f>
        <v/>
      </c>
      <c r="W771" s="39" t="str">
        <f>IF(AND(OR(L771="131",M771="131"),H771='131-CT'!$E$7),"x","")</f>
        <v/>
      </c>
      <c r="X771" s="39" t="str">
        <f>IF(AND(B771&gt;='IN-NX'!$P$3,B771&lt;='IN-NX'!$Q$3,'IN-NX'!$D$7=D771,OR(LEFT(TH!L771,2)="15",LEFT(TH!M771,2)="15")),"x","")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  <c r="AA771" s="39" t="str">
        <f>IF(AND(B771&lt;=NKC!$N$8,B771&gt;=NKC!$M$8),"x","")</f>
        <v/>
      </c>
    </row>
    <row r="772" spans="1:29" s="739" customFormat="1" ht="15.75" customHeight="1">
      <c r="A772" s="218" t="str">
        <f>IF(B772&lt;&gt;"",IF(AND(B772&gt;=_TM1,B772&lt;=_TM2,OR(TH!L772="1111",TH!M772="1111")),TH!D772,""),"")</f>
        <v/>
      </c>
      <c r="B772" s="36" t="str">
        <f t="shared" si="37"/>
        <v/>
      </c>
      <c r="C772" s="37"/>
      <c r="D772" s="194"/>
      <c r="E772" s="194"/>
      <c r="F772" s="202"/>
      <c r="G772" s="623"/>
      <c r="H772" s="206"/>
      <c r="I772" s="276"/>
      <c r="J772" s="276"/>
      <c r="K772" s="748"/>
      <c r="L772" s="935"/>
      <c r="M772" s="935"/>
      <c r="N772" s="39" t="str">
        <f>IF(AND('331-CT'!$E$7=TH!H772,OR(L772="331",M772="331")),"x","")</f>
        <v/>
      </c>
      <c r="O772" s="39" t="str">
        <f>IF(AND($B772&gt;='111'!$N$11,$B772&lt;='111'!$O$11,OR($L772=$O$7,$M772=$O$7)),"x","")</f>
        <v/>
      </c>
      <c r="P772" s="39" t="str">
        <f>IF(AND($L772=$O$7,$B772&lt;'111'!$N$11),"x","")</f>
        <v/>
      </c>
      <c r="Q772" s="39" t="str">
        <f>IF(AND($M772=$O$7,$B772&lt;'111'!$N$11),"x","")</f>
        <v/>
      </c>
      <c r="R772" s="39" t="str">
        <f>IF(ISERROR(FIND('112'!$M$9,G772,1)),"",IF((AND(FIND('112'!$M$9,G772,1)&gt;=1,$B772&gt;='112'!$N$8,$B772&lt;='112'!$O$8,OR($L772='112'!$I$6,$M772='112'!$I$6))),"x",""))</f>
        <v/>
      </c>
      <c r="S772" s="39" t="str">
        <f>IF(ISERROR(FIND('112'!$M$9,G772,1)),"",IF((AND(LEFT(G772,2)=LEFT('112'!$M$9,2),B772&lt;'112'!$N$8,$L772='112'!$I$6)),"x",""))</f>
        <v/>
      </c>
      <c r="T772" s="39" t="str">
        <f>IF(ISERROR(FIND('112'!$M$9,G772,1)),"",IF((AND(RIGHT(G772,2)=RIGHT('112'!$M$9,2),B772&lt;'112'!$N$8,$M772='112'!$I$6)),"x",""))</f>
        <v/>
      </c>
      <c r="U772" s="39" t="str">
        <f>IF(AND('3411-CT'!$F$9=H772,OR(LEFT(L772,3)=$U$7,LEFT(M772,3)=$U$7)),"x","")</f>
        <v/>
      </c>
      <c r="V772" s="39" t="str">
        <f>IF(OR(TH!L772=TH!$V$7,M772=TH!$V$7),"x","")</f>
        <v/>
      </c>
      <c r="W772" s="39" t="str">
        <f>IF(AND(OR(L772="131",M772="131"),H772='131-CT'!$E$7),"x","")</f>
        <v/>
      </c>
      <c r="X772" s="39" t="str">
        <f>IF(AND(B772&gt;='IN-NX'!$P$3,B772&lt;='IN-NX'!$Q$3,'IN-NX'!$D$7=D772,OR(LEFT(TH!L772,2)="15",LEFT(TH!M772,2)="15")),"x","")</f>
        <v/>
      </c>
      <c r="Y772" s="39" t="str">
        <f>IF(AND(OR(LEFT(TH!L772,2)="15",LEFT(TH!M772,2)="15"),'152-CT'!$J$8=TH!F772),"x","")</f>
        <v/>
      </c>
      <c r="Z772" s="39" t="str">
        <f>IF(AND(OR(LEFT(TH!L772,2)="15",LEFT(TH!M772,2)="15"),TK!$E$7=TH!F772),"x","")</f>
        <v/>
      </c>
      <c r="AA772" s="39" t="str">
        <f>IF(AND(B772&lt;=NKC!$N$8,B772&gt;=NKC!$M$8),"x","")</f>
        <v/>
      </c>
    </row>
    <row r="773" spans="1:29" s="739" customFormat="1" ht="15.75" customHeight="1">
      <c r="A773" s="218" t="str">
        <f>IF(B773&lt;&gt;"",IF(AND(B773&gt;=_TM1,B773&lt;=_TM2,OR(TH!L773="1111",TH!M773="1111")),TH!D773,""),"")</f>
        <v/>
      </c>
      <c r="B773" s="36" t="str">
        <f t="shared" ref="B773:B804" si="38">IF(C773&lt;&gt;"",MONTH(C773),"")</f>
        <v/>
      </c>
      <c r="C773" s="37"/>
      <c r="D773" s="194"/>
      <c r="E773" s="194"/>
      <c r="F773" s="202"/>
      <c r="G773" s="202"/>
      <c r="H773" s="206"/>
      <c r="I773" s="276"/>
      <c r="J773" s="276"/>
      <c r="K773" s="748"/>
      <c r="L773" s="935"/>
      <c r="M773" s="935"/>
      <c r="N773" s="39" t="str">
        <f>IF(AND('331-CT'!$E$7=TH!H773,OR(L773="331",M773="331")),"x","")</f>
        <v/>
      </c>
      <c r="O773" s="39" t="str">
        <f>IF(AND($B773&gt;='111'!$N$11,$B773&lt;='111'!$O$11,OR($L773=$O$7,$M773=$O$7)),"x","")</f>
        <v/>
      </c>
      <c r="P773" s="39" t="str">
        <f>IF(AND($L773=$O$7,$B773&lt;'111'!$N$11),"x","")</f>
        <v/>
      </c>
      <c r="Q773" s="39" t="str">
        <f>IF(AND($M773=$O$7,$B773&lt;'111'!$N$11),"x","")</f>
        <v/>
      </c>
      <c r="R773" s="39" t="str">
        <f>IF(ISERROR(FIND('112'!$M$9,G773,1)),"",IF((AND(FIND('112'!$M$9,G773,1)&gt;=1,$B773&gt;='112'!$N$8,$B773&lt;='112'!$O$8,OR($L773='112'!$I$6,$M773='112'!$I$6))),"x",""))</f>
        <v/>
      </c>
      <c r="S773" s="39" t="str">
        <f>IF(ISERROR(FIND('112'!$M$9,G773,1)),"",IF((AND(LEFT(G773,2)=LEFT('112'!$M$9,2),B773&lt;'112'!$N$8,$L773='112'!$I$6)),"x",""))</f>
        <v/>
      </c>
      <c r="T773" s="39" t="str">
        <f>IF(ISERROR(FIND('112'!$M$9,G773,1)),"",IF((AND(RIGHT(G773,2)=RIGHT('112'!$M$9,2),B773&lt;'112'!$N$8,$M773='112'!$I$6)),"x",""))</f>
        <v/>
      </c>
      <c r="U773" s="39" t="str">
        <f>IF(AND('3411-CT'!$F$9=H773,OR(LEFT(L773,3)=$U$7,LEFT(M773,3)=$U$7)),"x","")</f>
        <v/>
      </c>
      <c r="V773" s="39" t="str">
        <f>IF(OR(TH!L773=TH!$V$7,M773=TH!$V$7),"x","")</f>
        <v/>
      </c>
      <c r="W773" s="39" t="str">
        <f>IF(AND(OR(L773="131",M773="131"),H773='131-CT'!$E$7),"x","")</f>
        <v/>
      </c>
      <c r="X773" s="39" t="str">
        <f>IF(AND(B773&gt;='IN-NX'!$P$3,B773&lt;='IN-NX'!$Q$3,'IN-NX'!$D$7=D773,OR(LEFT(TH!L773,2)="15",LEFT(TH!M773,2)="15")),"x","")</f>
        <v/>
      </c>
      <c r="Y773" s="39" t="str">
        <f>IF(AND(OR(LEFT(TH!L773,2)="15",LEFT(TH!M773,2)="15"),'152-CT'!$J$8=TH!F773),"x","")</f>
        <v/>
      </c>
      <c r="Z773" s="39" t="str">
        <f>IF(AND(OR(LEFT(TH!L773,2)="15",LEFT(TH!M773,2)="15"),TK!$E$7=TH!F773),"x","")</f>
        <v/>
      </c>
      <c r="AA773" s="39" t="str">
        <f>IF(AND(B773&lt;=NKC!$N$8,B773&gt;=NKC!$M$8),"x","")</f>
        <v/>
      </c>
    </row>
    <row r="774" spans="1:29" s="739" customFormat="1" ht="15.75" customHeight="1">
      <c r="A774" s="218" t="str">
        <f>IF(B774&lt;&gt;"",IF(AND(B774&gt;=_TM1,B774&lt;=_TM2,OR(TH!L774="1111",TH!M774="1111")),TH!D774,""),"")</f>
        <v/>
      </c>
      <c r="B774" s="36" t="str">
        <f t="shared" si="38"/>
        <v/>
      </c>
      <c r="C774" s="37"/>
      <c r="D774" s="194"/>
      <c r="E774" s="194"/>
      <c r="F774" s="202"/>
      <c r="G774" s="202"/>
      <c r="H774" s="206"/>
      <c r="I774" s="276"/>
      <c r="J774" s="276"/>
      <c r="K774" s="748"/>
      <c r="L774" s="935"/>
      <c r="M774" s="935"/>
      <c r="N774" s="39" t="str">
        <f>IF(AND('331-CT'!$E$7=TH!H774,OR(L774="331",M774="331")),"x","")</f>
        <v/>
      </c>
      <c r="O774" s="39" t="str">
        <f>IF(AND($B774&gt;='111'!$N$11,$B774&lt;='111'!$O$11,OR($L774=$O$7,$M774=$O$7)),"x","")</f>
        <v/>
      </c>
      <c r="P774" s="39" t="str">
        <f>IF(AND($L774=$O$7,$B774&lt;'111'!$N$11),"x","")</f>
        <v/>
      </c>
      <c r="Q774" s="39" t="str">
        <f>IF(AND($M774=$O$7,$B774&lt;'111'!$N$11),"x","")</f>
        <v/>
      </c>
      <c r="R774" s="39" t="str">
        <f>IF(ISERROR(FIND('112'!$M$9,G774,1)),"",IF((AND(FIND('112'!$M$9,G774,1)&gt;=1,$B774&gt;='112'!$N$8,$B774&lt;='112'!$O$8,OR($L774='112'!$I$6,$M774='112'!$I$6))),"x",""))</f>
        <v/>
      </c>
      <c r="S774" s="39" t="str">
        <f>IF(ISERROR(FIND('112'!$M$9,G774,1)),"",IF((AND(LEFT(G774,2)=LEFT('112'!$M$9,2),B774&lt;'112'!$N$8,$L774='112'!$I$6)),"x",""))</f>
        <v/>
      </c>
      <c r="T774" s="39" t="str">
        <f>IF(ISERROR(FIND('112'!$M$9,G774,1)),"",IF((AND(RIGHT(G774,2)=RIGHT('112'!$M$9,2),B774&lt;'112'!$N$8,$M774='112'!$I$6)),"x",""))</f>
        <v/>
      </c>
      <c r="U774" s="39" t="str">
        <f>IF(AND('3411-CT'!$F$9=H774,OR(LEFT(L774,3)=$U$7,LEFT(M774,3)=$U$7)),"x","")</f>
        <v/>
      </c>
      <c r="V774" s="39" t="str">
        <f>IF(OR(TH!L774=TH!$V$7,M774=TH!$V$7),"x","")</f>
        <v/>
      </c>
      <c r="W774" s="39" t="str">
        <f>IF(AND(OR(L774="131",M774="131"),H774='131-CT'!$E$7),"x","")</f>
        <v/>
      </c>
      <c r="X774" s="39" t="str">
        <f>IF(AND(B774&gt;='IN-NX'!$P$3,B774&lt;='IN-NX'!$Q$3,'IN-NX'!$D$7=D774,OR(LEFT(TH!L774,2)="15",LEFT(TH!M774,2)="15")),"x","")</f>
        <v/>
      </c>
      <c r="Y774" s="39" t="str">
        <f>IF(AND(OR(LEFT(TH!L774,2)="15",LEFT(TH!M774,2)="15"),'152-CT'!$J$8=TH!F774),"x","")</f>
        <v/>
      </c>
      <c r="Z774" s="39" t="str">
        <f>IF(AND(OR(LEFT(TH!L774,2)="15",LEFT(TH!M774,2)="15"),TK!$E$7=TH!F774),"x","")</f>
        <v/>
      </c>
      <c r="AA774" s="39" t="str">
        <f>IF(AND(B774&lt;=NKC!$N$8,B774&gt;=NKC!$M$8),"x","")</f>
        <v/>
      </c>
    </row>
    <row r="775" spans="1:29" s="739" customFormat="1" ht="15.75" customHeight="1">
      <c r="A775" s="218" t="str">
        <f>IF(B775&lt;&gt;"",IF(AND(B775&gt;=_TM1,B775&lt;=_TM2,OR(TH!L775="1111",TH!M775="1111")),TH!D775,""),"")</f>
        <v/>
      </c>
      <c r="B775" s="36" t="str">
        <f t="shared" si="38"/>
        <v/>
      </c>
      <c r="C775" s="37"/>
      <c r="D775" s="194"/>
      <c r="E775" s="194"/>
      <c r="F775" s="202"/>
      <c r="G775" s="202"/>
      <c r="H775" s="206"/>
      <c r="I775" s="276"/>
      <c r="J775" s="276"/>
      <c r="K775" s="748"/>
      <c r="L775" s="935"/>
      <c r="M775" s="935"/>
      <c r="N775" s="39" t="str">
        <f>IF(AND('331-CT'!$E$7=TH!H775,OR(L775="331",M775="331")),"x","")</f>
        <v/>
      </c>
      <c r="O775" s="39" t="str">
        <f>IF(AND($B775&gt;='111'!$N$11,$B775&lt;='111'!$O$11,OR($L775=$O$7,$M775=$O$7)),"x","")</f>
        <v/>
      </c>
      <c r="P775" s="39" t="str">
        <f>IF(AND($L775=$O$7,$B775&lt;'111'!$N$11),"x","")</f>
        <v/>
      </c>
      <c r="Q775" s="39" t="str">
        <f>IF(AND($M775=$O$7,$B775&lt;'111'!$N$11),"x","")</f>
        <v/>
      </c>
      <c r="R775" s="39" t="str">
        <f>IF(ISERROR(FIND('112'!$M$9,G775,1)),"",IF((AND(FIND('112'!$M$9,G775,1)&gt;=1,$B775&gt;='112'!$N$8,$B775&lt;='112'!$O$8,OR($L775='112'!$I$6,$M775='112'!$I$6))),"x",""))</f>
        <v/>
      </c>
      <c r="S775" s="39" t="str">
        <f>IF(ISERROR(FIND('112'!$M$9,G775,1)),"",IF((AND(LEFT(G775,2)=LEFT('112'!$M$9,2),B775&lt;'112'!$N$8,$L775='112'!$I$6)),"x",""))</f>
        <v/>
      </c>
      <c r="T775" s="39" t="str">
        <f>IF(ISERROR(FIND('112'!$M$9,G775,1)),"",IF((AND(RIGHT(G775,2)=RIGHT('112'!$M$9,2),B775&lt;'112'!$N$8,$M775='112'!$I$6)),"x",""))</f>
        <v/>
      </c>
      <c r="U775" s="39" t="str">
        <f>IF(AND('3411-CT'!$F$9=H775,OR(LEFT(L775,3)=$U$7,LEFT(M775,3)=$U$7)),"x","")</f>
        <v/>
      </c>
      <c r="V775" s="39" t="str">
        <f>IF(OR(TH!L775=TH!$V$7,M775=TH!$V$7),"x","")</f>
        <v/>
      </c>
      <c r="W775" s="39" t="str">
        <f>IF(AND(OR(L775="131",M775="131"),H775='131-CT'!$E$7),"x","")</f>
        <v/>
      </c>
      <c r="X775" s="39" t="str">
        <f>IF(AND(B775&gt;='IN-NX'!$P$3,B775&lt;='IN-NX'!$Q$3,'IN-NX'!$D$7=D775,OR(LEFT(TH!L775,2)="15",LEFT(TH!M775,2)="15")),"x","")</f>
        <v/>
      </c>
      <c r="Y775" s="39" t="str">
        <f>IF(AND(OR(LEFT(TH!L775,2)="15",LEFT(TH!M775,2)="15"),'152-CT'!$J$8=TH!F775),"x","")</f>
        <v/>
      </c>
      <c r="Z775" s="39" t="str">
        <f>IF(AND(OR(LEFT(TH!L775,2)="15",LEFT(TH!M775,2)="15"),TK!$E$7=TH!F775),"x","")</f>
        <v/>
      </c>
      <c r="AA775" s="39" t="str">
        <f>IF(AND(B775&lt;=NKC!$N$8,B775&gt;=NKC!$M$8),"x","")</f>
        <v/>
      </c>
    </row>
    <row r="776" spans="1:29" s="739" customFormat="1" ht="15.75" customHeight="1">
      <c r="A776" s="218" t="str">
        <f>IF(B776&lt;&gt;"",IF(AND(B776&gt;=_TM1,B776&lt;=_TM2,OR(TH!L776="1111",TH!M776="1111")),TH!D776,""),"")</f>
        <v/>
      </c>
      <c r="B776" s="36" t="str">
        <f t="shared" si="38"/>
        <v/>
      </c>
      <c r="C776" s="37"/>
      <c r="D776" s="194"/>
      <c r="E776" s="194"/>
      <c r="F776" s="202"/>
      <c r="G776" s="623"/>
      <c r="H776" s="206"/>
      <c r="I776" s="276"/>
      <c r="J776" s="276"/>
      <c r="K776" s="748"/>
      <c r="L776" s="935"/>
      <c r="M776" s="935"/>
      <c r="N776" s="39" t="str">
        <f>IF(AND('331-CT'!$E$7=TH!H776,OR(L776="331",M776="331")),"x","")</f>
        <v/>
      </c>
      <c r="O776" s="39" t="str">
        <f>IF(AND($B776&gt;='111'!$N$11,$B776&lt;='111'!$O$11,OR($L776=$O$7,$M776=$O$7)),"x","")</f>
        <v/>
      </c>
      <c r="P776" s="39" t="str">
        <f>IF(AND($L776=$O$7,$B776&lt;'111'!$N$11),"x","")</f>
        <v/>
      </c>
      <c r="Q776" s="39" t="str">
        <f>IF(AND($M776=$O$7,$B776&lt;'111'!$N$11),"x","")</f>
        <v/>
      </c>
      <c r="R776" s="39" t="str">
        <f>IF(ISERROR(FIND('112'!$M$9,G776,1)),"",IF((AND(FIND('112'!$M$9,G776,1)&gt;=1,$B776&gt;='112'!$N$8,$B776&lt;='112'!$O$8,OR($L776='112'!$I$6,$M776='112'!$I$6))),"x",""))</f>
        <v/>
      </c>
      <c r="S776" s="39" t="str">
        <f>IF(ISERROR(FIND('112'!$M$9,G776,1)),"",IF((AND(LEFT(G776,2)=LEFT('112'!$M$9,2),B776&lt;'112'!$N$8,$L776='112'!$I$6)),"x",""))</f>
        <v/>
      </c>
      <c r="T776" s="39" t="str">
        <f>IF(ISERROR(FIND('112'!$M$9,G776,1)),"",IF((AND(RIGHT(G776,2)=RIGHT('112'!$M$9,2),B776&lt;'112'!$N$8,$M776='112'!$I$6)),"x",""))</f>
        <v/>
      </c>
      <c r="U776" s="39" t="str">
        <f>IF(AND('3411-CT'!$F$9=H776,OR(LEFT(L776,3)=$U$7,LEFT(M776,3)=$U$7)),"x","")</f>
        <v/>
      </c>
      <c r="V776" s="39" t="str">
        <f>IF(OR(TH!L776=TH!$V$7,M776=TH!$V$7),"x","")</f>
        <v/>
      </c>
      <c r="W776" s="39" t="str">
        <f>IF(AND(OR(L776="131",M776="131"),H776='131-CT'!$E$7),"x","")</f>
        <v/>
      </c>
      <c r="X776" s="39" t="str">
        <f>IF(AND(B776&gt;='IN-NX'!$P$3,B776&lt;='IN-NX'!$Q$3,'IN-NX'!$D$7=D776,OR(LEFT(TH!L776,2)="15",LEFT(TH!M776,2)="15")),"x","")</f>
        <v/>
      </c>
      <c r="Y776" s="39" t="str">
        <f>IF(AND(OR(LEFT(TH!L776,2)="15",LEFT(TH!M776,2)="15"),'152-CT'!$J$8=TH!F776),"x","")</f>
        <v/>
      </c>
      <c r="Z776" s="39" t="str">
        <f>IF(AND(OR(LEFT(TH!L776,2)="15",LEFT(TH!M776,2)="15"),TK!$E$7=TH!F776),"x","")</f>
        <v/>
      </c>
      <c r="AA776" s="39" t="str">
        <f>IF(AND(B776&lt;=NKC!$N$8,B776&gt;=NKC!$M$8),"x","")</f>
        <v/>
      </c>
    </row>
    <row r="777" spans="1:29" s="739" customFormat="1" ht="15.75" customHeight="1">
      <c r="A777" s="218" t="str">
        <f>IF(B777&lt;&gt;"",IF(AND(B777&gt;=_TM1,B777&lt;=_TM2,OR(TH!L777="1111",TH!M777="1111")),TH!D777,""),"")</f>
        <v/>
      </c>
      <c r="B777" s="36" t="str">
        <f t="shared" si="38"/>
        <v/>
      </c>
      <c r="C777" s="37"/>
      <c r="D777" s="194"/>
      <c r="E777" s="194"/>
      <c r="F777" s="202"/>
      <c r="G777" s="202"/>
      <c r="H777" s="206"/>
      <c r="I777" s="276"/>
      <c r="J777" s="276"/>
      <c r="K777" s="748"/>
      <c r="L777" s="749"/>
      <c r="M777" s="934"/>
      <c r="N777" s="39" t="str">
        <f>IF(AND('331-CT'!$E$7=TH!H777,OR(L777="331",M777="331")),"x","")</f>
        <v/>
      </c>
      <c r="O777" s="39" t="str">
        <f>IF(AND($B777&gt;='111'!$N$11,$B777&lt;='111'!$O$11,OR($L777=$O$7,$M777=$O$7)),"x","")</f>
        <v/>
      </c>
      <c r="P777" s="39" t="str">
        <f>IF(AND($L777=$O$7,$B777&lt;'111'!$N$11),"x","")</f>
        <v/>
      </c>
      <c r="Q777" s="39" t="str">
        <f>IF(AND($M777=$O$7,$B777&lt;'111'!$N$11),"x","")</f>
        <v/>
      </c>
      <c r="R777" s="39" t="str">
        <f>IF(ISERROR(FIND('112'!$M$9,G777,1)),"",IF((AND(FIND('112'!$M$9,G777,1)&gt;=1,$B777&gt;='112'!$N$8,$B777&lt;='112'!$O$8,OR($L777='112'!$I$6,$M777='112'!$I$6))),"x",""))</f>
        <v/>
      </c>
      <c r="S777" s="39" t="str">
        <f>IF(ISERROR(FIND('112'!$M$9,G777,1)),"",IF((AND(LEFT(G777,2)=LEFT('112'!$M$9,2),B777&lt;'112'!$N$8,$L777='112'!$I$6)),"x",""))</f>
        <v/>
      </c>
      <c r="T777" s="39" t="str">
        <f>IF(ISERROR(FIND('112'!$M$9,G777,1)),"",IF((AND(RIGHT(G777,2)=RIGHT('112'!$M$9,2),B777&lt;'112'!$N$8,$M777='112'!$I$6)),"x",""))</f>
        <v/>
      </c>
      <c r="U777" s="39" t="str">
        <f>IF(AND('3411-CT'!$F$9=H777,OR(LEFT(L777,3)=$U$7,LEFT(M777,3)=$U$7)),"x","")</f>
        <v/>
      </c>
      <c r="V777" s="39" t="str">
        <f>IF(OR(TH!L777=TH!$V$7,M777=TH!$V$7),"x","")</f>
        <v/>
      </c>
      <c r="W777" s="39" t="str">
        <f>IF(AND(OR(L777="131",M777="131"),H777='131-CT'!$E$7),"x","")</f>
        <v/>
      </c>
      <c r="X777" s="39" t="str">
        <f>IF(AND(B777&gt;='IN-NX'!$P$3,B777&lt;='IN-NX'!$Q$3,'IN-NX'!$D$7=D777,OR(LEFT(TH!L777,2)="15",LEFT(TH!M777,2)="15")),"x","")</f>
        <v/>
      </c>
      <c r="Y777" s="39" t="str">
        <f>IF(AND(OR(LEFT(TH!L777,2)="15",LEFT(TH!M777,2)="15"),'152-CT'!$J$8=TH!F777),"x","")</f>
        <v/>
      </c>
      <c r="Z777" s="39" t="str">
        <f>IF(AND(OR(LEFT(TH!L777,2)="15",LEFT(TH!M777,2)="15"),TK!$E$7=TH!F777),"x","")</f>
        <v/>
      </c>
      <c r="AA777" s="39" t="str">
        <f>IF(AND(B777&lt;=NKC!$N$8,B777&gt;=NKC!$M$8),"x","")</f>
        <v/>
      </c>
    </row>
    <row r="778" spans="1:29" s="739" customFormat="1" ht="15.75" customHeight="1">
      <c r="A778" s="218" t="str">
        <f>IF(B778&lt;&gt;"",IF(AND(B778&gt;=_TM1,B778&lt;=_TM2,OR(TH!L778="1111",TH!M778="1111")),TH!D778,""),"")</f>
        <v/>
      </c>
      <c r="B778" s="36" t="str">
        <f t="shared" si="38"/>
        <v/>
      </c>
      <c r="C778" s="37"/>
      <c r="D778" s="194"/>
      <c r="E778" s="194"/>
      <c r="F778" s="202"/>
      <c r="G778" s="623"/>
      <c r="H778" s="206"/>
      <c r="I778" s="276"/>
      <c r="J778" s="276"/>
      <c r="K778" s="748"/>
      <c r="L778" s="935"/>
      <c r="M778" s="935"/>
      <c r="N778" s="39" t="str">
        <f>IF(AND('331-CT'!$E$7=TH!H778,OR(L778="331",M778="331")),"x","")</f>
        <v/>
      </c>
      <c r="O778" s="39" t="str">
        <f>IF(AND($B778&gt;='111'!$N$11,$B778&lt;='111'!$O$11,OR($L778=$O$7,$M778=$O$7)),"x","")</f>
        <v/>
      </c>
      <c r="P778" s="39" t="str">
        <f>IF(AND($L778=$O$7,$B778&lt;'111'!$N$11),"x","")</f>
        <v/>
      </c>
      <c r="Q778" s="39" t="str">
        <f>IF(AND($M778=$O$7,$B778&lt;'111'!$N$11),"x","")</f>
        <v/>
      </c>
      <c r="R778" s="39" t="str">
        <f>IF(ISERROR(FIND('112'!$M$9,G778,1)),"",IF((AND(FIND('112'!$M$9,G778,1)&gt;=1,$B778&gt;='112'!$N$8,$B778&lt;='112'!$O$8,OR($L778='112'!$I$6,$M778='112'!$I$6))),"x",""))</f>
        <v/>
      </c>
      <c r="S778" s="39" t="str">
        <f>IF(ISERROR(FIND('112'!$M$9,G778,1)),"",IF((AND(LEFT(G778,2)=LEFT('112'!$M$9,2),B778&lt;'112'!$N$8,$L778='112'!$I$6)),"x",""))</f>
        <v/>
      </c>
      <c r="T778" s="39" t="str">
        <f>IF(ISERROR(FIND('112'!$M$9,G778,1)),"",IF((AND(RIGHT(G778,2)=RIGHT('112'!$M$9,2),B778&lt;'112'!$N$8,$M778='112'!$I$6)),"x",""))</f>
        <v/>
      </c>
      <c r="U778" s="39" t="str">
        <f>IF(AND('3411-CT'!$F$9=H778,OR(LEFT(L778,3)=$U$7,LEFT(M778,3)=$U$7)),"x","")</f>
        <v/>
      </c>
      <c r="V778" s="39" t="str">
        <f>IF(OR(TH!L778=TH!$V$7,M778=TH!$V$7),"x","")</f>
        <v/>
      </c>
      <c r="W778" s="39" t="str">
        <f>IF(AND(OR(L778="131",M778="131"),H778='131-CT'!$E$7),"x","")</f>
        <v/>
      </c>
      <c r="X778" s="39" t="str">
        <f>IF(AND(B778&gt;='IN-NX'!$P$3,B778&lt;='IN-NX'!$Q$3,'IN-NX'!$D$7=D778,OR(LEFT(TH!L778,2)="15",LEFT(TH!M778,2)="15")),"x","")</f>
        <v/>
      </c>
      <c r="Y778" s="39" t="str">
        <f>IF(AND(OR(LEFT(TH!L778,2)="15",LEFT(TH!M778,2)="15"),'152-CT'!$J$8=TH!F778),"x","")</f>
        <v/>
      </c>
      <c r="Z778" s="39" t="str">
        <f>IF(AND(OR(LEFT(TH!L778,2)="15",LEFT(TH!M778,2)="15"),TK!$E$7=TH!F778),"x","")</f>
        <v/>
      </c>
      <c r="AA778" s="39" t="str">
        <f>IF(AND(B778&lt;=NKC!$N$8,B778&gt;=NKC!$M$8),"x","")</f>
        <v/>
      </c>
    </row>
    <row r="779" spans="1:29" s="739" customFormat="1" ht="15.75" customHeight="1">
      <c r="A779" s="218" t="str">
        <f>IF(B779&lt;&gt;"",IF(AND(B779&gt;=_TM1,B779&lt;=_TM2,OR(TH!L779="1111",TH!M779="1111")),TH!D779,""),"")</f>
        <v/>
      </c>
      <c r="B779" s="36" t="str">
        <f t="shared" si="38"/>
        <v/>
      </c>
      <c r="C779" s="37"/>
      <c r="D779" s="194"/>
      <c r="E779" s="194"/>
      <c r="F779" s="202"/>
      <c r="G779" s="202"/>
      <c r="H779" s="206"/>
      <c r="I779" s="276"/>
      <c r="J779" s="276"/>
      <c r="K779" s="748"/>
      <c r="L779" s="935"/>
      <c r="M779" s="935"/>
      <c r="N779" s="39" t="str">
        <f>IF(AND('331-CT'!$E$7=TH!H779,OR(L779="331",M779="331")),"x","")</f>
        <v/>
      </c>
      <c r="O779" s="39" t="str">
        <f>IF(AND($B779&gt;='111'!$N$11,$B779&lt;='111'!$O$11,OR($L779=$O$7,$M779=$O$7)),"x","")</f>
        <v/>
      </c>
      <c r="P779" s="39" t="str">
        <f>IF(AND($L779=$O$7,$B779&lt;'111'!$N$11),"x","")</f>
        <v/>
      </c>
      <c r="Q779" s="39" t="str">
        <f>IF(AND($M779=$O$7,$B779&lt;'111'!$N$11),"x","")</f>
        <v/>
      </c>
      <c r="R779" s="39" t="str">
        <f>IF(ISERROR(FIND('112'!$M$9,G779,1)),"",IF((AND(FIND('112'!$M$9,G779,1)&gt;=1,$B779&gt;='112'!$N$8,$B779&lt;='112'!$O$8,OR($L779='112'!$I$6,$M779='112'!$I$6))),"x",""))</f>
        <v/>
      </c>
      <c r="S779" s="39" t="str">
        <f>IF(ISERROR(FIND('112'!$M$9,G779,1)),"",IF((AND(LEFT(G779,2)=LEFT('112'!$M$9,2),B779&lt;'112'!$N$8,$L779='112'!$I$6)),"x",""))</f>
        <v/>
      </c>
      <c r="T779" s="39" t="str">
        <f>IF(ISERROR(FIND('112'!$M$9,G779,1)),"",IF((AND(RIGHT(G779,2)=RIGHT('112'!$M$9,2),B779&lt;'112'!$N$8,$M779='112'!$I$6)),"x",""))</f>
        <v/>
      </c>
      <c r="U779" s="39" t="str">
        <f>IF(AND('3411-CT'!$F$9=H779,OR(LEFT(L779,3)=$U$7,LEFT(M779,3)=$U$7)),"x","")</f>
        <v/>
      </c>
      <c r="V779" s="39" t="str">
        <f>IF(OR(TH!L779=TH!$V$7,M779=TH!$V$7),"x","")</f>
        <v/>
      </c>
      <c r="W779" s="39" t="str">
        <f>IF(AND(OR(L779="131",M779="131"),H779='131-CT'!$E$7),"x","")</f>
        <v/>
      </c>
      <c r="X779" s="39" t="str">
        <f>IF(AND(B779&gt;='IN-NX'!$P$3,B779&lt;='IN-NX'!$Q$3,'IN-NX'!$D$7=D779,OR(LEFT(TH!L779,2)="15",LEFT(TH!M779,2)="15")),"x","")</f>
        <v/>
      </c>
      <c r="Y779" s="39" t="str">
        <f>IF(AND(OR(LEFT(TH!L779,2)="15",LEFT(TH!M779,2)="15"),'152-CT'!$J$8=TH!F779),"x","")</f>
        <v/>
      </c>
      <c r="Z779" s="39" t="str">
        <f>IF(AND(OR(LEFT(TH!L779,2)="15",LEFT(TH!M779,2)="15"),TK!$E$7=TH!F779),"x","")</f>
        <v/>
      </c>
      <c r="AA779" s="39" t="str">
        <f>IF(AND(B779&lt;=NKC!$N$8,B779&gt;=NKC!$M$8),"x","")</f>
        <v/>
      </c>
    </row>
    <row r="780" spans="1:29" s="739" customFormat="1" ht="15.75" customHeight="1">
      <c r="A780" s="218" t="str">
        <f>IF(B780&lt;&gt;"",IF(AND(B780&gt;=_TM1,B780&lt;=_TM2,OR(TH!L780="1111",TH!M780="1111")),TH!D780,""),"")</f>
        <v/>
      </c>
      <c r="B780" s="36" t="str">
        <f t="shared" si="38"/>
        <v/>
      </c>
      <c r="C780" s="37"/>
      <c r="D780" s="194"/>
      <c r="E780" s="194"/>
      <c r="F780" s="202"/>
      <c r="G780" s="623"/>
      <c r="H780" s="206"/>
      <c r="I780" s="276"/>
      <c r="J780" s="276"/>
      <c r="K780" s="748"/>
      <c r="L780" s="935"/>
      <c r="M780" s="935"/>
      <c r="N780" s="39" t="str">
        <f>IF(AND('331-CT'!$E$7=TH!H780,OR(L780="331",M780="331")),"x","")</f>
        <v/>
      </c>
      <c r="O780" s="39" t="str">
        <f>IF(AND($B780&gt;='111'!$N$11,$B780&lt;='111'!$O$11,OR($L780=$O$7,$M780=$O$7)),"x","")</f>
        <v/>
      </c>
      <c r="P780" s="39" t="str">
        <f>IF(AND($L780=$O$7,$B780&lt;'111'!$N$11),"x","")</f>
        <v/>
      </c>
      <c r="Q780" s="39" t="str">
        <f>IF(AND($M780=$O$7,$B780&lt;'111'!$N$11),"x","")</f>
        <v/>
      </c>
      <c r="R780" s="39" t="str">
        <f>IF(ISERROR(FIND('112'!$M$9,G780,1)),"",IF((AND(FIND('112'!$M$9,G780,1)&gt;=1,$B780&gt;='112'!$N$8,$B780&lt;='112'!$O$8,OR($L780='112'!$I$6,$M780='112'!$I$6))),"x",""))</f>
        <v/>
      </c>
      <c r="S780" s="39" t="str">
        <f>IF(ISERROR(FIND('112'!$M$9,G780,1)),"",IF((AND(LEFT(G780,2)=LEFT('112'!$M$9,2),B780&lt;'112'!$N$8,$L780='112'!$I$6)),"x",""))</f>
        <v/>
      </c>
      <c r="T780" s="39" t="str">
        <f>IF(ISERROR(FIND('112'!$M$9,G780,1)),"",IF((AND(RIGHT(G780,2)=RIGHT('112'!$M$9,2),B780&lt;'112'!$N$8,$M780='112'!$I$6)),"x",""))</f>
        <v/>
      </c>
      <c r="U780" s="39" t="str">
        <f>IF(AND('3411-CT'!$F$9=H780,OR(LEFT(L780,3)=$U$7,LEFT(M780,3)=$U$7)),"x","")</f>
        <v/>
      </c>
      <c r="V780" s="39" t="str">
        <f>IF(OR(TH!L780=TH!$V$7,M780=TH!$V$7),"x","")</f>
        <v/>
      </c>
      <c r="W780" s="39" t="str">
        <f>IF(AND(OR(L780="131",M780="131"),H780='131-CT'!$E$7),"x","")</f>
        <v/>
      </c>
      <c r="X780" s="39" t="str">
        <f>IF(AND(B780&gt;='IN-NX'!$P$3,B780&lt;='IN-NX'!$Q$3,'IN-NX'!$D$7=D780,OR(LEFT(TH!L780,2)="15",LEFT(TH!M780,2)="15")),"x","")</f>
        <v/>
      </c>
      <c r="Y780" s="39" t="str">
        <f>IF(AND(OR(LEFT(TH!L780,2)="15",LEFT(TH!M780,2)="15"),'152-CT'!$J$8=TH!F780),"x","")</f>
        <v/>
      </c>
      <c r="Z780" s="39" t="str">
        <f>IF(AND(OR(LEFT(TH!L780,2)="15",LEFT(TH!M780,2)="15"),TK!$E$7=TH!F780),"x","")</f>
        <v/>
      </c>
      <c r="AA780" s="39" t="str">
        <f>IF(AND(B780&lt;=NKC!$N$8,B780&gt;=NKC!$M$8),"x","")</f>
        <v/>
      </c>
    </row>
    <row r="781" spans="1:29" s="739" customFormat="1" ht="15.75" customHeight="1">
      <c r="A781" s="218" t="str">
        <f>IF(B781&lt;&gt;"",IF(AND(B781&gt;=_TM1,B781&lt;=_TM2,OR(TH!L781="1111",TH!M781="1111")),TH!D781,""),"")</f>
        <v/>
      </c>
      <c r="B781" s="36" t="str">
        <f t="shared" si="38"/>
        <v/>
      </c>
      <c r="C781" s="37"/>
      <c r="D781" s="194"/>
      <c r="E781" s="194"/>
      <c r="F781" s="202"/>
      <c r="G781" s="202"/>
      <c r="H781" s="206"/>
      <c r="I781" s="276"/>
      <c r="J781" s="276"/>
      <c r="K781" s="748"/>
      <c r="L781" s="935"/>
      <c r="M781" s="935"/>
      <c r="N781" s="39" t="str">
        <f>IF(AND('331-CT'!$E$7=TH!H781,OR(L781="331",M781="331")),"x","")</f>
        <v/>
      </c>
      <c r="O781" s="39" t="str">
        <f>IF(AND($B781&gt;='111'!$N$11,$B781&lt;='111'!$O$11,OR($L781=$O$7,$M781=$O$7)),"x","")</f>
        <v/>
      </c>
      <c r="P781" s="39" t="str">
        <f>IF(AND($L781=$O$7,$B781&lt;'111'!$N$11),"x","")</f>
        <v/>
      </c>
      <c r="Q781" s="39" t="str">
        <f>IF(AND($M781=$O$7,$B781&lt;'111'!$N$11),"x","")</f>
        <v/>
      </c>
      <c r="R781" s="39" t="str">
        <f>IF(ISERROR(FIND('112'!$M$9,G781,1)),"",IF((AND(FIND('112'!$M$9,G781,1)&gt;=1,$B781&gt;='112'!$N$8,$B781&lt;='112'!$O$8,OR($L781='112'!$I$6,$M781='112'!$I$6))),"x",""))</f>
        <v/>
      </c>
      <c r="S781" s="39" t="str">
        <f>IF(ISERROR(FIND('112'!$M$9,G781,1)),"",IF((AND(LEFT(G781,2)=LEFT('112'!$M$9,2),B781&lt;'112'!$N$8,$L781='112'!$I$6)),"x",""))</f>
        <v/>
      </c>
      <c r="T781" s="39" t="str">
        <f>IF(ISERROR(FIND('112'!$M$9,G781,1)),"",IF((AND(RIGHT(G781,2)=RIGHT('112'!$M$9,2),B781&lt;'112'!$N$8,$M781='112'!$I$6)),"x",""))</f>
        <v/>
      </c>
      <c r="U781" s="39" t="str">
        <f>IF(AND('3411-CT'!$F$9=H781,OR(LEFT(L781,3)=$U$7,LEFT(M781,3)=$U$7)),"x","")</f>
        <v/>
      </c>
      <c r="V781" s="39" t="str">
        <f>IF(OR(TH!L781=TH!$V$7,M781=TH!$V$7),"x","")</f>
        <v/>
      </c>
      <c r="W781" s="39" t="str">
        <f>IF(AND(OR(L781="131",M781="131"),H781='131-CT'!$E$7),"x","")</f>
        <v/>
      </c>
      <c r="X781" s="39" t="str">
        <f>IF(AND(B781&gt;='IN-NX'!$P$3,B781&lt;='IN-NX'!$Q$3,'IN-NX'!$D$7=D781,OR(LEFT(TH!L781,2)="15",LEFT(TH!M781,2)="15")),"x","")</f>
        <v/>
      </c>
      <c r="Y781" s="39" t="str">
        <f>IF(AND(OR(LEFT(TH!L781,2)="15",LEFT(TH!M781,2)="15"),'152-CT'!$J$8=TH!F781),"x","")</f>
        <v/>
      </c>
      <c r="Z781" s="39" t="str">
        <f>IF(AND(OR(LEFT(TH!L781,2)="15",LEFT(TH!M781,2)="15"),TK!$E$7=TH!F781),"x","")</f>
        <v/>
      </c>
      <c r="AA781" s="39" t="str">
        <f>IF(AND(B781&lt;=NKC!$N$8,B781&gt;=NKC!$M$8),"x","")</f>
        <v/>
      </c>
    </row>
    <row r="782" spans="1:29" s="739" customFormat="1" ht="15.75" customHeight="1">
      <c r="A782" s="218" t="str">
        <f>IF(B782&lt;&gt;"",IF(AND(B782&gt;=_TM1,B782&lt;=_TM2,OR(TH!L782="1111",TH!M782="1111")),TH!D782,""),"")</f>
        <v/>
      </c>
      <c r="B782" s="36" t="str">
        <f t="shared" si="38"/>
        <v/>
      </c>
      <c r="C782" s="37"/>
      <c r="D782" s="194"/>
      <c r="E782" s="194"/>
      <c r="F782" s="202"/>
      <c r="G782" s="623"/>
      <c r="H782" s="45"/>
      <c r="I782" s="276"/>
      <c r="J782" s="276"/>
      <c r="K782" s="748"/>
      <c r="L782" s="935"/>
      <c r="M782" s="935"/>
      <c r="N782" s="39" t="str">
        <f>IF(AND('331-CT'!$E$7=TH!H782,OR(L782="331",M782="331")),"x","")</f>
        <v/>
      </c>
      <c r="O782" s="39" t="str">
        <f>IF(AND($B782&gt;='111'!$N$11,$B782&lt;='111'!$O$11,OR($L782=$O$7,$M782=$O$7)),"x","")</f>
        <v/>
      </c>
      <c r="P782" s="39" t="str">
        <f>IF(AND($L782=$O$7,$B782&lt;'111'!$N$11),"x","")</f>
        <v/>
      </c>
      <c r="Q782" s="39" t="str">
        <f>IF(AND($M782=$O$7,$B782&lt;'111'!$N$11),"x","")</f>
        <v/>
      </c>
      <c r="R782" s="39" t="str">
        <f>IF(ISERROR(FIND('112'!$M$9,G782,1)),"",IF((AND(FIND('112'!$M$9,G782,1)&gt;=1,$B782&gt;='112'!$N$8,$B782&lt;='112'!$O$8,OR($L782='112'!$I$6,$M782='112'!$I$6))),"x",""))</f>
        <v/>
      </c>
      <c r="S782" s="39" t="str">
        <f>IF(ISERROR(FIND('112'!$M$9,G782,1)),"",IF((AND(LEFT(G782,2)=LEFT('112'!$M$9,2),B782&lt;'112'!$N$8,$L782='112'!$I$6)),"x",""))</f>
        <v/>
      </c>
      <c r="T782" s="39" t="str">
        <f>IF(ISERROR(FIND('112'!$M$9,G782,1)),"",IF((AND(RIGHT(G782,2)=RIGHT('112'!$M$9,2),B782&lt;'112'!$N$8,$M782='112'!$I$6)),"x",""))</f>
        <v/>
      </c>
      <c r="U782" s="39" t="str">
        <f>IF(AND('3411-CT'!$F$9=H782,OR(LEFT(L782,3)=$U$7,LEFT(M782,3)=$U$7)),"x","")</f>
        <v/>
      </c>
      <c r="V782" s="39" t="str">
        <f>IF(OR(TH!L782=TH!$V$7,M782=TH!$V$7),"x","")</f>
        <v/>
      </c>
      <c r="W782" s="39" t="str">
        <f>IF(AND(OR(L782="131",M782="131"),H782='131-CT'!$E$7),"x","")</f>
        <v/>
      </c>
      <c r="X782" s="39" t="str">
        <f>IF(AND(B782&gt;='IN-NX'!$P$3,B782&lt;='IN-NX'!$Q$3,'IN-NX'!$D$7=D782,OR(LEFT(TH!L782,2)="15",LEFT(TH!M782,2)="15")),"x","")</f>
        <v/>
      </c>
      <c r="Y782" s="39" t="str">
        <f>IF(AND(OR(LEFT(TH!L782,2)="15",LEFT(TH!M782,2)="15"),'152-CT'!$J$8=TH!F782),"x","")</f>
        <v/>
      </c>
      <c r="Z782" s="39" t="str">
        <f>IF(AND(OR(LEFT(TH!L782,2)="15",LEFT(TH!M782,2)="15"),TK!$E$7=TH!F782),"x","")</f>
        <v/>
      </c>
      <c r="AA782" s="39" t="str">
        <f>IF(AND(B782&lt;=NKC!$N$8,B782&gt;=NKC!$M$8),"x","")</f>
        <v/>
      </c>
    </row>
    <row r="783" spans="1:29" s="739" customFormat="1" ht="15.75" customHeight="1">
      <c r="A783" s="218" t="str">
        <f>IF(B783&lt;&gt;"",IF(AND(B783&gt;=_TM1,B783&lt;=_TM2,OR(TH!L783="1111",TH!M783="1111")),TH!D783,""),"")</f>
        <v/>
      </c>
      <c r="B783" s="36" t="str">
        <f t="shared" si="38"/>
        <v/>
      </c>
      <c r="C783" s="37"/>
      <c r="D783" s="194"/>
      <c r="E783" s="194"/>
      <c r="F783" s="202"/>
      <c r="G783" s="202"/>
      <c r="H783" s="206"/>
      <c r="I783" s="276"/>
      <c r="J783" s="276"/>
      <c r="K783" s="748"/>
      <c r="L783" s="935"/>
      <c r="M783" s="935"/>
      <c r="N783" s="39" t="str">
        <f>IF(AND('331-CT'!$E$7=TH!H783,OR(L783="331",M783="331")),"x","")</f>
        <v/>
      </c>
      <c r="O783" s="39" t="str">
        <f>IF(AND($B783&gt;='111'!$N$11,$B783&lt;='111'!$O$11,OR($L783=$O$7,$M783=$O$7)),"x","")</f>
        <v/>
      </c>
      <c r="P783" s="39" t="str">
        <f>IF(AND($L783=$O$7,$B783&lt;'111'!$N$11),"x","")</f>
        <v/>
      </c>
      <c r="Q783" s="39" t="str">
        <f>IF(AND($M783=$O$7,$B783&lt;'111'!$N$11),"x","")</f>
        <v/>
      </c>
      <c r="R783" s="39" t="str">
        <f>IF(ISERROR(FIND('112'!$M$9,G783,1)),"",IF((AND(FIND('112'!$M$9,G783,1)&gt;=1,$B783&gt;='112'!$N$8,$B783&lt;='112'!$O$8,OR($L783='112'!$I$6,$M783='112'!$I$6))),"x",""))</f>
        <v/>
      </c>
      <c r="S783" s="39" t="str">
        <f>IF(ISERROR(FIND('112'!$M$9,G783,1)),"",IF((AND(LEFT(G783,2)=LEFT('112'!$M$9,2),B783&lt;'112'!$N$8,$L783='112'!$I$6)),"x",""))</f>
        <v/>
      </c>
      <c r="T783" s="39" t="str">
        <f>IF(ISERROR(FIND('112'!$M$9,G783,1)),"",IF((AND(RIGHT(G783,2)=RIGHT('112'!$M$9,2),B783&lt;'112'!$N$8,$M783='112'!$I$6)),"x",""))</f>
        <v/>
      </c>
      <c r="U783" s="39" t="str">
        <f>IF(AND('3411-CT'!$F$9=H783,OR(LEFT(L783,3)=$U$7,LEFT(M783,3)=$U$7)),"x","")</f>
        <v/>
      </c>
      <c r="V783" s="39" t="str">
        <f>IF(OR(TH!L783=TH!$V$7,M783=TH!$V$7),"x","")</f>
        <v/>
      </c>
      <c r="W783" s="39" t="str">
        <f>IF(AND(OR(L783="131",M783="131"),H783='131-CT'!$E$7),"x","")</f>
        <v/>
      </c>
      <c r="X783" s="39" t="str">
        <f>IF(AND(B783&gt;='IN-NX'!$P$3,B783&lt;='IN-NX'!$Q$3,'IN-NX'!$D$7=D783,OR(LEFT(TH!L783,2)="15",LEFT(TH!M783,2)="15")),"x","")</f>
        <v/>
      </c>
      <c r="Y783" s="39" t="str">
        <f>IF(AND(OR(LEFT(TH!L783,2)="15",LEFT(TH!M783,2)="15"),'152-CT'!$J$8=TH!F783),"x","")</f>
        <v/>
      </c>
      <c r="Z783" s="39" t="str">
        <f>IF(AND(OR(LEFT(TH!L783,2)="15",LEFT(TH!M783,2)="15"),TK!$E$7=TH!F783),"x","")</f>
        <v/>
      </c>
      <c r="AA783" s="39" t="str">
        <f>IF(AND(B783&lt;=NKC!$N$8,B783&gt;=NKC!$M$8),"x","")</f>
        <v/>
      </c>
    </row>
    <row r="784" spans="1:29" s="739" customFormat="1" ht="15.75" customHeight="1">
      <c r="A784" s="218" t="str">
        <f>IF(B784&lt;&gt;"",IF(AND(B784&gt;=_TM1,B784&lt;=_TM2,OR(TH!L784="1111",TH!M784="1111")),TH!D784,""),"")</f>
        <v/>
      </c>
      <c r="B784" s="36" t="str">
        <f t="shared" si="38"/>
        <v/>
      </c>
      <c r="C784" s="37"/>
      <c r="D784" s="194"/>
      <c r="E784" s="194"/>
      <c r="F784" s="202"/>
      <c r="G784" s="623"/>
      <c r="H784" s="206"/>
      <c r="I784" s="276"/>
      <c r="J784" s="276"/>
      <c r="K784" s="748"/>
      <c r="L784" s="935"/>
      <c r="M784" s="935"/>
      <c r="N784" s="39" t="str">
        <f>IF(AND('331-CT'!$E$7=TH!H784,OR(L784="331",M784="331")),"x","")</f>
        <v/>
      </c>
      <c r="O784" s="39" t="str">
        <f>IF(AND($B784&gt;='111'!$N$11,$B784&lt;='111'!$O$11,OR($L784=$O$7,$M784=$O$7)),"x","")</f>
        <v/>
      </c>
      <c r="P784" s="39" t="str">
        <f>IF(AND($L784=$O$7,$B784&lt;'111'!$N$11),"x","")</f>
        <v/>
      </c>
      <c r="Q784" s="39" t="str">
        <f>IF(AND($M784=$O$7,$B784&lt;'111'!$N$11),"x","")</f>
        <v/>
      </c>
      <c r="R784" s="39" t="str">
        <f>IF(ISERROR(FIND('112'!$M$9,G784,1)),"",IF((AND(FIND('112'!$M$9,G784,1)&gt;=1,$B784&gt;='112'!$N$8,$B784&lt;='112'!$O$8,OR($L784='112'!$I$6,$M784='112'!$I$6))),"x",""))</f>
        <v/>
      </c>
      <c r="S784" s="39" t="str">
        <f>IF(ISERROR(FIND('112'!$M$9,G784,1)),"",IF((AND(LEFT(G784,2)=LEFT('112'!$M$9,2),B784&lt;'112'!$N$8,$L784='112'!$I$6)),"x",""))</f>
        <v/>
      </c>
      <c r="T784" s="39" t="str">
        <f>IF(ISERROR(FIND('112'!$M$9,G784,1)),"",IF((AND(RIGHT(G784,2)=RIGHT('112'!$M$9,2),B784&lt;'112'!$N$8,$M784='112'!$I$6)),"x",""))</f>
        <v/>
      </c>
      <c r="U784" s="39" t="str">
        <f>IF(AND('3411-CT'!$F$9=H784,OR(LEFT(L784,3)=$U$7,LEFT(M784,3)=$U$7)),"x","")</f>
        <v/>
      </c>
      <c r="V784" s="39" t="str">
        <f>IF(OR(TH!L784=TH!$V$7,M784=TH!$V$7),"x","")</f>
        <v/>
      </c>
      <c r="W784" s="39" t="str">
        <f>IF(AND(OR(L784="131",M784="131"),H784='131-CT'!$E$7),"x","")</f>
        <v/>
      </c>
      <c r="X784" s="39" t="str">
        <f>IF(AND(B784&gt;='IN-NX'!$P$3,B784&lt;='IN-NX'!$Q$3,'IN-NX'!$D$7=D784,OR(LEFT(TH!L784,2)="15",LEFT(TH!M784,2)="15")),"x","")</f>
        <v/>
      </c>
      <c r="Y784" s="39" t="str">
        <f>IF(AND(OR(LEFT(TH!L784,2)="15",LEFT(TH!M784,2)="15"),'152-CT'!$J$8=TH!F784),"x","")</f>
        <v/>
      </c>
      <c r="Z784" s="39" t="str">
        <f>IF(AND(OR(LEFT(TH!L784,2)="15",LEFT(TH!M784,2)="15"),TK!$E$7=TH!F784),"x","")</f>
        <v/>
      </c>
      <c r="AA784" s="39" t="str">
        <f>IF(AND(B784&lt;=NKC!$N$8,B784&gt;=NKC!$M$8),"x","")</f>
        <v/>
      </c>
    </row>
    <row r="785" spans="1:29" s="739" customFormat="1" ht="15.75" customHeight="1">
      <c r="A785" s="218" t="str">
        <f>IF(B785&lt;&gt;"",IF(AND(B785&gt;=_TM1,B785&lt;=_TM2,OR(TH!L785="1111",TH!M785="1111")),TH!D785,""),"")</f>
        <v/>
      </c>
      <c r="B785" s="36" t="str">
        <f t="shared" si="38"/>
        <v/>
      </c>
      <c r="C785" s="37"/>
      <c r="D785" s="194"/>
      <c r="E785" s="194"/>
      <c r="F785" s="202"/>
      <c r="G785" s="202"/>
      <c r="H785" s="206"/>
      <c r="I785" s="276"/>
      <c r="J785" s="276"/>
      <c r="K785" s="748"/>
      <c r="L785" s="935"/>
      <c r="M785" s="935"/>
      <c r="N785" s="39" t="str">
        <f>IF(AND('331-CT'!$E$7=TH!H785,OR(L785="331",M785="331")),"x","")</f>
        <v/>
      </c>
      <c r="O785" s="39" t="str">
        <f>IF(AND($B785&gt;='111'!$N$11,$B785&lt;='111'!$O$11,OR($L785=$O$7,$M785=$O$7)),"x","")</f>
        <v/>
      </c>
      <c r="P785" s="39" t="str">
        <f>IF(AND($L785=$O$7,$B785&lt;'111'!$N$11),"x","")</f>
        <v/>
      </c>
      <c r="Q785" s="39" t="str">
        <f>IF(AND($M785=$O$7,$B785&lt;'111'!$N$11),"x","")</f>
        <v/>
      </c>
      <c r="R785" s="39" t="str">
        <f>IF(ISERROR(FIND('112'!$M$9,G785,1)),"",IF((AND(FIND('112'!$M$9,G785,1)&gt;=1,$B785&gt;='112'!$N$8,$B785&lt;='112'!$O$8,OR($L785='112'!$I$6,$M785='112'!$I$6))),"x",""))</f>
        <v/>
      </c>
      <c r="S785" s="39" t="str">
        <f>IF(ISERROR(FIND('112'!$M$9,G785,1)),"",IF((AND(LEFT(G785,2)=LEFT('112'!$M$9,2),B785&lt;'112'!$N$8,$L785='112'!$I$6)),"x",""))</f>
        <v/>
      </c>
      <c r="T785" s="39" t="str">
        <f>IF(ISERROR(FIND('112'!$M$9,G785,1)),"",IF((AND(RIGHT(G785,2)=RIGHT('112'!$M$9,2),B785&lt;'112'!$N$8,$M785='112'!$I$6)),"x",""))</f>
        <v/>
      </c>
      <c r="U785" s="39" t="str">
        <f>IF(AND('3411-CT'!$F$9=H785,OR(LEFT(L785,3)=$U$7,LEFT(M785,3)=$U$7)),"x","")</f>
        <v/>
      </c>
      <c r="V785" s="39" t="str">
        <f>IF(OR(TH!L785=TH!$V$7,M785=TH!$V$7),"x","")</f>
        <v/>
      </c>
      <c r="W785" s="39" t="str">
        <f>IF(AND(OR(L785="131",M785="131"),H785='131-CT'!$E$7),"x","")</f>
        <v/>
      </c>
      <c r="X785" s="39" t="str">
        <f>IF(AND(B785&gt;='IN-NX'!$P$3,B785&lt;='IN-NX'!$Q$3,'IN-NX'!$D$7=D785,OR(LEFT(TH!L785,2)="15",LEFT(TH!M785,2)="15")),"x","")</f>
        <v/>
      </c>
      <c r="Y785" s="39" t="str">
        <f>IF(AND(OR(LEFT(TH!L785,2)="15",LEFT(TH!M785,2)="15"),'152-CT'!$J$8=TH!F785),"x","")</f>
        <v/>
      </c>
      <c r="Z785" s="39" t="str">
        <f>IF(AND(OR(LEFT(TH!L785,2)="15",LEFT(TH!M785,2)="15"),TK!$E$7=TH!F785),"x","")</f>
        <v/>
      </c>
      <c r="AA785" s="39" t="str">
        <f>IF(AND(B785&lt;=NKC!$N$8,B785&gt;=NKC!$M$8),"x","")</f>
        <v/>
      </c>
    </row>
    <row r="786" spans="1:29" s="739" customFormat="1" ht="15.75" customHeight="1">
      <c r="A786" s="218" t="str">
        <f>IF(B786&lt;&gt;"",IF(AND(B786&gt;=_TM1,B786&lt;=_TM2,OR(TH!L786="1111",TH!M786="1111")),TH!D786,""),"")</f>
        <v/>
      </c>
      <c r="B786" s="36" t="str">
        <f t="shared" si="38"/>
        <v/>
      </c>
      <c r="C786" s="37"/>
      <c r="D786" s="194"/>
      <c r="E786" s="194"/>
      <c r="F786" s="202"/>
      <c r="G786" s="623"/>
      <c r="H786" s="206"/>
      <c r="I786" s="276"/>
      <c r="J786" s="276"/>
      <c r="K786" s="748"/>
      <c r="L786" s="935"/>
      <c r="M786" s="935"/>
      <c r="N786" s="39" t="str">
        <f>IF(AND('331-CT'!$E$7=TH!H786,OR(L786="331",M786="331")),"x","")</f>
        <v/>
      </c>
      <c r="O786" s="39" t="str">
        <f>IF(AND($B786&gt;='111'!$N$11,$B786&lt;='111'!$O$11,OR($L786=$O$7,$M786=$O$7)),"x","")</f>
        <v/>
      </c>
      <c r="P786" s="39" t="str">
        <f>IF(AND($L786=$O$7,$B786&lt;'111'!$N$11),"x","")</f>
        <v/>
      </c>
      <c r="Q786" s="39" t="str">
        <f>IF(AND($M786=$O$7,$B786&lt;'111'!$N$11),"x","")</f>
        <v/>
      </c>
      <c r="R786" s="39" t="str">
        <f>IF(ISERROR(FIND('112'!$M$9,G786,1)),"",IF((AND(FIND('112'!$M$9,G786,1)&gt;=1,$B786&gt;='112'!$N$8,$B786&lt;='112'!$O$8,OR($L786='112'!$I$6,$M786='112'!$I$6))),"x",""))</f>
        <v/>
      </c>
      <c r="S786" s="39" t="str">
        <f>IF(ISERROR(FIND('112'!$M$9,G786,1)),"",IF((AND(LEFT(G786,2)=LEFT('112'!$M$9,2),B786&lt;'112'!$N$8,$L786='112'!$I$6)),"x",""))</f>
        <v/>
      </c>
      <c r="T786" s="39" t="str">
        <f>IF(ISERROR(FIND('112'!$M$9,G786,1)),"",IF((AND(RIGHT(G786,2)=RIGHT('112'!$M$9,2),B786&lt;'112'!$N$8,$M786='112'!$I$6)),"x",""))</f>
        <v/>
      </c>
      <c r="U786" s="39" t="str">
        <f>IF(AND('3411-CT'!$F$9=H786,OR(LEFT(L786,3)=$U$7,LEFT(M786,3)=$U$7)),"x","")</f>
        <v/>
      </c>
      <c r="V786" s="39" t="str">
        <f>IF(OR(TH!L786=TH!$V$7,M786=TH!$V$7),"x","")</f>
        <v/>
      </c>
      <c r="W786" s="39" t="str">
        <f>IF(AND(OR(L786="131",M786="131"),H786='131-CT'!$E$7),"x","")</f>
        <v/>
      </c>
      <c r="X786" s="39" t="str">
        <f>IF(AND(B786&gt;='IN-NX'!$P$3,B786&lt;='IN-NX'!$Q$3,'IN-NX'!$D$7=D786,OR(LEFT(TH!L786,2)="15",LEFT(TH!M786,2)="15")),"x","")</f>
        <v/>
      </c>
      <c r="Y786" s="39" t="str">
        <f>IF(AND(OR(LEFT(TH!L786,2)="15",LEFT(TH!M786,2)="15"),'152-CT'!$J$8=TH!F786),"x","")</f>
        <v/>
      </c>
      <c r="Z786" s="39" t="str">
        <f>IF(AND(OR(LEFT(TH!L786,2)="15",LEFT(TH!M786,2)="15"),TK!$E$7=TH!F786),"x","")</f>
        <v/>
      </c>
      <c r="AA786" s="39" t="str">
        <f>IF(AND(B786&lt;=NKC!$N$8,B786&gt;=NKC!$M$8),"x","")</f>
        <v/>
      </c>
    </row>
    <row r="787" spans="1:29" s="739" customFormat="1" ht="15.75" customHeight="1">
      <c r="A787" s="218" t="str">
        <f>IF(B787&lt;&gt;"",IF(AND(B787&gt;=_TM1,B787&lt;=_TM2,OR(TH!L787="1111",TH!M787="1111")),TH!D787,""),"")</f>
        <v/>
      </c>
      <c r="B787" s="36" t="str">
        <f t="shared" si="38"/>
        <v/>
      </c>
      <c r="C787" s="37"/>
      <c r="D787" s="194"/>
      <c r="E787" s="194"/>
      <c r="F787" s="202"/>
      <c r="G787" s="202"/>
      <c r="H787" s="206"/>
      <c r="I787" s="276"/>
      <c r="J787" s="276"/>
      <c r="K787" s="748"/>
      <c r="L787" s="935"/>
      <c r="M787" s="935"/>
      <c r="N787" s="39" t="str">
        <f>IF(AND('331-CT'!$E$7=TH!H787,OR(L787="331",M787="331")),"x","")</f>
        <v/>
      </c>
      <c r="O787" s="39" t="str">
        <f>IF(AND($B787&gt;='111'!$N$11,$B787&lt;='111'!$O$11,OR($L787=$O$7,$M787=$O$7)),"x","")</f>
        <v/>
      </c>
      <c r="P787" s="39" t="str">
        <f>IF(AND($L787=$O$7,$B787&lt;'111'!$N$11),"x","")</f>
        <v/>
      </c>
      <c r="Q787" s="39" t="str">
        <f>IF(AND($M787=$O$7,$B787&lt;'111'!$N$11),"x","")</f>
        <v/>
      </c>
      <c r="R787" s="39" t="str">
        <f>IF(ISERROR(FIND('112'!$M$9,G787,1)),"",IF((AND(FIND('112'!$M$9,G787,1)&gt;=1,$B787&gt;='112'!$N$8,$B787&lt;='112'!$O$8,OR($L787='112'!$I$6,$M787='112'!$I$6))),"x",""))</f>
        <v/>
      </c>
      <c r="S787" s="39" t="str">
        <f>IF(ISERROR(FIND('112'!$M$9,G787,1)),"",IF((AND(LEFT(G787,2)=LEFT('112'!$M$9,2),B787&lt;'112'!$N$8,$L787='112'!$I$6)),"x",""))</f>
        <v/>
      </c>
      <c r="T787" s="39" t="str">
        <f>IF(ISERROR(FIND('112'!$M$9,G787,1)),"",IF((AND(RIGHT(G787,2)=RIGHT('112'!$M$9,2),B787&lt;'112'!$N$8,$M787='112'!$I$6)),"x",""))</f>
        <v/>
      </c>
      <c r="U787" s="39" t="str">
        <f>IF(AND('3411-CT'!$F$9=H787,OR(LEFT(L787,3)=$U$7,LEFT(M787,3)=$U$7)),"x","")</f>
        <v/>
      </c>
      <c r="V787" s="39" t="str">
        <f>IF(OR(TH!L787=TH!$V$7,M787=TH!$V$7),"x","")</f>
        <v/>
      </c>
      <c r="W787" s="39" t="str">
        <f>IF(AND(OR(L787="131",M787="131"),H787='131-CT'!$E$7),"x","")</f>
        <v/>
      </c>
      <c r="X787" s="39" t="str">
        <f>IF(AND(B787&gt;='IN-NX'!$P$3,B787&lt;='IN-NX'!$Q$3,'IN-NX'!$D$7=D787,OR(LEFT(TH!L787,2)="15",LEFT(TH!M787,2)="15")),"x","")</f>
        <v/>
      </c>
      <c r="Y787" s="39" t="str">
        <f>IF(AND(OR(LEFT(TH!L787,2)="15",LEFT(TH!M787,2)="15"),'152-CT'!$J$8=TH!F787),"x","")</f>
        <v/>
      </c>
      <c r="Z787" s="39" t="str">
        <f>IF(AND(OR(LEFT(TH!L787,2)="15",LEFT(TH!M787,2)="15"),TK!$E$7=TH!F787),"x","")</f>
        <v/>
      </c>
      <c r="AA787" s="39" t="str">
        <f>IF(AND(B787&lt;=NKC!$N$8,B787&gt;=NKC!$M$8),"x","")</f>
        <v/>
      </c>
    </row>
    <row r="788" spans="1:29" s="739" customFormat="1" ht="15.75" customHeight="1">
      <c r="A788" s="218" t="str">
        <f>IF(B788&lt;&gt;"",IF(AND(B788&gt;=_TM1,B788&lt;=_TM2,OR(TH!L788="1111",TH!M788="1111")),TH!D788,""),"")</f>
        <v/>
      </c>
      <c r="B788" s="36" t="str">
        <f t="shared" si="38"/>
        <v/>
      </c>
      <c r="C788" s="37"/>
      <c r="D788" s="194"/>
      <c r="E788" s="194"/>
      <c r="F788" s="202"/>
      <c r="G788" s="202"/>
      <c r="H788" s="206"/>
      <c r="I788" s="276"/>
      <c r="J788" s="276"/>
      <c r="K788" s="748"/>
      <c r="L788" s="935"/>
      <c r="M788" s="935"/>
      <c r="N788" s="39" t="str">
        <f>IF(AND('331-CT'!$E$7=TH!H788,OR(L788="331",M788="331")),"x","")</f>
        <v/>
      </c>
      <c r="O788" s="39" t="str">
        <f>IF(AND($B788&gt;='111'!$N$11,$B788&lt;='111'!$O$11,OR($L788=$O$7,$M788=$O$7)),"x","")</f>
        <v/>
      </c>
      <c r="P788" s="39" t="str">
        <f>IF(AND($L788=$O$7,$B788&lt;'111'!$N$11),"x","")</f>
        <v/>
      </c>
      <c r="Q788" s="39" t="str">
        <f>IF(AND($M788=$O$7,$B788&lt;'111'!$N$11),"x","")</f>
        <v/>
      </c>
      <c r="R788" s="39" t="str">
        <f>IF(ISERROR(FIND('112'!$M$9,G788,1)),"",IF((AND(FIND('112'!$M$9,G788,1)&gt;=1,$B788&gt;='112'!$N$8,$B788&lt;='112'!$O$8,OR($L788='112'!$I$6,$M788='112'!$I$6))),"x",""))</f>
        <v/>
      </c>
      <c r="S788" s="39" t="str">
        <f>IF(ISERROR(FIND('112'!$M$9,G788,1)),"",IF((AND(LEFT(G788,2)=LEFT('112'!$M$9,2),B788&lt;'112'!$N$8,$L788='112'!$I$6)),"x",""))</f>
        <v/>
      </c>
      <c r="T788" s="39" t="str">
        <f>IF(ISERROR(FIND('112'!$M$9,G788,1)),"",IF((AND(RIGHT(G788,2)=RIGHT('112'!$M$9,2),B788&lt;'112'!$N$8,$M788='112'!$I$6)),"x",""))</f>
        <v/>
      </c>
      <c r="U788" s="39" t="str">
        <f>IF(AND('3411-CT'!$F$9=H788,OR(LEFT(L788,3)=$U$7,LEFT(M788,3)=$U$7)),"x","")</f>
        <v/>
      </c>
      <c r="V788" s="39" t="str">
        <f>IF(OR(TH!L788=TH!$V$7,M788=TH!$V$7),"x","")</f>
        <v/>
      </c>
      <c r="W788" s="39" t="str">
        <f>IF(AND(OR(L788="131",M788="131"),H788='131-CT'!$E$7),"x","")</f>
        <v/>
      </c>
      <c r="X788" s="39" t="str">
        <f>IF(AND(B788&gt;='IN-NX'!$P$3,B788&lt;='IN-NX'!$Q$3,'IN-NX'!$D$7=D788,OR(LEFT(TH!L788,2)="15",LEFT(TH!M788,2)="15")),"x","")</f>
        <v/>
      </c>
      <c r="Y788" s="39" t="str">
        <f>IF(AND(OR(LEFT(TH!L788,2)="15",LEFT(TH!M788,2)="15"),'152-CT'!$J$8=TH!F788),"x","")</f>
        <v/>
      </c>
      <c r="Z788" s="39" t="str">
        <f>IF(AND(OR(LEFT(TH!L788,2)="15",LEFT(TH!M788,2)="15"),TK!$E$7=TH!F788),"x","")</f>
        <v/>
      </c>
      <c r="AA788" s="39" t="str">
        <f>IF(AND(B788&lt;=NKC!$N$8,B788&gt;=NKC!$M$8),"x","")</f>
        <v/>
      </c>
    </row>
    <row r="789" spans="1:29" s="739" customFormat="1" ht="15.75" customHeight="1">
      <c r="A789" s="218" t="str">
        <f>IF(B789&lt;&gt;"",IF(AND(B789&gt;=_TM1,B789&lt;=_TM2,OR(TH!L789="1111",TH!M789="1111")),TH!D789,""),"")</f>
        <v/>
      </c>
      <c r="B789" s="36" t="str">
        <f t="shared" si="38"/>
        <v/>
      </c>
      <c r="C789" s="37"/>
      <c r="D789" s="194"/>
      <c r="E789" s="194"/>
      <c r="F789" s="202"/>
      <c r="G789" s="202"/>
      <c r="H789" s="206"/>
      <c r="I789" s="276"/>
      <c r="J789" s="276"/>
      <c r="K789" s="748"/>
      <c r="L789" s="935"/>
      <c r="M789" s="935"/>
      <c r="N789" s="39" t="str">
        <f>IF(AND('331-CT'!$E$7=TH!H789,OR(L789="331",M789="331")),"x","")</f>
        <v/>
      </c>
      <c r="O789" s="39" t="str">
        <f>IF(AND($B789&gt;='111'!$N$11,$B789&lt;='111'!$O$11,OR($L789=$O$7,$M789=$O$7)),"x","")</f>
        <v/>
      </c>
      <c r="P789" s="39" t="str">
        <f>IF(AND($L789=$O$7,$B789&lt;'111'!$N$11),"x","")</f>
        <v/>
      </c>
      <c r="Q789" s="39" t="str">
        <f>IF(AND($M789=$O$7,$B789&lt;'111'!$N$11),"x","")</f>
        <v/>
      </c>
      <c r="R789" s="39" t="str">
        <f>IF(ISERROR(FIND('112'!$M$9,G789,1)),"",IF((AND(FIND('112'!$M$9,G789,1)&gt;=1,$B789&gt;='112'!$N$8,$B789&lt;='112'!$O$8,OR($L789='112'!$I$6,$M789='112'!$I$6))),"x",""))</f>
        <v/>
      </c>
      <c r="S789" s="39" t="str">
        <f>IF(ISERROR(FIND('112'!$M$9,G789,1)),"",IF((AND(LEFT(G789,2)=LEFT('112'!$M$9,2),B789&lt;'112'!$N$8,$L789='112'!$I$6)),"x",""))</f>
        <v/>
      </c>
      <c r="T789" s="39" t="str">
        <f>IF(ISERROR(FIND('112'!$M$9,G789,1)),"",IF((AND(RIGHT(G789,2)=RIGHT('112'!$M$9,2),B789&lt;'112'!$N$8,$M789='112'!$I$6)),"x",""))</f>
        <v/>
      </c>
      <c r="U789" s="39" t="str">
        <f>IF(AND('3411-CT'!$F$9=H789,OR(LEFT(L789,3)=$U$7,LEFT(M789,3)=$U$7)),"x","")</f>
        <v/>
      </c>
      <c r="V789" s="39" t="str">
        <f>IF(OR(TH!L789=TH!$V$7,M789=TH!$V$7),"x","")</f>
        <v/>
      </c>
      <c r="W789" s="39" t="str">
        <f>IF(AND(OR(L789="131",M789="131"),H789='131-CT'!$E$7),"x","")</f>
        <v/>
      </c>
      <c r="X789" s="39" t="str">
        <f>IF(AND(B789&gt;='IN-NX'!$P$3,B789&lt;='IN-NX'!$Q$3,'IN-NX'!$D$7=D789,OR(LEFT(TH!L789,2)="15",LEFT(TH!M789,2)="15")),"x","")</f>
        <v/>
      </c>
      <c r="Y789" s="39" t="str">
        <f>IF(AND(OR(LEFT(TH!L789,2)="15",LEFT(TH!M789,2)="15"),'152-CT'!$J$8=TH!F789),"x","")</f>
        <v/>
      </c>
      <c r="Z789" s="39" t="str">
        <f>IF(AND(OR(LEFT(TH!L789,2)="15",LEFT(TH!M789,2)="15"),TK!$E$7=TH!F789),"x","")</f>
        <v/>
      </c>
      <c r="AA789" s="39" t="str">
        <f>IF(AND(B789&lt;=NKC!$N$8,B789&gt;=NKC!$M$8),"x","")</f>
        <v/>
      </c>
    </row>
    <row r="790" spans="1:29" s="739" customFormat="1" ht="15.75" customHeight="1">
      <c r="A790" s="218" t="str">
        <f>IF(B790&lt;&gt;"",IF(AND(B790&gt;=_TM1,B790&lt;=_TM2,OR(TH!L790="1111",TH!M790="1111")),TH!D790,""),"")</f>
        <v/>
      </c>
      <c r="B790" s="36" t="str">
        <f t="shared" si="38"/>
        <v/>
      </c>
      <c r="C790" s="37"/>
      <c r="D790" s="194"/>
      <c r="E790" s="194"/>
      <c r="F790" s="202"/>
      <c r="G790" s="623"/>
      <c r="H790" s="206"/>
      <c r="I790" s="276"/>
      <c r="J790" s="276"/>
      <c r="K790" s="748"/>
      <c r="L790" s="935"/>
      <c r="M790" s="935"/>
      <c r="N790" s="39" t="str">
        <f>IF(AND('331-CT'!$E$7=TH!H790,OR(L790="331",M790="331")),"x","")</f>
        <v/>
      </c>
      <c r="O790" s="39" t="str">
        <f>IF(AND($B790&gt;='111'!$N$11,$B790&lt;='111'!$O$11,OR($L790=$O$7,$M790=$O$7)),"x","")</f>
        <v/>
      </c>
      <c r="P790" s="39" t="str">
        <f>IF(AND($L790=$O$7,$B790&lt;'111'!$N$11),"x","")</f>
        <v/>
      </c>
      <c r="Q790" s="39" t="str">
        <f>IF(AND($M790=$O$7,$B790&lt;'111'!$N$11),"x","")</f>
        <v/>
      </c>
      <c r="R790" s="39" t="str">
        <f>IF(ISERROR(FIND('112'!$M$9,G790,1)),"",IF((AND(FIND('112'!$M$9,G790,1)&gt;=1,$B790&gt;='112'!$N$8,$B790&lt;='112'!$O$8,OR($L790='112'!$I$6,$M790='112'!$I$6))),"x",""))</f>
        <v/>
      </c>
      <c r="S790" s="39" t="str">
        <f>IF(ISERROR(FIND('112'!$M$9,G790,1)),"",IF((AND(LEFT(G790,2)=LEFT('112'!$M$9,2),B790&lt;'112'!$N$8,$L790='112'!$I$6)),"x",""))</f>
        <v/>
      </c>
      <c r="T790" s="39" t="str">
        <f>IF(ISERROR(FIND('112'!$M$9,G790,1)),"",IF((AND(RIGHT(G790,2)=RIGHT('112'!$M$9,2),B790&lt;'112'!$N$8,$M790='112'!$I$6)),"x",""))</f>
        <v/>
      </c>
      <c r="U790" s="39" t="str">
        <f>IF(AND('3411-CT'!$F$9=H790,OR(LEFT(L790,3)=$U$7,LEFT(M790,3)=$U$7)),"x","")</f>
        <v/>
      </c>
      <c r="V790" s="39" t="str">
        <f>IF(OR(TH!L790=TH!$V$7,M790=TH!$V$7),"x","")</f>
        <v/>
      </c>
      <c r="W790" s="39" t="str">
        <f>IF(AND(OR(L790="131",M790="131"),H790='131-CT'!$E$7),"x","")</f>
        <v/>
      </c>
      <c r="X790" s="39" t="str">
        <f>IF(AND(B790&gt;='IN-NX'!$P$3,B790&lt;='IN-NX'!$Q$3,'IN-NX'!$D$7=D790,OR(LEFT(TH!L790,2)="15",LEFT(TH!M790,2)="15")),"x","")</f>
        <v/>
      </c>
      <c r="Y790" s="39" t="str">
        <f>IF(AND(OR(LEFT(TH!L790,2)="15",LEFT(TH!M790,2)="15"),'152-CT'!$J$8=TH!F790),"x","")</f>
        <v/>
      </c>
      <c r="Z790" s="39" t="str">
        <f>IF(AND(OR(LEFT(TH!L790,2)="15",LEFT(TH!M790,2)="15"),TK!$E$7=TH!F790),"x","")</f>
        <v/>
      </c>
      <c r="AA790" s="39" t="str">
        <f>IF(AND(B790&lt;=NKC!$N$8,B790&gt;=NKC!$M$8),"x","")</f>
        <v/>
      </c>
    </row>
    <row r="791" spans="1:29" s="739" customFormat="1" ht="15.75" customHeight="1">
      <c r="A791" s="218" t="str">
        <f>IF(B791&lt;&gt;"",IF(AND(B791&gt;=_TM1,B791&lt;=_TM2,OR(TH!L791="1111",TH!M791="1111")),TH!D791,""),"")</f>
        <v/>
      </c>
      <c r="B791" s="36" t="str">
        <f t="shared" si="38"/>
        <v/>
      </c>
      <c r="C791" s="37"/>
      <c r="D791" s="194"/>
      <c r="E791" s="194"/>
      <c r="F791" s="202"/>
      <c r="G791" s="202"/>
      <c r="H791" s="206"/>
      <c r="I791" s="276"/>
      <c r="J791" s="276"/>
      <c r="K791" s="748"/>
      <c r="L791" s="749"/>
      <c r="M791" s="934"/>
      <c r="N791" s="39" t="str">
        <f>IF(AND('331-CT'!$E$7=TH!H791,OR(L791="331",M791="331")),"x","")</f>
        <v/>
      </c>
      <c r="O791" s="39" t="str">
        <f>IF(AND($B791&gt;='111'!$N$11,$B791&lt;='111'!$O$11,OR($L791=$O$7,$M791=$O$7)),"x","")</f>
        <v/>
      </c>
      <c r="P791" s="39" t="str">
        <f>IF(AND($L791=$O$7,$B791&lt;'111'!$N$11),"x","")</f>
        <v/>
      </c>
      <c r="Q791" s="39" t="str">
        <f>IF(AND($M791=$O$7,$B791&lt;'111'!$N$11),"x","")</f>
        <v/>
      </c>
      <c r="R791" s="39" t="str">
        <f>IF(ISERROR(FIND('112'!$M$9,G791,1)),"",IF((AND(FIND('112'!$M$9,G791,1)&gt;=1,$B791&gt;='112'!$N$8,$B791&lt;='112'!$O$8,OR($L791='112'!$I$6,$M791='112'!$I$6))),"x",""))</f>
        <v/>
      </c>
      <c r="S791" s="39" t="str">
        <f>IF(ISERROR(FIND('112'!$M$9,G791,1)),"",IF((AND(LEFT(G791,2)=LEFT('112'!$M$9,2),B791&lt;'112'!$N$8,$L791='112'!$I$6)),"x",""))</f>
        <v/>
      </c>
      <c r="T791" s="39" t="str">
        <f>IF(ISERROR(FIND('112'!$M$9,G791,1)),"",IF((AND(RIGHT(G791,2)=RIGHT('112'!$M$9,2),B791&lt;'112'!$N$8,$M791='112'!$I$6)),"x",""))</f>
        <v/>
      </c>
      <c r="U791" s="39" t="str">
        <f>IF(AND('3411-CT'!$F$9=H791,OR(LEFT(L791,3)=$U$7,LEFT(M791,3)=$U$7)),"x","")</f>
        <v/>
      </c>
      <c r="V791" s="39" t="str">
        <f>IF(OR(TH!L791=TH!$V$7,M791=TH!$V$7),"x","")</f>
        <v/>
      </c>
      <c r="W791" s="39" t="str">
        <f>IF(AND(OR(L791="131",M791="131"),H791='131-CT'!$E$7),"x","")</f>
        <v/>
      </c>
      <c r="X791" s="39" t="str">
        <f>IF(AND(B791&gt;='IN-NX'!$P$3,B791&lt;='IN-NX'!$Q$3,'IN-NX'!$D$7=D791,OR(LEFT(TH!L791,2)="15",LEFT(TH!M791,2)="15")),"x","")</f>
        <v/>
      </c>
      <c r="Y791" s="39" t="str">
        <f>IF(AND(OR(LEFT(TH!L791,2)="15",LEFT(TH!M791,2)="15"),'152-CT'!$J$8=TH!F791),"x","")</f>
        <v/>
      </c>
      <c r="Z791" s="39" t="str">
        <f>IF(AND(OR(LEFT(TH!L791,2)="15",LEFT(TH!M791,2)="15"),TK!$E$7=TH!F791),"x","")</f>
        <v/>
      </c>
      <c r="AA791" s="39" t="str">
        <f>IF(AND(B791&lt;=NKC!$N$8,B791&gt;=NKC!$M$8),"x","")</f>
        <v/>
      </c>
    </row>
    <row r="792" spans="1:29" s="739" customFormat="1" ht="15.75" customHeight="1">
      <c r="A792" s="218" t="str">
        <f>IF(B792&lt;&gt;"",IF(AND(B792&gt;=_TM1,B792&lt;=_TM2,OR(TH!L792="1111",TH!M792="1111")),TH!D792,""),"")</f>
        <v/>
      </c>
      <c r="B792" s="36" t="str">
        <f t="shared" si="38"/>
        <v/>
      </c>
      <c r="C792" s="37"/>
      <c r="D792" s="204"/>
      <c r="E792" s="194"/>
      <c r="F792" s="202"/>
      <c r="G792" s="623"/>
      <c r="H792" s="7"/>
      <c r="I792" s="276"/>
      <c r="J792" s="276"/>
      <c r="K792" s="748"/>
      <c r="L792" s="935"/>
      <c r="M792" s="749"/>
      <c r="N792" s="39" t="str">
        <f>IF(AND('331-CT'!$E$7=TH!H792,OR(L792="331",M792="331")),"x","")</f>
        <v/>
      </c>
      <c r="O792" s="39" t="str">
        <f>IF(AND($B792&gt;='111'!$N$11,$B792&lt;='111'!$O$11,OR($L792=$O$7,$M792=$O$7)),"x","")</f>
        <v/>
      </c>
      <c r="P792" s="39" t="str">
        <f>IF(AND($L792=$O$7,$B792&lt;'111'!$N$11),"x","")</f>
        <v/>
      </c>
      <c r="Q792" s="39" t="str">
        <f>IF(AND($M792=$O$7,$B792&lt;'111'!$N$11),"x","")</f>
        <v/>
      </c>
      <c r="R792" s="39" t="str">
        <f>IF(ISERROR(FIND('112'!$M$9,G792,1)),"",IF((AND(FIND('112'!$M$9,G792,1)&gt;=1,$B792&gt;='112'!$N$8,$B792&lt;='112'!$O$8,OR($L792='112'!$I$6,$M792='112'!$I$6))),"x",""))</f>
        <v/>
      </c>
      <c r="S792" s="39" t="str">
        <f>IF(ISERROR(FIND('112'!$M$9,G792,1)),"",IF((AND(LEFT(G792,2)=LEFT('112'!$M$9,2),B792&lt;'112'!$N$8,$L792='112'!$I$6)),"x",""))</f>
        <v/>
      </c>
      <c r="T792" s="39" t="str">
        <f>IF(ISERROR(FIND('112'!$M$9,G792,1)),"",IF((AND(RIGHT(G792,2)=RIGHT('112'!$M$9,2),B792&lt;'112'!$N$8,$M792='112'!$I$6)),"x",""))</f>
        <v/>
      </c>
      <c r="U792" s="39" t="str">
        <f>IF(AND('3411-CT'!$F$9=H792,OR(LEFT(L792,3)=$U$7,LEFT(M792,3)=$U$7)),"x","")</f>
        <v/>
      </c>
      <c r="V792" s="39" t="str">
        <f>IF(OR(TH!L792=TH!$V$7,M792=TH!$V$7),"x","")</f>
        <v/>
      </c>
      <c r="W792" s="39" t="str">
        <f>IF(AND(OR(L792="131",M792="131"),H792='131-CT'!$E$7),"x","")</f>
        <v/>
      </c>
      <c r="X792" s="39" t="str">
        <f>IF(AND(B792&gt;='IN-NX'!$P$3,B792&lt;='IN-NX'!$Q$3,'IN-NX'!$D$7=D792,OR(LEFT(TH!L792,2)="15",LEFT(TH!M792,2)="15")),"x","")</f>
        <v/>
      </c>
      <c r="Y792" s="39" t="str">
        <f>IF(AND(OR(LEFT(TH!L792,2)="15",LEFT(TH!M792,2)="15"),'152-CT'!$J$8=TH!F792),"x","")</f>
        <v/>
      </c>
      <c r="Z792" s="39" t="str">
        <f>IF(AND(OR(LEFT(TH!L792,2)="15",LEFT(TH!M792,2)="15"),TK!$E$7=TH!F792),"x","")</f>
        <v/>
      </c>
      <c r="AA792" s="39" t="str">
        <f>IF(AND(B792&lt;=NKC!$N$8,B792&gt;=NKC!$M$8),"x","")</f>
        <v/>
      </c>
      <c r="AC792" s="225"/>
    </row>
    <row r="793" spans="1:29" s="739" customFormat="1" ht="15.75" customHeight="1">
      <c r="A793" s="218" t="str">
        <f>IF(B793&lt;&gt;"",IF(AND(B793&gt;=_TM1,B793&lt;=_TM2,OR(TH!L793="1111",TH!M793="1111")),TH!D793,""),"")</f>
        <v/>
      </c>
      <c r="B793" s="36" t="str">
        <f t="shared" si="38"/>
        <v/>
      </c>
      <c r="C793" s="37"/>
      <c r="D793" s="204"/>
      <c r="E793" s="194"/>
      <c r="F793" s="202"/>
      <c r="G793" s="202"/>
      <c r="H793" s="7"/>
      <c r="I793" s="276"/>
      <c r="J793" s="276"/>
      <c r="K793" s="748"/>
      <c r="L793" s="935"/>
      <c r="M793" s="749"/>
      <c r="N793" s="39" t="str">
        <f>IF(AND('331-CT'!$E$7=TH!H793,OR(L793="331",M793="331")),"x","")</f>
        <v/>
      </c>
      <c r="O793" s="39" t="str">
        <f>IF(AND($B793&gt;='111'!$N$11,$B793&lt;='111'!$O$11,OR($L793=$O$7,$M793=$O$7)),"x","")</f>
        <v/>
      </c>
      <c r="P793" s="39" t="str">
        <f>IF(AND($L793=$O$7,$B793&lt;'111'!$N$11),"x","")</f>
        <v/>
      </c>
      <c r="Q793" s="39" t="str">
        <f>IF(AND($M793=$O$7,$B793&lt;'111'!$N$11),"x","")</f>
        <v/>
      </c>
      <c r="R793" s="39" t="str">
        <f>IF(ISERROR(FIND('112'!$M$9,G793,1)),"",IF((AND(FIND('112'!$M$9,G793,1)&gt;=1,$B793&gt;='112'!$N$8,$B793&lt;='112'!$O$8,OR($L793='112'!$I$6,$M793='112'!$I$6))),"x",""))</f>
        <v/>
      </c>
      <c r="S793" s="39" t="str">
        <f>IF(ISERROR(FIND('112'!$M$9,G793,1)),"",IF((AND(LEFT(G793,2)=LEFT('112'!$M$9,2),B793&lt;'112'!$N$8,$L793='112'!$I$6)),"x",""))</f>
        <v/>
      </c>
      <c r="T793" s="39" t="str">
        <f>IF(ISERROR(FIND('112'!$M$9,G793,1)),"",IF((AND(RIGHT(G793,2)=RIGHT('112'!$M$9,2),B793&lt;'112'!$N$8,$M793='112'!$I$6)),"x",""))</f>
        <v/>
      </c>
      <c r="U793" s="39" t="str">
        <f>IF(AND('3411-CT'!$F$9=H793,OR(LEFT(L793,3)=$U$7,LEFT(M793,3)=$U$7)),"x","")</f>
        <v/>
      </c>
      <c r="V793" s="39" t="str">
        <f>IF(OR(TH!L793=TH!$V$7,M793=TH!$V$7),"x","")</f>
        <v/>
      </c>
      <c r="W793" s="39" t="str">
        <f>IF(AND(OR(L793="131",M793="131"),H793='131-CT'!$E$7),"x","")</f>
        <v/>
      </c>
      <c r="X793" s="39" t="str">
        <f>IF(AND(B793&gt;='IN-NX'!$P$3,B793&lt;='IN-NX'!$Q$3,'IN-NX'!$D$7=D793,OR(LEFT(TH!L793,2)="15",LEFT(TH!M793,2)="15")),"x","")</f>
        <v/>
      </c>
      <c r="Y793" s="39" t="str">
        <f>IF(AND(OR(LEFT(TH!L793,2)="15",LEFT(TH!M793,2)="15"),'152-CT'!$J$8=TH!F793),"x","")</f>
        <v/>
      </c>
      <c r="Z793" s="39" t="str">
        <f>IF(AND(OR(LEFT(TH!L793,2)="15",LEFT(TH!M793,2)="15"),TK!$E$7=TH!F793),"x","")</f>
        <v/>
      </c>
      <c r="AA793" s="39" t="str">
        <f>IF(AND(B793&lt;=NKC!$N$8,B793&gt;=NKC!$M$8),"x","")</f>
        <v/>
      </c>
    </row>
    <row r="794" spans="1:29" s="739" customFormat="1" ht="15.75" customHeight="1">
      <c r="A794" s="218" t="str">
        <f>IF(B794&lt;&gt;"",IF(AND(B794&gt;=_TM1,B794&lt;=_TM2,OR(TH!L794="1111",TH!M794="1111")),TH!D794,""),"")</f>
        <v/>
      </c>
      <c r="B794" s="36" t="str">
        <f t="shared" si="38"/>
        <v/>
      </c>
      <c r="C794" s="37"/>
      <c r="D794" s="194"/>
      <c r="E794" s="194"/>
      <c r="F794" s="202"/>
      <c r="G794" s="623"/>
      <c r="H794" s="206"/>
      <c r="I794" s="276"/>
      <c r="J794" s="276"/>
      <c r="K794" s="748"/>
      <c r="L794" s="935"/>
      <c r="M794" s="935"/>
      <c r="N794" s="39" t="str">
        <f>IF(AND('331-CT'!$E$7=TH!H794,OR(L794="331",M794="331")),"x","")</f>
        <v/>
      </c>
      <c r="O794" s="39" t="str">
        <f>IF(AND($B794&gt;='111'!$N$11,$B794&lt;='111'!$O$11,OR($L794=$O$7,$M794=$O$7)),"x","")</f>
        <v/>
      </c>
      <c r="P794" s="39" t="str">
        <f>IF(AND($L794=$O$7,$B794&lt;'111'!$N$11),"x","")</f>
        <v/>
      </c>
      <c r="Q794" s="39" t="str">
        <f>IF(AND($M794=$O$7,$B794&lt;'111'!$N$11),"x","")</f>
        <v/>
      </c>
      <c r="R794" s="39" t="str">
        <f>IF(ISERROR(FIND('112'!$M$9,G794,1)),"",IF((AND(FIND('112'!$M$9,G794,1)&gt;=1,$B794&gt;='112'!$N$8,$B794&lt;='112'!$O$8,OR($L794='112'!$I$6,$M794='112'!$I$6))),"x",""))</f>
        <v/>
      </c>
      <c r="S794" s="39" t="str">
        <f>IF(ISERROR(FIND('112'!$M$9,G794,1)),"",IF((AND(LEFT(G794,2)=LEFT('112'!$M$9,2),B794&lt;'112'!$N$8,$L794='112'!$I$6)),"x",""))</f>
        <v/>
      </c>
      <c r="T794" s="39" t="str">
        <f>IF(ISERROR(FIND('112'!$M$9,G794,1)),"",IF((AND(RIGHT(G794,2)=RIGHT('112'!$M$9,2),B794&lt;'112'!$N$8,$M794='112'!$I$6)),"x",""))</f>
        <v/>
      </c>
      <c r="U794" s="39" t="str">
        <f>IF(AND('3411-CT'!$F$9=H794,OR(LEFT(L794,3)=$U$7,LEFT(M794,3)=$U$7)),"x","")</f>
        <v/>
      </c>
      <c r="V794" s="39" t="str">
        <f>IF(OR(TH!L794=TH!$V$7,M794=TH!$V$7),"x","")</f>
        <v/>
      </c>
      <c r="W794" s="39" t="str">
        <f>IF(AND(OR(L794="131",M794="131"),H794='131-CT'!$E$7),"x","")</f>
        <v/>
      </c>
      <c r="X794" s="39" t="str">
        <f>IF(AND(B794&gt;='IN-NX'!$P$3,B794&lt;='IN-NX'!$Q$3,'IN-NX'!$D$7=D794,OR(LEFT(TH!L794,2)="15",LEFT(TH!M794,2)="15")),"x","")</f>
        <v/>
      </c>
      <c r="Y794" s="39" t="str">
        <f>IF(AND(OR(LEFT(TH!L794,2)="15",LEFT(TH!M794,2)="15"),'152-CT'!$J$8=TH!F794),"x","")</f>
        <v/>
      </c>
      <c r="Z794" s="39" t="str">
        <f>IF(AND(OR(LEFT(TH!L794,2)="15",LEFT(TH!M794,2)="15"),TK!$E$7=TH!F794),"x","")</f>
        <v/>
      </c>
      <c r="AA794" s="39" t="str">
        <f>IF(AND(B794&lt;=NKC!$N$8,B794&gt;=NKC!$M$8),"x","")</f>
        <v/>
      </c>
    </row>
    <row r="795" spans="1:29" s="739" customFormat="1" ht="15.75" customHeight="1">
      <c r="A795" s="218" t="str">
        <f>IF(B795&lt;&gt;"",IF(AND(B795&gt;=_TM1,B795&lt;=_TM2,OR(TH!L795="1111",TH!M795="1111")),TH!D795,""),"")</f>
        <v/>
      </c>
      <c r="B795" s="36" t="str">
        <f t="shared" si="38"/>
        <v/>
      </c>
      <c r="C795" s="37"/>
      <c r="D795" s="204"/>
      <c r="E795" s="194"/>
      <c r="F795" s="202"/>
      <c r="G795" s="202"/>
      <c r="H795" s="7"/>
      <c r="I795" s="276"/>
      <c r="J795" s="276"/>
      <c r="K795" s="748"/>
      <c r="L795" s="935"/>
      <c r="M795" s="749"/>
      <c r="N795" s="39" t="str">
        <f>IF(AND('331-CT'!$E$7=TH!H795,OR(L795="331",M795="331")),"x","")</f>
        <v/>
      </c>
      <c r="O795" s="39" t="str">
        <f>IF(AND($B795&gt;='111'!$N$11,$B795&lt;='111'!$O$11,OR($L795=$O$7,$M795=$O$7)),"x","")</f>
        <v/>
      </c>
      <c r="P795" s="39" t="str">
        <f>IF(AND($L795=$O$7,$B795&lt;'111'!$N$11),"x","")</f>
        <v/>
      </c>
      <c r="Q795" s="39" t="str">
        <f>IF(AND($M795=$O$7,$B795&lt;'111'!$N$11),"x","")</f>
        <v/>
      </c>
      <c r="R795" s="39" t="str">
        <f>IF(ISERROR(FIND('112'!$M$9,G795,1)),"",IF((AND(FIND('112'!$M$9,G795,1)&gt;=1,$B795&gt;='112'!$N$8,$B795&lt;='112'!$O$8,OR($L795='112'!$I$6,$M795='112'!$I$6))),"x",""))</f>
        <v/>
      </c>
      <c r="S795" s="39" t="str">
        <f>IF(ISERROR(FIND('112'!$M$9,G795,1)),"",IF((AND(LEFT(G795,2)=LEFT('112'!$M$9,2),B795&lt;'112'!$N$8,$L795='112'!$I$6)),"x",""))</f>
        <v/>
      </c>
      <c r="T795" s="39" t="str">
        <f>IF(ISERROR(FIND('112'!$M$9,G795,1)),"",IF((AND(RIGHT(G795,2)=RIGHT('112'!$M$9,2),B795&lt;'112'!$N$8,$M795='112'!$I$6)),"x",""))</f>
        <v/>
      </c>
      <c r="U795" s="39" t="str">
        <f>IF(AND('3411-CT'!$F$9=H795,OR(LEFT(L795,3)=$U$7,LEFT(M795,3)=$U$7)),"x","")</f>
        <v/>
      </c>
      <c r="V795" s="39" t="str">
        <f>IF(OR(TH!L795=TH!$V$7,M795=TH!$V$7),"x","")</f>
        <v/>
      </c>
      <c r="W795" s="39" t="str">
        <f>IF(AND(OR(L795="131",M795="131"),H795='131-CT'!$E$7),"x","")</f>
        <v/>
      </c>
      <c r="X795" s="39" t="str">
        <f>IF(AND(B795&gt;='IN-NX'!$P$3,B795&lt;='IN-NX'!$Q$3,'IN-NX'!$D$7=D795,OR(LEFT(TH!L795,2)="15",LEFT(TH!M795,2)="15")),"x","")</f>
        <v/>
      </c>
      <c r="Y795" s="39" t="str">
        <f>IF(AND(OR(LEFT(TH!L795,2)="15",LEFT(TH!M795,2)="15"),'152-CT'!$J$8=TH!F795),"x","")</f>
        <v/>
      </c>
      <c r="Z795" s="39" t="str">
        <f>IF(AND(OR(LEFT(TH!L795,2)="15",LEFT(TH!M795,2)="15"),TK!$E$7=TH!F795),"x","")</f>
        <v/>
      </c>
      <c r="AA795" s="39" t="str">
        <f>IF(AND(B795&lt;=NKC!$N$8,B795&gt;=NKC!$M$8),"x","")</f>
        <v/>
      </c>
      <c r="AC795" s="225"/>
    </row>
    <row r="796" spans="1:29" s="739" customFormat="1" ht="15.75" customHeight="1">
      <c r="A796" s="218" t="str">
        <f>IF(B796&lt;&gt;"",IF(AND(B796&gt;=_TM1,B796&lt;=_TM2,OR(TH!L796="1111",TH!M796="1111")),TH!D796,""),"")</f>
        <v/>
      </c>
      <c r="B796" s="36" t="str">
        <f t="shared" si="38"/>
        <v/>
      </c>
      <c r="C796" s="37"/>
      <c r="D796" s="204"/>
      <c r="E796" s="194"/>
      <c r="F796" s="202"/>
      <c r="G796" s="623"/>
      <c r="H796" s="7"/>
      <c r="I796" s="276"/>
      <c r="J796" s="276"/>
      <c r="K796" s="748"/>
      <c r="L796" s="935"/>
      <c r="M796" s="749"/>
      <c r="N796" s="39" t="str">
        <f>IF(AND('331-CT'!$E$7=TH!H796,OR(L796="331",M796="331")),"x","")</f>
        <v/>
      </c>
      <c r="O796" s="39" t="str">
        <f>IF(AND($B796&gt;='111'!$N$11,$B796&lt;='111'!$O$11,OR($L796=$O$7,$M796=$O$7)),"x","")</f>
        <v/>
      </c>
      <c r="P796" s="39" t="str">
        <f>IF(AND($L796=$O$7,$B796&lt;'111'!$N$11),"x","")</f>
        <v/>
      </c>
      <c r="Q796" s="39" t="str">
        <f>IF(AND($M796=$O$7,$B796&lt;'111'!$N$11),"x","")</f>
        <v/>
      </c>
      <c r="R796" s="39" t="str">
        <f>IF(ISERROR(FIND('112'!$M$9,G796,1)),"",IF((AND(FIND('112'!$M$9,G796,1)&gt;=1,$B796&gt;='112'!$N$8,$B796&lt;='112'!$O$8,OR($L796='112'!$I$6,$M796='112'!$I$6))),"x",""))</f>
        <v/>
      </c>
      <c r="S796" s="39" t="str">
        <f>IF(ISERROR(FIND('112'!$M$9,G796,1)),"",IF((AND(LEFT(G796,2)=LEFT('112'!$M$9,2),B796&lt;'112'!$N$8,$L796='112'!$I$6)),"x",""))</f>
        <v/>
      </c>
      <c r="T796" s="39" t="str">
        <f>IF(ISERROR(FIND('112'!$M$9,G796,1)),"",IF((AND(RIGHT(G796,2)=RIGHT('112'!$M$9,2),B796&lt;'112'!$N$8,$M796='112'!$I$6)),"x",""))</f>
        <v/>
      </c>
      <c r="U796" s="39" t="str">
        <f>IF(AND('3411-CT'!$F$9=H796,OR(LEFT(L796,3)=$U$7,LEFT(M796,3)=$U$7)),"x","")</f>
        <v/>
      </c>
      <c r="V796" s="39" t="str">
        <f>IF(OR(TH!L796=TH!$V$7,M796=TH!$V$7),"x","")</f>
        <v/>
      </c>
      <c r="W796" s="39" t="str">
        <f>IF(AND(OR(L796="131",M796="131"),H796='131-CT'!$E$7),"x","")</f>
        <v/>
      </c>
      <c r="X796" s="39" t="str">
        <f>IF(AND(B796&gt;='IN-NX'!$P$3,B796&lt;='IN-NX'!$Q$3,'IN-NX'!$D$7=D796,OR(LEFT(TH!L796,2)="15",LEFT(TH!M796,2)="15")),"x","")</f>
        <v/>
      </c>
      <c r="Y796" s="39" t="str">
        <f>IF(AND(OR(LEFT(TH!L796,2)="15",LEFT(TH!M796,2)="15"),'152-CT'!$J$8=TH!F796),"x","")</f>
        <v/>
      </c>
      <c r="Z796" s="39" t="str">
        <f>IF(AND(OR(LEFT(TH!L796,2)="15",LEFT(TH!M796,2)="15"),TK!$E$7=TH!F796),"x","")</f>
        <v/>
      </c>
      <c r="AA796" s="39" t="str">
        <f>IF(AND(B796&lt;=NKC!$N$8,B796&gt;=NKC!$M$8),"x","")</f>
        <v/>
      </c>
    </row>
    <row r="797" spans="1:29" s="739" customFormat="1" ht="15.75" customHeight="1">
      <c r="A797" s="218" t="str">
        <f>IF(B797&lt;&gt;"",IF(AND(B797&gt;=_TM1,B797&lt;=_TM2,OR(TH!L797="1111",TH!M797="1111")),TH!D797,""),"")</f>
        <v/>
      </c>
      <c r="B797" s="36" t="str">
        <f t="shared" si="38"/>
        <v/>
      </c>
      <c r="C797" s="37"/>
      <c r="D797" s="194"/>
      <c r="E797" s="194"/>
      <c r="F797" s="202"/>
      <c r="G797" s="202"/>
      <c r="H797" s="206"/>
      <c r="I797" s="276"/>
      <c r="J797" s="276"/>
      <c r="K797" s="748"/>
      <c r="L797" s="935"/>
      <c r="M797" s="935"/>
      <c r="N797" s="39" t="str">
        <f>IF(AND('331-CT'!$E$7=TH!H797,OR(L797="331",M797="331")),"x","")</f>
        <v/>
      </c>
      <c r="O797" s="39" t="str">
        <f>IF(AND($B797&gt;='111'!$N$11,$B797&lt;='111'!$O$11,OR($L797=$O$7,$M797=$O$7)),"x","")</f>
        <v/>
      </c>
      <c r="P797" s="39" t="str">
        <f>IF(AND($L797=$O$7,$B797&lt;'111'!$N$11),"x","")</f>
        <v/>
      </c>
      <c r="Q797" s="39" t="str">
        <f>IF(AND($M797=$O$7,$B797&lt;'111'!$N$11),"x","")</f>
        <v/>
      </c>
      <c r="R797" s="39" t="str">
        <f>IF(ISERROR(FIND('112'!$M$9,G797,1)),"",IF((AND(FIND('112'!$M$9,G797,1)&gt;=1,$B797&gt;='112'!$N$8,$B797&lt;='112'!$O$8,OR($L797='112'!$I$6,$M797='112'!$I$6))),"x",""))</f>
        <v/>
      </c>
      <c r="S797" s="39" t="str">
        <f>IF(ISERROR(FIND('112'!$M$9,G797,1)),"",IF((AND(LEFT(G797,2)=LEFT('112'!$M$9,2),B797&lt;'112'!$N$8,$L797='112'!$I$6)),"x",""))</f>
        <v/>
      </c>
      <c r="T797" s="39" t="str">
        <f>IF(ISERROR(FIND('112'!$M$9,G797,1)),"",IF((AND(RIGHT(G797,2)=RIGHT('112'!$M$9,2),B797&lt;'112'!$N$8,$M797='112'!$I$6)),"x",""))</f>
        <v/>
      </c>
      <c r="U797" s="39" t="str">
        <f>IF(AND('3411-CT'!$F$9=H797,OR(LEFT(L797,3)=$U$7,LEFT(M797,3)=$U$7)),"x","")</f>
        <v/>
      </c>
      <c r="V797" s="39" t="str">
        <f>IF(OR(TH!L797=TH!$V$7,M797=TH!$V$7),"x","")</f>
        <v/>
      </c>
      <c r="W797" s="39" t="str">
        <f>IF(AND(OR(L797="131",M797="131"),H797='131-CT'!$E$7),"x","")</f>
        <v/>
      </c>
      <c r="X797" s="39" t="str">
        <f>IF(AND(B797&gt;='IN-NX'!$P$3,B797&lt;='IN-NX'!$Q$3,'IN-NX'!$D$7=D797,OR(LEFT(TH!L797,2)="15",LEFT(TH!M797,2)="15")),"x","")</f>
        <v/>
      </c>
      <c r="Y797" s="39" t="str">
        <f>IF(AND(OR(LEFT(TH!L797,2)="15",LEFT(TH!M797,2)="15"),'152-CT'!$J$8=TH!F797),"x","")</f>
        <v/>
      </c>
      <c r="Z797" s="39" t="str">
        <f>IF(AND(OR(LEFT(TH!L797,2)="15",LEFT(TH!M797,2)="15"),TK!$E$7=TH!F797),"x","")</f>
        <v/>
      </c>
      <c r="AA797" s="39" t="str">
        <f>IF(AND(B797&lt;=NKC!$N$8,B797&gt;=NKC!$M$8),"x","")</f>
        <v/>
      </c>
    </row>
    <row r="798" spans="1:29" s="739" customFormat="1" ht="15.75" customHeight="1">
      <c r="A798" s="218" t="str">
        <f>IF(B798&lt;&gt;"",IF(AND(B798&gt;=_TM1,B798&lt;=_TM2,OR(TH!L798="1111",TH!M798="1111")),TH!D798,""),"")</f>
        <v/>
      </c>
      <c r="B798" s="36" t="str">
        <f t="shared" si="38"/>
        <v/>
      </c>
      <c r="C798" s="37"/>
      <c r="D798" s="194"/>
      <c r="E798" s="194"/>
      <c r="F798" s="202"/>
      <c r="G798" s="623"/>
      <c r="H798" s="206"/>
      <c r="I798" s="276"/>
      <c r="J798" s="276"/>
      <c r="K798" s="748"/>
      <c r="L798" s="935"/>
      <c r="M798" s="935"/>
      <c r="N798" s="39" t="str">
        <f>IF(AND('331-CT'!$E$7=TH!H798,OR(L798="331",M798="331")),"x","")</f>
        <v/>
      </c>
      <c r="O798" s="39" t="str">
        <f>IF(AND($B798&gt;='111'!$N$11,$B798&lt;='111'!$O$11,OR($L798=$O$7,$M798=$O$7)),"x","")</f>
        <v/>
      </c>
      <c r="P798" s="39" t="str">
        <f>IF(AND($L798=$O$7,$B798&lt;'111'!$N$11),"x","")</f>
        <v/>
      </c>
      <c r="Q798" s="39" t="str">
        <f>IF(AND($M798=$O$7,$B798&lt;'111'!$N$11),"x","")</f>
        <v/>
      </c>
      <c r="R798" s="39" t="str">
        <f>IF(ISERROR(FIND('112'!$M$9,G798,1)),"",IF((AND(FIND('112'!$M$9,G798,1)&gt;=1,$B798&gt;='112'!$N$8,$B798&lt;='112'!$O$8,OR($L798='112'!$I$6,$M798='112'!$I$6))),"x",""))</f>
        <v/>
      </c>
      <c r="S798" s="39" t="str">
        <f>IF(ISERROR(FIND('112'!$M$9,G798,1)),"",IF((AND(LEFT(G798,2)=LEFT('112'!$M$9,2),B798&lt;'112'!$N$8,$L798='112'!$I$6)),"x",""))</f>
        <v/>
      </c>
      <c r="T798" s="39" t="str">
        <f>IF(ISERROR(FIND('112'!$M$9,G798,1)),"",IF((AND(RIGHT(G798,2)=RIGHT('112'!$M$9,2),B798&lt;'112'!$N$8,$M798='112'!$I$6)),"x",""))</f>
        <v/>
      </c>
      <c r="U798" s="39" t="str">
        <f>IF(AND('3411-CT'!$F$9=H798,OR(LEFT(L798,3)=$U$7,LEFT(M798,3)=$U$7)),"x","")</f>
        <v/>
      </c>
      <c r="V798" s="39" t="str">
        <f>IF(OR(TH!L798=TH!$V$7,M798=TH!$V$7),"x","")</f>
        <v/>
      </c>
      <c r="W798" s="39" t="str">
        <f>IF(AND(OR(L798="131",M798="131"),H798='131-CT'!$E$7),"x","")</f>
        <v/>
      </c>
      <c r="X798" s="39" t="str">
        <f>IF(AND(B798&gt;='IN-NX'!$P$3,B798&lt;='IN-NX'!$Q$3,'IN-NX'!$D$7=D798,OR(LEFT(TH!L798,2)="15",LEFT(TH!M798,2)="15")),"x","")</f>
        <v/>
      </c>
      <c r="Y798" s="39" t="str">
        <f>IF(AND(OR(LEFT(TH!L798,2)="15",LEFT(TH!M798,2)="15"),'152-CT'!$J$8=TH!F798),"x","")</f>
        <v/>
      </c>
      <c r="Z798" s="39" t="str">
        <f>IF(AND(OR(LEFT(TH!L798,2)="15",LEFT(TH!M798,2)="15"),TK!$E$7=TH!F798),"x","")</f>
        <v/>
      </c>
      <c r="AA798" s="39" t="str">
        <f>IF(AND(B798&lt;=NKC!$N$8,B798&gt;=NKC!$M$8),"x","")</f>
        <v/>
      </c>
    </row>
    <row r="799" spans="1:29" s="739" customFormat="1" ht="15.75" customHeight="1">
      <c r="A799" s="218" t="str">
        <f>IF(B799&lt;&gt;"",IF(AND(B799&gt;=_TM1,B799&lt;=_TM2,OR(TH!L799="1111",TH!M799="1111")),TH!D799,""),"")</f>
        <v/>
      </c>
      <c r="B799" s="36" t="str">
        <f t="shared" si="38"/>
        <v/>
      </c>
      <c r="C799" s="37"/>
      <c r="D799" s="194"/>
      <c r="E799" s="194"/>
      <c r="F799" s="202"/>
      <c r="G799" s="202"/>
      <c r="H799" s="206"/>
      <c r="I799" s="276"/>
      <c r="J799" s="276"/>
      <c r="K799" s="748"/>
      <c r="L799" s="935"/>
      <c r="M799" s="935"/>
      <c r="N799" s="39" t="str">
        <f>IF(AND('331-CT'!$E$7=TH!H799,OR(L799="331",M799="331")),"x","")</f>
        <v/>
      </c>
      <c r="O799" s="39" t="str">
        <f>IF(AND($B799&gt;='111'!$N$11,$B799&lt;='111'!$O$11,OR($L799=$O$7,$M799=$O$7)),"x","")</f>
        <v/>
      </c>
      <c r="P799" s="39" t="str">
        <f>IF(AND($L799=$O$7,$B799&lt;'111'!$N$11),"x","")</f>
        <v/>
      </c>
      <c r="Q799" s="39" t="str">
        <f>IF(AND($M799=$O$7,$B799&lt;'111'!$N$11),"x","")</f>
        <v/>
      </c>
      <c r="R799" s="39" t="str">
        <f>IF(ISERROR(FIND('112'!$M$9,G799,1)),"",IF((AND(FIND('112'!$M$9,G799,1)&gt;=1,$B799&gt;='112'!$N$8,$B799&lt;='112'!$O$8,OR($L799='112'!$I$6,$M799='112'!$I$6))),"x",""))</f>
        <v/>
      </c>
      <c r="S799" s="39" t="str">
        <f>IF(ISERROR(FIND('112'!$M$9,G799,1)),"",IF((AND(LEFT(G799,2)=LEFT('112'!$M$9,2),B799&lt;'112'!$N$8,$L799='112'!$I$6)),"x",""))</f>
        <v/>
      </c>
      <c r="T799" s="39" t="str">
        <f>IF(ISERROR(FIND('112'!$M$9,G799,1)),"",IF((AND(RIGHT(G799,2)=RIGHT('112'!$M$9,2),B799&lt;'112'!$N$8,$M799='112'!$I$6)),"x",""))</f>
        <v/>
      </c>
      <c r="U799" s="39" t="str">
        <f>IF(AND('3411-CT'!$F$9=H799,OR(LEFT(L799,3)=$U$7,LEFT(M799,3)=$U$7)),"x","")</f>
        <v/>
      </c>
      <c r="V799" s="39" t="str">
        <f>IF(OR(TH!L799=TH!$V$7,M799=TH!$V$7),"x","")</f>
        <v/>
      </c>
      <c r="W799" s="39" t="str">
        <f>IF(AND(OR(L799="131",M799="131"),H799='131-CT'!$E$7),"x","")</f>
        <v/>
      </c>
      <c r="X799" s="39" t="str">
        <f>IF(AND(B799&gt;='IN-NX'!$P$3,B799&lt;='IN-NX'!$Q$3,'IN-NX'!$D$7=D799,OR(LEFT(TH!L799,2)="15",LEFT(TH!M799,2)="15")),"x","")</f>
        <v/>
      </c>
      <c r="Y799" s="39" t="str">
        <f>IF(AND(OR(LEFT(TH!L799,2)="15",LEFT(TH!M799,2)="15"),'152-CT'!$J$8=TH!F799),"x","")</f>
        <v/>
      </c>
      <c r="Z799" s="39" t="str">
        <f>IF(AND(OR(LEFT(TH!L799,2)="15",LEFT(TH!M799,2)="15"),TK!$E$7=TH!F799),"x","")</f>
        <v/>
      </c>
      <c r="AA799" s="39" t="str">
        <f>IF(AND(B799&lt;=NKC!$N$8,B799&gt;=NKC!$M$8),"x","")</f>
        <v/>
      </c>
    </row>
    <row r="800" spans="1:29" s="739" customFormat="1" ht="15.75" customHeight="1">
      <c r="A800" s="218" t="str">
        <f>IF(B800&lt;&gt;"",IF(AND(B800&gt;=_TM1,B800&lt;=_TM2,OR(TH!L800="1111",TH!M800="1111")),TH!D800,""),"")</f>
        <v/>
      </c>
      <c r="B800" s="36" t="str">
        <f t="shared" si="38"/>
        <v/>
      </c>
      <c r="C800" s="37"/>
      <c r="D800" s="194"/>
      <c r="E800" s="194"/>
      <c r="F800" s="202"/>
      <c r="G800" s="623"/>
      <c r="H800" s="206"/>
      <c r="I800" s="276"/>
      <c r="J800" s="276"/>
      <c r="K800" s="748"/>
      <c r="L800" s="935"/>
      <c r="M800" s="935"/>
      <c r="N800" s="39" t="str">
        <f>IF(AND('331-CT'!$E$7=TH!H800,OR(L800="331",M800="331")),"x","")</f>
        <v/>
      </c>
      <c r="O800" s="39" t="str">
        <f>IF(AND($B800&gt;='111'!$N$11,$B800&lt;='111'!$O$11,OR($L800=$O$7,$M800=$O$7)),"x","")</f>
        <v/>
      </c>
      <c r="P800" s="39" t="str">
        <f>IF(AND($L800=$O$7,$B800&lt;'111'!$N$11),"x","")</f>
        <v/>
      </c>
      <c r="Q800" s="39" t="str">
        <f>IF(AND($M800=$O$7,$B800&lt;'111'!$N$11),"x","")</f>
        <v/>
      </c>
      <c r="R800" s="39" t="str">
        <f>IF(ISERROR(FIND('112'!$M$9,G800,1)),"",IF((AND(FIND('112'!$M$9,G800,1)&gt;=1,$B800&gt;='112'!$N$8,$B800&lt;='112'!$O$8,OR($L800='112'!$I$6,$M800='112'!$I$6))),"x",""))</f>
        <v/>
      </c>
      <c r="S800" s="39" t="str">
        <f>IF(ISERROR(FIND('112'!$M$9,G800,1)),"",IF((AND(LEFT(G800,2)=LEFT('112'!$M$9,2),B800&lt;'112'!$N$8,$L800='112'!$I$6)),"x",""))</f>
        <v/>
      </c>
      <c r="T800" s="39" t="str">
        <f>IF(ISERROR(FIND('112'!$M$9,G800,1)),"",IF((AND(RIGHT(G800,2)=RIGHT('112'!$M$9,2),B800&lt;'112'!$N$8,$M800='112'!$I$6)),"x",""))</f>
        <v/>
      </c>
      <c r="U800" s="39" t="str">
        <f>IF(AND('3411-CT'!$F$9=H800,OR(LEFT(L800,3)=$U$7,LEFT(M800,3)=$U$7)),"x","")</f>
        <v/>
      </c>
      <c r="V800" s="39" t="str">
        <f>IF(OR(TH!L800=TH!$V$7,M800=TH!$V$7),"x","")</f>
        <v/>
      </c>
      <c r="W800" s="39" t="str">
        <f>IF(AND(OR(L800="131",M800="131"),H800='131-CT'!$E$7),"x","")</f>
        <v/>
      </c>
      <c r="X800" s="39" t="str">
        <f>IF(AND(B800&gt;='IN-NX'!$P$3,B800&lt;='IN-NX'!$Q$3,'IN-NX'!$D$7=D800,OR(LEFT(TH!L800,2)="15",LEFT(TH!M800,2)="15")),"x","")</f>
        <v/>
      </c>
      <c r="Y800" s="39" t="str">
        <f>IF(AND(OR(LEFT(TH!L800,2)="15",LEFT(TH!M800,2)="15"),'152-CT'!$J$8=TH!F800),"x","")</f>
        <v/>
      </c>
      <c r="Z800" s="39" t="str">
        <f>IF(AND(OR(LEFT(TH!L800,2)="15",LEFT(TH!M800,2)="15"),TK!$E$7=TH!F800),"x","")</f>
        <v/>
      </c>
      <c r="AA800" s="39" t="str">
        <f>IF(AND(B800&lt;=NKC!$N$8,B800&gt;=NKC!$M$8),"x","")</f>
        <v/>
      </c>
    </row>
    <row r="801" spans="1:30" s="739" customFormat="1" ht="15.75" customHeight="1">
      <c r="A801" s="218" t="str">
        <f>IF(B801&lt;&gt;"",IF(AND(B801&gt;=_TM1,B801&lt;=_TM2,OR(TH!L801="1111",TH!M801="1111")),TH!D801,""),"")</f>
        <v/>
      </c>
      <c r="B801" s="36" t="str">
        <f t="shared" si="38"/>
        <v/>
      </c>
      <c r="C801" s="37"/>
      <c r="D801" s="194"/>
      <c r="E801" s="194"/>
      <c r="F801" s="202"/>
      <c r="G801" s="202"/>
      <c r="H801" s="206"/>
      <c r="I801" s="276"/>
      <c r="J801" s="276"/>
      <c r="K801" s="748"/>
      <c r="L801" s="935"/>
      <c r="M801" s="935"/>
      <c r="N801" s="39" t="str">
        <f>IF(AND('331-CT'!$E$7=TH!H801,OR(L801="331",M801="331")),"x","")</f>
        <v/>
      </c>
      <c r="O801" s="39" t="str">
        <f>IF(AND($B801&gt;='111'!$N$11,$B801&lt;='111'!$O$11,OR($L801=$O$7,$M801=$O$7)),"x","")</f>
        <v/>
      </c>
      <c r="P801" s="39" t="str">
        <f>IF(AND($L801=$O$7,$B801&lt;'111'!$N$11),"x","")</f>
        <v/>
      </c>
      <c r="Q801" s="39" t="str">
        <f>IF(AND($M801=$O$7,$B801&lt;'111'!$N$11),"x","")</f>
        <v/>
      </c>
      <c r="R801" s="39" t="str">
        <f>IF(ISERROR(FIND('112'!$M$9,G801,1)),"",IF((AND(FIND('112'!$M$9,G801,1)&gt;=1,$B801&gt;='112'!$N$8,$B801&lt;='112'!$O$8,OR($L801='112'!$I$6,$M801='112'!$I$6))),"x",""))</f>
        <v/>
      </c>
      <c r="S801" s="39" t="str">
        <f>IF(ISERROR(FIND('112'!$M$9,G801,1)),"",IF((AND(LEFT(G801,2)=LEFT('112'!$M$9,2),B801&lt;'112'!$N$8,$L801='112'!$I$6)),"x",""))</f>
        <v/>
      </c>
      <c r="T801" s="39" t="str">
        <f>IF(ISERROR(FIND('112'!$M$9,G801,1)),"",IF((AND(RIGHT(G801,2)=RIGHT('112'!$M$9,2),B801&lt;'112'!$N$8,$M801='112'!$I$6)),"x",""))</f>
        <v/>
      </c>
      <c r="U801" s="39" t="str">
        <f>IF(AND('3411-CT'!$F$9=H801,OR(LEFT(L801,3)=$U$7,LEFT(M801,3)=$U$7)),"x","")</f>
        <v/>
      </c>
      <c r="V801" s="39" t="str">
        <f>IF(OR(TH!L801=TH!$V$7,M801=TH!$V$7),"x","")</f>
        <v/>
      </c>
      <c r="W801" s="39" t="str">
        <f>IF(AND(OR(L801="131",M801="131"),H801='131-CT'!$E$7),"x","")</f>
        <v/>
      </c>
      <c r="X801" s="39" t="str">
        <f>IF(AND(B801&gt;='IN-NX'!$P$3,B801&lt;='IN-NX'!$Q$3,'IN-NX'!$D$7=D801,OR(LEFT(TH!L801,2)="15",LEFT(TH!M801,2)="15")),"x","")</f>
        <v/>
      </c>
      <c r="Y801" s="39" t="str">
        <f>IF(AND(OR(LEFT(TH!L801,2)="15",LEFT(TH!M801,2)="15"),'152-CT'!$J$8=TH!F801),"x","")</f>
        <v/>
      </c>
      <c r="Z801" s="39" t="str">
        <f>IF(AND(OR(LEFT(TH!L801,2)="15",LEFT(TH!M801,2)="15"),TK!$E$7=TH!F801),"x","")</f>
        <v/>
      </c>
      <c r="AA801" s="39" t="str">
        <f>IF(AND(B801&lt;=NKC!$N$8,B801&gt;=NKC!$M$8),"x","")</f>
        <v/>
      </c>
    </row>
    <row r="802" spans="1:30" s="739" customFormat="1" ht="15.75" customHeight="1">
      <c r="A802" s="218" t="str">
        <f>IF(B802&lt;&gt;"",IF(AND(B802&gt;=_TM1,B802&lt;=_TM2,OR(TH!L802="1111",TH!M802="1111")),TH!D802,""),"")</f>
        <v/>
      </c>
      <c r="B802" s="36" t="str">
        <f t="shared" si="38"/>
        <v/>
      </c>
      <c r="C802" s="37"/>
      <c r="D802" s="204"/>
      <c r="E802" s="204"/>
      <c r="F802" s="205"/>
      <c r="G802" s="883"/>
      <c r="H802" s="45"/>
      <c r="I802" s="276"/>
      <c r="J802" s="936"/>
      <c r="K802" s="38"/>
      <c r="L802" s="207"/>
      <c r="M802" s="207"/>
      <c r="N802" s="39" t="str">
        <f>IF(AND('331-CT'!$E$7=TH!H802,OR(L802="331",M802="331")),"x","")</f>
        <v/>
      </c>
      <c r="O802" s="39" t="str">
        <f>IF(AND($B802&gt;='111'!$N$11,$B802&lt;='111'!$O$11,OR($L802=$O$7,$M802=$O$7)),"x","")</f>
        <v/>
      </c>
      <c r="P802" s="39" t="str">
        <f>IF(AND($L802=$O$7,$B802&lt;'111'!$N$11),"x","")</f>
        <v/>
      </c>
      <c r="Q802" s="39" t="str">
        <f>IF(AND($M802=$O$7,$B802&lt;'111'!$N$11),"x","")</f>
        <v/>
      </c>
      <c r="R802" s="39" t="str">
        <f>IF(ISERROR(FIND('112'!$M$9,G802,1)),"",IF((AND(FIND('112'!$M$9,G802,1)&gt;=1,$B802&gt;='112'!$N$8,$B802&lt;='112'!$O$8,OR($L802='112'!$I$6,$M802='112'!$I$6))),"x",""))</f>
        <v/>
      </c>
      <c r="S802" s="39" t="str">
        <f>IF(ISERROR(FIND('112'!$M$9,G802,1)),"",IF((AND(LEFT(G802,2)=LEFT('112'!$M$9,2),B802&lt;'112'!$N$8,$L802='112'!$I$6)),"x",""))</f>
        <v/>
      </c>
      <c r="T802" s="39" t="str">
        <f>IF(ISERROR(FIND('112'!$M$9,G802,1)),"",IF((AND(RIGHT(G802,2)=RIGHT('112'!$M$9,2),B802&lt;'112'!$N$8,$M802='112'!$I$6)),"x",""))</f>
        <v/>
      </c>
      <c r="U802" s="39" t="str">
        <f>IF(AND('3411-CT'!$F$9=H802,OR(LEFT(L802,3)=$U$7,LEFT(M802,3)=$U$7)),"x","")</f>
        <v/>
      </c>
      <c r="V802" s="39" t="str">
        <f>IF(OR(TH!L802=TH!$V$7,M802=TH!$V$7),"x","")</f>
        <v/>
      </c>
      <c r="W802" s="39" t="str">
        <f>IF(AND(OR(L802="131",M802="131"),H802='131-CT'!$E$7),"x","")</f>
        <v/>
      </c>
      <c r="X802" s="39" t="str">
        <f>IF(AND(B802&gt;='IN-NX'!$P$3,B802&lt;='IN-NX'!$Q$3,'IN-NX'!$D$7=D802,OR(LEFT(TH!L802,2)="15",LEFT(TH!M802,2)="15")),"x","")</f>
        <v/>
      </c>
      <c r="Y802" s="39" t="str">
        <f>IF(AND(OR(LEFT(TH!L802,2)="15",LEFT(TH!M802,2)="15"),'152-CT'!$J$8=TH!F802),"x","")</f>
        <v/>
      </c>
      <c r="Z802" s="39" t="str">
        <f>IF(AND(OR(LEFT(TH!L802,2)="15",LEFT(TH!M802,2)="15"),TK!$E$7=TH!F802),"x","")</f>
        <v/>
      </c>
      <c r="AA802" s="39" t="str">
        <f>IF(AND(B802&lt;=NKC!$N$8,B802&gt;=NKC!$M$8),"x","")</f>
        <v/>
      </c>
    </row>
    <row r="803" spans="1:30" s="739" customFormat="1" ht="15.75" customHeight="1">
      <c r="A803" s="218" t="str">
        <f>IF(B803&lt;&gt;"",IF(AND(B803&gt;=_TM1,B803&lt;=_TM2,OR(TH!L803="1111",TH!M803="1111")),TH!D803,""),"")</f>
        <v/>
      </c>
      <c r="B803" s="36" t="str">
        <f t="shared" si="38"/>
        <v/>
      </c>
      <c r="C803" s="37"/>
      <c r="D803" s="37"/>
      <c r="E803" s="204"/>
      <c r="F803" s="40"/>
      <c r="G803" s="40"/>
      <c r="H803" s="45"/>
      <c r="I803" s="276"/>
      <c r="J803" s="276"/>
      <c r="K803" s="38"/>
      <c r="L803" s="39"/>
      <c r="M803" s="39"/>
      <c r="N803" s="39" t="str">
        <f>IF(AND('331-CT'!$E$7=TH!H803,OR(L803="331",M803="331")),"x","")</f>
        <v/>
      </c>
      <c r="O803" s="39" t="str">
        <f>IF(AND($B803&gt;='111'!$N$11,$B803&lt;='111'!$O$11,OR($L803=$O$7,$M803=$O$7)),"x","")</f>
        <v/>
      </c>
      <c r="P803" s="39" t="str">
        <f>IF(AND($L803=$O$7,$B803&lt;'111'!$N$11),"x","")</f>
        <v/>
      </c>
      <c r="Q803" s="39" t="str">
        <f>IF(AND($M803=$O$7,$B803&lt;'111'!$N$11),"x","")</f>
        <v/>
      </c>
      <c r="R803" s="39" t="str">
        <f>IF(ISERROR(FIND('112'!$M$9,G803,1)),"",IF((AND(FIND('112'!$M$9,G803,1)&gt;=1,$B803&gt;='112'!$N$8,$B803&lt;='112'!$O$8,OR($L803='112'!$I$6,$M803='112'!$I$6))),"x",""))</f>
        <v/>
      </c>
      <c r="S803" s="39" t="str">
        <f>IF(ISERROR(FIND('112'!$M$9,G803,1)),"",IF((AND(LEFT(G803,2)=LEFT('112'!$M$9,2),B803&lt;'112'!$N$8,$L803='112'!$I$6)),"x",""))</f>
        <v/>
      </c>
      <c r="T803" s="39" t="str">
        <f>IF(ISERROR(FIND('112'!$M$9,G803,1)),"",IF((AND(RIGHT(G803,2)=RIGHT('112'!$M$9,2),B803&lt;'112'!$N$8,$M803='112'!$I$6)),"x",""))</f>
        <v/>
      </c>
      <c r="U803" s="39" t="str">
        <f>IF(AND('3411-CT'!$F$9=H803,OR(LEFT(L803,3)=$U$7,LEFT(M803,3)=$U$7)),"x","")</f>
        <v/>
      </c>
      <c r="V803" s="39" t="str">
        <f>IF(OR(TH!L803=TH!$V$7,M803=TH!$V$7),"x","")</f>
        <v/>
      </c>
      <c r="W803" s="39" t="str">
        <f>IF(AND(OR(L803="131",M803="131"),H803='131-CT'!$E$7),"x","")</f>
        <v/>
      </c>
      <c r="X803" s="39" t="str">
        <f>IF(AND(B803&gt;='IN-NX'!$P$3,B803&lt;='IN-NX'!$Q$3,'IN-NX'!$D$7=D803,OR(LEFT(TH!L803,2)="15",LEFT(TH!M803,2)="15")),"x","")</f>
        <v/>
      </c>
      <c r="Y803" s="39" t="str">
        <f>IF(AND(OR(LEFT(TH!L803,2)="15",LEFT(TH!M803,2)="15"),'152-CT'!$J$8=TH!F803),"x","")</f>
        <v/>
      </c>
      <c r="Z803" s="39" t="str">
        <f>IF(AND(OR(LEFT(TH!L803,2)="15",LEFT(TH!M803,2)="15"),TK!$E$7=TH!F803),"x","")</f>
        <v/>
      </c>
      <c r="AA803" s="39" t="str">
        <f>IF(AND(B803&lt;=NKC!$N$8,B803&gt;=NKC!$M$8),"x","")</f>
        <v/>
      </c>
    </row>
    <row r="804" spans="1:30" s="225" customFormat="1" ht="15.75" customHeight="1">
      <c r="A804" s="218" t="str">
        <f>IF(B804&lt;&gt;"",IF(AND(B804&gt;=_TM1,B804&lt;=_TM2,OR(TH!L804="1111",TH!M804="1111")),TH!D804,""),"")</f>
        <v/>
      </c>
      <c r="B804" s="36" t="str">
        <f t="shared" si="38"/>
        <v/>
      </c>
      <c r="C804" s="37"/>
      <c r="D804" s="37"/>
      <c r="E804" s="204"/>
      <c r="F804" s="40"/>
      <c r="G804" s="40"/>
      <c r="H804" s="45"/>
      <c r="I804" s="276"/>
      <c r="J804" s="276"/>
      <c r="K804" s="38"/>
      <c r="L804" s="39"/>
      <c r="M804" s="39"/>
      <c r="N804" s="39" t="str">
        <f>IF(AND('331-CT'!$E$7=TH!H804,OR(L804="331",M804="331")),"x","")</f>
        <v/>
      </c>
      <c r="O804" s="39" t="str">
        <f>IF(AND($B804&gt;='111'!$N$11,$B804&lt;='111'!$O$11,OR($L804=$O$7,$M804=$O$7)),"x","")</f>
        <v/>
      </c>
      <c r="P804" s="39" t="str">
        <f>IF(AND($L804=$O$7,$B804&lt;'111'!$N$11),"x","")</f>
        <v/>
      </c>
      <c r="Q804" s="39" t="str">
        <f>IF(AND($M804=$O$7,$B804&lt;'111'!$N$11),"x","")</f>
        <v/>
      </c>
      <c r="R804" s="39" t="str">
        <f>IF(ISERROR(FIND('112'!$M$9,G804,1)),"",IF((AND(FIND('112'!$M$9,G804,1)&gt;=1,$B804&gt;='112'!$N$8,$B804&lt;='112'!$O$8,OR($L804='112'!$I$6,$M804='112'!$I$6))),"x",""))</f>
        <v/>
      </c>
      <c r="S804" s="39" t="str">
        <f>IF(ISERROR(FIND('112'!$M$9,G804,1)),"",IF((AND(LEFT(G804,2)=LEFT('112'!$M$9,2),B804&lt;'112'!$N$8,$L804='112'!$I$6)),"x",""))</f>
        <v/>
      </c>
      <c r="T804" s="39" t="str">
        <f>IF(ISERROR(FIND('112'!$M$9,G804,1)),"",IF((AND(RIGHT(G804,2)=RIGHT('112'!$M$9,2),B804&lt;'112'!$N$8,$M804='112'!$I$6)),"x",""))</f>
        <v/>
      </c>
      <c r="U804" s="39" t="str">
        <f>IF(AND('3411-CT'!$F$9=H804,OR(LEFT(L804,3)=$U$7,LEFT(M804,3)=$U$7)),"x","")</f>
        <v/>
      </c>
      <c r="V804" s="39" t="str">
        <f>IF(OR(TH!L804=TH!$V$7,M804=TH!$V$7),"x","")</f>
        <v/>
      </c>
      <c r="W804" s="39" t="str">
        <f>IF(AND(OR(L804="131",M804="131"),H804='131-CT'!$E$7),"x","")</f>
        <v/>
      </c>
      <c r="X804" s="39" t="str">
        <f>IF(AND(B804&gt;='IN-NX'!$P$3,B804&lt;='IN-NX'!$Q$3,'IN-NX'!$D$7=D804,OR(LEFT(TH!L804,2)="15",LEFT(TH!M804,2)="15")),"x","")</f>
        <v/>
      </c>
      <c r="Y804" s="39" t="str">
        <f>IF(AND(OR(LEFT(TH!L804,2)="15",LEFT(TH!M804,2)="15"),'152-CT'!$J$8=TH!F804),"x","")</f>
        <v/>
      </c>
      <c r="Z804" s="39" t="str">
        <f>IF(AND(OR(LEFT(TH!L804,2)="15",LEFT(TH!M804,2)="15"),TK!$E$7=TH!F804),"x","")</f>
        <v/>
      </c>
      <c r="AA804" s="39" t="str">
        <f>IF(AND(B804&lt;=NKC!$N$8,B804&gt;=NKC!$M$8),"x","")</f>
        <v/>
      </c>
    </row>
    <row r="805" spans="1:30" s="225" customFormat="1" ht="15.75" customHeight="1">
      <c r="A805" s="218" t="str">
        <f>IF(B805&lt;&gt;"",IF(AND(B805&gt;=_TM1,B805&lt;=_TM2,OR(TH!L805="1111",TH!M805="1111")),TH!D805,""),"")</f>
        <v/>
      </c>
      <c r="B805" s="36" t="str">
        <f t="shared" ref="B805:B816" si="39">IF(C805&lt;&gt;"",MONTH(C805),"")</f>
        <v/>
      </c>
      <c r="C805" s="37"/>
      <c r="D805" s="204"/>
      <c r="E805" s="204"/>
      <c r="F805" s="40"/>
      <c r="G805" s="40"/>
      <c r="H805" s="7"/>
      <c r="I805" s="276"/>
      <c r="J805" s="276"/>
      <c r="K805" s="38"/>
      <c r="L805" s="39"/>
      <c r="M805" s="749"/>
      <c r="N805" s="39" t="str">
        <f>IF(AND('331-CT'!$E$7=TH!H805,OR(L805="331",M805="331")),"x","")</f>
        <v/>
      </c>
      <c r="O805" s="39" t="str">
        <f>IF(AND($B805&gt;='111'!$N$11,$B805&lt;='111'!$O$11,OR($L805=$O$7,$M805=$O$7)),"x","")</f>
        <v/>
      </c>
      <c r="P805" s="39" t="str">
        <f>IF(AND($L805=$O$7,$B805&lt;'111'!$N$11),"x","")</f>
        <v/>
      </c>
      <c r="Q805" s="39" t="str">
        <f>IF(AND($M805=$O$7,$B805&lt;'111'!$N$11),"x","")</f>
        <v/>
      </c>
      <c r="R805" s="39" t="str">
        <f>IF(ISERROR(FIND('112'!$M$9,G805,1)),"",IF((AND(FIND('112'!$M$9,G805,1)&gt;=1,$B805&gt;='112'!$N$8,$B805&lt;='112'!$O$8,OR($L805='112'!$I$6,$M805='112'!$I$6))),"x",""))</f>
        <v/>
      </c>
      <c r="S805" s="39" t="str">
        <f>IF(ISERROR(FIND('112'!$M$9,G805,1)),"",IF((AND(LEFT(G805,2)=LEFT('112'!$M$9,2),B805&lt;'112'!$N$8,$L805='112'!$I$6)),"x",""))</f>
        <v/>
      </c>
      <c r="T805" s="39" t="str">
        <f>IF(ISERROR(FIND('112'!$M$9,G805,1)),"",IF((AND(RIGHT(G805,2)=RIGHT('112'!$M$9,2),B805&lt;'112'!$N$8,$M805='112'!$I$6)),"x",""))</f>
        <v/>
      </c>
      <c r="U805" s="39" t="str">
        <f>IF(AND('3411-CT'!$F$9=H805,OR(LEFT(L805,3)=$U$7,LEFT(M805,3)=$U$7)),"x","")</f>
        <v/>
      </c>
      <c r="V805" s="39" t="str">
        <f>IF(OR(TH!L805=TH!$V$7,M805=TH!$V$7),"x","")</f>
        <v/>
      </c>
      <c r="W805" s="39" t="str">
        <f>IF(AND(OR(L805="131",M805="131"),H805='131-CT'!$E$7),"x","")</f>
        <v/>
      </c>
      <c r="X805" s="39" t="str">
        <f>IF(AND(B805&gt;='IN-NX'!$P$3,B805&lt;='IN-NX'!$Q$3,'IN-NX'!$D$7=D805,OR(LEFT(TH!L805,2)="15",LEFT(TH!M805,2)="15")),"x","")</f>
        <v/>
      </c>
      <c r="Y805" s="39" t="str">
        <f>IF(AND(OR(LEFT(TH!L805,2)="15",LEFT(TH!M805,2)="15"),'152-CT'!$J$8=TH!F805),"x","")</f>
        <v/>
      </c>
      <c r="Z805" s="39" t="str">
        <f>IF(AND(OR(LEFT(TH!L805,2)="15",LEFT(TH!M805,2)="15"),TK!$E$7=TH!F805),"x","")</f>
        <v/>
      </c>
      <c r="AA805" s="39" t="str">
        <f>IF(AND(B805&lt;=NKC!$N$8,B805&gt;=NKC!$M$8),"x","")</f>
        <v/>
      </c>
    </row>
    <row r="806" spans="1:30" s="225" customFormat="1" ht="15.75" customHeight="1">
      <c r="A806" s="218" t="str">
        <f>IF(B806&lt;&gt;"",IF(AND(B806&gt;=_TM1,B806&lt;=_TM2,OR(TH!L806="1111",TH!M806="1111")),TH!D806,""),"")</f>
        <v/>
      </c>
      <c r="B806" s="36" t="str">
        <f t="shared" si="39"/>
        <v/>
      </c>
      <c r="C806" s="37"/>
      <c r="D806" s="204"/>
      <c r="E806" s="204"/>
      <c r="F806" s="40"/>
      <c r="G806" s="40"/>
      <c r="H806" s="7"/>
      <c r="I806" s="276"/>
      <c r="J806" s="276"/>
      <c r="K806" s="38"/>
      <c r="L806" s="39"/>
      <c r="M806" s="749"/>
      <c r="N806" s="39" t="str">
        <f>IF(AND('331-CT'!$E$7=TH!H806,OR(L806="331",M806="331")),"x","")</f>
        <v/>
      </c>
      <c r="O806" s="39" t="str">
        <f>IF(AND($B806&gt;='111'!$N$11,$B806&lt;='111'!$O$11,OR($L806=$O$7,$M806=$O$7)),"x","")</f>
        <v/>
      </c>
      <c r="P806" s="39" t="str">
        <f>IF(AND($L806=$O$7,$B806&lt;'111'!$N$11),"x","")</f>
        <v/>
      </c>
      <c r="Q806" s="39" t="str">
        <f>IF(AND($M806=$O$7,$B806&lt;'111'!$N$11),"x","")</f>
        <v/>
      </c>
      <c r="R806" s="39" t="str">
        <f>IF(ISERROR(FIND('112'!$M$9,G806,1)),"",IF((AND(FIND('112'!$M$9,G806,1)&gt;=1,$B806&gt;='112'!$N$8,$B806&lt;='112'!$O$8,OR($L806='112'!$I$6,$M806='112'!$I$6))),"x",""))</f>
        <v/>
      </c>
      <c r="S806" s="39" t="str">
        <f>IF(ISERROR(FIND('112'!$M$9,G806,1)),"",IF((AND(LEFT(G806,2)=LEFT('112'!$M$9,2),B806&lt;'112'!$N$8,$L806='112'!$I$6)),"x",""))</f>
        <v/>
      </c>
      <c r="T806" s="39" t="str">
        <f>IF(ISERROR(FIND('112'!$M$9,G806,1)),"",IF((AND(RIGHT(G806,2)=RIGHT('112'!$M$9,2),B806&lt;'112'!$N$8,$M806='112'!$I$6)),"x",""))</f>
        <v/>
      </c>
      <c r="U806" s="39" t="str">
        <f>IF(AND('3411-CT'!$F$9=H806,OR(LEFT(L806,3)=$U$7,LEFT(M806,3)=$U$7)),"x","")</f>
        <v/>
      </c>
      <c r="V806" s="39" t="str">
        <f>IF(OR(TH!L806=TH!$V$7,M806=TH!$V$7),"x","")</f>
        <v/>
      </c>
      <c r="W806" s="39" t="str">
        <f>IF(AND(OR(L806="131",M806="131"),H806='131-CT'!$E$7),"x","")</f>
        <v/>
      </c>
      <c r="X806" s="39" t="str">
        <f>IF(AND(B806&gt;='IN-NX'!$P$3,B806&lt;='IN-NX'!$Q$3,'IN-NX'!$D$7=D806,OR(LEFT(TH!L806,2)="15",LEFT(TH!M806,2)="15")),"x","")</f>
        <v/>
      </c>
      <c r="Y806" s="39" t="str">
        <f>IF(AND(OR(LEFT(TH!L806,2)="15",LEFT(TH!M806,2)="15"),'152-CT'!$J$8=TH!F806),"x","")</f>
        <v/>
      </c>
      <c r="Z806" s="39" t="str">
        <f>IF(AND(OR(LEFT(TH!L806,2)="15",LEFT(TH!M806,2)="15"),TK!$E$7=TH!F806),"x","")</f>
        <v/>
      </c>
      <c r="AA806" s="39" t="str">
        <f>IF(AND(B806&lt;=NKC!$N$8,B806&gt;=NKC!$M$8),"x","")</f>
        <v/>
      </c>
    </row>
    <row r="807" spans="1:30" s="225" customFormat="1" ht="15.75" customHeight="1">
      <c r="A807" s="218" t="str">
        <f>IF(B807&lt;&gt;"",IF(AND(B807&gt;=_TM1,B807&lt;=_TM2,OR(TH!L807="1111",TH!M807="1111")),TH!D807,""),"")</f>
        <v/>
      </c>
      <c r="B807" s="36" t="str">
        <f t="shared" si="39"/>
        <v/>
      </c>
      <c r="C807" s="37"/>
      <c r="D807" s="37"/>
      <c r="E807" s="37"/>
      <c r="F807" s="40"/>
      <c r="G807" s="40"/>
      <c r="H807" s="7"/>
      <c r="I807" s="276"/>
      <c r="J807" s="276"/>
      <c r="K807" s="38"/>
      <c r="L807" s="39"/>
      <c r="M807" s="39"/>
      <c r="N807" s="39" t="str">
        <f>IF(AND('331-CT'!$E$7=TH!H807,OR(L807="331",M807="331")),"x","")</f>
        <v/>
      </c>
      <c r="O807" s="39" t="str">
        <f>IF(AND($B807&gt;='111'!$N$11,$B807&lt;='111'!$O$11,OR($L807=$O$7,$M807=$O$7)),"x","")</f>
        <v/>
      </c>
      <c r="P807" s="39" t="str">
        <f>IF(AND($L807=$O$7,$B807&lt;'111'!$N$11),"x","")</f>
        <v/>
      </c>
      <c r="Q807" s="39" t="str">
        <f>IF(AND($M807=$O$7,$B807&lt;'111'!$N$11),"x","")</f>
        <v/>
      </c>
      <c r="R807" s="39" t="str">
        <f>IF(ISERROR(FIND('112'!$M$9,G807,1)),"",IF((AND(FIND('112'!$M$9,G807,1)&gt;=1,$B807&gt;='112'!$N$8,$B807&lt;='112'!$O$8,OR($L807='112'!$I$6,$M807='112'!$I$6))),"x",""))</f>
        <v/>
      </c>
      <c r="S807" s="39" t="str">
        <f>IF(ISERROR(FIND('112'!$M$9,G807,1)),"",IF((AND(LEFT(G807,2)=LEFT('112'!$M$9,2),B807&lt;'112'!$N$8,$L807='112'!$I$6)),"x",""))</f>
        <v/>
      </c>
      <c r="T807" s="39" t="str">
        <f>IF(ISERROR(FIND('112'!$M$9,G807,1)),"",IF((AND(RIGHT(G807,2)=RIGHT('112'!$M$9,2),B807&lt;'112'!$N$8,$M807='112'!$I$6)),"x",""))</f>
        <v/>
      </c>
      <c r="U807" s="39" t="str">
        <f>IF(AND('3411-CT'!$F$9=H807,OR(LEFT(L807,3)=$U$7,LEFT(M807,3)=$U$7)),"x","")</f>
        <v/>
      </c>
      <c r="V807" s="39" t="str">
        <f>IF(OR(TH!L807=TH!$V$7,M807=TH!$V$7),"x","")</f>
        <v/>
      </c>
      <c r="W807" s="39" t="str">
        <f>IF(AND(OR(L807="131",M807="131"),H807='131-CT'!$E$7),"x","")</f>
        <v/>
      </c>
      <c r="X807" s="39" t="str">
        <f>IF(AND(B807&gt;='IN-NX'!$P$3,B807&lt;='IN-NX'!$Q$3,'IN-NX'!$D$7=D807,OR(LEFT(TH!L807,2)="15",LEFT(TH!M807,2)="15")),"x","")</f>
        <v/>
      </c>
      <c r="Y807" s="39" t="str">
        <f>IF(AND(OR(LEFT(TH!L807,2)="15",LEFT(TH!M807,2)="15"),'152-CT'!$J$8=TH!F807),"x","")</f>
        <v/>
      </c>
      <c r="Z807" s="39" t="str">
        <f>IF(AND(OR(LEFT(TH!L807,2)="15",LEFT(TH!M807,2)="15"),TK!$E$7=TH!F807),"x","")</f>
        <v/>
      </c>
      <c r="AA807" s="39" t="str">
        <f>IF(AND(B807&lt;=NKC!$N$8,B807&gt;=NKC!$M$8),"x","")</f>
        <v/>
      </c>
      <c r="AD807" s="739"/>
    </row>
    <row r="808" spans="1:30" s="225" customFormat="1" ht="15.75" customHeight="1">
      <c r="A808" s="218" t="str">
        <f>IF(B808&lt;&gt;"",IF(AND(B808&gt;=_TM1,B808&lt;=_TM2,OR(TH!L808="1111",TH!M808="1111")),TH!D808,""),"")</f>
        <v/>
      </c>
      <c r="B808" s="36" t="str">
        <f t="shared" si="39"/>
        <v/>
      </c>
      <c r="C808" s="37"/>
      <c r="D808" s="37"/>
      <c r="E808" s="37"/>
      <c r="F808" s="40"/>
      <c r="G808" s="626"/>
      <c r="H808" s="45"/>
      <c r="I808" s="276"/>
      <c r="J808" s="276"/>
      <c r="K808" s="38"/>
      <c r="L808" s="39"/>
      <c r="M808" s="39"/>
      <c r="N808" s="39" t="str">
        <f>IF(AND('331-CT'!$E$7=TH!H808,OR(L808="331",M808="331")),"x","")</f>
        <v/>
      </c>
      <c r="O808" s="39" t="str">
        <f>IF(AND($B808&gt;='111'!$N$11,$B808&lt;='111'!$O$11,OR($L808=$O$7,$M808=$O$7)),"x","")</f>
        <v/>
      </c>
      <c r="P808" s="39" t="str">
        <f>IF(AND($L808=$O$7,$B808&lt;'111'!$N$11),"x","")</f>
        <v/>
      </c>
      <c r="Q808" s="39" t="str">
        <f>IF(AND($M808=$O$7,$B808&lt;'111'!$N$11),"x","")</f>
        <v/>
      </c>
      <c r="R808" s="39" t="str">
        <f>IF(ISERROR(FIND('112'!$M$9,G808,1)),"",IF((AND(FIND('112'!$M$9,G808,1)&gt;=1,$B808&gt;='112'!$N$8,$B808&lt;='112'!$O$8,OR($L808='112'!$I$6,$M808='112'!$I$6))),"x",""))</f>
        <v/>
      </c>
      <c r="S808" s="39" t="str">
        <f>IF(ISERROR(FIND('112'!$M$9,G808,1)),"",IF((AND(LEFT(G808,2)=LEFT('112'!$M$9,2),B808&lt;'112'!$N$8,$L808='112'!$I$6)),"x",""))</f>
        <v/>
      </c>
      <c r="T808" s="39" t="str">
        <f>IF(ISERROR(FIND('112'!$M$9,G808,1)),"",IF((AND(RIGHT(G808,2)=RIGHT('112'!$M$9,2),B808&lt;'112'!$N$8,$M808='112'!$I$6)),"x",""))</f>
        <v/>
      </c>
      <c r="U808" s="39" t="str">
        <f>IF(AND('3411-CT'!$F$9=H808,OR(LEFT(L808,3)=$U$7,LEFT(M808,3)=$U$7)),"x","")</f>
        <v/>
      </c>
      <c r="V808" s="39" t="str">
        <f>IF(OR(TH!L808=TH!$V$7,M808=TH!$V$7),"x","")</f>
        <v/>
      </c>
      <c r="W808" s="39" t="str">
        <f>IF(AND(OR(L808="131",M808="131"),H808='131-CT'!$E$7),"x","")</f>
        <v/>
      </c>
      <c r="X808" s="39" t="str">
        <f>IF(AND(B808&gt;='IN-NX'!$P$3,B808&lt;='IN-NX'!$Q$3,'IN-NX'!$D$7=D808,OR(LEFT(TH!L808,2)="15",LEFT(TH!M808,2)="15")),"x","")</f>
        <v/>
      </c>
      <c r="Y808" s="39" t="str">
        <f>IF(AND(OR(LEFT(TH!L808,2)="15",LEFT(TH!M808,2)="15"),'152-CT'!$J$8=TH!F808),"x","")</f>
        <v/>
      </c>
      <c r="Z808" s="39" t="str">
        <f>IF(AND(OR(LEFT(TH!L808,2)="15",LEFT(TH!M808,2)="15"),TK!$E$7=TH!F808),"x","")</f>
        <v/>
      </c>
      <c r="AA808" s="39" t="str">
        <f>IF(AND(B808&lt;=NKC!$N$8,B808&gt;=NKC!$M$8),"x","")</f>
        <v/>
      </c>
    </row>
    <row r="809" spans="1:30" s="225" customFormat="1" ht="15.75" customHeight="1">
      <c r="A809" s="218" t="str">
        <f>IF(B809&lt;&gt;"",IF(AND(B809&gt;=_TM1,B809&lt;=_TM2,OR(TH!L809="1111",TH!M809="1111")),TH!D809,""),"")</f>
        <v/>
      </c>
      <c r="B809" s="36" t="str">
        <f t="shared" si="39"/>
        <v/>
      </c>
      <c r="C809" s="37"/>
      <c r="D809" s="37"/>
      <c r="E809" s="37"/>
      <c r="F809" s="40"/>
      <c r="G809" s="626"/>
      <c r="H809" s="45"/>
      <c r="I809" s="276"/>
      <c r="J809" s="276"/>
      <c r="K809" s="38"/>
      <c r="L809" s="39"/>
      <c r="M809" s="39"/>
      <c r="N809" s="39" t="str">
        <f>IF(AND('331-CT'!$E$7=TH!H809,OR(L809="331",M809="331")),"x","")</f>
        <v/>
      </c>
      <c r="O809" s="39" t="str">
        <f>IF(AND($B809&gt;='111'!$N$11,$B809&lt;='111'!$O$11,OR($L809=$O$7,$M809=$O$7)),"x","")</f>
        <v/>
      </c>
      <c r="P809" s="39" t="str">
        <f>IF(AND($L809=$O$7,$B809&lt;'111'!$N$11),"x","")</f>
        <v/>
      </c>
      <c r="Q809" s="39" t="str">
        <f>IF(AND($M809=$O$7,$B809&lt;'111'!$N$11),"x","")</f>
        <v/>
      </c>
      <c r="R809" s="39" t="str">
        <f>IF(ISERROR(FIND('112'!$M$9,G809,1)),"",IF((AND(FIND('112'!$M$9,G809,1)&gt;=1,$B809&gt;='112'!$N$8,$B809&lt;='112'!$O$8,OR($L809='112'!$I$6,$M809='112'!$I$6))),"x",""))</f>
        <v/>
      </c>
      <c r="S809" s="39" t="str">
        <f>IF(ISERROR(FIND('112'!$M$9,G809,1)),"",IF((AND(LEFT(G809,2)=LEFT('112'!$M$9,2),B809&lt;'112'!$N$8,$L809='112'!$I$6)),"x",""))</f>
        <v/>
      </c>
      <c r="T809" s="39" t="str">
        <f>IF(ISERROR(FIND('112'!$M$9,G809,1)),"",IF((AND(RIGHT(G809,2)=RIGHT('112'!$M$9,2),B809&lt;'112'!$N$8,$M809='112'!$I$6)),"x",""))</f>
        <v/>
      </c>
      <c r="U809" s="39" t="str">
        <f>IF(AND('3411-CT'!$F$9=H809,OR(LEFT(L809,3)=$U$7,LEFT(M809,3)=$U$7)),"x","")</f>
        <v/>
      </c>
      <c r="V809" s="39" t="str">
        <f>IF(OR(TH!L809=TH!$V$7,M809=TH!$V$7),"x","")</f>
        <v/>
      </c>
      <c r="W809" s="39" t="str">
        <f>IF(AND(OR(L809="131",M809="131"),H809='131-CT'!$E$7),"x","")</f>
        <v/>
      </c>
      <c r="X809" s="39" t="str">
        <f>IF(AND(B809&gt;='IN-NX'!$P$3,B809&lt;='IN-NX'!$Q$3,'IN-NX'!$D$7=D809,OR(LEFT(TH!L809,2)="15",LEFT(TH!M809,2)="15")),"x","")</f>
        <v/>
      </c>
      <c r="Y809" s="39" t="str">
        <f>IF(AND(OR(LEFT(TH!L809,2)="15",LEFT(TH!M809,2)="15"),'152-CT'!$J$8=TH!F809),"x","")</f>
        <v/>
      </c>
      <c r="Z809" s="39" t="str">
        <f>IF(AND(OR(LEFT(TH!L809,2)="15",LEFT(TH!M809,2)="15"),TK!$E$7=TH!F809),"x","")</f>
        <v/>
      </c>
      <c r="AA809" s="39" t="str">
        <f>IF(AND(B809&lt;=NKC!$N$8,B809&gt;=NKC!$M$8),"x","")</f>
        <v/>
      </c>
      <c r="AD809" s="739"/>
    </row>
    <row r="810" spans="1:30" s="225" customFormat="1" ht="15.75" customHeight="1">
      <c r="A810" s="218" t="str">
        <f>IF(B810&lt;&gt;"",IF(AND(B810&gt;=_TM1,B810&lt;=_TM2,OR(TH!L810="1111",TH!M810="1111")),TH!D810,""),"")</f>
        <v/>
      </c>
      <c r="B810" s="36" t="str">
        <f t="shared" si="39"/>
        <v/>
      </c>
      <c r="C810" s="37"/>
      <c r="D810" s="37"/>
      <c r="E810" s="37"/>
      <c r="F810" s="40"/>
      <c r="G810" s="626"/>
      <c r="H810" s="45"/>
      <c r="I810" s="276"/>
      <c r="J810" s="276"/>
      <c r="K810" s="38"/>
      <c r="L810" s="39"/>
      <c r="M810" s="39"/>
      <c r="N810" s="39" t="str">
        <f>IF(AND('331-CT'!$E$7=TH!H810,OR(L810="331",M810="331")),"x","")</f>
        <v/>
      </c>
      <c r="O810" s="39" t="str">
        <f>IF(AND($B810&gt;='111'!$N$11,$B810&lt;='111'!$O$11,OR($L810=$O$7,$M810=$O$7)),"x","")</f>
        <v/>
      </c>
      <c r="P810" s="39" t="str">
        <f>IF(AND($L810=$O$7,$B810&lt;'111'!$N$11),"x","")</f>
        <v/>
      </c>
      <c r="Q810" s="39" t="str">
        <f>IF(AND($M810=$O$7,$B810&lt;'111'!$N$11),"x","")</f>
        <v/>
      </c>
      <c r="R810" s="39" t="str">
        <f>IF(ISERROR(FIND('112'!$M$9,G810,1)),"",IF((AND(FIND('112'!$M$9,G810,1)&gt;=1,$B810&gt;='112'!$N$8,$B810&lt;='112'!$O$8,OR($L810='112'!$I$6,$M810='112'!$I$6))),"x",""))</f>
        <v/>
      </c>
      <c r="S810" s="39" t="str">
        <f>IF(ISERROR(FIND('112'!$M$9,G810,1)),"",IF((AND(LEFT(G810,2)=LEFT('112'!$M$9,2),B810&lt;'112'!$N$8,$L810='112'!$I$6)),"x",""))</f>
        <v/>
      </c>
      <c r="T810" s="39" t="str">
        <f>IF(ISERROR(FIND('112'!$M$9,G810,1)),"",IF((AND(RIGHT(G810,2)=RIGHT('112'!$M$9,2),B810&lt;'112'!$N$8,$M810='112'!$I$6)),"x",""))</f>
        <v/>
      </c>
      <c r="U810" s="39" t="str">
        <f>IF(AND('3411-CT'!$F$9=H810,OR(LEFT(L810,3)=$U$7,LEFT(M810,3)=$U$7)),"x","")</f>
        <v/>
      </c>
      <c r="V810" s="39" t="str">
        <f>IF(OR(TH!L810=TH!$V$7,M810=TH!$V$7),"x","")</f>
        <v/>
      </c>
      <c r="W810" s="39" t="str">
        <f>IF(AND(OR(L810="131",M810="131"),H810='131-CT'!$E$7),"x","")</f>
        <v/>
      </c>
      <c r="X810" s="39" t="str">
        <f>IF(AND(B810&gt;='IN-NX'!$P$3,B810&lt;='IN-NX'!$Q$3,'IN-NX'!$D$7=D810,OR(LEFT(TH!L810,2)="15",LEFT(TH!M810,2)="15")),"x","")</f>
        <v/>
      </c>
      <c r="Y810" s="39" t="str">
        <f>IF(AND(OR(LEFT(TH!L810,2)="15",LEFT(TH!M810,2)="15"),'152-CT'!$J$8=TH!F810),"x","")</f>
        <v/>
      </c>
      <c r="Z810" s="39" t="str">
        <f>IF(AND(OR(LEFT(TH!L810,2)="15",LEFT(TH!M810,2)="15"),TK!$E$7=TH!F810),"x","")</f>
        <v/>
      </c>
      <c r="AA810" s="39" t="str">
        <f>IF(AND(B810&lt;=NKC!$N$8,B810&gt;=NKC!$M$8),"x","")</f>
        <v/>
      </c>
    </row>
    <row r="811" spans="1:30" s="225" customFormat="1" ht="15.75" customHeight="1">
      <c r="A811" s="218" t="str">
        <f>IF(B811&lt;&gt;"",IF(AND(B811&gt;=_TM1,B811&lt;=_TM2,OR(TH!L811="1111",TH!M811="1111")),TH!D811,""),"")</f>
        <v/>
      </c>
      <c r="B811" s="36" t="str">
        <f t="shared" si="39"/>
        <v/>
      </c>
      <c r="C811" s="37"/>
      <c r="D811" s="37"/>
      <c r="E811" s="37"/>
      <c r="F811" s="40"/>
      <c r="G811" s="626"/>
      <c r="H811" s="45"/>
      <c r="I811" s="276"/>
      <c r="J811" s="276"/>
      <c r="K811" s="38"/>
      <c r="L811" s="39"/>
      <c r="M811" s="39"/>
      <c r="N811" s="39" t="str">
        <f>IF(AND('331-CT'!$E$7=TH!H811,OR(L811="331",M811="331")),"x","")</f>
        <v/>
      </c>
      <c r="O811" s="39" t="str">
        <f>IF(AND($B811&gt;='111'!$N$11,$B811&lt;='111'!$O$11,OR($L811=$O$7,$M811=$O$7)),"x","")</f>
        <v/>
      </c>
      <c r="P811" s="39" t="str">
        <f>IF(AND($L811=$O$7,$B811&lt;'111'!$N$11),"x","")</f>
        <v/>
      </c>
      <c r="Q811" s="39" t="str">
        <f>IF(AND($M811=$O$7,$B811&lt;'111'!$N$11),"x","")</f>
        <v/>
      </c>
      <c r="R811" s="39" t="str">
        <f>IF(ISERROR(FIND('112'!$M$9,G811,1)),"",IF((AND(FIND('112'!$M$9,G811,1)&gt;=1,$B811&gt;='112'!$N$8,$B811&lt;='112'!$O$8,OR($L811='112'!$I$6,$M811='112'!$I$6))),"x",""))</f>
        <v/>
      </c>
      <c r="S811" s="39" t="str">
        <f>IF(ISERROR(FIND('112'!$M$9,G811,1)),"",IF((AND(LEFT(G811,2)=LEFT('112'!$M$9,2),B811&lt;'112'!$N$8,$L811='112'!$I$6)),"x",""))</f>
        <v/>
      </c>
      <c r="T811" s="39" t="str">
        <f>IF(ISERROR(FIND('112'!$M$9,G811,1)),"",IF((AND(RIGHT(G811,2)=RIGHT('112'!$M$9,2),B811&lt;'112'!$N$8,$M811='112'!$I$6)),"x",""))</f>
        <v/>
      </c>
      <c r="U811" s="39" t="str">
        <f>IF(AND('3411-CT'!$F$9=H811,OR(LEFT(L811,3)=$U$7,LEFT(M811,3)=$U$7)),"x","")</f>
        <v/>
      </c>
      <c r="V811" s="39" t="str">
        <f>IF(OR(TH!L811=TH!$V$7,M811=TH!$V$7),"x","")</f>
        <v/>
      </c>
      <c r="W811" s="39" t="str">
        <f>IF(AND(OR(L811="131",M811="131"),H811='131-CT'!$E$7),"x","")</f>
        <v/>
      </c>
      <c r="X811" s="39" t="str">
        <f>IF(AND(B811&gt;='IN-NX'!$P$3,B811&lt;='IN-NX'!$Q$3,'IN-NX'!$D$7=D811,OR(LEFT(TH!L811,2)="15",LEFT(TH!M811,2)="15")),"x","")</f>
        <v/>
      </c>
      <c r="Y811" s="39" t="str">
        <f>IF(AND(OR(LEFT(TH!L811,2)="15",LEFT(TH!M811,2)="15"),'152-CT'!$J$8=TH!F811),"x","")</f>
        <v/>
      </c>
      <c r="Z811" s="39" t="str">
        <f>IF(AND(OR(LEFT(TH!L811,2)="15",LEFT(TH!M811,2)="15"),TK!$E$7=TH!F811),"x","")</f>
        <v/>
      </c>
      <c r="AA811" s="39" t="str">
        <f>IF(AND(B811&lt;=NKC!$N$8,B811&gt;=NKC!$M$8),"x","")</f>
        <v/>
      </c>
    </row>
    <row r="812" spans="1:30" s="225" customFormat="1" ht="15.75" customHeight="1">
      <c r="A812" s="218" t="str">
        <f>IF(B812&lt;&gt;"",IF(AND(B812&gt;=_TM1,B812&lt;=_TM2,OR(TH!L812="1111",TH!M812="1111")),TH!D812,""),"")</f>
        <v/>
      </c>
      <c r="B812" s="36" t="str">
        <f t="shared" si="39"/>
        <v/>
      </c>
      <c r="C812" s="37"/>
      <c r="D812" s="37"/>
      <c r="E812" s="37"/>
      <c r="F812" s="40"/>
      <c r="G812" s="626"/>
      <c r="H812" s="45"/>
      <c r="I812" s="276"/>
      <c r="J812" s="276"/>
      <c r="K812" s="38"/>
      <c r="L812" s="39"/>
      <c r="M812" s="39"/>
      <c r="N812" s="39" t="str">
        <f>IF(AND('331-CT'!$E$7=TH!H812,OR(L812="331",M812="331")),"x","")</f>
        <v/>
      </c>
      <c r="O812" s="39" t="str">
        <f>IF(AND($B812&gt;='111'!$N$11,$B812&lt;='111'!$O$11,OR($L812=$O$7,$M812=$O$7)),"x","")</f>
        <v/>
      </c>
      <c r="P812" s="39" t="str">
        <f>IF(AND($L812=$O$7,$B812&lt;'111'!$N$11),"x","")</f>
        <v/>
      </c>
      <c r="Q812" s="39" t="str">
        <f>IF(AND($M812=$O$7,$B812&lt;'111'!$N$11),"x","")</f>
        <v/>
      </c>
      <c r="R812" s="39" t="str">
        <f>IF(ISERROR(FIND('112'!$M$9,G812,1)),"",IF((AND(FIND('112'!$M$9,G812,1)&gt;=1,$B812&gt;='112'!$N$8,$B812&lt;='112'!$O$8,OR($L812='112'!$I$6,$M812='112'!$I$6))),"x",""))</f>
        <v/>
      </c>
      <c r="S812" s="39" t="str">
        <f>IF(ISERROR(FIND('112'!$M$9,G812,1)),"",IF((AND(LEFT(G812,2)=LEFT('112'!$M$9,2),B812&lt;'112'!$N$8,$L812='112'!$I$6)),"x",""))</f>
        <v/>
      </c>
      <c r="T812" s="39" t="str">
        <f>IF(ISERROR(FIND('112'!$M$9,G812,1)),"",IF((AND(RIGHT(G812,2)=RIGHT('112'!$M$9,2),B812&lt;'112'!$N$8,$M812='112'!$I$6)),"x",""))</f>
        <v/>
      </c>
      <c r="U812" s="39" t="str">
        <f>IF(AND('3411-CT'!$F$9=H812,OR(LEFT(L812,3)=$U$7,LEFT(M812,3)=$U$7)),"x","")</f>
        <v/>
      </c>
      <c r="V812" s="39" t="str">
        <f>IF(OR(TH!L812=TH!$V$7,M812=TH!$V$7),"x","")</f>
        <v/>
      </c>
      <c r="W812" s="39" t="str">
        <f>IF(AND(OR(L812="131",M812="131"),H812='131-CT'!$E$7),"x","")</f>
        <v/>
      </c>
      <c r="X812" s="39" t="str">
        <f>IF(AND(B812&gt;='IN-NX'!$P$3,B812&lt;='IN-NX'!$Q$3,'IN-NX'!$D$7=D812,OR(LEFT(TH!L812,2)="15",LEFT(TH!M812,2)="15")),"x","")</f>
        <v/>
      </c>
      <c r="Y812" s="39" t="str">
        <f>IF(AND(OR(LEFT(TH!L812,2)="15",LEFT(TH!M812,2)="15"),'152-CT'!$J$8=TH!F812),"x","")</f>
        <v/>
      </c>
      <c r="Z812" s="39" t="str">
        <f>IF(AND(OR(LEFT(TH!L812,2)="15",LEFT(TH!M812,2)="15"),TK!$E$7=TH!F812),"x","")</f>
        <v/>
      </c>
      <c r="AA812" s="39" t="str">
        <f>IF(AND(B812&lt;=NKC!$N$8,B812&gt;=NKC!$M$8),"x","")</f>
        <v/>
      </c>
    </row>
    <row r="813" spans="1:30" s="225" customFormat="1" ht="15.75" customHeight="1">
      <c r="A813" s="218" t="str">
        <f>IF(B813&lt;&gt;"",IF(AND(B813&gt;=_TM1,B813&lt;=_TM2,OR(TH!L813="1111",TH!M813="1111")),TH!D813,""),"")</f>
        <v/>
      </c>
      <c r="B813" s="36" t="str">
        <f t="shared" si="39"/>
        <v/>
      </c>
      <c r="C813" s="37"/>
      <c r="D813" s="37"/>
      <c r="E813" s="37"/>
      <c r="F813" s="40"/>
      <c r="G813" s="626"/>
      <c r="H813" s="45"/>
      <c r="I813" s="276"/>
      <c r="J813" s="276"/>
      <c r="K813" s="38"/>
      <c r="L813" s="39"/>
      <c r="M813" s="39"/>
      <c r="N813" s="39" t="str">
        <f>IF(AND('331-CT'!$E$7=TH!H813,OR(L813="331",M813="331")),"x","")</f>
        <v/>
      </c>
      <c r="O813" s="39" t="str">
        <f>IF(AND($B813&gt;='111'!$N$11,$B813&lt;='111'!$O$11,OR($L813=$O$7,$M813=$O$7)),"x","")</f>
        <v/>
      </c>
      <c r="P813" s="39" t="str">
        <f>IF(AND($L813=$O$7,$B813&lt;'111'!$N$11),"x","")</f>
        <v/>
      </c>
      <c r="Q813" s="39" t="str">
        <f>IF(AND($M813=$O$7,$B813&lt;'111'!$N$11),"x","")</f>
        <v/>
      </c>
      <c r="R813" s="39" t="str">
        <f>IF(ISERROR(FIND('112'!$M$9,G813,1)),"",IF((AND(FIND('112'!$M$9,G813,1)&gt;=1,$B813&gt;='112'!$N$8,$B813&lt;='112'!$O$8,OR($L813='112'!$I$6,$M813='112'!$I$6))),"x",""))</f>
        <v/>
      </c>
      <c r="S813" s="39" t="str">
        <f>IF(ISERROR(FIND('112'!$M$9,G813,1)),"",IF((AND(LEFT(G813,2)=LEFT('112'!$M$9,2),B813&lt;'112'!$N$8,$L813='112'!$I$6)),"x",""))</f>
        <v/>
      </c>
      <c r="T813" s="39" t="str">
        <f>IF(ISERROR(FIND('112'!$M$9,G813,1)),"",IF((AND(RIGHT(G813,2)=RIGHT('112'!$M$9,2),B813&lt;'112'!$N$8,$M813='112'!$I$6)),"x",""))</f>
        <v/>
      </c>
      <c r="U813" s="39" t="str">
        <f>IF(AND('3411-CT'!$F$9=H813,OR(LEFT(L813,3)=$U$7,LEFT(M813,3)=$U$7)),"x","")</f>
        <v/>
      </c>
      <c r="V813" s="39" t="str">
        <f>IF(OR(TH!L813=TH!$V$7,M813=TH!$V$7),"x","")</f>
        <v/>
      </c>
      <c r="W813" s="39" t="str">
        <f>IF(AND(OR(L813="131",M813="131"),H813='131-CT'!$E$7),"x","")</f>
        <v/>
      </c>
      <c r="X813" s="39" t="str">
        <f>IF(AND(B813&gt;='IN-NX'!$P$3,B813&lt;='IN-NX'!$Q$3,'IN-NX'!$D$7=D813,OR(LEFT(TH!L813,2)="15",LEFT(TH!M813,2)="15")),"x","")</f>
        <v/>
      </c>
      <c r="Y813" s="39" t="str">
        <f>IF(AND(OR(LEFT(TH!L813,2)="15",LEFT(TH!M813,2)="15"),'152-CT'!$J$8=TH!F813),"x","")</f>
        <v/>
      </c>
      <c r="Z813" s="39" t="str">
        <f>IF(AND(OR(LEFT(TH!L813,2)="15",LEFT(TH!M813,2)="15"),TK!$E$7=TH!F813),"x","")</f>
        <v/>
      </c>
      <c r="AA813" s="39" t="str">
        <f>IF(AND(B813&lt;=NKC!$N$8,B813&gt;=NKC!$M$8),"x","")</f>
        <v/>
      </c>
    </row>
    <row r="814" spans="1:30" s="225" customFormat="1" ht="15.75" customHeight="1">
      <c r="A814" s="218" t="str">
        <f>IF(B814&lt;&gt;"",IF(AND(B814&gt;=_TM1,B814&lt;=_TM2,OR(TH!L814="1111",TH!M814="1111")),TH!D814,""),"")</f>
        <v/>
      </c>
      <c r="B814" s="36" t="str">
        <f t="shared" si="39"/>
        <v/>
      </c>
      <c r="C814" s="37"/>
      <c r="D814" s="37"/>
      <c r="E814" s="37"/>
      <c r="F814" s="40"/>
      <c r="G814" s="626"/>
      <c r="H814" s="45"/>
      <c r="I814" s="276"/>
      <c r="J814" s="276"/>
      <c r="K814" s="38"/>
      <c r="L814" s="39"/>
      <c r="M814" s="39"/>
      <c r="N814" s="39" t="str">
        <f>IF(AND('331-CT'!$E$7=TH!H814,OR(L814="331",M814="331")),"x","")</f>
        <v/>
      </c>
      <c r="O814" s="39" t="str">
        <f>IF(AND($B814&gt;='111'!$N$11,$B814&lt;='111'!$O$11,OR($L814=$O$7,$M814=$O$7)),"x","")</f>
        <v/>
      </c>
      <c r="P814" s="39" t="str">
        <f>IF(AND($L814=$O$7,$B814&lt;'111'!$N$11),"x","")</f>
        <v/>
      </c>
      <c r="Q814" s="39" t="str">
        <f>IF(AND($M814=$O$7,$B814&lt;'111'!$N$11),"x","")</f>
        <v/>
      </c>
      <c r="R814" s="39" t="str">
        <f>IF(ISERROR(FIND('112'!$M$9,G814,1)),"",IF((AND(FIND('112'!$M$9,G814,1)&gt;=1,$B814&gt;='112'!$N$8,$B814&lt;='112'!$O$8,OR($L814='112'!$I$6,$M814='112'!$I$6))),"x",""))</f>
        <v/>
      </c>
      <c r="S814" s="39" t="str">
        <f>IF(ISERROR(FIND('112'!$M$9,G814,1)),"",IF((AND(LEFT(G814,2)=LEFT('112'!$M$9,2),B814&lt;'112'!$N$8,$L814='112'!$I$6)),"x",""))</f>
        <v/>
      </c>
      <c r="T814" s="39" t="str">
        <f>IF(ISERROR(FIND('112'!$M$9,G814,1)),"",IF((AND(RIGHT(G814,2)=RIGHT('112'!$M$9,2),B814&lt;'112'!$N$8,$M814='112'!$I$6)),"x",""))</f>
        <v/>
      </c>
      <c r="U814" s="39" t="str">
        <f>IF(AND('3411-CT'!$F$9=H814,OR(LEFT(L814,3)=$U$7,LEFT(M814,3)=$U$7)),"x","")</f>
        <v/>
      </c>
      <c r="V814" s="39" t="str">
        <f>IF(OR(TH!L814=TH!$V$7,M814=TH!$V$7),"x","")</f>
        <v/>
      </c>
      <c r="W814" s="39" t="str">
        <f>IF(AND(OR(L814="131",M814="131"),H814='131-CT'!$E$7),"x","")</f>
        <v/>
      </c>
      <c r="X814" s="39" t="str">
        <f>IF(AND(B814&gt;='IN-NX'!$P$3,B814&lt;='IN-NX'!$Q$3,'IN-NX'!$D$7=D814,OR(LEFT(TH!L814,2)="15",LEFT(TH!M814,2)="15")),"x","")</f>
        <v/>
      </c>
      <c r="Y814" s="39" t="str">
        <f>IF(AND(OR(LEFT(TH!L814,2)="15",LEFT(TH!M814,2)="15"),'152-CT'!$J$8=TH!F814),"x","")</f>
        <v/>
      </c>
      <c r="Z814" s="39" t="str">
        <f>IF(AND(OR(LEFT(TH!L814,2)="15",LEFT(TH!M814,2)="15"),TK!$E$7=TH!F814),"x","")</f>
        <v/>
      </c>
      <c r="AA814" s="39" t="str">
        <f>IF(AND(B814&lt;=NKC!$N$8,B814&gt;=NKC!$M$8),"x","")</f>
        <v/>
      </c>
    </row>
    <row r="815" spans="1:30" s="225" customFormat="1" ht="15.75" customHeight="1">
      <c r="A815" s="218" t="str">
        <f>IF(B815&lt;&gt;"",IF(AND(B815&gt;=_TM1,B815&lt;=_TM2,OR(TH!L815="1111",TH!M815="1111")),TH!D815,""),"")</f>
        <v/>
      </c>
      <c r="B815" s="36" t="str">
        <f t="shared" si="39"/>
        <v/>
      </c>
      <c r="C815" s="37"/>
      <c r="D815" s="37"/>
      <c r="E815" s="37"/>
      <c r="F815" s="40"/>
      <c r="G815" s="40"/>
      <c r="H815" s="45"/>
      <c r="I815" s="276"/>
      <c r="J815" s="276"/>
      <c r="K815" s="38"/>
      <c r="L815" s="39"/>
      <c r="M815" s="39"/>
      <c r="N815" s="39" t="str">
        <f>IF(AND('331-CT'!$E$7=TH!H815,OR(L815="331",M815="331")),"x","")</f>
        <v/>
      </c>
      <c r="O815" s="39" t="str">
        <f>IF(AND($B815&gt;='111'!$N$11,$B815&lt;='111'!$O$11,OR($L815=$O$7,$M815=$O$7)),"x","")</f>
        <v/>
      </c>
      <c r="P815" s="39" t="str">
        <f>IF(AND($L815=$O$7,$B815&lt;'111'!$N$11),"x","")</f>
        <v/>
      </c>
      <c r="Q815" s="39" t="str">
        <f>IF(AND($M815=$O$7,$B815&lt;'111'!$N$11),"x","")</f>
        <v/>
      </c>
      <c r="R815" s="39" t="str">
        <f>IF(ISERROR(FIND('112'!$M$9,G815,1)),"",IF((AND(FIND('112'!$M$9,G815,1)&gt;=1,$B815&gt;='112'!$N$8,$B815&lt;='112'!$O$8,OR($L815='112'!$I$6,$M815='112'!$I$6))),"x",""))</f>
        <v/>
      </c>
      <c r="S815" s="39" t="str">
        <f>IF(ISERROR(FIND('112'!$M$9,G815,1)),"",IF((AND(LEFT(G815,2)=LEFT('112'!$M$9,2),B815&lt;'112'!$N$8,$L815='112'!$I$6)),"x",""))</f>
        <v/>
      </c>
      <c r="T815" s="39" t="str">
        <f>IF(ISERROR(FIND('112'!$M$9,G815,1)),"",IF((AND(RIGHT(G815,2)=RIGHT('112'!$M$9,2),B815&lt;'112'!$N$8,$M815='112'!$I$6)),"x",""))</f>
        <v/>
      </c>
      <c r="U815" s="39" t="str">
        <f>IF(AND('3411-CT'!$F$9=H815,OR(LEFT(L815,3)=$U$7,LEFT(M815,3)=$U$7)),"x","")</f>
        <v/>
      </c>
      <c r="V815" s="39" t="str">
        <f>IF(OR(TH!L815=TH!$V$7,M815=TH!$V$7),"x","")</f>
        <v/>
      </c>
      <c r="W815" s="39" t="str">
        <f>IF(AND(OR(L815="131",M815="131"),H815='131-CT'!$E$7),"x","")</f>
        <v/>
      </c>
      <c r="X815" s="39" t="str">
        <f>IF(AND(B815&gt;='IN-NX'!$P$3,B815&lt;='IN-NX'!$Q$3,'IN-NX'!$D$7=D815,OR(LEFT(TH!L815,2)="15",LEFT(TH!M815,2)="15")),"x","")</f>
        <v/>
      </c>
      <c r="Y815" s="39" t="str">
        <f>IF(AND(OR(LEFT(TH!L815,2)="15",LEFT(TH!M815,2)="15"),'152-CT'!$J$8=TH!F815),"x","")</f>
        <v/>
      </c>
      <c r="Z815" s="39" t="str">
        <f>IF(AND(OR(LEFT(TH!L815,2)="15",LEFT(TH!M815,2)="15"),TK!$E$7=TH!F815),"x","")</f>
        <v/>
      </c>
      <c r="AA815" s="39" t="str">
        <f>IF(AND(B815&lt;=NKC!$N$8,B815&gt;=NKC!$M$8),"x","")</f>
        <v/>
      </c>
    </row>
    <row r="816" spans="1:30" s="225" customFormat="1" ht="15.75" customHeight="1">
      <c r="A816" s="218" t="str">
        <f>IF(B816&lt;&gt;"",IF(AND(B816&gt;=_TM1,B816&lt;=_TM2,OR(TH!L816="1111",TH!M816="1111")),TH!D816,""),"")</f>
        <v/>
      </c>
      <c r="B816" s="36" t="str">
        <f t="shared" si="39"/>
        <v/>
      </c>
      <c r="C816" s="37"/>
      <c r="D816" s="37"/>
      <c r="E816" s="37"/>
      <c r="F816" s="40"/>
      <c r="G816" s="626"/>
      <c r="H816" s="45"/>
      <c r="I816" s="276"/>
      <c r="J816" s="276"/>
      <c r="K816" s="38"/>
      <c r="L816" s="39"/>
      <c r="M816" s="39"/>
      <c r="N816" s="39" t="str">
        <f>IF(AND('331-CT'!$E$7=TH!H816,OR(L816="331",M816="331")),"x","")</f>
        <v/>
      </c>
      <c r="O816" s="39" t="str">
        <f>IF(AND($B816&gt;='111'!$N$11,$B816&lt;='111'!$O$11,OR($L816=$O$7,$M816=$O$7)),"x","")</f>
        <v/>
      </c>
      <c r="P816" s="39" t="str">
        <f>IF(AND($L816=$O$7,$B816&lt;'111'!$N$11),"x","")</f>
        <v/>
      </c>
      <c r="Q816" s="39" t="str">
        <f>IF(AND($M816=$O$7,$B816&lt;'111'!$N$11),"x","")</f>
        <v/>
      </c>
      <c r="R816" s="39" t="str">
        <f>IF(ISERROR(FIND('112'!$M$9,G816,1)),"",IF((AND(FIND('112'!$M$9,G816,1)&gt;=1,$B816&gt;='112'!$N$8,$B816&lt;='112'!$O$8,OR($L816='112'!$I$6,$M816='112'!$I$6))),"x",""))</f>
        <v/>
      </c>
      <c r="S816" s="39" t="str">
        <f>IF(ISERROR(FIND('112'!$M$9,G816,1)),"",IF((AND(LEFT(G816,2)=LEFT('112'!$M$9,2),B816&lt;'112'!$N$8,$L816='112'!$I$6)),"x",""))</f>
        <v/>
      </c>
      <c r="T816" s="39" t="str">
        <f>IF(ISERROR(FIND('112'!$M$9,G816,1)),"",IF((AND(RIGHT(G816,2)=RIGHT('112'!$M$9,2),B816&lt;'112'!$N$8,$M816='112'!$I$6)),"x",""))</f>
        <v/>
      </c>
      <c r="U816" s="39" t="str">
        <f>IF(AND('3411-CT'!$F$9=H816,OR(LEFT(L816,3)=$U$7,LEFT(M816,3)=$U$7)),"x","")</f>
        <v/>
      </c>
      <c r="V816" s="39" t="str">
        <f>IF(OR(TH!L816=TH!$V$7,M816=TH!$V$7),"x","")</f>
        <v/>
      </c>
      <c r="W816" s="39" t="str">
        <f>IF(AND(OR(L816="131",M816="131"),H816='131-CT'!$E$7),"x","")</f>
        <v/>
      </c>
      <c r="X816" s="39" t="str">
        <f>IF(AND(B816&gt;='IN-NX'!$P$3,B816&lt;='IN-NX'!$Q$3,'IN-NX'!$D$7=D816,OR(LEFT(TH!L816,2)="15",LEFT(TH!M816,2)="15")),"x","")</f>
        <v/>
      </c>
      <c r="Y816" s="39" t="str">
        <f>IF(AND(OR(LEFT(TH!L816,2)="15",LEFT(TH!M816,2)="15"),'152-CT'!$J$8=TH!F816),"x","")</f>
        <v/>
      </c>
      <c r="Z816" s="39" t="str">
        <f>IF(AND(OR(LEFT(TH!L816,2)="15",LEFT(TH!M816,2)="15"),TK!$E$7=TH!F816),"x","")</f>
        <v/>
      </c>
      <c r="AA816" s="39" t="str">
        <f>IF(AND(B816&lt;=NKC!$N$8,B816&gt;=NKC!$M$8),"x","")</f>
        <v/>
      </c>
    </row>
    <row r="817" spans="1:30" s="225" customFormat="1" ht="15.75" customHeight="1">
      <c r="A817" s="218" t="str">
        <f>IF(B817&lt;&gt;"",IF(AND(B817&gt;=_TM1,B817&lt;=_TM2,OR(TH!L817="1111",TH!M817="1111")),TH!D817,""),"")</f>
        <v/>
      </c>
      <c r="B817" s="36" t="str">
        <f t="shared" ref="B817:B871" si="40">IF(C817&lt;&gt;"",MONTH(C817),"")</f>
        <v/>
      </c>
      <c r="C817" s="37"/>
      <c r="D817" s="37"/>
      <c r="E817" s="37"/>
      <c r="F817" s="40"/>
      <c r="G817" s="626"/>
      <c r="H817" s="45"/>
      <c r="I817" s="276"/>
      <c r="J817" s="276"/>
      <c r="K817" s="38"/>
      <c r="L817" s="39"/>
      <c r="M817" s="39"/>
      <c r="N817" s="39" t="str">
        <f>IF(AND('331-CT'!$E$7=TH!H817,OR(L817="331",M817="331")),"x","")</f>
        <v/>
      </c>
      <c r="O817" s="39" t="str">
        <f>IF(AND($B817&gt;='111'!$N$11,$B817&lt;='111'!$O$11,OR($L817=$O$7,$M817=$O$7)),"x","")</f>
        <v/>
      </c>
      <c r="P817" s="39" t="str">
        <f>IF(AND($L817=$O$7,$B817&lt;'111'!$N$11),"x","")</f>
        <v/>
      </c>
      <c r="Q817" s="39" t="str">
        <f>IF(AND($M817=$O$7,$B817&lt;'111'!$N$11),"x","")</f>
        <v/>
      </c>
      <c r="R817" s="39" t="str">
        <f>IF(ISERROR(FIND('112'!$M$9,G817,1)),"",IF((AND(FIND('112'!$M$9,G817,1)&gt;=1,$B817&gt;='112'!$N$8,$B817&lt;='112'!$O$8,OR($L817='112'!$I$6,$M817='112'!$I$6))),"x",""))</f>
        <v/>
      </c>
      <c r="S817" s="39" t="str">
        <f>IF(ISERROR(FIND('112'!$M$9,G817,1)),"",IF((AND(LEFT(G817,2)=LEFT('112'!$M$9,2),B817&lt;'112'!$N$8,$L817='112'!$I$6)),"x",""))</f>
        <v/>
      </c>
      <c r="T817" s="39" t="str">
        <f>IF(ISERROR(FIND('112'!$M$9,G817,1)),"",IF((AND(RIGHT(G817,2)=RIGHT('112'!$M$9,2),B817&lt;'112'!$N$8,$M817='112'!$I$6)),"x",""))</f>
        <v/>
      </c>
      <c r="U817" s="39" t="str">
        <f>IF(AND('3411-CT'!$F$9=H817,OR(LEFT(L817,3)=$U$7,LEFT(M817,3)=$U$7)),"x","")</f>
        <v/>
      </c>
      <c r="V817" s="39" t="str">
        <f>IF(OR(TH!L817=TH!$V$7,M817=TH!$V$7),"x","")</f>
        <v/>
      </c>
      <c r="W817" s="39" t="str">
        <f>IF(AND(OR(L817="131",M817="131"),H817='131-CT'!$E$7),"x","")</f>
        <v/>
      </c>
      <c r="X817" s="39" t="str">
        <f>IF(AND(B817&gt;='IN-NX'!$P$3,B817&lt;='IN-NX'!$Q$3,'IN-NX'!$D$7=D817,OR(LEFT(TH!L817,2)="15",LEFT(TH!M817,2)="15")),"x","")</f>
        <v/>
      </c>
      <c r="Y817" s="39" t="str">
        <f>IF(AND(OR(LEFT(TH!L817,2)="15",LEFT(TH!M817,2)="15"),'152-CT'!$J$8=TH!F817),"x","")</f>
        <v/>
      </c>
      <c r="Z817" s="39" t="str">
        <f>IF(AND(OR(LEFT(TH!L817,2)="15",LEFT(TH!M817,2)="15"),TK!$E$7=TH!F817),"x","")</f>
        <v/>
      </c>
      <c r="AA817" s="39" t="str">
        <f>IF(AND(B817&lt;=NKC!$N$8,B817&gt;=NKC!$M$8),"x","")</f>
        <v/>
      </c>
    </row>
    <row r="818" spans="1:30" s="225" customFormat="1" ht="15.75" customHeight="1">
      <c r="A818" s="218" t="str">
        <f>IF(B818&lt;&gt;"",IF(AND(B818&gt;=_TM1,B818&lt;=_TM2,OR(TH!L818="1111",TH!M818="1111")),TH!D818,""),"")</f>
        <v/>
      </c>
      <c r="B818" s="36" t="str">
        <f t="shared" si="40"/>
        <v/>
      </c>
      <c r="C818" s="37"/>
      <c r="D818" s="204"/>
      <c r="E818" s="37"/>
      <c r="F818" s="40"/>
      <c r="G818" s="626"/>
      <c r="H818" s="7"/>
      <c r="I818" s="276"/>
      <c r="J818" s="276"/>
      <c r="K818" s="38"/>
      <c r="L818" s="39"/>
      <c r="M818" s="749"/>
      <c r="N818" s="39" t="str">
        <f>IF(AND('331-CT'!$E$7=TH!H818,OR(L818="331",M818="331")),"x","")</f>
        <v/>
      </c>
      <c r="O818" s="39" t="str">
        <f>IF(AND($B818&gt;='111'!$N$11,$B818&lt;='111'!$O$11,OR($L818=$O$7,$M818=$O$7)),"x","")</f>
        <v/>
      </c>
      <c r="P818" s="39" t="str">
        <f>IF(AND($L818=$O$7,$B818&lt;'111'!$N$11),"x","")</f>
        <v/>
      </c>
      <c r="Q818" s="39" t="str">
        <f>IF(AND($M818=$O$7,$B818&lt;'111'!$N$11),"x","")</f>
        <v/>
      </c>
      <c r="R818" s="39" t="str">
        <f>IF(ISERROR(FIND('112'!$M$9,G818,1)),"",IF((AND(FIND('112'!$M$9,G818,1)&gt;=1,$B818&gt;='112'!$N$8,$B818&lt;='112'!$O$8,OR($L818='112'!$I$6,$M818='112'!$I$6))),"x",""))</f>
        <v/>
      </c>
      <c r="S818" s="39" t="str">
        <f>IF(ISERROR(FIND('112'!$M$9,G818,1)),"",IF((AND(LEFT(G818,2)=LEFT('112'!$M$9,2),B818&lt;'112'!$N$8,$L818='112'!$I$6)),"x",""))</f>
        <v/>
      </c>
      <c r="T818" s="39" t="str">
        <f>IF(ISERROR(FIND('112'!$M$9,G818,1)),"",IF((AND(RIGHT(G818,2)=RIGHT('112'!$M$9,2),B818&lt;'112'!$N$8,$M818='112'!$I$6)),"x",""))</f>
        <v/>
      </c>
      <c r="U818" s="39" t="str">
        <f>IF(AND('3411-CT'!$F$9=H818,OR(LEFT(L818,3)=$U$7,LEFT(M818,3)=$U$7)),"x","")</f>
        <v/>
      </c>
      <c r="V818" s="39" t="str">
        <f>IF(OR(TH!L818=TH!$V$7,M818=TH!$V$7),"x","")</f>
        <v/>
      </c>
      <c r="W818" s="39" t="str">
        <f>IF(AND(OR(L818="131",M818="131"),H818='131-CT'!$E$7),"x","")</f>
        <v/>
      </c>
      <c r="X818" s="39" t="str">
        <f>IF(AND(B818&gt;='IN-NX'!$P$3,B818&lt;='IN-NX'!$Q$3,'IN-NX'!$D$7=D818,OR(LEFT(TH!L818,2)="15",LEFT(TH!M818,2)="15")),"x","")</f>
        <v/>
      </c>
      <c r="Y818" s="39" t="str">
        <f>IF(AND(OR(LEFT(TH!L818,2)="15",LEFT(TH!M818,2)="15"),'152-CT'!$J$8=TH!F818),"x","")</f>
        <v/>
      </c>
      <c r="Z818" s="39" t="str">
        <f>IF(AND(OR(LEFT(TH!L818,2)="15",LEFT(TH!M818,2)="15"),TK!$E$7=TH!F818),"x","")</f>
        <v/>
      </c>
      <c r="AA818" s="39" t="str">
        <f>IF(AND(B818&lt;=NKC!$N$8,B818&gt;=NKC!$M$8),"x","")</f>
        <v/>
      </c>
    </row>
    <row r="819" spans="1:30" s="225" customFormat="1" ht="15.75" customHeight="1">
      <c r="A819" s="218" t="str">
        <f>IF(B819&lt;&gt;"",IF(AND(B819&gt;=_TM1,B819&lt;=_TM2,OR(TH!L819="1111",TH!M819="1111")),TH!D819,""),"")</f>
        <v/>
      </c>
      <c r="B819" s="36" t="str">
        <f t="shared" si="40"/>
        <v/>
      </c>
      <c r="C819" s="37"/>
      <c r="D819" s="204"/>
      <c r="E819" s="37"/>
      <c r="F819" s="40"/>
      <c r="G819" s="626"/>
      <c r="H819" s="7"/>
      <c r="I819" s="276"/>
      <c r="J819" s="276"/>
      <c r="K819" s="38"/>
      <c r="L819" s="39"/>
      <c r="M819" s="749"/>
      <c r="N819" s="39" t="str">
        <f>IF(AND('331-CT'!$E$7=TH!H819,OR(L819="331",M819="331")),"x","")</f>
        <v/>
      </c>
      <c r="O819" s="39" t="str">
        <f>IF(AND($B819&gt;='111'!$N$11,$B819&lt;='111'!$O$11,OR($L819=$O$7,$M819=$O$7)),"x","")</f>
        <v/>
      </c>
      <c r="P819" s="39" t="str">
        <f>IF(AND($L819=$O$7,$B819&lt;'111'!$N$11),"x","")</f>
        <v/>
      </c>
      <c r="Q819" s="39" t="str">
        <f>IF(AND($M819=$O$7,$B819&lt;'111'!$N$11),"x","")</f>
        <v/>
      </c>
      <c r="R819" s="39" t="str">
        <f>IF(ISERROR(FIND('112'!$M$9,G819,1)),"",IF((AND(FIND('112'!$M$9,G819,1)&gt;=1,$B819&gt;='112'!$N$8,$B819&lt;='112'!$O$8,OR($L819='112'!$I$6,$M819='112'!$I$6))),"x",""))</f>
        <v/>
      </c>
      <c r="S819" s="39" t="str">
        <f>IF(ISERROR(FIND('112'!$M$9,G819,1)),"",IF((AND(LEFT(G819,2)=LEFT('112'!$M$9,2),B819&lt;'112'!$N$8,$L819='112'!$I$6)),"x",""))</f>
        <v/>
      </c>
      <c r="T819" s="39" t="str">
        <f>IF(ISERROR(FIND('112'!$M$9,G819,1)),"",IF((AND(RIGHT(G819,2)=RIGHT('112'!$M$9,2),B819&lt;'112'!$N$8,$M819='112'!$I$6)),"x",""))</f>
        <v/>
      </c>
      <c r="U819" s="39" t="str">
        <f>IF(AND('3411-CT'!$F$9=H819,OR(LEFT(L819,3)=$U$7,LEFT(M819,3)=$U$7)),"x","")</f>
        <v/>
      </c>
      <c r="V819" s="39" t="str">
        <f>IF(OR(TH!L819=TH!$V$7,M819=TH!$V$7),"x","")</f>
        <v/>
      </c>
      <c r="W819" s="39" t="str">
        <f>IF(AND(OR(L819="131",M819="131"),H819='131-CT'!$E$7),"x","")</f>
        <v/>
      </c>
      <c r="X819" s="39" t="str">
        <f>IF(AND(B819&gt;='IN-NX'!$P$3,B819&lt;='IN-NX'!$Q$3,'IN-NX'!$D$7=D819,OR(LEFT(TH!L819,2)="15",LEFT(TH!M819,2)="15")),"x","")</f>
        <v/>
      </c>
      <c r="Y819" s="39" t="str">
        <f>IF(AND(OR(LEFT(TH!L819,2)="15",LEFT(TH!M819,2)="15"),'152-CT'!$J$8=TH!F819),"x","")</f>
        <v/>
      </c>
      <c r="Z819" s="39" t="str">
        <f>IF(AND(OR(LEFT(TH!L819,2)="15",LEFT(TH!M819,2)="15"),TK!$E$7=TH!F819),"x","")</f>
        <v/>
      </c>
      <c r="AA819" s="39" t="str">
        <f>IF(AND(B819&lt;=NKC!$N$8,B819&gt;=NKC!$M$8),"x","")</f>
        <v/>
      </c>
    </row>
    <row r="820" spans="1:30" s="225" customFormat="1" ht="15.75" customHeight="1">
      <c r="A820" s="218" t="str">
        <f>IF(B820&lt;&gt;"",IF(AND(B820&gt;=_TM1,B820&lt;=_TM2,OR(TH!L820="1111",TH!M820="1111")),TH!D820,""),"")</f>
        <v/>
      </c>
      <c r="B820" s="36" t="str">
        <f t="shared" si="40"/>
        <v/>
      </c>
      <c r="C820" s="37"/>
      <c r="D820" s="204"/>
      <c r="E820" s="37"/>
      <c r="F820" s="40"/>
      <c r="G820" s="626"/>
      <c r="H820" s="7"/>
      <c r="I820" s="276"/>
      <c r="J820" s="276"/>
      <c r="K820" s="38"/>
      <c r="L820" s="39"/>
      <c r="M820" s="749"/>
      <c r="N820" s="39" t="str">
        <f>IF(AND('331-CT'!$E$7=TH!H820,OR(L820="331",M820="331")),"x","")</f>
        <v/>
      </c>
      <c r="O820" s="39" t="str">
        <f>IF(AND($B820&gt;='111'!$N$11,$B820&lt;='111'!$O$11,OR($L820=$O$7,$M820=$O$7)),"x","")</f>
        <v/>
      </c>
      <c r="P820" s="39" t="str">
        <f>IF(AND($L820=$O$7,$B820&lt;'111'!$N$11),"x","")</f>
        <v/>
      </c>
      <c r="Q820" s="39" t="str">
        <f>IF(AND($M820=$O$7,$B820&lt;'111'!$N$11),"x","")</f>
        <v/>
      </c>
      <c r="R820" s="39" t="str">
        <f>IF(ISERROR(FIND('112'!$M$9,G820,1)),"",IF((AND(FIND('112'!$M$9,G820,1)&gt;=1,$B820&gt;='112'!$N$8,$B820&lt;='112'!$O$8,OR($L820='112'!$I$6,$M820='112'!$I$6))),"x",""))</f>
        <v/>
      </c>
      <c r="S820" s="39" t="str">
        <f>IF(ISERROR(FIND('112'!$M$9,G820,1)),"",IF((AND(LEFT(G820,2)=LEFT('112'!$M$9,2),B820&lt;'112'!$N$8,$L820='112'!$I$6)),"x",""))</f>
        <v/>
      </c>
      <c r="T820" s="39" t="str">
        <f>IF(ISERROR(FIND('112'!$M$9,G820,1)),"",IF((AND(RIGHT(G820,2)=RIGHT('112'!$M$9,2),B820&lt;'112'!$N$8,$M820='112'!$I$6)),"x",""))</f>
        <v/>
      </c>
      <c r="U820" s="39" t="str">
        <f>IF(AND('3411-CT'!$F$9=H820,OR(LEFT(L820,3)=$U$7,LEFT(M820,3)=$U$7)),"x","")</f>
        <v/>
      </c>
      <c r="V820" s="39" t="str">
        <f>IF(OR(TH!L820=TH!$V$7,M820=TH!$V$7),"x","")</f>
        <v/>
      </c>
      <c r="W820" s="39" t="str">
        <f>IF(AND(OR(L820="131",M820="131"),H820='131-CT'!$E$7),"x","")</f>
        <v/>
      </c>
      <c r="X820" s="39" t="str">
        <f>IF(AND(B820&gt;='IN-NX'!$P$3,B820&lt;='IN-NX'!$Q$3,'IN-NX'!$D$7=D820,OR(LEFT(TH!L820,2)="15",LEFT(TH!M820,2)="15")),"x","")</f>
        <v/>
      </c>
      <c r="Y820" s="39" t="str">
        <f>IF(AND(OR(LEFT(TH!L820,2)="15",LEFT(TH!M820,2)="15"),'152-CT'!$J$8=TH!F820),"x","")</f>
        <v/>
      </c>
      <c r="Z820" s="39" t="str">
        <f>IF(AND(OR(LEFT(TH!L820,2)="15",LEFT(TH!M820,2)="15"),TK!$E$7=TH!F820),"x","")</f>
        <v/>
      </c>
      <c r="AA820" s="39" t="str">
        <f>IF(AND(B820&lt;=NKC!$N$8,B820&gt;=NKC!$M$8),"x","")</f>
        <v/>
      </c>
    </row>
    <row r="821" spans="1:30" s="225" customFormat="1" ht="15.75" customHeight="1">
      <c r="A821" s="218" t="str">
        <f>IF(B821&lt;&gt;"",IF(AND(B821&gt;=_TM1,B821&lt;=_TM2,OR(TH!L821="1111",TH!M821="1111")),TH!D821,""),"")</f>
        <v/>
      </c>
      <c r="B821" s="36" t="str">
        <f>IF(C821&lt;&gt;"",MONTH(C821),"")</f>
        <v/>
      </c>
      <c r="C821" s="37"/>
      <c r="D821" s="37"/>
      <c r="E821" s="37"/>
      <c r="F821" s="40"/>
      <c r="G821" s="626"/>
      <c r="H821" s="45"/>
      <c r="I821" s="276"/>
      <c r="J821" s="276"/>
      <c r="K821" s="38"/>
      <c r="L821" s="39"/>
      <c r="M821" s="39"/>
      <c r="N821" s="39" t="str">
        <f>IF(AND('331-CT'!$E$7=TH!H821,OR(L821="331",M821="331")),"x","")</f>
        <v/>
      </c>
      <c r="O821" s="39" t="str">
        <f>IF(AND($B821&gt;='111'!$N$11,$B821&lt;='111'!$O$11,OR($L821=$O$7,$M821=$O$7)),"x","")</f>
        <v/>
      </c>
      <c r="P821" s="39" t="str">
        <f>IF(AND($L821=$O$7,$B821&lt;'111'!$N$11),"x","")</f>
        <v/>
      </c>
      <c r="Q821" s="39" t="str">
        <f>IF(AND($M821=$O$7,$B821&lt;'111'!$N$11),"x","")</f>
        <v/>
      </c>
      <c r="R821" s="39" t="str">
        <f>IF(ISERROR(FIND('112'!$M$9,G821,1)),"",IF((AND(FIND('112'!$M$9,G821,1)&gt;=1,$B821&gt;='112'!$N$8,$B821&lt;='112'!$O$8,OR($L821='112'!$I$6,$M821='112'!$I$6))),"x",""))</f>
        <v/>
      </c>
      <c r="S821" s="39" t="str">
        <f>IF(ISERROR(FIND('112'!$M$9,G821,1)),"",IF((AND(LEFT(G821,2)=LEFT('112'!$M$9,2),B821&lt;'112'!$N$8,$L821='112'!$I$6)),"x",""))</f>
        <v/>
      </c>
      <c r="T821" s="39" t="str">
        <f>IF(ISERROR(FIND('112'!$M$9,G821,1)),"",IF((AND(RIGHT(G821,2)=RIGHT('112'!$M$9,2),B821&lt;'112'!$N$8,$M821='112'!$I$6)),"x",""))</f>
        <v/>
      </c>
      <c r="U821" s="39" t="str">
        <f>IF(AND('3411-CT'!$F$9=H821,OR(LEFT(L821,3)=$U$7,LEFT(M821,3)=$U$7)),"x","")</f>
        <v/>
      </c>
      <c r="V821" s="39" t="str">
        <f>IF(OR(TH!L821=TH!$V$7,M821=TH!$V$7),"x","")</f>
        <v/>
      </c>
      <c r="W821" s="39" t="str">
        <f>IF(AND(OR(L821="131",M821="131"),H821='131-CT'!$E$7),"x","")</f>
        <v/>
      </c>
      <c r="X821" s="39" t="str">
        <f>IF(AND(B821&gt;='IN-NX'!$P$3,B821&lt;='IN-NX'!$Q$3,'IN-NX'!$D$7=D821,OR(LEFT(TH!L821,2)="15",LEFT(TH!M821,2)="15")),"x","")</f>
        <v/>
      </c>
      <c r="Y821" s="39" t="str">
        <f>IF(AND(OR(LEFT(TH!L821,2)="15",LEFT(TH!M821,2)="15"),'152-CT'!$J$8=TH!F821),"x","")</f>
        <v/>
      </c>
      <c r="Z821" s="39" t="str">
        <f>IF(AND(OR(LEFT(TH!L821,2)="15",LEFT(TH!M821,2)="15"),TK!$E$7=TH!F821),"x","")</f>
        <v/>
      </c>
      <c r="AA821" s="39" t="str">
        <f>IF(AND(B821&lt;=NKC!$N$8,B821&gt;=NKC!$M$8),"x","")</f>
        <v/>
      </c>
    </row>
    <row r="822" spans="1:30" s="225" customFormat="1" ht="15.75" customHeight="1">
      <c r="A822" s="218" t="str">
        <f>IF(B822&lt;&gt;"",IF(AND(B822&gt;=_TM1,B822&lt;=_TM2,OR(TH!L822="1111",TH!M822="1111")),TH!D822,""),"")</f>
        <v/>
      </c>
      <c r="B822" s="36" t="str">
        <f t="shared" si="40"/>
        <v/>
      </c>
      <c r="C822" s="37"/>
      <c r="D822" s="37"/>
      <c r="E822" s="37"/>
      <c r="F822" s="40"/>
      <c r="G822" s="626"/>
      <c r="H822" s="206"/>
      <c r="I822" s="276"/>
      <c r="J822" s="276"/>
      <c r="K822" s="38"/>
      <c r="L822" s="39"/>
      <c r="M822" s="39"/>
      <c r="N822" s="39" t="str">
        <f>IF(AND('331-CT'!$E$7=TH!H822,OR(L822="331",M822="331")),"x","")</f>
        <v/>
      </c>
      <c r="O822" s="39" t="str">
        <f>IF(AND($B822&gt;='111'!$N$11,$B822&lt;='111'!$O$11,OR($L822=$O$7,$M822=$O$7)),"x","")</f>
        <v/>
      </c>
      <c r="P822" s="39" t="str">
        <f>IF(AND($L822=$O$7,$B822&lt;'111'!$N$11),"x","")</f>
        <v/>
      </c>
      <c r="Q822" s="39" t="str">
        <f>IF(AND($M822=$O$7,$B822&lt;'111'!$N$11),"x","")</f>
        <v/>
      </c>
      <c r="R822" s="39" t="str">
        <f>IF(ISERROR(FIND('112'!$M$9,G822,1)),"",IF((AND(FIND('112'!$M$9,G822,1)&gt;=1,$B822&gt;='112'!$N$8,$B822&lt;='112'!$O$8,OR($L822='112'!$I$6,$M822='112'!$I$6))),"x",""))</f>
        <v/>
      </c>
      <c r="S822" s="39" t="str">
        <f>IF(ISERROR(FIND('112'!$M$9,G822,1)),"",IF((AND(LEFT(G822,2)=LEFT('112'!$M$9,2),B822&lt;'112'!$N$8,$L822='112'!$I$6)),"x",""))</f>
        <v/>
      </c>
      <c r="T822" s="39" t="str">
        <f>IF(ISERROR(FIND('112'!$M$9,G822,1)),"",IF((AND(RIGHT(G822,2)=RIGHT('112'!$M$9,2),B822&lt;'112'!$N$8,$M822='112'!$I$6)),"x",""))</f>
        <v/>
      </c>
      <c r="U822" s="39" t="str">
        <f>IF(AND('3411-CT'!$F$9=H822,OR(LEFT(L822,3)=$U$7,LEFT(M822,3)=$U$7)),"x","")</f>
        <v/>
      </c>
      <c r="V822" s="39" t="str">
        <f>IF(OR(TH!L822=TH!$V$7,M822=TH!$V$7),"x","")</f>
        <v/>
      </c>
      <c r="W822" s="39" t="str">
        <f>IF(AND(OR(L822="131",M822="131"),H822='131-CT'!$E$7),"x","")</f>
        <v/>
      </c>
      <c r="X822" s="39" t="str">
        <f>IF(AND(B822&gt;='IN-NX'!$P$3,B822&lt;='IN-NX'!$Q$3,'IN-NX'!$D$7=D822,OR(LEFT(TH!L822,2)="15",LEFT(TH!M822,2)="15")),"x","")</f>
        <v/>
      </c>
      <c r="Y822" s="39" t="str">
        <f>IF(AND(OR(LEFT(TH!L822,2)="15",LEFT(TH!M822,2)="15"),'152-CT'!$J$8=TH!F822),"x","")</f>
        <v/>
      </c>
      <c r="Z822" s="39" t="str">
        <f>IF(AND(OR(LEFT(TH!L822,2)="15",LEFT(TH!M822,2)="15"),TK!$E$7=TH!F822),"x","")</f>
        <v/>
      </c>
      <c r="AA822" s="39" t="str">
        <f>IF(AND(B822&lt;=NKC!$N$8,B822&gt;=NKC!$M$8),"x","")</f>
        <v/>
      </c>
    </row>
    <row r="823" spans="1:30" s="225" customFormat="1" ht="15.75" customHeight="1">
      <c r="A823" s="218" t="str">
        <f>IF(B823&lt;&gt;"",IF(AND(B823&gt;=_TM1,B823&lt;=_TM2,OR(TH!L823="1111",TH!M823="1111")),TH!D823,""),"")</f>
        <v/>
      </c>
      <c r="B823" s="36" t="str">
        <f>IF(C823&lt;&gt;"",MONTH(C823),"")</f>
        <v/>
      </c>
      <c r="C823" s="37"/>
      <c r="D823" s="37"/>
      <c r="E823" s="37"/>
      <c r="F823" s="40"/>
      <c r="G823" s="626"/>
      <c r="H823" s="206"/>
      <c r="I823" s="276"/>
      <c r="J823" s="276"/>
      <c r="K823" s="38"/>
      <c r="L823" s="39"/>
      <c r="M823" s="39"/>
      <c r="N823" s="39" t="str">
        <f>IF(AND('331-CT'!$E$7=TH!H823,OR(L823="331",M823="331")),"x","")</f>
        <v/>
      </c>
      <c r="O823" s="39" t="str">
        <f>IF(AND($B823&gt;='111'!$N$11,$B823&lt;='111'!$O$11,OR($L823=$O$7,$M823=$O$7)),"x","")</f>
        <v/>
      </c>
      <c r="P823" s="39" t="str">
        <f>IF(AND($L823=$O$7,$B823&lt;'111'!$N$11),"x","")</f>
        <v/>
      </c>
      <c r="Q823" s="39" t="str">
        <f>IF(AND($M823=$O$7,$B823&lt;'111'!$N$11),"x","")</f>
        <v/>
      </c>
      <c r="R823" s="39" t="str">
        <f>IF(ISERROR(FIND('112'!$M$9,G823,1)),"",IF((AND(FIND('112'!$M$9,G823,1)&gt;=1,$B823&gt;='112'!$N$8,$B823&lt;='112'!$O$8,OR($L823='112'!$I$6,$M823='112'!$I$6))),"x",""))</f>
        <v/>
      </c>
      <c r="S823" s="39" t="str">
        <f>IF(ISERROR(FIND('112'!$M$9,G823,1)),"",IF((AND(LEFT(G823,2)=LEFT('112'!$M$9,2),B823&lt;'112'!$N$8,$L823='112'!$I$6)),"x",""))</f>
        <v/>
      </c>
      <c r="T823" s="39" t="str">
        <f>IF(ISERROR(FIND('112'!$M$9,G823,1)),"",IF((AND(RIGHT(G823,2)=RIGHT('112'!$M$9,2),B823&lt;'112'!$N$8,$M823='112'!$I$6)),"x",""))</f>
        <v/>
      </c>
      <c r="U823" s="39" t="str">
        <f>IF(AND('3411-CT'!$F$9=H823,OR(LEFT(L823,3)=$U$7,LEFT(M823,3)=$U$7)),"x","")</f>
        <v/>
      </c>
      <c r="V823" s="39" t="str">
        <f>IF(OR(TH!L823=TH!$V$7,M823=TH!$V$7),"x","")</f>
        <v/>
      </c>
      <c r="W823" s="39" t="str">
        <f>IF(AND(OR(L823="131",M823="131"),H823='131-CT'!$E$7),"x","")</f>
        <v/>
      </c>
      <c r="X823" s="39" t="str">
        <f>IF(AND(B823&gt;='IN-NX'!$P$3,B823&lt;='IN-NX'!$Q$3,'IN-NX'!$D$7=D823,OR(LEFT(TH!L823,2)="15",LEFT(TH!M823,2)="15")),"x","")</f>
        <v/>
      </c>
      <c r="Y823" s="39" t="str">
        <f>IF(AND(OR(LEFT(TH!L823,2)="15",LEFT(TH!M823,2)="15"),'152-CT'!$J$8=TH!F823),"x","")</f>
        <v/>
      </c>
      <c r="Z823" s="39" t="str">
        <f>IF(AND(OR(LEFT(TH!L823,2)="15",LEFT(TH!M823,2)="15"),TK!$E$7=TH!F823),"x","")</f>
        <v/>
      </c>
      <c r="AA823" s="39" t="str">
        <f>IF(AND(B823&lt;=NKC!$N$8,B823&gt;=NKC!$M$8),"x","")</f>
        <v/>
      </c>
    </row>
    <row r="824" spans="1:30" s="225" customFormat="1" ht="17.25" customHeight="1">
      <c r="A824" s="218" t="str">
        <f>IF(B824&lt;&gt;"",IF(AND(B824&gt;=_TM1,B824&lt;=_TM2,OR(TH!L824="1111",TH!M824="1111")),TH!D824,""),"")</f>
        <v/>
      </c>
      <c r="B824" s="36" t="str">
        <f t="shared" si="40"/>
        <v/>
      </c>
      <c r="C824" s="37"/>
      <c r="D824" s="37"/>
      <c r="E824" s="37"/>
      <c r="F824" s="40"/>
      <c r="G824" s="626"/>
      <c r="H824" s="45"/>
      <c r="I824" s="276"/>
      <c r="J824" s="276"/>
      <c r="K824" s="38"/>
      <c r="L824" s="207"/>
      <c r="M824" s="39"/>
      <c r="N824" s="39" t="str">
        <f>IF(AND('331-CT'!$E$7=TH!H824,OR(L824="331",M824="331")),"x","")</f>
        <v/>
      </c>
      <c r="O824" s="39" t="str">
        <f>IF(AND($B824&gt;='111'!$N$11,$B824&lt;='111'!$O$11,OR($L824=$O$7,$M824=$O$7)),"x","")</f>
        <v/>
      </c>
      <c r="P824" s="39" t="str">
        <f>IF(AND($L824=$O$7,$B824&lt;'111'!$N$11),"x","")</f>
        <v/>
      </c>
      <c r="Q824" s="39" t="str">
        <f>IF(AND($M824=$O$7,$B824&lt;'111'!$N$11),"x","")</f>
        <v/>
      </c>
      <c r="R824" s="39" t="str">
        <f>IF(ISERROR(FIND('112'!$M$9,G824,1)),"",IF((AND(FIND('112'!$M$9,G824,1)&gt;=1,$B824&gt;='112'!$N$8,$B824&lt;='112'!$O$8,OR($L824='112'!$I$6,$M824='112'!$I$6))),"x",""))</f>
        <v/>
      </c>
      <c r="S824" s="39" t="str">
        <f>IF(ISERROR(FIND('112'!$M$9,G824,1)),"",IF((AND(LEFT(G824,2)=LEFT('112'!$M$9,2),B824&lt;'112'!$N$8,$L824='112'!$I$6)),"x",""))</f>
        <v/>
      </c>
      <c r="T824" s="39" t="str">
        <f>IF(ISERROR(FIND('112'!$M$9,G824,1)),"",IF((AND(RIGHT(G824,2)=RIGHT('112'!$M$9,2),B824&lt;'112'!$N$8,$M824='112'!$I$6)),"x",""))</f>
        <v/>
      </c>
      <c r="U824" s="39" t="str">
        <f>IF(AND('3411-CT'!$F$9=H824,OR(LEFT(L824,3)=$U$7,LEFT(M824,3)=$U$7)),"x","")</f>
        <v/>
      </c>
      <c r="V824" s="39" t="str">
        <f>IF(OR(TH!L824=TH!$V$7,M824=TH!$V$7),"x","")</f>
        <v/>
      </c>
      <c r="W824" s="39" t="str">
        <f>IF(AND(OR(L824="131",M824="131"),H824='131-CT'!$E$7),"x","")</f>
        <v/>
      </c>
      <c r="X824" s="39" t="str">
        <f>IF(AND(B824&gt;='IN-NX'!$P$3,B824&lt;='IN-NX'!$Q$3,'IN-NX'!$D$7=D824,OR(LEFT(TH!L824,2)="15",LEFT(TH!M824,2)="15")),"x","")</f>
        <v/>
      </c>
      <c r="Y824" s="39" t="str">
        <f>IF(AND(OR(LEFT(TH!L824,2)="15",LEFT(TH!M824,2)="15"),'152-CT'!$J$8=TH!F824),"x","")</f>
        <v/>
      </c>
      <c r="Z824" s="39" t="str">
        <f>IF(AND(OR(LEFT(TH!L824,2)="15",LEFT(TH!M824,2)="15"),TK!$E$7=TH!F824),"x","")</f>
        <v/>
      </c>
      <c r="AA824" s="39" t="str">
        <f>IF(AND(B824&lt;=NKC!$N$8,B824&gt;=NKC!$M$8),"x","")</f>
        <v/>
      </c>
    </row>
    <row r="825" spans="1:30" s="225" customFormat="1" ht="15.75" customHeight="1">
      <c r="A825" s="218" t="str">
        <f>IF(B825&lt;&gt;"",IF(AND(B825&gt;=_TM1,B825&lt;=_TM2,OR(TH!L825="1111",TH!M825="1111")),TH!D825,""),"")</f>
        <v/>
      </c>
      <c r="B825" s="36" t="str">
        <f t="shared" ref="B825:B833" si="41">IF(C825&lt;&gt;"",MONTH(C825),"")</f>
        <v/>
      </c>
      <c r="C825" s="37"/>
      <c r="D825" s="204"/>
      <c r="E825" s="37"/>
      <c r="F825" s="40"/>
      <c r="G825" s="626"/>
      <c r="H825" s="7"/>
      <c r="I825" s="276"/>
      <c r="J825" s="276"/>
      <c r="K825" s="38"/>
      <c r="L825" s="39"/>
      <c r="M825" s="39"/>
      <c r="N825" s="39" t="str">
        <f>IF(AND('331-CT'!$E$7=TH!H825,OR(L825="331",M825="331")),"x","")</f>
        <v/>
      </c>
      <c r="O825" s="39" t="str">
        <f>IF(AND($B825&gt;='111'!$N$11,$B825&lt;='111'!$O$11,OR($L825=$O$7,$M825=$O$7)),"x","")</f>
        <v/>
      </c>
      <c r="P825" s="39" t="str">
        <f>IF(AND($L825=$O$7,$B825&lt;'111'!$N$11),"x","")</f>
        <v/>
      </c>
      <c r="Q825" s="39" t="str">
        <f>IF(AND($M825=$O$7,$B825&lt;'111'!$N$11),"x","")</f>
        <v/>
      </c>
      <c r="R825" s="39" t="str">
        <f>IF(ISERROR(FIND('112'!$M$9,G825,1)),"",IF((AND(FIND('112'!$M$9,G825,1)&gt;=1,$B825&gt;='112'!$N$8,$B825&lt;='112'!$O$8,OR($L825='112'!$I$6,$M825='112'!$I$6))),"x",""))</f>
        <v/>
      </c>
      <c r="S825" s="39" t="str">
        <f>IF(ISERROR(FIND('112'!$M$9,G825,1)),"",IF((AND(LEFT(G825,2)=LEFT('112'!$M$9,2),B825&lt;'112'!$N$8,$L825='112'!$I$6)),"x",""))</f>
        <v/>
      </c>
      <c r="T825" s="39" t="str">
        <f>IF(ISERROR(FIND('112'!$M$9,G825,1)),"",IF((AND(RIGHT(G825,2)=RIGHT('112'!$M$9,2),B825&lt;'112'!$N$8,$M825='112'!$I$6)),"x",""))</f>
        <v/>
      </c>
      <c r="U825" s="39" t="str">
        <f>IF(AND('3411-CT'!$F$9=H825,OR(LEFT(L825,3)=$U$7,LEFT(M825,3)=$U$7)),"x","")</f>
        <v/>
      </c>
      <c r="V825" s="39" t="str">
        <f>IF(OR(TH!L825=TH!$V$7,M825=TH!$V$7),"x","")</f>
        <v/>
      </c>
      <c r="W825" s="39" t="str">
        <f>IF(AND(OR(L825="131",M825="131"),H825='131-CT'!$E$7),"x","")</f>
        <v/>
      </c>
      <c r="X825" s="39" t="str">
        <f>IF(AND(B825&gt;='IN-NX'!$P$3,B825&lt;='IN-NX'!$Q$3,'IN-NX'!$D$7=D825,OR(LEFT(TH!L825,2)="15",LEFT(TH!M825,2)="15")),"x","")</f>
        <v/>
      </c>
      <c r="Y825" s="39" t="str">
        <f>IF(AND(OR(LEFT(TH!L825,2)="15",LEFT(TH!M825,2)="15"),'152-CT'!$J$8=TH!F825),"x","")</f>
        <v/>
      </c>
      <c r="Z825" s="39" t="str">
        <f>IF(AND(OR(LEFT(TH!L825,2)="15",LEFT(TH!M825,2)="15"),TK!$E$7=TH!F825),"x","")</f>
        <v/>
      </c>
      <c r="AA825" s="39" t="str">
        <f>IF(AND(B825&lt;=NKC!$N$8,B825&gt;=NKC!$M$8),"x","")</f>
        <v/>
      </c>
    </row>
    <row r="826" spans="1:30" s="225" customFormat="1" ht="15.75" customHeight="1">
      <c r="A826" s="218" t="str">
        <f>IF(B826&lt;&gt;"",IF(AND(B826&gt;=_TM1,B826&lt;=_TM2,OR(TH!L826="1111",TH!M826="1111")),TH!D826,""),"")</f>
        <v/>
      </c>
      <c r="B826" s="36" t="str">
        <f t="shared" si="41"/>
        <v/>
      </c>
      <c r="C826" s="37"/>
      <c r="D826" s="204"/>
      <c r="E826" s="37"/>
      <c r="F826" s="40"/>
      <c r="G826" s="626"/>
      <c r="H826" s="7"/>
      <c r="I826" s="276"/>
      <c r="J826" s="276"/>
      <c r="K826" s="38"/>
      <c r="L826" s="39"/>
      <c r="M826" s="39"/>
      <c r="N826" s="39" t="str">
        <f>IF(AND('331-CT'!$E$7=TH!H826,OR(L826="331",M826="331")),"x","")</f>
        <v/>
      </c>
      <c r="O826" s="39" t="str">
        <f>IF(AND($B826&gt;='111'!$N$11,$B826&lt;='111'!$O$11,OR($L826=$O$7,$M826=$O$7)),"x","")</f>
        <v/>
      </c>
      <c r="P826" s="39" t="str">
        <f>IF(AND($L826=$O$7,$B826&lt;'111'!$N$11),"x","")</f>
        <v/>
      </c>
      <c r="Q826" s="39" t="str">
        <f>IF(AND($M826=$O$7,$B826&lt;'111'!$N$11),"x","")</f>
        <v/>
      </c>
      <c r="R826" s="39" t="str">
        <f>IF(ISERROR(FIND('112'!$M$9,G826,1)),"",IF((AND(FIND('112'!$M$9,G826,1)&gt;=1,$B826&gt;='112'!$N$8,$B826&lt;='112'!$O$8,OR($L826='112'!$I$6,$M826='112'!$I$6))),"x",""))</f>
        <v/>
      </c>
      <c r="S826" s="39" t="str">
        <f>IF(ISERROR(FIND('112'!$M$9,G826,1)),"",IF((AND(LEFT(G826,2)=LEFT('112'!$M$9,2),B826&lt;'112'!$N$8,$L826='112'!$I$6)),"x",""))</f>
        <v/>
      </c>
      <c r="T826" s="39" t="str">
        <f>IF(ISERROR(FIND('112'!$M$9,G826,1)),"",IF((AND(RIGHT(G826,2)=RIGHT('112'!$M$9,2),B826&lt;'112'!$N$8,$M826='112'!$I$6)),"x",""))</f>
        <v/>
      </c>
      <c r="U826" s="39" t="str">
        <f>IF(AND('3411-CT'!$F$9=H826,OR(LEFT(L826,3)=$U$7,LEFT(M826,3)=$U$7)),"x","")</f>
        <v/>
      </c>
      <c r="V826" s="39" t="str">
        <f>IF(OR(TH!L826=TH!$V$7,M826=TH!$V$7),"x","")</f>
        <v/>
      </c>
      <c r="W826" s="39" t="str">
        <f>IF(AND(OR(L826="131",M826="131"),H826='131-CT'!$E$7),"x","")</f>
        <v/>
      </c>
      <c r="X826" s="39" t="str">
        <f>IF(AND(B826&gt;='IN-NX'!$P$3,B826&lt;='IN-NX'!$Q$3,'IN-NX'!$D$7=D826,OR(LEFT(TH!L826,2)="15",LEFT(TH!M826,2)="15")),"x","")</f>
        <v/>
      </c>
      <c r="Y826" s="39" t="str">
        <f>IF(AND(OR(LEFT(TH!L826,2)="15",LEFT(TH!M826,2)="15"),'152-CT'!$J$8=TH!F826),"x","")</f>
        <v/>
      </c>
      <c r="Z826" s="39" t="str">
        <f>IF(AND(OR(LEFT(TH!L826,2)="15",LEFT(TH!M826,2)="15"),TK!$E$7=TH!F826),"x","")</f>
        <v/>
      </c>
      <c r="AA826" s="39" t="str">
        <f>IF(AND(B826&lt;=NKC!$N$8,B826&gt;=NKC!$M$8),"x","")</f>
        <v/>
      </c>
    </row>
    <row r="827" spans="1:30" s="225" customFormat="1" ht="15.75" customHeight="1">
      <c r="A827" s="218" t="str">
        <f>IF(B827&lt;&gt;"",IF(AND(B827&gt;=_TM1,B827&lt;=_TM2,OR(TH!L827="1111",TH!M827="1111")),TH!D827,""),"")</f>
        <v/>
      </c>
      <c r="B827" s="36" t="str">
        <f t="shared" si="41"/>
        <v/>
      </c>
      <c r="C827" s="37"/>
      <c r="D827" s="204"/>
      <c r="E827" s="37"/>
      <c r="F827" s="40"/>
      <c r="G827" s="626"/>
      <c r="H827" s="7"/>
      <c r="I827" s="276"/>
      <c r="J827" s="276"/>
      <c r="K827" s="38"/>
      <c r="L827" s="39"/>
      <c r="M827" s="39"/>
      <c r="N827" s="39" t="str">
        <f>IF(AND('331-CT'!$E$7=TH!H827,OR(L827="331",M827="331")),"x","")</f>
        <v/>
      </c>
      <c r="O827" s="39" t="str">
        <f>IF(AND($B827&gt;='111'!$N$11,$B827&lt;='111'!$O$11,OR($L827=$O$7,$M827=$O$7)),"x","")</f>
        <v/>
      </c>
      <c r="P827" s="39" t="str">
        <f>IF(AND($L827=$O$7,$B827&lt;'111'!$N$11),"x","")</f>
        <v/>
      </c>
      <c r="Q827" s="39" t="str">
        <f>IF(AND($M827=$O$7,$B827&lt;'111'!$N$11),"x","")</f>
        <v/>
      </c>
      <c r="R827" s="39" t="str">
        <f>IF(ISERROR(FIND('112'!$M$9,G827,1)),"",IF((AND(FIND('112'!$M$9,G827,1)&gt;=1,$B827&gt;='112'!$N$8,$B827&lt;='112'!$O$8,OR($L827='112'!$I$6,$M827='112'!$I$6))),"x",""))</f>
        <v/>
      </c>
      <c r="S827" s="39" t="str">
        <f>IF(ISERROR(FIND('112'!$M$9,G827,1)),"",IF((AND(LEFT(G827,2)=LEFT('112'!$M$9,2),B827&lt;'112'!$N$8,$L827='112'!$I$6)),"x",""))</f>
        <v/>
      </c>
      <c r="T827" s="39" t="str">
        <f>IF(ISERROR(FIND('112'!$M$9,G827,1)),"",IF((AND(RIGHT(G827,2)=RIGHT('112'!$M$9,2),B827&lt;'112'!$N$8,$M827='112'!$I$6)),"x",""))</f>
        <v/>
      </c>
      <c r="U827" s="39" t="str">
        <f>IF(AND('3411-CT'!$F$9=H827,OR(LEFT(L827,3)=$U$7,LEFT(M827,3)=$U$7)),"x","")</f>
        <v/>
      </c>
      <c r="V827" s="39" t="str">
        <f>IF(OR(TH!L827=TH!$V$7,M827=TH!$V$7),"x","")</f>
        <v/>
      </c>
      <c r="W827" s="39" t="str">
        <f>IF(AND(OR(L827="131",M827="131"),H827='131-CT'!$E$7),"x","")</f>
        <v/>
      </c>
      <c r="X827" s="39" t="str">
        <f>IF(AND(B827&gt;='IN-NX'!$P$3,B827&lt;='IN-NX'!$Q$3,'IN-NX'!$D$7=D827,OR(LEFT(TH!L827,2)="15",LEFT(TH!M827,2)="15")),"x","")</f>
        <v/>
      </c>
      <c r="Y827" s="39" t="str">
        <f>IF(AND(OR(LEFT(TH!L827,2)="15",LEFT(TH!M827,2)="15"),'152-CT'!$J$8=TH!F827),"x","")</f>
        <v/>
      </c>
      <c r="Z827" s="39" t="str">
        <f>IF(AND(OR(LEFT(TH!L827,2)="15",LEFT(TH!M827,2)="15"),TK!$E$7=TH!F827),"x","")</f>
        <v/>
      </c>
      <c r="AA827" s="39" t="str">
        <f>IF(AND(B827&lt;=NKC!$N$8,B827&gt;=NKC!$M$8),"x","")</f>
        <v/>
      </c>
      <c r="AD827" s="739"/>
    </row>
    <row r="828" spans="1:30" s="225" customFormat="1" ht="15.75" customHeight="1">
      <c r="A828" s="218" t="str">
        <f>IF(B828&lt;&gt;"",IF(AND(B828&gt;=_TM1,B828&lt;=_TM2,OR(TH!L828="1111",TH!M828="1111")),TH!D828,""),"")</f>
        <v/>
      </c>
      <c r="B828" s="36" t="str">
        <f t="shared" si="41"/>
        <v/>
      </c>
      <c r="C828" s="37"/>
      <c r="D828" s="204"/>
      <c r="E828" s="37"/>
      <c r="F828" s="330"/>
      <c r="G828" s="626"/>
      <c r="H828" s="7"/>
      <c r="I828" s="276"/>
      <c r="J828" s="276"/>
      <c r="K828" s="38"/>
      <c r="L828" s="39"/>
      <c r="M828" s="749"/>
      <c r="N828" s="39" t="str">
        <f>IF(AND('331-CT'!$E$7=TH!H828,OR(L828="331",M828="331")),"x","")</f>
        <v/>
      </c>
      <c r="O828" s="39" t="str">
        <f>IF(AND($B828&gt;='111'!$N$11,$B828&lt;='111'!$O$11,OR($L828=$O$7,$M828=$O$7)),"x","")</f>
        <v/>
      </c>
      <c r="P828" s="39" t="str">
        <f>IF(AND($L828=$O$7,$B828&lt;'111'!$N$11),"x","")</f>
        <v/>
      </c>
      <c r="Q828" s="39" t="str">
        <f>IF(AND($M828=$O$7,$B828&lt;'111'!$N$11),"x","")</f>
        <v/>
      </c>
      <c r="R828" s="39" t="str">
        <f>IF(ISERROR(FIND('112'!$M$9,G828,1)),"",IF((AND(FIND('112'!$M$9,G828,1)&gt;=1,$B828&gt;='112'!$N$8,$B828&lt;='112'!$O$8,OR($L828='112'!$I$6,$M828='112'!$I$6))),"x",""))</f>
        <v/>
      </c>
      <c r="S828" s="39" t="str">
        <f>IF(ISERROR(FIND('112'!$M$9,G828,1)),"",IF((AND(LEFT(G828,2)=LEFT('112'!$M$9,2),B828&lt;'112'!$N$8,$L828='112'!$I$6)),"x",""))</f>
        <v/>
      </c>
      <c r="T828" s="39" t="str">
        <f>IF(ISERROR(FIND('112'!$M$9,G828,1)),"",IF((AND(RIGHT(G828,2)=RIGHT('112'!$M$9,2),B828&lt;'112'!$N$8,$M828='112'!$I$6)),"x",""))</f>
        <v/>
      </c>
      <c r="U828" s="39" t="str">
        <f>IF(AND('3411-CT'!$F$9=H828,OR(LEFT(L828,3)=$U$7,LEFT(M828,3)=$U$7)),"x","")</f>
        <v/>
      </c>
      <c r="V828" s="39" t="str">
        <f>IF(OR(TH!L828=TH!$V$7,M828=TH!$V$7),"x","")</f>
        <v/>
      </c>
      <c r="W828" s="39" t="str">
        <f>IF(AND(OR(L828="131",M828="131"),H828='131-CT'!$E$7),"x","")</f>
        <v/>
      </c>
      <c r="X828" s="39" t="str">
        <f>IF(AND(B828&gt;='IN-NX'!$P$3,B828&lt;='IN-NX'!$Q$3,'IN-NX'!$D$7=D828,OR(LEFT(TH!L828,2)="15",LEFT(TH!M828,2)="15")),"x","")</f>
        <v/>
      </c>
      <c r="Y828" s="39" t="str">
        <f>IF(AND(OR(LEFT(TH!L828,2)="15",LEFT(TH!M828,2)="15"),'152-CT'!$J$8=TH!F828),"x","")</f>
        <v/>
      </c>
      <c r="Z828" s="39" t="str">
        <f>IF(AND(OR(LEFT(TH!L828,2)="15",LEFT(TH!M828,2)="15"),TK!$E$7=TH!F828),"x","")</f>
        <v/>
      </c>
      <c r="AA828" s="39" t="str">
        <f>IF(AND(B828&lt;=NKC!$N$8,B828&gt;=NKC!$M$8),"x","")</f>
        <v/>
      </c>
    </row>
    <row r="829" spans="1:30" s="225" customFormat="1" ht="15.75" customHeight="1">
      <c r="A829" s="218" t="str">
        <f>IF(B829&lt;&gt;"",IF(AND(B829&gt;=_TM1,B829&lt;=_TM2,OR(TH!L829="1111",TH!M829="1111")),TH!D829,""),"")</f>
        <v/>
      </c>
      <c r="B829" s="36" t="str">
        <f t="shared" si="41"/>
        <v/>
      </c>
      <c r="C829" s="37"/>
      <c r="D829" s="204"/>
      <c r="E829" s="37"/>
      <c r="F829" s="330"/>
      <c r="G829" s="626"/>
      <c r="H829" s="7"/>
      <c r="I829" s="276"/>
      <c r="J829" s="276"/>
      <c r="K829" s="38"/>
      <c r="L829" s="39"/>
      <c r="M829" s="749"/>
      <c r="N829" s="39" t="str">
        <f>IF(AND('331-CT'!$E$7=TH!H829,OR(L829="331",M829="331")),"x","")</f>
        <v/>
      </c>
      <c r="O829" s="39" t="str">
        <f>IF(AND($B829&gt;='111'!$N$11,$B829&lt;='111'!$O$11,OR($L829=$O$7,$M829=$O$7)),"x","")</f>
        <v/>
      </c>
      <c r="P829" s="39" t="str">
        <f>IF(AND($L829=$O$7,$B829&lt;'111'!$N$11),"x","")</f>
        <v/>
      </c>
      <c r="Q829" s="39" t="str">
        <f>IF(AND($M829=$O$7,$B829&lt;'111'!$N$11),"x","")</f>
        <v/>
      </c>
      <c r="R829" s="39" t="str">
        <f>IF(ISERROR(FIND('112'!$M$9,G829,1)),"",IF((AND(FIND('112'!$M$9,G829,1)&gt;=1,$B829&gt;='112'!$N$8,$B829&lt;='112'!$O$8,OR($L829='112'!$I$6,$M829='112'!$I$6))),"x",""))</f>
        <v/>
      </c>
      <c r="S829" s="39" t="str">
        <f>IF(ISERROR(FIND('112'!$M$9,G829,1)),"",IF((AND(LEFT(G829,2)=LEFT('112'!$M$9,2),B829&lt;'112'!$N$8,$L829='112'!$I$6)),"x",""))</f>
        <v/>
      </c>
      <c r="T829" s="39" t="str">
        <f>IF(ISERROR(FIND('112'!$M$9,G829,1)),"",IF((AND(RIGHT(G829,2)=RIGHT('112'!$M$9,2),B829&lt;'112'!$N$8,$M829='112'!$I$6)),"x",""))</f>
        <v/>
      </c>
      <c r="U829" s="39" t="str">
        <f>IF(AND('3411-CT'!$F$9=H829,OR(LEFT(L829,3)=$U$7,LEFT(M829,3)=$U$7)),"x","")</f>
        <v/>
      </c>
      <c r="V829" s="39" t="str">
        <f>IF(OR(TH!L829=TH!$V$7,M829=TH!$V$7),"x","")</f>
        <v/>
      </c>
      <c r="W829" s="39" t="str">
        <f>IF(AND(OR(L829="131",M829="131"),H829='131-CT'!$E$7),"x","")</f>
        <v/>
      </c>
      <c r="X829" s="39" t="str">
        <f>IF(AND(B829&gt;='IN-NX'!$P$3,B829&lt;='IN-NX'!$Q$3,'IN-NX'!$D$7=D829,OR(LEFT(TH!L829,2)="15",LEFT(TH!M829,2)="15")),"x","")</f>
        <v/>
      </c>
      <c r="Y829" s="39" t="str">
        <f>IF(AND(OR(LEFT(TH!L829,2)="15",LEFT(TH!M829,2)="15"),'152-CT'!$J$8=TH!F829),"x","")</f>
        <v/>
      </c>
      <c r="Z829" s="39" t="str">
        <f>IF(AND(OR(LEFT(TH!L829,2)="15",LEFT(TH!M829,2)="15"),TK!$E$7=TH!F829),"x","")</f>
        <v/>
      </c>
      <c r="AA829" s="39" t="str">
        <f>IF(AND(B829&lt;=NKC!$N$8,B829&gt;=NKC!$M$8),"x","")</f>
        <v/>
      </c>
    </row>
    <row r="830" spans="1:30" s="225" customFormat="1" ht="15.75" customHeight="1">
      <c r="A830" s="218" t="str">
        <f>IF(B830&lt;&gt;"",IF(AND(B830&gt;=_TM1,B830&lt;=_TM2,OR(TH!L830="1111",TH!M830="1111")),TH!D830,""),"")</f>
        <v/>
      </c>
      <c r="B830" s="36" t="str">
        <f t="shared" si="41"/>
        <v/>
      </c>
      <c r="C830" s="37"/>
      <c r="D830" s="204"/>
      <c r="E830" s="37"/>
      <c r="F830" s="330"/>
      <c r="G830" s="626"/>
      <c r="H830" s="7"/>
      <c r="I830" s="276"/>
      <c r="J830" s="276"/>
      <c r="K830" s="38"/>
      <c r="L830" s="39"/>
      <c r="M830" s="749"/>
      <c r="N830" s="39" t="str">
        <f>IF(AND('331-CT'!$E$7=TH!H830,OR(L830="331",M830="331")),"x","")</f>
        <v/>
      </c>
      <c r="O830" s="39" t="str">
        <f>IF(AND($B830&gt;='111'!$N$11,$B830&lt;='111'!$O$11,OR($L830=$O$7,$M830=$O$7)),"x","")</f>
        <v/>
      </c>
      <c r="P830" s="39" t="str">
        <f>IF(AND($L830=$O$7,$B830&lt;'111'!$N$11),"x","")</f>
        <v/>
      </c>
      <c r="Q830" s="39" t="str">
        <f>IF(AND($M830=$O$7,$B830&lt;'111'!$N$11),"x","")</f>
        <v/>
      </c>
      <c r="R830" s="39" t="str">
        <f>IF(ISERROR(FIND('112'!$M$9,G830,1)),"",IF((AND(FIND('112'!$M$9,G830,1)&gt;=1,$B830&gt;='112'!$N$8,$B830&lt;='112'!$O$8,OR($L830='112'!$I$6,$M830='112'!$I$6))),"x",""))</f>
        <v/>
      </c>
      <c r="S830" s="39" t="str">
        <f>IF(ISERROR(FIND('112'!$M$9,G830,1)),"",IF((AND(LEFT(G830,2)=LEFT('112'!$M$9,2),B830&lt;'112'!$N$8,$L830='112'!$I$6)),"x",""))</f>
        <v/>
      </c>
      <c r="T830" s="39" t="str">
        <f>IF(ISERROR(FIND('112'!$M$9,G830,1)),"",IF((AND(RIGHT(G830,2)=RIGHT('112'!$M$9,2),B830&lt;'112'!$N$8,$M830='112'!$I$6)),"x",""))</f>
        <v/>
      </c>
      <c r="U830" s="39" t="str">
        <f>IF(AND('3411-CT'!$F$9=H830,OR(LEFT(L830,3)=$U$7,LEFT(M830,3)=$U$7)),"x","")</f>
        <v/>
      </c>
      <c r="V830" s="39" t="str">
        <f>IF(OR(TH!L830=TH!$V$7,M830=TH!$V$7),"x","")</f>
        <v/>
      </c>
      <c r="W830" s="39" t="str">
        <f>IF(AND(OR(L830="131",M830="131"),H830='131-CT'!$E$7),"x","")</f>
        <v/>
      </c>
      <c r="X830" s="39" t="str">
        <f>IF(AND(B830&gt;='IN-NX'!$P$3,B830&lt;='IN-NX'!$Q$3,'IN-NX'!$D$7=D830,OR(LEFT(TH!L830,2)="15",LEFT(TH!M830,2)="15")),"x","")</f>
        <v/>
      </c>
      <c r="Y830" s="39" t="str">
        <f>IF(AND(OR(LEFT(TH!L830,2)="15",LEFT(TH!M830,2)="15"),'152-CT'!$J$8=TH!F830),"x","")</f>
        <v/>
      </c>
      <c r="Z830" s="39" t="str">
        <f>IF(AND(OR(LEFT(TH!L830,2)="15",LEFT(TH!M830,2)="15"),TK!$E$7=TH!F830),"x","")</f>
        <v/>
      </c>
      <c r="AA830" s="39" t="str">
        <f>IF(AND(B830&lt;=NKC!$N$8,B830&gt;=NKC!$M$8),"x","")</f>
        <v/>
      </c>
    </row>
    <row r="831" spans="1:30" s="225" customFormat="1" ht="15.75" customHeight="1">
      <c r="A831" s="218" t="str">
        <f>IF(B831&lt;&gt;"",IF(AND(B831&gt;=_TM1,B831&lt;=_TM2,OR(TH!L831="1111",TH!M831="1111")),TH!D831,""),"")</f>
        <v/>
      </c>
      <c r="B831" s="36" t="str">
        <f t="shared" si="41"/>
        <v/>
      </c>
      <c r="C831" s="37"/>
      <c r="D831" s="204"/>
      <c r="E831" s="37"/>
      <c r="F831" s="330"/>
      <c r="G831" s="626"/>
      <c r="H831" s="7"/>
      <c r="I831" s="276"/>
      <c r="J831" s="276"/>
      <c r="K831" s="38"/>
      <c r="L831" s="39"/>
      <c r="M831" s="39"/>
      <c r="N831" s="39" t="str">
        <f>IF(AND('331-CT'!$E$7=TH!H831,OR(L831="331",M831="331")),"x","")</f>
        <v/>
      </c>
      <c r="O831" s="39" t="str">
        <f>IF(AND($B831&gt;='111'!$N$11,$B831&lt;='111'!$O$11,OR($L831=$O$7,$M831=$O$7)),"x","")</f>
        <v/>
      </c>
      <c r="P831" s="39" t="str">
        <f>IF(AND($L831=$O$7,$B831&lt;'111'!$N$11),"x","")</f>
        <v/>
      </c>
      <c r="Q831" s="39" t="str">
        <f>IF(AND($M831=$O$7,$B831&lt;'111'!$N$11),"x","")</f>
        <v/>
      </c>
      <c r="R831" s="39" t="str">
        <f>IF(ISERROR(FIND('112'!$M$9,G831,1)),"",IF((AND(FIND('112'!$M$9,G831,1)&gt;=1,$B831&gt;='112'!$N$8,$B831&lt;='112'!$O$8,OR($L831='112'!$I$6,$M831='112'!$I$6))),"x",""))</f>
        <v/>
      </c>
      <c r="S831" s="39" t="str">
        <f>IF(ISERROR(FIND('112'!$M$9,G831,1)),"",IF((AND(LEFT(G831,2)=LEFT('112'!$M$9,2),B831&lt;'112'!$N$8,$L831='112'!$I$6)),"x",""))</f>
        <v/>
      </c>
      <c r="T831" s="39" t="str">
        <f>IF(ISERROR(FIND('112'!$M$9,G831,1)),"",IF((AND(RIGHT(G831,2)=RIGHT('112'!$M$9,2),B831&lt;'112'!$N$8,$M831='112'!$I$6)),"x",""))</f>
        <v/>
      </c>
      <c r="U831" s="39" t="str">
        <f>IF(AND('3411-CT'!$F$9=H831,OR(LEFT(L831,3)=$U$7,LEFT(M831,3)=$U$7)),"x","")</f>
        <v/>
      </c>
      <c r="V831" s="39" t="str">
        <f>IF(OR(TH!L831=TH!$V$7,M831=TH!$V$7),"x","")</f>
        <v/>
      </c>
      <c r="W831" s="39" t="str">
        <f>IF(AND(OR(L831="131",M831="131"),H831='131-CT'!$E$7),"x","")</f>
        <v/>
      </c>
      <c r="X831" s="39" t="str">
        <f>IF(AND(B831&gt;='IN-NX'!$P$3,B831&lt;='IN-NX'!$Q$3,'IN-NX'!$D$7=D831,OR(LEFT(TH!L831,2)="15",LEFT(TH!M831,2)="15")),"x","")</f>
        <v/>
      </c>
      <c r="Y831" s="39" t="str">
        <f>IF(AND(OR(LEFT(TH!L831,2)="15",LEFT(TH!M831,2)="15"),'152-CT'!$J$8=TH!F831),"x","")</f>
        <v/>
      </c>
      <c r="Z831" s="39" t="str">
        <f>IF(AND(OR(LEFT(TH!L831,2)="15",LEFT(TH!M831,2)="15"),TK!$E$7=TH!F831),"x","")</f>
        <v/>
      </c>
      <c r="AA831" s="39" t="str">
        <f>IF(AND(B831&lt;=NKC!$N$8,B831&gt;=NKC!$M$8),"x","")</f>
        <v/>
      </c>
    </row>
    <row r="832" spans="1:30" s="225" customFormat="1" ht="15.75" customHeight="1">
      <c r="A832" s="218" t="str">
        <f>IF(B832&lt;&gt;"",IF(AND(B832&gt;=_TM1,B832&lt;=_TM2,OR(TH!L832="1111",TH!M832="1111")),TH!D832,""),"")</f>
        <v/>
      </c>
      <c r="B832" s="36" t="str">
        <f t="shared" si="41"/>
        <v/>
      </c>
      <c r="C832" s="37"/>
      <c r="D832" s="204"/>
      <c r="E832" s="37"/>
      <c r="F832" s="330"/>
      <c r="G832" s="626"/>
      <c r="H832" s="7"/>
      <c r="I832" s="276"/>
      <c r="J832" s="276"/>
      <c r="K832" s="38"/>
      <c r="L832" s="39"/>
      <c r="M832" s="39"/>
      <c r="N832" s="39" t="str">
        <f>IF(AND('331-CT'!$E$7=TH!H832,OR(L832="331",M832="331")),"x","")</f>
        <v/>
      </c>
      <c r="O832" s="39" t="str">
        <f>IF(AND($B832&gt;='111'!$N$11,$B832&lt;='111'!$O$11,OR($L832=$O$7,$M832=$O$7)),"x","")</f>
        <v/>
      </c>
      <c r="P832" s="39" t="str">
        <f>IF(AND($L832=$O$7,$B832&lt;'111'!$N$11),"x","")</f>
        <v/>
      </c>
      <c r="Q832" s="39" t="str">
        <f>IF(AND($M832=$O$7,$B832&lt;'111'!$N$11),"x","")</f>
        <v/>
      </c>
      <c r="R832" s="39" t="str">
        <f>IF(ISERROR(FIND('112'!$M$9,G832,1)),"",IF((AND(FIND('112'!$M$9,G832,1)&gt;=1,$B832&gt;='112'!$N$8,$B832&lt;='112'!$O$8,OR($L832='112'!$I$6,$M832='112'!$I$6))),"x",""))</f>
        <v/>
      </c>
      <c r="S832" s="39" t="str">
        <f>IF(ISERROR(FIND('112'!$M$9,G832,1)),"",IF((AND(LEFT(G832,2)=LEFT('112'!$M$9,2),B832&lt;'112'!$N$8,$L832='112'!$I$6)),"x",""))</f>
        <v/>
      </c>
      <c r="T832" s="39" t="str">
        <f>IF(ISERROR(FIND('112'!$M$9,G832,1)),"",IF((AND(RIGHT(G832,2)=RIGHT('112'!$M$9,2),B832&lt;'112'!$N$8,$M832='112'!$I$6)),"x",""))</f>
        <v/>
      </c>
      <c r="U832" s="39" t="str">
        <f>IF(AND('3411-CT'!$F$9=H832,OR(LEFT(L832,3)=$U$7,LEFT(M832,3)=$U$7)),"x","")</f>
        <v/>
      </c>
      <c r="V832" s="39" t="str">
        <f>IF(OR(TH!L832=TH!$V$7,M832=TH!$V$7),"x","")</f>
        <v/>
      </c>
      <c r="W832" s="39" t="str">
        <f>IF(AND(OR(L832="131",M832="131"),H832='131-CT'!$E$7),"x","")</f>
        <v/>
      </c>
      <c r="X832" s="39" t="str">
        <f>IF(AND(B832&gt;='IN-NX'!$P$3,B832&lt;='IN-NX'!$Q$3,'IN-NX'!$D$7=D832,OR(LEFT(TH!L832,2)="15",LEFT(TH!M832,2)="15")),"x","")</f>
        <v/>
      </c>
      <c r="Y832" s="39" t="str">
        <f>IF(AND(OR(LEFT(TH!L832,2)="15",LEFT(TH!M832,2)="15"),'152-CT'!$J$8=TH!F832),"x","")</f>
        <v/>
      </c>
      <c r="Z832" s="39" t="str">
        <f>IF(AND(OR(LEFT(TH!L832,2)="15",LEFT(TH!M832,2)="15"),TK!$E$7=TH!F832),"x","")</f>
        <v/>
      </c>
      <c r="AA832" s="39" t="str">
        <f>IF(AND(B832&lt;=NKC!$N$8,B832&gt;=NKC!$M$8),"x","")</f>
        <v/>
      </c>
    </row>
    <row r="833" spans="1:30" s="225" customFormat="1" ht="15.75" customHeight="1">
      <c r="A833" s="218" t="str">
        <f>IF(B833&lt;&gt;"",IF(AND(B833&gt;=_TM1,B833&lt;=_TM2,OR(TH!L833="1111",TH!M833="1111")),TH!D833,""),"")</f>
        <v/>
      </c>
      <c r="B833" s="36" t="str">
        <f t="shared" si="41"/>
        <v/>
      </c>
      <c r="C833" s="37"/>
      <c r="D833" s="204"/>
      <c r="E833" s="37"/>
      <c r="F833" s="330"/>
      <c r="G833" s="626"/>
      <c r="H833" s="7"/>
      <c r="I833" s="276"/>
      <c r="J833" s="276"/>
      <c r="K833" s="38"/>
      <c r="L833" s="39"/>
      <c r="M833" s="749"/>
      <c r="N833" s="39" t="str">
        <f>IF(AND('331-CT'!$E$7=TH!H833,OR(L833="331",M833="331")),"x","")</f>
        <v/>
      </c>
      <c r="O833" s="39" t="str">
        <f>IF(AND($B833&gt;='111'!$N$11,$B833&lt;='111'!$O$11,OR($L833=$O$7,$M833=$O$7)),"x","")</f>
        <v/>
      </c>
      <c r="P833" s="39" t="str">
        <f>IF(AND($L833=$O$7,$B833&lt;'111'!$N$11),"x","")</f>
        <v/>
      </c>
      <c r="Q833" s="39" t="str">
        <f>IF(AND($M833=$O$7,$B833&lt;'111'!$N$11),"x","")</f>
        <v/>
      </c>
      <c r="R833" s="39" t="str">
        <f>IF(ISERROR(FIND('112'!$M$9,G833,1)),"",IF((AND(FIND('112'!$M$9,G833,1)&gt;=1,$B833&gt;='112'!$N$8,$B833&lt;='112'!$O$8,OR($L833='112'!$I$6,$M833='112'!$I$6))),"x",""))</f>
        <v/>
      </c>
      <c r="S833" s="39" t="str">
        <f>IF(ISERROR(FIND('112'!$M$9,G833,1)),"",IF((AND(LEFT(G833,2)=LEFT('112'!$M$9,2),B833&lt;'112'!$N$8,$L833='112'!$I$6)),"x",""))</f>
        <v/>
      </c>
      <c r="T833" s="39" t="str">
        <f>IF(ISERROR(FIND('112'!$M$9,G833,1)),"",IF((AND(RIGHT(G833,2)=RIGHT('112'!$M$9,2),B833&lt;'112'!$N$8,$M833='112'!$I$6)),"x",""))</f>
        <v/>
      </c>
      <c r="U833" s="39" t="str">
        <f>IF(AND('3411-CT'!$F$9=H833,OR(LEFT(L833,3)=$U$7,LEFT(M833,3)=$U$7)),"x","")</f>
        <v/>
      </c>
      <c r="V833" s="39" t="str">
        <f>IF(OR(TH!L833=TH!$V$7,M833=TH!$V$7),"x","")</f>
        <v/>
      </c>
      <c r="W833" s="39" t="str">
        <f>IF(AND(OR(L833="131",M833="131"),H833='131-CT'!$E$7),"x","")</f>
        <v/>
      </c>
      <c r="X833" s="39" t="str">
        <f>IF(AND(B833&gt;='IN-NX'!$P$3,B833&lt;='IN-NX'!$Q$3,'IN-NX'!$D$7=D833,OR(LEFT(TH!L833,2)="15",LEFT(TH!M833,2)="15")),"x","")</f>
        <v/>
      </c>
      <c r="Y833" s="39" t="str">
        <f>IF(AND(OR(LEFT(TH!L833,2)="15",LEFT(TH!M833,2)="15"),'152-CT'!$J$8=TH!F833),"x","")</f>
        <v/>
      </c>
      <c r="Z833" s="39" t="str">
        <f>IF(AND(OR(LEFT(TH!L833,2)="15",LEFT(TH!M833,2)="15"),TK!$E$7=TH!F833),"x","")</f>
        <v/>
      </c>
      <c r="AA833" s="39" t="str">
        <f>IF(AND(B833&lt;=NKC!$N$8,B833&gt;=NKC!$M$8),"x","")</f>
        <v/>
      </c>
    </row>
    <row r="834" spans="1:30" s="225" customFormat="1" ht="15.75" customHeight="1">
      <c r="A834" s="218" t="str">
        <f>IF(B834&lt;&gt;"",IF(AND(B834&gt;=_TM1,B834&lt;=_TM2,OR(TH!L834="1111",TH!M834="1111")),TH!D834,""),"")</f>
        <v/>
      </c>
      <c r="B834" s="36" t="str">
        <f t="shared" si="40"/>
        <v/>
      </c>
      <c r="C834" s="37"/>
      <c r="D834" s="204"/>
      <c r="E834" s="37"/>
      <c r="F834" s="40"/>
      <c r="G834" s="626"/>
      <c r="H834" s="7"/>
      <c r="I834" s="276"/>
      <c r="J834" s="276"/>
      <c r="K834" s="38"/>
      <c r="L834" s="39"/>
      <c r="M834" s="749"/>
      <c r="N834" s="39" t="str">
        <f>IF(AND('331-CT'!$E$7=TH!H834,OR(L834="331",M834="331")),"x","")</f>
        <v/>
      </c>
      <c r="O834" s="39" t="str">
        <f>IF(AND($B834&gt;='111'!$N$11,$B834&lt;='111'!$O$11,OR($L834=$O$7,$M834=$O$7)),"x","")</f>
        <v/>
      </c>
      <c r="P834" s="39" t="str">
        <f>IF(AND($L834=$O$7,$B834&lt;'111'!$N$11),"x","")</f>
        <v/>
      </c>
      <c r="Q834" s="39" t="str">
        <f>IF(AND($M834=$O$7,$B834&lt;'111'!$N$11),"x","")</f>
        <v/>
      </c>
      <c r="R834" s="39" t="str">
        <f>IF(ISERROR(FIND('112'!$M$9,G834,1)),"",IF((AND(FIND('112'!$M$9,G834,1)&gt;=1,$B834&gt;='112'!$N$8,$B834&lt;='112'!$O$8,OR($L834='112'!$I$6,$M834='112'!$I$6))),"x",""))</f>
        <v/>
      </c>
      <c r="S834" s="39" t="str">
        <f>IF(ISERROR(FIND('112'!$M$9,G834,1)),"",IF((AND(LEFT(G834,2)=LEFT('112'!$M$9,2),B834&lt;'112'!$N$8,$L834='112'!$I$6)),"x",""))</f>
        <v/>
      </c>
      <c r="T834" s="39" t="str">
        <f>IF(ISERROR(FIND('112'!$M$9,G834,1)),"",IF((AND(RIGHT(G834,2)=RIGHT('112'!$M$9,2),B834&lt;'112'!$N$8,$M834='112'!$I$6)),"x",""))</f>
        <v/>
      </c>
      <c r="U834" s="39" t="str">
        <f>IF(AND('3411-CT'!$F$9=H834,OR(LEFT(L834,3)=$U$7,LEFT(M834,3)=$U$7)),"x","")</f>
        <v/>
      </c>
      <c r="V834" s="39" t="str">
        <f>IF(OR(TH!L834=TH!$V$7,M834=TH!$V$7),"x","")</f>
        <v/>
      </c>
      <c r="W834" s="39" t="str">
        <f>IF(AND(OR(L834="131",M834="131"),H834='131-CT'!$E$7),"x","")</f>
        <v/>
      </c>
      <c r="X834" s="39" t="str">
        <f>IF(AND(B834&gt;='IN-NX'!$P$3,B834&lt;='IN-NX'!$Q$3,'IN-NX'!$D$7=D834,OR(LEFT(TH!L834,2)="15",LEFT(TH!M834,2)="15")),"x","")</f>
        <v/>
      </c>
      <c r="Y834" s="39" t="str">
        <f>IF(AND(OR(LEFT(TH!L834,2)="15",LEFT(TH!M834,2)="15"),'152-CT'!$J$8=TH!F834),"x","")</f>
        <v/>
      </c>
      <c r="Z834" s="39" t="str">
        <f>IF(AND(OR(LEFT(TH!L834,2)="15",LEFT(TH!M834,2)="15"),TK!$E$7=TH!F834),"x","")</f>
        <v/>
      </c>
      <c r="AA834" s="39" t="str">
        <f>IF(AND(B834&lt;=NKC!$N$8,B834&gt;=NKC!$M$8),"x","")</f>
        <v/>
      </c>
    </row>
    <row r="835" spans="1:30" s="225" customFormat="1" ht="15.75" customHeight="1">
      <c r="A835" s="218" t="str">
        <f>IF(B835&lt;&gt;"",IF(AND(B835&gt;=_TM1,B835&lt;=_TM2,OR(TH!L835="1111",TH!M835="1111")),TH!D835,""),"")</f>
        <v/>
      </c>
      <c r="B835" s="36" t="str">
        <f>IF(C835&lt;&gt;"",MONTH(C835),"")</f>
        <v/>
      </c>
      <c r="C835" s="37"/>
      <c r="D835" s="204"/>
      <c r="E835" s="37"/>
      <c r="F835" s="40"/>
      <c r="G835" s="626"/>
      <c r="H835" s="7"/>
      <c r="I835" s="276"/>
      <c r="J835" s="276"/>
      <c r="K835" s="38"/>
      <c r="L835" s="39"/>
      <c r="M835" s="749"/>
      <c r="N835" s="39" t="str">
        <f>IF(AND('331-CT'!$E$7=TH!H835,OR(L835="331",M835="331")),"x","")</f>
        <v/>
      </c>
      <c r="O835" s="39" t="str">
        <f>IF(AND($B835&gt;='111'!$N$11,$B835&lt;='111'!$O$11,OR($L835=$O$7,$M835=$O$7)),"x","")</f>
        <v/>
      </c>
      <c r="P835" s="39" t="str">
        <f>IF(AND($L835=$O$7,$B835&lt;'111'!$N$11),"x","")</f>
        <v/>
      </c>
      <c r="Q835" s="39" t="str">
        <f>IF(AND($M835=$O$7,$B835&lt;'111'!$N$11),"x","")</f>
        <v/>
      </c>
      <c r="R835" s="39" t="str">
        <f>IF(ISERROR(FIND('112'!$M$9,G835,1)),"",IF((AND(FIND('112'!$M$9,G835,1)&gt;=1,$B835&gt;='112'!$N$8,$B835&lt;='112'!$O$8,OR($L835='112'!$I$6,$M835='112'!$I$6))),"x",""))</f>
        <v/>
      </c>
      <c r="S835" s="39" t="str">
        <f>IF(ISERROR(FIND('112'!$M$9,G835,1)),"",IF((AND(LEFT(G835,2)=LEFT('112'!$M$9,2),B835&lt;'112'!$N$8,$L835='112'!$I$6)),"x",""))</f>
        <v/>
      </c>
      <c r="T835" s="39" t="str">
        <f>IF(ISERROR(FIND('112'!$M$9,G835,1)),"",IF((AND(RIGHT(G835,2)=RIGHT('112'!$M$9,2),B835&lt;'112'!$N$8,$M835='112'!$I$6)),"x",""))</f>
        <v/>
      </c>
      <c r="U835" s="39" t="str">
        <f>IF(AND('3411-CT'!$F$9=H835,OR(LEFT(L835,3)=$U$7,LEFT(M835,3)=$U$7)),"x","")</f>
        <v/>
      </c>
      <c r="V835" s="39" t="str">
        <f>IF(OR(TH!L835=TH!$V$7,M835=TH!$V$7),"x","")</f>
        <v/>
      </c>
      <c r="W835" s="39" t="str">
        <f>IF(AND(OR(L835="131",M835="131"),H835='131-CT'!$E$7),"x","")</f>
        <v/>
      </c>
      <c r="X835" s="39" t="str">
        <f>IF(AND(B835&gt;='IN-NX'!$P$3,B835&lt;='IN-NX'!$Q$3,'IN-NX'!$D$7=D835,OR(LEFT(TH!L835,2)="15",LEFT(TH!M835,2)="15")),"x","")</f>
        <v/>
      </c>
      <c r="Y835" s="39" t="str">
        <f>IF(AND(OR(LEFT(TH!L835,2)="15",LEFT(TH!M835,2)="15"),'152-CT'!$J$8=TH!F835),"x","")</f>
        <v/>
      </c>
      <c r="Z835" s="39" t="str">
        <f>IF(AND(OR(LEFT(TH!L835,2)="15",LEFT(TH!M835,2)="15"),TK!$E$7=TH!F835),"x","")</f>
        <v/>
      </c>
      <c r="AA835" s="39" t="str">
        <f>IF(AND(B835&lt;=NKC!$N$8,B835&gt;=NKC!$M$8),"x","")</f>
        <v/>
      </c>
    </row>
    <row r="836" spans="1:30" s="225" customFormat="1" ht="15.75" customHeight="1">
      <c r="A836" s="218" t="str">
        <f>IF(B836&lt;&gt;"",IF(AND(B836&gt;=_TM1,B836&lt;=_TM2,OR(TH!L836="1111",TH!M836="1111")),TH!D836,""),"")</f>
        <v/>
      </c>
      <c r="B836" s="36" t="str">
        <f t="shared" si="40"/>
        <v/>
      </c>
      <c r="C836" s="37"/>
      <c r="D836" s="204"/>
      <c r="E836" s="37"/>
      <c r="F836" s="40"/>
      <c r="G836" s="626"/>
      <c r="H836" s="7"/>
      <c r="I836" s="276"/>
      <c r="J836" s="276"/>
      <c r="K836" s="38"/>
      <c r="L836" s="39"/>
      <c r="M836" s="749"/>
      <c r="N836" s="39" t="str">
        <f>IF(AND('331-CT'!$E$7=TH!H836,OR(L836="331",M836="331")),"x","")</f>
        <v/>
      </c>
      <c r="O836" s="39" t="str">
        <f>IF(AND($B836&gt;='111'!$N$11,$B836&lt;='111'!$O$11,OR($L836=$O$7,$M836=$O$7)),"x","")</f>
        <v/>
      </c>
      <c r="P836" s="39" t="str">
        <f>IF(AND($L836=$O$7,$B836&lt;'111'!$N$11),"x","")</f>
        <v/>
      </c>
      <c r="Q836" s="39" t="str">
        <f>IF(AND($M836=$O$7,$B836&lt;'111'!$N$11),"x","")</f>
        <v/>
      </c>
      <c r="R836" s="39" t="str">
        <f>IF(ISERROR(FIND('112'!$M$9,G836,1)),"",IF((AND(FIND('112'!$M$9,G836,1)&gt;=1,$B836&gt;='112'!$N$8,$B836&lt;='112'!$O$8,OR($L836='112'!$I$6,$M836='112'!$I$6))),"x",""))</f>
        <v/>
      </c>
      <c r="S836" s="39" t="str">
        <f>IF(ISERROR(FIND('112'!$M$9,G836,1)),"",IF((AND(LEFT(G836,2)=LEFT('112'!$M$9,2),B836&lt;'112'!$N$8,$L836='112'!$I$6)),"x",""))</f>
        <v/>
      </c>
      <c r="T836" s="39" t="str">
        <f>IF(ISERROR(FIND('112'!$M$9,G836,1)),"",IF((AND(RIGHT(G836,2)=RIGHT('112'!$M$9,2),B836&lt;'112'!$N$8,$M836='112'!$I$6)),"x",""))</f>
        <v/>
      </c>
      <c r="U836" s="39" t="str">
        <f>IF(AND('3411-CT'!$F$9=H836,OR(LEFT(L836,3)=$U$7,LEFT(M836,3)=$U$7)),"x","")</f>
        <v/>
      </c>
      <c r="V836" s="39" t="str">
        <f>IF(OR(TH!L836=TH!$V$7,M836=TH!$V$7),"x","")</f>
        <v/>
      </c>
      <c r="W836" s="39" t="str">
        <f>IF(AND(OR(L836="131",M836="131"),H836='131-CT'!$E$7),"x","")</f>
        <v/>
      </c>
      <c r="X836" s="39" t="str">
        <f>IF(AND(B836&gt;='IN-NX'!$P$3,B836&lt;='IN-NX'!$Q$3,'IN-NX'!$D$7=D836,OR(LEFT(TH!L836,2)="15",LEFT(TH!M836,2)="15")),"x","")</f>
        <v/>
      </c>
      <c r="Y836" s="39" t="str">
        <f>IF(AND(OR(LEFT(TH!L836,2)="15",LEFT(TH!M836,2)="15"),'152-CT'!$J$8=TH!F836),"x","")</f>
        <v/>
      </c>
      <c r="Z836" s="39" t="str">
        <f>IF(AND(OR(LEFT(TH!L836,2)="15",LEFT(TH!M836,2)="15"),TK!$E$7=TH!F836),"x","")</f>
        <v/>
      </c>
      <c r="AA836" s="39" t="str">
        <f>IF(AND(B836&lt;=NKC!$N$8,B836&gt;=NKC!$M$8),"x","")</f>
        <v/>
      </c>
    </row>
    <row r="837" spans="1:30" s="225" customFormat="1" ht="15.75" customHeight="1">
      <c r="A837" s="218" t="str">
        <f>IF(B837&lt;&gt;"",IF(AND(B837&gt;=_TM1,B837&lt;=_TM2,OR(TH!L837="1111",TH!M837="1111")),TH!D837,""),"")</f>
        <v/>
      </c>
      <c r="B837" s="36" t="str">
        <f t="shared" si="40"/>
        <v/>
      </c>
      <c r="C837" s="37"/>
      <c r="D837" s="37"/>
      <c r="E837" s="37"/>
      <c r="F837" s="40"/>
      <c r="G837" s="626"/>
      <c r="H837" s="45"/>
      <c r="I837" s="276"/>
      <c r="J837" s="276"/>
      <c r="K837" s="38"/>
      <c r="L837" s="39"/>
      <c r="M837" s="39"/>
      <c r="N837" s="39" t="str">
        <f>IF(AND('331-CT'!$E$7=TH!H837,OR(L837="331",M837="331")),"x","")</f>
        <v/>
      </c>
      <c r="O837" s="39" t="str">
        <f>IF(AND($B837&gt;='111'!$N$11,$B837&lt;='111'!$O$11,OR($L837=$O$7,$M837=$O$7)),"x","")</f>
        <v/>
      </c>
      <c r="P837" s="39" t="str">
        <f>IF(AND($L837=$O$7,$B837&lt;'111'!$N$11),"x","")</f>
        <v/>
      </c>
      <c r="Q837" s="39" t="str">
        <f>IF(AND($M837=$O$7,$B837&lt;'111'!$N$11),"x","")</f>
        <v/>
      </c>
      <c r="R837" s="39" t="str">
        <f>IF(ISERROR(FIND('112'!$M$9,G837,1)),"",IF((AND(FIND('112'!$M$9,G837,1)&gt;=1,$B837&gt;='112'!$N$8,$B837&lt;='112'!$O$8,OR($L837='112'!$I$6,$M837='112'!$I$6))),"x",""))</f>
        <v/>
      </c>
      <c r="S837" s="39" t="str">
        <f>IF(ISERROR(FIND('112'!$M$9,G837,1)),"",IF((AND(LEFT(G837,2)=LEFT('112'!$M$9,2),B837&lt;'112'!$N$8,$L837='112'!$I$6)),"x",""))</f>
        <v/>
      </c>
      <c r="T837" s="39" t="str">
        <f>IF(ISERROR(FIND('112'!$M$9,G837,1)),"",IF((AND(RIGHT(G837,2)=RIGHT('112'!$M$9,2),B837&lt;'112'!$N$8,$M837='112'!$I$6)),"x",""))</f>
        <v/>
      </c>
      <c r="U837" s="39" t="str">
        <f>IF(AND('3411-CT'!$F$9=H837,OR(LEFT(L837,3)=$U$7,LEFT(M837,3)=$U$7)),"x","")</f>
        <v/>
      </c>
      <c r="V837" s="39" t="str">
        <f>IF(OR(TH!L837=TH!$V$7,M837=TH!$V$7),"x","")</f>
        <v/>
      </c>
      <c r="W837" s="39" t="str">
        <f>IF(AND(OR(L837="131",M837="131"),H837='131-CT'!$E$7),"x","")</f>
        <v/>
      </c>
      <c r="X837" s="39" t="str">
        <f>IF(AND(B837&gt;='IN-NX'!$P$3,B837&lt;='IN-NX'!$Q$3,'IN-NX'!$D$7=D837,OR(LEFT(TH!L837,2)="15",LEFT(TH!M837,2)="15")),"x","")</f>
        <v/>
      </c>
      <c r="Y837" s="39" t="str">
        <f>IF(AND(OR(LEFT(TH!L837,2)="15",LEFT(TH!M837,2)="15"),'152-CT'!$J$8=TH!F837),"x","")</f>
        <v/>
      </c>
      <c r="Z837" s="39" t="str">
        <f>IF(AND(OR(LEFT(TH!L837,2)="15",LEFT(TH!M837,2)="15"),TK!$E$7=TH!F837),"x","")</f>
        <v/>
      </c>
      <c r="AA837" s="39" t="str">
        <f>IF(AND(B837&lt;=NKC!$N$8,B837&gt;=NKC!$M$8),"x","")</f>
        <v/>
      </c>
    </row>
    <row r="838" spans="1:30" s="225" customFormat="1" ht="15.75" customHeight="1">
      <c r="A838" s="218" t="str">
        <f>IF(B838&lt;&gt;"",IF(AND(B838&gt;=_TM1,B838&lt;=_TM2,OR(TH!L838="1111",TH!M838="1111")),TH!D838,""),"")</f>
        <v/>
      </c>
      <c r="B838" s="36" t="str">
        <f t="shared" si="40"/>
        <v/>
      </c>
      <c r="C838" s="37"/>
      <c r="D838" s="37"/>
      <c r="E838" s="37"/>
      <c r="F838" s="40"/>
      <c r="G838" s="626"/>
      <c r="H838" s="7"/>
      <c r="I838" s="276"/>
      <c r="J838" s="276"/>
      <c r="K838" s="38"/>
      <c r="L838" s="207"/>
      <c r="M838" s="39"/>
      <c r="N838" s="39" t="str">
        <f>IF(AND('331-CT'!$E$7=TH!H838,OR(L838="331",M838="331")),"x","")</f>
        <v/>
      </c>
      <c r="O838" s="39" t="str">
        <f>IF(AND($B838&gt;='111'!$N$11,$B838&lt;='111'!$O$11,OR($L838=$O$7,$M838=$O$7)),"x","")</f>
        <v/>
      </c>
      <c r="P838" s="39" t="str">
        <f>IF(AND($L838=$O$7,$B838&lt;'111'!$N$11),"x","")</f>
        <v/>
      </c>
      <c r="Q838" s="39" t="str">
        <f>IF(AND($M838=$O$7,$B838&lt;'111'!$N$11),"x","")</f>
        <v/>
      </c>
      <c r="R838" s="39" t="str">
        <f>IF(ISERROR(FIND('112'!$M$9,G838,1)),"",IF((AND(FIND('112'!$M$9,G838,1)&gt;=1,$B838&gt;='112'!$N$8,$B838&lt;='112'!$O$8,OR($L838='112'!$I$6,$M838='112'!$I$6))),"x",""))</f>
        <v/>
      </c>
      <c r="S838" s="39" t="str">
        <f>IF(ISERROR(FIND('112'!$M$9,G838,1)),"",IF((AND(LEFT(G838,2)=LEFT('112'!$M$9,2),B838&lt;'112'!$N$8,$L838='112'!$I$6)),"x",""))</f>
        <v/>
      </c>
      <c r="T838" s="39" t="str">
        <f>IF(ISERROR(FIND('112'!$M$9,G838,1)),"",IF((AND(RIGHT(G838,2)=RIGHT('112'!$M$9,2),B838&lt;'112'!$N$8,$M838='112'!$I$6)),"x",""))</f>
        <v/>
      </c>
      <c r="U838" s="39" t="str">
        <f>IF(AND('3411-CT'!$F$9=H838,OR(LEFT(L838,3)=$U$7,LEFT(M838,3)=$U$7)),"x","")</f>
        <v/>
      </c>
      <c r="V838" s="39" t="str">
        <f>IF(OR(TH!L838=TH!$V$7,M838=TH!$V$7),"x","")</f>
        <v/>
      </c>
      <c r="W838" s="39" t="str">
        <f>IF(AND(OR(L838="131",M838="131"),H838='131-CT'!$E$7),"x","")</f>
        <v/>
      </c>
      <c r="X838" s="39" t="str">
        <f>IF(AND(B838&gt;='IN-NX'!$P$3,B838&lt;='IN-NX'!$Q$3,'IN-NX'!$D$7=D838,OR(LEFT(TH!L838,2)="15",LEFT(TH!M838,2)="15")),"x","")</f>
        <v/>
      </c>
      <c r="Y838" s="39" t="str">
        <f>IF(AND(OR(LEFT(TH!L838,2)="15",LEFT(TH!M838,2)="15"),'152-CT'!$J$8=TH!F838),"x","")</f>
        <v/>
      </c>
      <c r="Z838" s="39" t="str">
        <f>IF(AND(OR(LEFT(TH!L838,2)="15",LEFT(TH!M838,2)="15"),TK!$E$7=TH!F838),"x","")</f>
        <v/>
      </c>
      <c r="AA838" s="39" t="str">
        <f>IF(AND(B838&lt;=NKC!$N$8,B838&gt;=NKC!$M$8),"x","")</f>
        <v/>
      </c>
      <c r="AD838" s="739"/>
    </row>
    <row r="839" spans="1:30" s="225" customFormat="1" ht="15.75" customHeight="1">
      <c r="A839" s="218" t="str">
        <f>IF(B839&lt;&gt;"",IF(AND(B839&gt;=_TM1,B839&lt;=_TM2,OR(TH!L839="1111",TH!M839="1111")),TH!D839,""),"")</f>
        <v/>
      </c>
      <c r="B839" s="36" t="str">
        <f t="shared" si="40"/>
        <v/>
      </c>
      <c r="C839" s="37"/>
      <c r="D839" s="37"/>
      <c r="E839" s="37"/>
      <c r="F839" s="40"/>
      <c r="G839" s="626"/>
      <c r="H839" s="206"/>
      <c r="I839" s="276"/>
      <c r="J839" s="276"/>
      <c r="K839" s="38"/>
      <c r="L839" s="39"/>
      <c r="M839" s="39"/>
      <c r="N839" s="39" t="str">
        <f>IF(AND('331-CT'!$E$7=TH!H839,OR(L839="331",M839="331")),"x","")</f>
        <v/>
      </c>
      <c r="O839" s="39" t="str">
        <f>IF(AND($B839&gt;='111'!$N$11,$B839&lt;='111'!$O$11,OR($L839=$O$7,$M839=$O$7)),"x","")</f>
        <v/>
      </c>
      <c r="P839" s="39" t="str">
        <f>IF(AND($L839=$O$7,$B839&lt;'111'!$N$11),"x","")</f>
        <v/>
      </c>
      <c r="Q839" s="39" t="str">
        <f>IF(AND($M839=$O$7,$B839&lt;'111'!$N$11),"x","")</f>
        <v/>
      </c>
      <c r="R839" s="39" t="str">
        <f>IF(ISERROR(FIND('112'!$M$9,G839,1)),"",IF((AND(FIND('112'!$M$9,G839,1)&gt;=1,$B839&gt;='112'!$N$8,$B839&lt;='112'!$O$8,OR($L839='112'!$I$6,$M839='112'!$I$6))),"x",""))</f>
        <v/>
      </c>
      <c r="S839" s="39" t="str">
        <f>IF(ISERROR(FIND('112'!$M$9,G839,1)),"",IF((AND(LEFT(G839,2)=LEFT('112'!$M$9,2),B839&lt;'112'!$N$8,$L839='112'!$I$6)),"x",""))</f>
        <v/>
      </c>
      <c r="T839" s="39" t="str">
        <f>IF(ISERROR(FIND('112'!$M$9,G839,1)),"",IF((AND(RIGHT(G839,2)=RIGHT('112'!$M$9,2),B839&lt;'112'!$N$8,$M839='112'!$I$6)),"x",""))</f>
        <v/>
      </c>
      <c r="U839" s="39" t="str">
        <f>IF(AND('3411-CT'!$F$9=H839,OR(LEFT(L839,3)=$U$7,LEFT(M839,3)=$U$7)),"x","")</f>
        <v/>
      </c>
      <c r="V839" s="39" t="str">
        <f>IF(OR(TH!L839=TH!$V$7,M839=TH!$V$7),"x","")</f>
        <v/>
      </c>
      <c r="W839" s="39" t="str">
        <f>IF(AND(OR(L839="131",M839="131"),H839='131-CT'!$E$7),"x","")</f>
        <v/>
      </c>
      <c r="X839" s="39" t="str">
        <f>IF(AND(B839&gt;='IN-NX'!$P$3,B839&lt;='IN-NX'!$Q$3,'IN-NX'!$D$7=D839,OR(LEFT(TH!L839,2)="15",LEFT(TH!M839,2)="15")),"x","")</f>
        <v/>
      </c>
      <c r="Y839" s="39" t="str">
        <f>IF(AND(OR(LEFT(TH!L839,2)="15",LEFT(TH!M839,2)="15"),'152-CT'!$J$8=TH!F839),"x","")</f>
        <v/>
      </c>
      <c r="Z839" s="39" t="str">
        <f>IF(AND(OR(LEFT(TH!L839,2)="15",LEFT(TH!M839,2)="15"),TK!$E$7=TH!F839),"x","")</f>
        <v/>
      </c>
      <c r="AA839" s="39" t="str">
        <f>IF(AND(B839&lt;=NKC!$N$8,B839&gt;=NKC!$M$8),"x","")</f>
        <v/>
      </c>
    </row>
    <row r="840" spans="1:30" s="225" customFormat="1" ht="15.75" customHeight="1">
      <c r="A840" s="218" t="str">
        <f>IF(B840&lt;&gt;"",IF(AND(B840&gt;=_TM1,B840&lt;=_TM2,OR(TH!L840="1111",TH!M840="1111")),TH!D840,""),"")</f>
        <v/>
      </c>
      <c r="B840" s="36" t="str">
        <f t="shared" si="40"/>
        <v/>
      </c>
      <c r="C840" s="37"/>
      <c r="D840" s="37"/>
      <c r="E840" s="37"/>
      <c r="F840" s="40"/>
      <c r="G840" s="626"/>
      <c r="H840" s="45"/>
      <c r="I840" s="276"/>
      <c r="J840" s="276"/>
      <c r="K840" s="38"/>
      <c r="L840" s="39"/>
      <c r="M840" s="39"/>
      <c r="N840" s="39" t="str">
        <f>IF(AND('331-CT'!$E$7=TH!H840,OR(L840="331",M840="331")),"x","")</f>
        <v/>
      </c>
      <c r="O840" s="39" t="str">
        <f>IF(AND($B840&gt;='111'!$N$11,$B840&lt;='111'!$O$11,OR($L840=$O$7,$M840=$O$7)),"x","")</f>
        <v/>
      </c>
      <c r="P840" s="39" t="str">
        <f>IF(AND($L840=$O$7,$B840&lt;'111'!$N$11),"x","")</f>
        <v/>
      </c>
      <c r="Q840" s="39" t="str">
        <f>IF(AND($M840=$O$7,$B840&lt;'111'!$N$11),"x","")</f>
        <v/>
      </c>
      <c r="R840" s="39" t="str">
        <f>IF(ISERROR(FIND('112'!$M$9,G840,1)),"",IF((AND(FIND('112'!$M$9,G840,1)&gt;=1,$B840&gt;='112'!$N$8,$B840&lt;='112'!$O$8,OR($L840='112'!$I$6,$M840='112'!$I$6))),"x",""))</f>
        <v/>
      </c>
      <c r="S840" s="39" t="str">
        <f>IF(ISERROR(FIND('112'!$M$9,G840,1)),"",IF((AND(LEFT(G840,2)=LEFT('112'!$M$9,2),B840&lt;'112'!$N$8,$L840='112'!$I$6)),"x",""))</f>
        <v/>
      </c>
      <c r="T840" s="39" t="str">
        <f>IF(ISERROR(FIND('112'!$M$9,G840,1)),"",IF((AND(RIGHT(G840,2)=RIGHT('112'!$M$9,2),B840&lt;'112'!$N$8,$M840='112'!$I$6)),"x",""))</f>
        <v/>
      </c>
      <c r="U840" s="39" t="str">
        <f>IF(AND('3411-CT'!$F$9=H840,OR(LEFT(L840,3)=$U$7,LEFT(M840,3)=$U$7)),"x","")</f>
        <v/>
      </c>
      <c r="V840" s="39" t="str">
        <f>IF(OR(TH!L840=TH!$V$7,M840=TH!$V$7),"x","")</f>
        <v/>
      </c>
      <c r="W840" s="39" t="str">
        <f>IF(AND(OR(L840="131",M840="131"),H840='131-CT'!$E$7),"x","")</f>
        <v/>
      </c>
      <c r="X840" s="39" t="str">
        <f>IF(AND(B840&gt;='IN-NX'!$P$3,B840&lt;='IN-NX'!$Q$3,'IN-NX'!$D$7=D840,OR(LEFT(TH!L840,2)="15",LEFT(TH!M840,2)="15")),"x","")</f>
        <v/>
      </c>
      <c r="Y840" s="39" t="str">
        <f>IF(AND(OR(LEFT(TH!L840,2)="15",LEFT(TH!M840,2)="15"),'152-CT'!$J$8=TH!F840),"x","")</f>
        <v/>
      </c>
      <c r="Z840" s="39" t="str">
        <f>IF(AND(OR(LEFT(TH!L840,2)="15",LEFT(TH!M840,2)="15"),TK!$E$7=TH!F840),"x","")</f>
        <v/>
      </c>
      <c r="AA840" s="39" t="str">
        <f>IF(AND(B840&lt;=NKC!$N$8,B840&gt;=NKC!$M$8),"x","")</f>
        <v/>
      </c>
    </row>
    <row r="841" spans="1:30" s="225" customFormat="1" ht="15.75" customHeight="1">
      <c r="A841" s="218" t="str">
        <f>IF(B841&lt;&gt;"",IF(AND(B841&gt;=_TM1,B841&lt;=_TM2,OR(TH!L841="1111",TH!M841="1111")),TH!D841,""),"")</f>
        <v/>
      </c>
      <c r="B841" s="36" t="str">
        <f t="shared" si="40"/>
        <v/>
      </c>
      <c r="C841" s="37"/>
      <c r="D841" s="37"/>
      <c r="E841" s="37"/>
      <c r="F841" s="40"/>
      <c r="G841" s="626"/>
      <c r="H841" s="45"/>
      <c r="I841" s="276"/>
      <c r="J841" s="276"/>
      <c r="K841" s="38"/>
      <c r="L841" s="39"/>
      <c r="M841" s="39"/>
      <c r="N841" s="39" t="str">
        <f>IF(AND('331-CT'!$E$7=TH!H841,OR(L841="331",M841="331")),"x","")</f>
        <v/>
      </c>
      <c r="O841" s="39" t="str">
        <f>IF(AND($B841&gt;='111'!$N$11,$B841&lt;='111'!$O$11,OR($L841=$O$7,$M841=$O$7)),"x","")</f>
        <v/>
      </c>
      <c r="P841" s="39" t="str">
        <f>IF(AND($L841=$O$7,$B841&lt;'111'!$N$11),"x","")</f>
        <v/>
      </c>
      <c r="Q841" s="39" t="str">
        <f>IF(AND($M841=$O$7,$B841&lt;'111'!$N$11),"x","")</f>
        <v/>
      </c>
      <c r="R841" s="39" t="str">
        <f>IF(ISERROR(FIND('112'!$M$9,G841,1)),"",IF((AND(FIND('112'!$M$9,G841,1)&gt;=1,$B841&gt;='112'!$N$8,$B841&lt;='112'!$O$8,OR($L841='112'!$I$6,$M841='112'!$I$6))),"x",""))</f>
        <v/>
      </c>
      <c r="S841" s="39" t="str">
        <f>IF(ISERROR(FIND('112'!$M$9,G841,1)),"",IF((AND(LEFT(G841,2)=LEFT('112'!$M$9,2),B841&lt;'112'!$N$8,$L841='112'!$I$6)),"x",""))</f>
        <v/>
      </c>
      <c r="T841" s="39" t="str">
        <f>IF(ISERROR(FIND('112'!$M$9,G841,1)),"",IF((AND(RIGHT(G841,2)=RIGHT('112'!$M$9,2),B841&lt;'112'!$N$8,$M841='112'!$I$6)),"x",""))</f>
        <v/>
      </c>
      <c r="U841" s="39" t="str">
        <f>IF(AND('3411-CT'!$F$9=H841,OR(LEFT(L841,3)=$U$7,LEFT(M841,3)=$U$7)),"x","")</f>
        <v/>
      </c>
      <c r="V841" s="39" t="str">
        <f>IF(OR(TH!L841=TH!$V$7,M841=TH!$V$7),"x","")</f>
        <v/>
      </c>
      <c r="W841" s="39" t="str">
        <f>IF(AND(OR(L841="131",M841="131"),H841='131-CT'!$E$7),"x","")</f>
        <v/>
      </c>
      <c r="X841" s="39" t="str">
        <f>IF(AND(B841&gt;='IN-NX'!$P$3,B841&lt;='IN-NX'!$Q$3,'IN-NX'!$D$7=D841,OR(LEFT(TH!L841,2)="15",LEFT(TH!M841,2)="15")),"x","")</f>
        <v/>
      </c>
      <c r="Y841" s="39" t="str">
        <f>IF(AND(OR(LEFT(TH!L841,2)="15",LEFT(TH!M841,2)="15"),'152-CT'!$J$8=TH!F841),"x","")</f>
        <v/>
      </c>
      <c r="Z841" s="39" t="str">
        <f>IF(AND(OR(LEFT(TH!L841,2)="15",LEFT(TH!M841,2)="15"),TK!$E$7=TH!F841),"x","")</f>
        <v/>
      </c>
      <c r="AA841" s="39" t="str">
        <f>IF(AND(B841&lt;=NKC!$N$8,B841&gt;=NKC!$M$8),"x","")</f>
        <v/>
      </c>
    </row>
    <row r="842" spans="1:30" s="225" customFormat="1" ht="15.75" customHeight="1">
      <c r="A842" s="218" t="str">
        <f>IF(B842&lt;&gt;"",IF(AND(B842&gt;=_TM1,B842&lt;=_TM2,OR(TH!L842="1111",TH!M842="1111")),TH!D842,""),"")</f>
        <v/>
      </c>
      <c r="B842" s="36" t="str">
        <f t="shared" si="40"/>
        <v/>
      </c>
      <c r="C842" s="37"/>
      <c r="D842" s="204"/>
      <c r="E842" s="37"/>
      <c r="F842" s="40"/>
      <c r="G842" s="626"/>
      <c r="H842" s="7"/>
      <c r="I842" s="276"/>
      <c r="J842" s="276"/>
      <c r="K842" s="38"/>
      <c r="L842" s="39"/>
      <c r="M842" s="749"/>
      <c r="N842" s="39" t="str">
        <f>IF(AND('331-CT'!$E$7=TH!H842,OR(L842="331",M842="331")),"x","")</f>
        <v/>
      </c>
      <c r="O842" s="39" t="str">
        <f>IF(AND($B842&gt;='111'!$N$11,$B842&lt;='111'!$O$11,OR($L842=$O$7,$M842=$O$7)),"x","")</f>
        <v/>
      </c>
      <c r="P842" s="39" t="str">
        <f>IF(AND($L842=$O$7,$B842&lt;'111'!$N$11),"x","")</f>
        <v/>
      </c>
      <c r="Q842" s="39" t="str">
        <f>IF(AND($M842=$O$7,$B842&lt;'111'!$N$11),"x","")</f>
        <v/>
      </c>
      <c r="R842" s="39" t="str">
        <f>IF(ISERROR(FIND('112'!$M$9,G842,1)),"",IF((AND(FIND('112'!$M$9,G842,1)&gt;=1,$B842&gt;='112'!$N$8,$B842&lt;='112'!$O$8,OR($L842='112'!$I$6,$M842='112'!$I$6))),"x",""))</f>
        <v/>
      </c>
      <c r="S842" s="39" t="str">
        <f>IF(ISERROR(FIND('112'!$M$9,G842,1)),"",IF((AND(LEFT(G842,2)=LEFT('112'!$M$9,2),B842&lt;'112'!$N$8,$L842='112'!$I$6)),"x",""))</f>
        <v/>
      </c>
      <c r="T842" s="39" t="str">
        <f>IF(ISERROR(FIND('112'!$M$9,G842,1)),"",IF((AND(RIGHT(G842,2)=RIGHT('112'!$M$9,2),B842&lt;'112'!$N$8,$M842='112'!$I$6)),"x",""))</f>
        <v/>
      </c>
      <c r="U842" s="39" t="str">
        <f>IF(AND('3411-CT'!$F$9=H842,OR(LEFT(L842,3)=$U$7,LEFT(M842,3)=$U$7)),"x","")</f>
        <v/>
      </c>
      <c r="V842" s="39" t="str">
        <f>IF(OR(TH!L842=TH!$V$7,M842=TH!$V$7),"x","")</f>
        <v/>
      </c>
      <c r="W842" s="39" t="str">
        <f>IF(AND(OR(L842="131",M842="131"),H842='131-CT'!$E$7),"x","")</f>
        <v/>
      </c>
      <c r="X842" s="39" t="str">
        <f>IF(AND(B842&gt;='IN-NX'!$P$3,B842&lt;='IN-NX'!$Q$3,'IN-NX'!$D$7=D842,OR(LEFT(TH!L842,2)="15",LEFT(TH!M842,2)="15")),"x","")</f>
        <v/>
      </c>
      <c r="Y842" s="39" t="str">
        <f>IF(AND(OR(LEFT(TH!L842,2)="15",LEFT(TH!M842,2)="15"),'152-CT'!$J$8=TH!F842),"x","")</f>
        <v/>
      </c>
      <c r="Z842" s="39" t="str">
        <f>IF(AND(OR(LEFT(TH!L842,2)="15",LEFT(TH!M842,2)="15"),TK!$E$7=TH!F842),"x","")</f>
        <v/>
      </c>
      <c r="AA842" s="39" t="str">
        <f>IF(AND(B842&lt;=NKC!$N$8,B842&gt;=NKC!$M$8),"x","")</f>
        <v/>
      </c>
    </row>
    <row r="843" spans="1:30" s="225" customFormat="1" ht="15.75" customHeight="1">
      <c r="A843" s="218" t="str">
        <f>IF(B843&lt;&gt;"",IF(AND(B843&gt;=_TM1,B843&lt;=_TM2,OR(TH!L843="1111",TH!M843="1111")),TH!D843,""),"")</f>
        <v/>
      </c>
      <c r="B843" s="36" t="str">
        <f t="shared" si="40"/>
        <v/>
      </c>
      <c r="C843" s="37"/>
      <c r="D843" s="204"/>
      <c r="E843" s="37"/>
      <c r="F843" s="40"/>
      <c r="G843" s="626"/>
      <c r="H843" s="7"/>
      <c r="I843" s="276"/>
      <c r="J843" s="276"/>
      <c r="K843" s="38"/>
      <c r="L843" s="39"/>
      <c r="M843" s="749"/>
      <c r="N843" s="39" t="str">
        <f>IF(AND('331-CT'!$E$7=TH!H843,OR(L843="331",M843="331")),"x","")</f>
        <v/>
      </c>
      <c r="O843" s="39" t="str">
        <f>IF(AND($B843&gt;='111'!$N$11,$B843&lt;='111'!$O$11,OR($L843=$O$7,$M843=$O$7)),"x","")</f>
        <v/>
      </c>
      <c r="P843" s="39" t="str">
        <f>IF(AND($L843=$O$7,$B843&lt;'111'!$N$11),"x","")</f>
        <v/>
      </c>
      <c r="Q843" s="39" t="str">
        <f>IF(AND($M843=$O$7,$B843&lt;'111'!$N$11),"x","")</f>
        <v/>
      </c>
      <c r="R843" s="39" t="str">
        <f>IF(ISERROR(FIND('112'!$M$9,G843,1)),"",IF((AND(FIND('112'!$M$9,G843,1)&gt;=1,$B843&gt;='112'!$N$8,$B843&lt;='112'!$O$8,OR($L843='112'!$I$6,$M843='112'!$I$6))),"x",""))</f>
        <v/>
      </c>
      <c r="S843" s="39" t="str">
        <f>IF(ISERROR(FIND('112'!$M$9,G843,1)),"",IF((AND(LEFT(G843,2)=LEFT('112'!$M$9,2),B843&lt;'112'!$N$8,$L843='112'!$I$6)),"x",""))</f>
        <v/>
      </c>
      <c r="T843" s="39" t="str">
        <f>IF(ISERROR(FIND('112'!$M$9,G843,1)),"",IF((AND(RIGHT(G843,2)=RIGHT('112'!$M$9,2),B843&lt;'112'!$N$8,$M843='112'!$I$6)),"x",""))</f>
        <v/>
      </c>
      <c r="U843" s="39" t="str">
        <f>IF(AND('3411-CT'!$F$9=H843,OR(LEFT(L843,3)=$U$7,LEFT(M843,3)=$U$7)),"x","")</f>
        <v/>
      </c>
      <c r="V843" s="39" t="str">
        <f>IF(OR(TH!L843=TH!$V$7,M843=TH!$V$7),"x","")</f>
        <v/>
      </c>
      <c r="W843" s="39" t="str">
        <f>IF(AND(OR(L843="131",M843="131"),H843='131-CT'!$E$7),"x","")</f>
        <v/>
      </c>
      <c r="X843" s="39" t="str">
        <f>IF(AND(B843&gt;='IN-NX'!$P$3,B843&lt;='IN-NX'!$Q$3,'IN-NX'!$D$7=D843,OR(LEFT(TH!L843,2)="15",LEFT(TH!M843,2)="15")),"x","")</f>
        <v/>
      </c>
      <c r="Y843" s="39" t="str">
        <f>IF(AND(OR(LEFT(TH!L843,2)="15",LEFT(TH!M843,2)="15"),'152-CT'!$J$8=TH!F843),"x","")</f>
        <v/>
      </c>
      <c r="Z843" s="39" t="str">
        <f>IF(AND(OR(LEFT(TH!L843,2)="15",LEFT(TH!M843,2)="15"),TK!$E$7=TH!F843),"x","")</f>
        <v/>
      </c>
      <c r="AA843" s="39" t="str">
        <f>IF(AND(B843&lt;=NKC!$N$8,B843&gt;=NKC!$M$8),"x","")</f>
        <v/>
      </c>
    </row>
    <row r="844" spans="1:30" s="225" customFormat="1" ht="15.75" customHeight="1">
      <c r="A844" s="218" t="str">
        <f>IF(B844&lt;&gt;"",IF(AND(B844&gt;=_TM1,B844&lt;=_TM2,OR(TH!L844="1111",TH!M844="1111")),TH!D844,""),"")</f>
        <v/>
      </c>
      <c r="B844" s="36" t="str">
        <f t="shared" si="40"/>
        <v/>
      </c>
      <c r="C844" s="37"/>
      <c r="D844" s="37"/>
      <c r="E844" s="37"/>
      <c r="F844" s="40"/>
      <c r="G844" s="40"/>
      <c r="H844" s="45"/>
      <c r="I844" s="276"/>
      <c r="J844" s="276"/>
      <c r="K844" s="38"/>
      <c r="L844" s="39"/>
      <c r="M844" s="39"/>
      <c r="N844" s="39" t="str">
        <f>IF(AND('331-CT'!$E$7=TH!H844,OR(L844="331",M844="331")),"x","")</f>
        <v/>
      </c>
      <c r="O844" s="39" t="str">
        <f>IF(AND($B844&gt;='111'!$N$11,$B844&lt;='111'!$O$11,OR($L844=$O$7,$M844=$O$7)),"x","")</f>
        <v/>
      </c>
      <c r="P844" s="39" t="str">
        <f>IF(AND($L844=$O$7,$B844&lt;'111'!$N$11),"x","")</f>
        <v/>
      </c>
      <c r="Q844" s="39" t="str">
        <f>IF(AND($M844=$O$7,$B844&lt;'111'!$N$11),"x","")</f>
        <v/>
      </c>
      <c r="R844" s="39" t="str">
        <f>IF(ISERROR(FIND('112'!$M$9,G844,1)),"",IF((AND(FIND('112'!$M$9,G844,1)&gt;=1,$B844&gt;='112'!$N$8,$B844&lt;='112'!$O$8,OR($L844='112'!$I$6,$M844='112'!$I$6))),"x",""))</f>
        <v/>
      </c>
      <c r="S844" s="39" t="str">
        <f>IF(ISERROR(FIND('112'!$M$9,G844,1)),"",IF((AND(LEFT(G844,2)=LEFT('112'!$M$9,2),B844&lt;'112'!$N$8,$L844='112'!$I$6)),"x",""))</f>
        <v/>
      </c>
      <c r="T844" s="39" t="str">
        <f>IF(ISERROR(FIND('112'!$M$9,G844,1)),"",IF((AND(RIGHT(G844,2)=RIGHT('112'!$M$9,2),B844&lt;'112'!$N$8,$M844='112'!$I$6)),"x",""))</f>
        <v/>
      </c>
      <c r="U844" s="39" t="str">
        <f>IF(AND('3411-CT'!$F$9=H844,OR(LEFT(L844,3)=$U$7,LEFT(M844,3)=$U$7)),"x","")</f>
        <v/>
      </c>
      <c r="V844" s="39" t="str">
        <f>IF(OR(TH!L844=TH!$V$7,M844=TH!$V$7),"x","")</f>
        <v/>
      </c>
      <c r="W844" s="39" t="str">
        <f>IF(AND(OR(L844="131",M844="131"),H844='131-CT'!$E$7),"x","")</f>
        <v/>
      </c>
      <c r="X844" s="39" t="str">
        <f>IF(AND(B844&gt;='IN-NX'!$P$3,B844&lt;='IN-NX'!$Q$3,'IN-NX'!$D$7=D844,OR(LEFT(TH!L844,2)="15",LEFT(TH!M844,2)="15")),"x","")</f>
        <v/>
      </c>
      <c r="Y844" s="39" t="str">
        <f>IF(AND(OR(LEFT(TH!L844,2)="15",LEFT(TH!M844,2)="15"),'152-CT'!$J$8=TH!F844),"x","")</f>
        <v/>
      </c>
      <c r="Z844" s="39" t="str">
        <f>IF(AND(OR(LEFT(TH!L844,2)="15",LEFT(TH!M844,2)="15"),TK!$E$7=TH!F844),"x","")</f>
        <v/>
      </c>
      <c r="AA844" s="39" t="str">
        <f>IF(AND(B844&lt;=NKC!$N$8,B844&gt;=NKC!$M$8),"x","")</f>
        <v/>
      </c>
    </row>
    <row r="845" spans="1:30" s="225" customFormat="1" ht="15.75" customHeight="1">
      <c r="A845" s="218" t="str">
        <f>IF(B845&lt;&gt;"",IF(AND(B845&gt;=_TM1,B845&lt;=_TM2,OR(TH!L845="1111",TH!M845="1111")),TH!D845,""),"")</f>
        <v/>
      </c>
      <c r="B845" s="36" t="str">
        <f t="shared" si="40"/>
        <v/>
      </c>
      <c r="C845" s="37"/>
      <c r="D845" s="37"/>
      <c r="E845" s="37"/>
      <c r="F845" s="40"/>
      <c r="G845" s="40"/>
      <c r="H845" s="45"/>
      <c r="I845" s="276"/>
      <c r="J845" s="276"/>
      <c r="K845" s="38"/>
      <c r="L845" s="39"/>
      <c r="M845" s="39"/>
      <c r="N845" s="39" t="str">
        <f>IF(AND('331-CT'!$E$7=TH!H845,OR(L845="331",M845="331")),"x","")</f>
        <v/>
      </c>
      <c r="O845" s="39" t="str">
        <f>IF(AND($B845&gt;='111'!$N$11,$B845&lt;='111'!$O$11,OR($L845=$O$7,$M845=$O$7)),"x","")</f>
        <v/>
      </c>
      <c r="P845" s="39" t="str">
        <f>IF(AND($L845=$O$7,$B845&lt;'111'!$N$11),"x","")</f>
        <v/>
      </c>
      <c r="Q845" s="39" t="str">
        <f>IF(AND($M845=$O$7,$B845&lt;'111'!$N$11),"x","")</f>
        <v/>
      </c>
      <c r="R845" s="39" t="str">
        <f>IF(ISERROR(FIND('112'!$M$9,G845,1)),"",IF((AND(FIND('112'!$M$9,G845,1)&gt;=1,$B845&gt;='112'!$N$8,$B845&lt;='112'!$O$8,OR($L845='112'!$I$6,$M845='112'!$I$6))),"x",""))</f>
        <v/>
      </c>
      <c r="S845" s="39" t="str">
        <f>IF(ISERROR(FIND('112'!$M$9,G845,1)),"",IF((AND(LEFT(G845,2)=LEFT('112'!$M$9,2),B845&lt;'112'!$N$8,$L845='112'!$I$6)),"x",""))</f>
        <v/>
      </c>
      <c r="T845" s="39" t="str">
        <f>IF(ISERROR(FIND('112'!$M$9,G845,1)),"",IF((AND(RIGHT(G845,2)=RIGHT('112'!$M$9,2),B845&lt;'112'!$N$8,$M845='112'!$I$6)),"x",""))</f>
        <v/>
      </c>
      <c r="U845" s="39" t="str">
        <f>IF(AND('3411-CT'!$F$9=H845,OR(LEFT(L845,3)=$U$7,LEFT(M845,3)=$U$7)),"x","")</f>
        <v/>
      </c>
      <c r="V845" s="39" t="str">
        <f>IF(OR(TH!L845=TH!$V$7,M845=TH!$V$7),"x","")</f>
        <v/>
      </c>
      <c r="W845" s="39" t="str">
        <f>IF(AND(OR(L845="131",M845="131"),H845='131-CT'!$E$7),"x","")</f>
        <v/>
      </c>
      <c r="X845" s="39" t="str">
        <f>IF(AND(B845&gt;='IN-NX'!$P$3,B845&lt;='IN-NX'!$Q$3,'IN-NX'!$D$7=D845,OR(LEFT(TH!L845,2)="15",LEFT(TH!M845,2)="15")),"x","")</f>
        <v/>
      </c>
      <c r="Y845" s="39" t="str">
        <f>IF(AND(OR(LEFT(TH!L845,2)="15",LEFT(TH!M845,2)="15"),'152-CT'!$J$8=TH!F845),"x","")</f>
        <v/>
      </c>
      <c r="Z845" s="39" t="str">
        <f>IF(AND(OR(LEFT(TH!L845,2)="15",LEFT(TH!M845,2)="15"),TK!$E$7=TH!F845),"x","")</f>
        <v/>
      </c>
      <c r="AA845" s="39" t="str">
        <f>IF(AND(B845&lt;=NKC!$N$8,B845&gt;=NKC!$M$8),"x","")</f>
        <v/>
      </c>
    </row>
    <row r="846" spans="1:30" s="225" customFormat="1" ht="15.75" customHeight="1">
      <c r="A846" s="218" t="str">
        <f>IF(B846&lt;&gt;"",IF(AND(B846&gt;=_TM1,B846&lt;=_TM2,OR(TH!L846="1111",TH!M846="1111")),TH!D846,""),"")</f>
        <v/>
      </c>
      <c r="B846" s="36" t="str">
        <f t="shared" si="40"/>
        <v/>
      </c>
      <c r="C846" s="37"/>
      <c r="D846" s="37"/>
      <c r="E846" s="37"/>
      <c r="F846" s="40"/>
      <c r="G846" s="40"/>
      <c r="H846" s="45"/>
      <c r="I846" s="276"/>
      <c r="J846" s="276"/>
      <c r="K846" s="38"/>
      <c r="L846" s="39"/>
      <c r="M846" s="39"/>
      <c r="N846" s="39" t="str">
        <f>IF(AND('331-CT'!$E$7=TH!H846,OR(L846="331",M846="331")),"x","")</f>
        <v/>
      </c>
      <c r="O846" s="39" t="str">
        <f>IF(AND($B846&gt;='111'!$N$11,$B846&lt;='111'!$O$11,OR($L846=$O$7,$M846=$O$7)),"x","")</f>
        <v/>
      </c>
      <c r="P846" s="39" t="str">
        <f>IF(AND($L846=$O$7,$B846&lt;'111'!$N$11),"x","")</f>
        <v/>
      </c>
      <c r="Q846" s="39" t="str">
        <f>IF(AND($M846=$O$7,$B846&lt;'111'!$N$11),"x","")</f>
        <v/>
      </c>
      <c r="R846" s="39" t="str">
        <f>IF(ISERROR(FIND('112'!$M$9,G846,1)),"",IF((AND(FIND('112'!$M$9,G846,1)&gt;=1,$B846&gt;='112'!$N$8,$B846&lt;='112'!$O$8,OR($L846='112'!$I$6,$M846='112'!$I$6))),"x",""))</f>
        <v/>
      </c>
      <c r="S846" s="39" t="str">
        <f>IF(ISERROR(FIND('112'!$M$9,G846,1)),"",IF((AND(LEFT(G846,2)=LEFT('112'!$M$9,2),B846&lt;'112'!$N$8,$L846='112'!$I$6)),"x",""))</f>
        <v/>
      </c>
      <c r="T846" s="39" t="str">
        <f>IF(ISERROR(FIND('112'!$M$9,G846,1)),"",IF((AND(RIGHT(G846,2)=RIGHT('112'!$M$9,2),B846&lt;'112'!$N$8,$M846='112'!$I$6)),"x",""))</f>
        <v/>
      </c>
      <c r="U846" s="39" t="str">
        <f>IF(AND('3411-CT'!$F$9=H846,OR(LEFT(L846,3)=$U$7,LEFT(M846,3)=$U$7)),"x","")</f>
        <v/>
      </c>
      <c r="V846" s="39" t="str">
        <f>IF(OR(TH!L846=TH!$V$7,M846=TH!$V$7),"x","")</f>
        <v/>
      </c>
      <c r="W846" s="39" t="str">
        <f>IF(AND(OR(L846="131",M846="131"),H846='131-CT'!$E$7),"x","")</f>
        <v/>
      </c>
      <c r="X846" s="39" t="str">
        <f>IF(AND(B846&gt;='IN-NX'!$P$3,B846&lt;='IN-NX'!$Q$3,'IN-NX'!$D$7=D846,OR(LEFT(TH!L846,2)="15",LEFT(TH!M846,2)="15")),"x","")</f>
        <v/>
      </c>
      <c r="Y846" s="39" t="str">
        <f>IF(AND(OR(LEFT(TH!L846,2)="15",LEFT(TH!M846,2)="15"),'152-CT'!$J$8=TH!F846),"x","")</f>
        <v/>
      </c>
      <c r="Z846" s="39" t="str">
        <f>IF(AND(OR(LEFT(TH!L846,2)="15",LEFT(TH!M846,2)="15"),TK!$E$7=TH!F846),"x","")</f>
        <v/>
      </c>
      <c r="AA846" s="39" t="str">
        <f>IF(AND(B846&lt;=NKC!$N$8,B846&gt;=NKC!$M$8),"x","")</f>
        <v/>
      </c>
    </row>
    <row r="847" spans="1:30" s="225" customFormat="1" ht="15.75" customHeight="1">
      <c r="A847" s="218" t="str">
        <f>IF(B847&lt;&gt;"",IF(AND(B847&gt;=_TM1,B847&lt;=_TM2,OR(TH!L847="1111",TH!M847="1111")),TH!D847,""),"")</f>
        <v/>
      </c>
      <c r="B847" s="36" t="str">
        <f t="shared" si="40"/>
        <v/>
      </c>
      <c r="C847" s="37"/>
      <c r="D847" s="37"/>
      <c r="E847" s="37"/>
      <c r="F847" s="40"/>
      <c r="G847" s="40"/>
      <c r="H847" s="7"/>
      <c r="I847" s="277"/>
      <c r="J847" s="277"/>
      <c r="K847" s="38"/>
      <c r="L847" s="39"/>
      <c r="M847" s="39"/>
      <c r="N847" s="39" t="str">
        <f>IF(AND('331-CT'!$E$7=TH!H847,OR(L847="331",M847="331")),"x","")</f>
        <v/>
      </c>
      <c r="O847" s="39" t="str">
        <f>IF(AND($B847&gt;='111'!$N$11,$B847&lt;='111'!$O$11,OR($L847=$O$7,$M847=$O$7)),"x","")</f>
        <v/>
      </c>
      <c r="P847" s="39" t="str">
        <f>IF(AND($L847=$O$7,$B847&lt;'111'!$N$11),"x","")</f>
        <v/>
      </c>
      <c r="Q847" s="39" t="str">
        <f>IF(AND($M847=$O$7,$B847&lt;'111'!$N$11),"x","")</f>
        <v/>
      </c>
      <c r="R847" s="39" t="str">
        <f>IF(ISERROR(FIND('112'!$M$9,G847,1)),"",IF((AND(FIND('112'!$M$9,G847,1)&gt;=1,$B847&gt;='112'!$N$8,$B847&lt;='112'!$O$8,OR($L847='112'!$I$6,$M847='112'!$I$6))),"x",""))</f>
        <v/>
      </c>
      <c r="S847" s="39" t="str">
        <f>IF(ISERROR(FIND('112'!$M$9,G847,1)),"",IF((AND(LEFT(G847,2)=LEFT('112'!$M$9,2),B847&lt;'112'!$N$8,$L847='112'!$I$6)),"x",""))</f>
        <v/>
      </c>
      <c r="T847" s="39" t="str">
        <f>IF(ISERROR(FIND('112'!$M$9,G847,1)),"",IF((AND(RIGHT(G847,2)=RIGHT('112'!$M$9,2),B847&lt;'112'!$N$8,$M847='112'!$I$6)),"x",""))</f>
        <v/>
      </c>
      <c r="U847" s="39" t="str">
        <f>IF(AND('3411-CT'!$F$9=H847,OR(LEFT(L847,3)=$U$7,LEFT(M847,3)=$U$7)),"x","")</f>
        <v/>
      </c>
      <c r="V847" s="39" t="str">
        <f>IF(OR(TH!L847=TH!$V$7,M847=TH!$V$7),"x","")</f>
        <v/>
      </c>
      <c r="W847" s="39" t="str">
        <f>IF(AND(OR(L847="131",M847="131"),H847='131-CT'!$E$7),"x","")</f>
        <v/>
      </c>
      <c r="X847" s="39" t="str">
        <f>IF(AND(B847&gt;='IN-NX'!$P$3,B847&lt;='IN-NX'!$Q$3,'IN-NX'!$D$7=D847,OR(LEFT(TH!L847,2)="15",LEFT(TH!M847,2)="15")),"x","")</f>
        <v/>
      </c>
      <c r="Y847" s="39" t="str">
        <f>IF(AND(OR(LEFT(TH!L847,2)="15",LEFT(TH!M847,2)="15"),'152-CT'!$J$8=TH!F847),"x","")</f>
        <v/>
      </c>
      <c r="Z847" s="39" t="str">
        <f>IF(AND(OR(LEFT(TH!L847,2)="15",LEFT(TH!M847,2)="15"),TK!$E$7=TH!F847),"x","")</f>
        <v/>
      </c>
      <c r="AA847" s="39" t="str">
        <f>IF(AND(B847&lt;=NKC!$N$8,B847&gt;=NKC!$M$8),"x","")</f>
        <v/>
      </c>
      <c r="AD847" s="739"/>
    </row>
    <row r="848" spans="1:30" s="225" customFormat="1" ht="15.75" customHeight="1">
      <c r="A848" s="218" t="str">
        <f>IF(B848&lt;&gt;"",IF(AND(B848&gt;=_TM1,B848&lt;=_TM2,OR(TH!L848="1111",TH!M848="1111")),TH!D848,""),"")</f>
        <v/>
      </c>
      <c r="B848" s="36" t="str">
        <f t="shared" si="40"/>
        <v/>
      </c>
      <c r="C848" s="37"/>
      <c r="D848" s="37"/>
      <c r="E848" s="37"/>
      <c r="F848" s="40"/>
      <c r="G848" s="40"/>
      <c r="H848" s="45"/>
      <c r="I848" s="276"/>
      <c r="J848" s="276"/>
      <c r="K848" s="38"/>
      <c r="L848" s="39"/>
      <c r="M848" s="39"/>
      <c r="N848" s="39" t="str">
        <f>IF(AND('331-CT'!$E$7=TH!H848,OR(L848="331",M848="331")),"x","")</f>
        <v/>
      </c>
      <c r="O848" s="39" t="str">
        <f>IF(AND($B848&gt;='111'!$N$11,$B848&lt;='111'!$O$11,OR($L848=$O$7,$M848=$O$7)),"x","")</f>
        <v/>
      </c>
      <c r="P848" s="39" t="str">
        <f>IF(AND($L848=$O$7,$B848&lt;'111'!$N$11),"x","")</f>
        <v/>
      </c>
      <c r="Q848" s="39" t="str">
        <f>IF(AND($M848=$O$7,$B848&lt;'111'!$N$11),"x","")</f>
        <v/>
      </c>
      <c r="R848" s="39" t="str">
        <f>IF(ISERROR(FIND('112'!$M$9,G848,1)),"",IF((AND(FIND('112'!$M$9,G848,1)&gt;=1,$B848&gt;='112'!$N$8,$B848&lt;='112'!$O$8,OR($L848='112'!$I$6,$M848='112'!$I$6))),"x",""))</f>
        <v/>
      </c>
      <c r="S848" s="39" t="str">
        <f>IF(ISERROR(FIND('112'!$M$9,G848,1)),"",IF((AND(LEFT(G848,2)=LEFT('112'!$M$9,2),B848&lt;'112'!$N$8,$L848='112'!$I$6)),"x",""))</f>
        <v/>
      </c>
      <c r="T848" s="39" t="str">
        <f>IF(ISERROR(FIND('112'!$M$9,G848,1)),"",IF((AND(RIGHT(G848,2)=RIGHT('112'!$M$9,2),B848&lt;'112'!$N$8,$M848='112'!$I$6)),"x",""))</f>
        <v/>
      </c>
      <c r="U848" s="39" t="str">
        <f>IF(AND('3411-CT'!$F$9=H848,OR(LEFT(L848,3)=$U$7,LEFT(M848,3)=$U$7)),"x","")</f>
        <v/>
      </c>
      <c r="V848" s="39" t="str">
        <f>IF(OR(TH!L848=TH!$V$7,M848=TH!$V$7),"x","")</f>
        <v/>
      </c>
      <c r="W848" s="39" t="str">
        <f>IF(AND(OR(L848="131",M848="131"),H848='131-CT'!$E$7),"x","")</f>
        <v/>
      </c>
      <c r="X848" s="39" t="str">
        <f>IF(AND(B848&gt;='IN-NX'!$P$3,B848&lt;='IN-NX'!$Q$3,'IN-NX'!$D$7=D848,OR(LEFT(TH!L848,2)="15",LEFT(TH!M848,2)="15")),"x","")</f>
        <v/>
      </c>
      <c r="Y848" s="39" t="str">
        <f>IF(AND(OR(LEFT(TH!L848,2)="15",LEFT(TH!M848,2)="15"),'152-CT'!$J$8=TH!F848),"x","")</f>
        <v/>
      </c>
      <c r="Z848" s="39" t="str">
        <f>IF(AND(OR(LEFT(TH!L848,2)="15",LEFT(TH!M848,2)="15"),TK!$E$7=TH!F848),"x","")</f>
        <v/>
      </c>
      <c r="AA848" s="39" t="str">
        <f>IF(AND(B848&lt;=NKC!$N$8,B848&gt;=NKC!$M$8),"x","")</f>
        <v/>
      </c>
    </row>
    <row r="849" spans="1:30" s="225" customFormat="1" ht="15.75" customHeight="1">
      <c r="A849" s="218" t="str">
        <f>IF(B849&lt;&gt;"",IF(AND(B849&gt;=_TM1,B849&lt;=_TM2,OR(TH!L849="1111",TH!M849="1111")),TH!D849,""),"")</f>
        <v/>
      </c>
      <c r="B849" s="36" t="str">
        <f t="shared" si="40"/>
        <v/>
      </c>
      <c r="C849" s="37"/>
      <c r="D849" s="37"/>
      <c r="E849" s="37"/>
      <c r="F849" s="40"/>
      <c r="G849" s="40"/>
      <c r="H849" s="45"/>
      <c r="I849" s="276"/>
      <c r="J849" s="276"/>
      <c r="K849" s="38"/>
      <c r="L849" s="39"/>
      <c r="M849" s="39"/>
      <c r="N849" s="39" t="str">
        <f>IF(AND('331-CT'!$E$7=TH!H849,OR(L849="331",M849="331")),"x","")</f>
        <v/>
      </c>
      <c r="O849" s="39" t="str">
        <f>IF(AND($B849&gt;='111'!$N$11,$B849&lt;='111'!$O$11,OR($L849=$O$7,$M849=$O$7)),"x","")</f>
        <v/>
      </c>
      <c r="P849" s="39" t="str">
        <f>IF(AND($L849=$O$7,$B849&lt;'111'!$N$11),"x","")</f>
        <v/>
      </c>
      <c r="Q849" s="39" t="str">
        <f>IF(AND($M849=$O$7,$B849&lt;'111'!$N$11),"x","")</f>
        <v/>
      </c>
      <c r="R849" s="39" t="str">
        <f>IF(ISERROR(FIND('112'!$M$9,G849,1)),"",IF((AND(FIND('112'!$M$9,G849,1)&gt;=1,$B849&gt;='112'!$N$8,$B849&lt;='112'!$O$8,OR($L849='112'!$I$6,$M849='112'!$I$6))),"x",""))</f>
        <v/>
      </c>
      <c r="S849" s="39" t="str">
        <f>IF(ISERROR(FIND('112'!$M$9,G849,1)),"",IF((AND(LEFT(G849,2)=LEFT('112'!$M$9,2),B849&lt;'112'!$N$8,$L849='112'!$I$6)),"x",""))</f>
        <v/>
      </c>
      <c r="T849" s="39" t="str">
        <f>IF(ISERROR(FIND('112'!$M$9,G849,1)),"",IF((AND(RIGHT(G849,2)=RIGHT('112'!$M$9,2),B849&lt;'112'!$N$8,$M849='112'!$I$6)),"x",""))</f>
        <v/>
      </c>
      <c r="U849" s="39" t="str">
        <f>IF(AND('3411-CT'!$F$9=H849,OR(LEFT(L849,3)=$U$7,LEFT(M849,3)=$U$7)),"x","")</f>
        <v/>
      </c>
      <c r="V849" s="39" t="str">
        <f>IF(OR(TH!L849=TH!$V$7,M849=TH!$V$7),"x","")</f>
        <v/>
      </c>
      <c r="W849" s="39" t="str">
        <f>IF(AND(OR(L849="131",M849="131"),H849='131-CT'!$E$7),"x","")</f>
        <v/>
      </c>
      <c r="X849" s="39" t="str">
        <f>IF(AND(B849&gt;='IN-NX'!$P$3,B849&lt;='IN-NX'!$Q$3,'IN-NX'!$D$7=D849,OR(LEFT(TH!L849,2)="15",LEFT(TH!M849,2)="15")),"x","")</f>
        <v/>
      </c>
      <c r="Y849" s="39" t="str">
        <f>IF(AND(OR(LEFT(TH!L849,2)="15",LEFT(TH!M849,2)="15"),'152-CT'!$J$8=TH!F849),"x","")</f>
        <v/>
      </c>
      <c r="Z849" s="39" t="str">
        <f>IF(AND(OR(LEFT(TH!L849,2)="15",LEFT(TH!M849,2)="15"),TK!$E$7=TH!F849),"x","")</f>
        <v/>
      </c>
      <c r="AA849" s="39" t="str">
        <f>IF(AND(B849&lt;=NKC!$N$8,B849&gt;=NKC!$M$8),"x","")</f>
        <v/>
      </c>
    </row>
    <row r="850" spans="1:30" s="225" customFormat="1" ht="15.75" customHeight="1">
      <c r="A850" s="218" t="str">
        <f>IF(B850&lt;&gt;"",IF(AND(B850&gt;=_TM1,B850&lt;=_TM2,OR(TH!L850="1111",TH!M850="1111")),TH!D850,""),"")</f>
        <v/>
      </c>
      <c r="B850" s="36" t="str">
        <f t="shared" si="40"/>
        <v/>
      </c>
      <c r="C850" s="37"/>
      <c r="D850" s="37"/>
      <c r="E850" s="37"/>
      <c r="F850" s="40"/>
      <c r="G850" s="626"/>
      <c r="H850" s="45"/>
      <c r="I850" s="276"/>
      <c r="J850" s="276"/>
      <c r="K850" s="38"/>
      <c r="L850" s="207"/>
      <c r="M850" s="39"/>
      <c r="N850" s="39" t="str">
        <f>IF(AND('331-CT'!$E$7=TH!H850,OR(L850="331",M850="331")),"x","")</f>
        <v/>
      </c>
      <c r="O850" s="39" t="str">
        <f>IF(AND($B850&gt;='111'!$N$11,$B850&lt;='111'!$O$11,OR($L850=$O$7,$M850=$O$7)),"x","")</f>
        <v/>
      </c>
      <c r="P850" s="39" t="str">
        <f>IF(AND($L850=$O$7,$B850&lt;'111'!$N$11),"x","")</f>
        <v/>
      </c>
      <c r="Q850" s="39" t="str">
        <f>IF(AND($M850=$O$7,$B850&lt;'111'!$N$11),"x","")</f>
        <v/>
      </c>
      <c r="R850" s="39" t="str">
        <f>IF(ISERROR(FIND('112'!$M$9,G850,1)),"",IF((AND(FIND('112'!$M$9,G850,1)&gt;=1,$B850&gt;='112'!$N$8,$B850&lt;='112'!$O$8,OR($L850='112'!$I$6,$M850='112'!$I$6))),"x",""))</f>
        <v/>
      </c>
      <c r="S850" s="39" t="str">
        <f>IF(ISERROR(FIND('112'!$M$9,G850,1)),"",IF((AND(LEFT(G850,2)=LEFT('112'!$M$9,2),B850&lt;'112'!$N$8,$L850='112'!$I$6)),"x",""))</f>
        <v/>
      </c>
      <c r="T850" s="39" t="str">
        <f>IF(ISERROR(FIND('112'!$M$9,G850,1)),"",IF((AND(RIGHT(G850,2)=RIGHT('112'!$M$9,2),B850&lt;'112'!$N$8,$M850='112'!$I$6)),"x",""))</f>
        <v/>
      </c>
      <c r="U850" s="39" t="str">
        <f>IF(AND('3411-CT'!$F$9=H850,OR(LEFT(L850,3)=$U$7,LEFT(M850,3)=$U$7)),"x","")</f>
        <v/>
      </c>
      <c r="V850" s="39" t="str">
        <f>IF(OR(TH!L850=TH!$V$7,M850=TH!$V$7),"x","")</f>
        <v/>
      </c>
      <c r="W850" s="39" t="str">
        <f>IF(AND(OR(L850="131",M850="131"),H850='131-CT'!$E$7),"x","")</f>
        <v/>
      </c>
      <c r="X850" s="39" t="str">
        <f>IF(AND(B850&gt;='IN-NX'!$P$3,B850&lt;='IN-NX'!$Q$3,'IN-NX'!$D$7=D850,OR(LEFT(TH!L850,2)="15",LEFT(TH!M850,2)="15")),"x","")</f>
        <v/>
      </c>
      <c r="Y850" s="39" t="str">
        <f>IF(AND(OR(LEFT(TH!L850,2)="15",LEFT(TH!M850,2)="15"),'152-CT'!$J$8=TH!F850),"x","")</f>
        <v/>
      </c>
      <c r="Z850" s="39" t="str">
        <f>IF(AND(OR(LEFT(TH!L850,2)="15",LEFT(TH!M850,2)="15"),TK!$E$7=TH!F850),"x","")</f>
        <v/>
      </c>
      <c r="AA850" s="39" t="str">
        <f>IF(AND(B850&lt;=NKC!$N$8,B850&gt;=NKC!$M$8),"x","")</f>
        <v/>
      </c>
    </row>
    <row r="851" spans="1:30" s="225" customFormat="1" ht="15.75" customHeight="1">
      <c r="A851" s="218" t="str">
        <f>IF(B851&lt;&gt;"",IF(AND(B851&gt;=_TM1,B851&lt;=_TM2,OR(TH!L851="1111",TH!M851="1111")),TH!D851,""),"")</f>
        <v/>
      </c>
      <c r="B851" s="36" t="str">
        <f t="shared" si="40"/>
        <v/>
      </c>
      <c r="C851" s="37"/>
      <c r="D851" s="37"/>
      <c r="E851" s="37"/>
      <c r="F851" s="40"/>
      <c r="G851" s="626"/>
      <c r="H851" s="45"/>
      <c r="I851" s="276"/>
      <c r="J851" s="276"/>
      <c r="K851" s="38"/>
      <c r="L851" s="207"/>
      <c r="M851" s="39"/>
      <c r="N851" s="39" t="str">
        <f>IF(AND('331-CT'!$E$7=TH!H851,OR(L851="331",M851="331")),"x","")</f>
        <v/>
      </c>
      <c r="O851" s="39" t="str">
        <f>IF(AND($B851&gt;='111'!$N$11,$B851&lt;='111'!$O$11,OR($L851=$O$7,$M851=$O$7)),"x","")</f>
        <v/>
      </c>
      <c r="P851" s="39" t="str">
        <f>IF(AND($L851=$O$7,$B851&lt;'111'!$N$11),"x","")</f>
        <v/>
      </c>
      <c r="Q851" s="39" t="str">
        <f>IF(AND($M851=$O$7,$B851&lt;'111'!$N$11),"x","")</f>
        <v/>
      </c>
      <c r="R851" s="39" t="str">
        <f>IF(ISERROR(FIND('112'!$M$9,G851,1)),"",IF((AND(FIND('112'!$M$9,G851,1)&gt;=1,$B851&gt;='112'!$N$8,$B851&lt;='112'!$O$8,OR($L851='112'!$I$6,$M851='112'!$I$6))),"x",""))</f>
        <v/>
      </c>
      <c r="S851" s="39" t="str">
        <f>IF(ISERROR(FIND('112'!$M$9,G851,1)),"",IF((AND(LEFT(G851,2)=LEFT('112'!$M$9,2),B851&lt;'112'!$N$8,$L851='112'!$I$6)),"x",""))</f>
        <v/>
      </c>
      <c r="T851" s="39" t="str">
        <f>IF(ISERROR(FIND('112'!$M$9,G851,1)),"",IF((AND(RIGHT(G851,2)=RIGHT('112'!$M$9,2),B851&lt;'112'!$N$8,$M851='112'!$I$6)),"x",""))</f>
        <v/>
      </c>
      <c r="U851" s="39" t="str">
        <f>IF(AND('3411-CT'!$F$9=H851,OR(LEFT(L851,3)=$U$7,LEFT(M851,3)=$U$7)),"x","")</f>
        <v/>
      </c>
      <c r="V851" s="39" t="str">
        <f>IF(OR(TH!L851=TH!$V$7,M851=TH!$V$7),"x","")</f>
        <v/>
      </c>
      <c r="W851" s="39" t="str">
        <f>IF(AND(OR(L851="131",M851="131"),H851='131-CT'!$E$7),"x","")</f>
        <v/>
      </c>
      <c r="X851" s="39" t="str">
        <f>IF(AND(B851&gt;='IN-NX'!$P$3,B851&lt;='IN-NX'!$Q$3,'IN-NX'!$D$7=D851,OR(LEFT(TH!L851,2)="15",LEFT(TH!M851,2)="15")),"x","")</f>
        <v/>
      </c>
      <c r="Y851" s="39" t="str">
        <f>IF(AND(OR(LEFT(TH!L851,2)="15",LEFT(TH!M851,2)="15"),'152-CT'!$J$8=TH!F851),"x","")</f>
        <v/>
      </c>
      <c r="Z851" s="39" t="str">
        <f>IF(AND(OR(LEFT(TH!L851,2)="15",LEFT(TH!M851,2)="15"),TK!$E$7=TH!F851),"x","")</f>
        <v/>
      </c>
      <c r="AA851" s="39" t="str">
        <f>IF(AND(B851&lt;=NKC!$N$8,B851&gt;=NKC!$M$8),"x","")</f>
        <v/>
      </c>
    </row>
    <row r="852" spans="1:30" s="225" customFormat="1" ht="15.75" customHeight="1">
      <c r="A852" s="218" t="str">
        <f>IF(B852&lt;&gt;"",IF(AND(B852&gt;=_TM1,B852&lt;=_TM2,OR(TH!L852="1111",TH!M852="1111")),TH!D852,""),"")</f>
        <v/>
      </c>
      <c r="B852" s="36" t="str">
        <f t="shared" si="40"/>
        <v/>
      </c>
      <c r="C852" s="37"/>
      <c r="D852" s="37"/>
      <c r="E852" s="37"/>
      <c r="F852" s="40"/>
      <c r="G852" s="626"/>
      <c r="H852" s="45"/>
      <c r="I852" s="276"/>
      <c r="J852" s="276"/>
      <c r="K852" s="38"/>
      <c r="L852" s="207"/>
      <c r="M852" s="39"/>
      <c r="N852" s="39" t="str">
        <f>IF(AND('331-CT'!$E$7=TH!H852,OR(L852="331",M852="331")),"x","")</f>
        <v/>
      </c>
      <c r="O852" s="39" t="str">
        <f>IF(AND($B852&gt;='111'!$N$11,$B852&lt;='111'!$O$11,OR($L852=$O$7,$M852=$O$7)),"x","")</f>
        <v/>
      </c>
      <c r="P852" s="39" t="str">
        <f>IF(AND($L852=$O$7,$B852&lt;'111'!$N$11),"x","")</f>
        <v/>
      </c>
      <c r="Q852" s="39" t="str">
        <f>IF(AND($M852=$O$7,$B852&lt;'111'!$N$11),"x","")</f>
        <v/>
      </c>
      <c r="R852" s="39" t="str">
        <f>IF(ISERROR(FIND('112'!$M$9,G852,1)),"",IF((AND(FIND('112'!$M$9,G852,1)&gt;=1,$B852&gt;='112'!$N$8,$B852&lt;='112'!$O$8,OR($L852='112'!$I$6,$M852='112'!$I$6))),"x",""))</f>
        <v/>
      </c>
      <c r="S852" s="39" t="str">
        <f>IF(ISERROR(FIND('112'!$M$9,G852,1)),"",IF((AND(LEFT(G852,2)=LEFT('112'!$M$9,2),B852&lt;'112'!$N$8,$L852='112'!$I$6)),"x",""))</f>
        <v/>
      </c>
      <c r="T852" s="39" t="str">
        <f>IF(ISERROR(FIND('112'!$M$9,G852,1)),"",IF((AND(RIGHT(G852,2)=RIGHT('112'!$M$9,2),B852&lt;'112'!$N$8,$M852='112'!$I$6)),"x",""))</f>
        <v/>
      </c>
      <c r="U852" s="39" t="str">
        <f>IF(AND('3411-CT'!$F$9=H852,OR(LEFT(L852,3)=$U$7,LEFT(M852,3)=$U$7)),"x","")</f>
        <v/>
      </c>
      <c r="V852" s="39" t="str">
        <f>IF(OR(TH!L852=TH!$V$7,M852=TH!$V$7),"x","")</f>
        <v/>
      </c>
      <c r="W852" s="39" t="str">
        <f>IF(AND(OR(L852="131",M852="131"),H852='131-CT'!$E$7),"x","")</f>
        <v/>
      </c>
      <c r="X852" s="39" t="str">
        <f>IF(AND(B852&gt;='IN-NX'!$P$3,B852&lt;='IN-NX'!$Q$3,'IN-NX'!$D$7=D852,OR(LEFT(TH!L852,2)="15",LEFT(TH!M852,2)="15")),"x","")</f>
        <v/>
      </c>
      <c r="Y852" s="39" t="str">
        <f>IF(AND(OR(LEFT(TH!L852,2)="15",LEFT(TH!M852,2)="15"),'152-CT'!$J$8=TH!F852),"x","")</f>
        <v/>
      </c>
      <c r="Z852" s="39" t="str">
        <f>IF(AND(OR(LEFT(TH!L852,2)="15",LEFT(TH!M852,2)="15"),TK!$E$7=TH!F852),"x","")</f>
        <v/>
      </c>
      <c r="AA852" s="39" t="str">
        <f>IF(AND(B852&lt;=NKC!$N$8,B852&gt;=NKC!$M$8),"x","")</f>
        <v/>
      </c>
    </row>
    <row r="853" spans="1:30" s="225" customFormat="1" ht="15.75" customHeight="1">
      <c r="A853" s="218" t="str">
        <f>IF(B853&lt;&gt;"",IF(AND(B853&gt;=_TM1,B853&lt;=_TM2,OR(TH!L853="1111",TH!M853="1111")),TH!D853,""),"")</f>
        <v/>
      </c>
      <c r="B853" s="36" t="str">
        <f t="shared" si="40"/>
        <v/>
      </c>
      <c r="C853" s="37"/>
      <c r="D853" s="37"/>
      <c r="E853" s="37"/>
      <c r="F853" s="40"/>
      <c r="G853" s="626"/>
      <c r="H853" s="45"/>
      <c r="I853" s="276"/>
      <c r="J853" s="276"/>
      <c r="K853" s="38"/>
      <c r="L853" s="207"/>
      <c r="M853" s="39"/>
      <c r="N853" s="39" t="str">
        <f>IF(AND('331-CT'!$E$7=TH!H853,OR(L853="331",M853="331")),"x","")</f>
        <v/>
      </c>
      <c r="O853" s="39" t="str">
        <f>IF(AND($B853&gt;='111'!$N$11,$B853&lt;='111'!$O$11,OR($L853=$O$7,$M853=$O$7)),"x","")</f>
        <v/>
      </c>
      <c r="P853" s="39" t="str">
        <f>IF(AND($L853=$O$7,$B853&lt;'111'!$N$11),"x","")</f>
        <v/>
      </c>
      <c r="Q853" s="39" t="str">
        <f>IF(AND($M853=$O$7,$B853&lt;'111'!$N$11),"x","")</f>
        <v/>
      </c>
      <c r="R853" s="39" t="str">
        <f>IF(ISERROR(FIND('112'!$M$9,G853,1)),"",IF((AND(FIND('112'!$M$9,G853,1)&gt;=1,$B853&gt;='112'!$N$8,$B853&lt;='112'!$O$8,OR($L853='112'!$I$6,$M853='112'!$I$6))),"x",""))</f>
        <v/>
      </c>
      <c r="S853" s="39" t="str">
        <f>IF(ISERROR(FIND('112'!$M$9,G853,1)),"",IF((AND(LEFT(G853,2)=LEFT('112'!$M$9,2),B853&lt;'112'!$N$8,$L853='112'!$I$6)),"x",""))</f>
        <v/>
      </c>
      <c r="T853" s="39" t="str">
        <f>IF(ISERROR(FIND('112'!$M$9,G853,1)),"",IF((AND(RIGHT(G853,2)=RIGHT('112'!$M$9,2),B853&lt;'112'!$N$8,$M853='112'!$I$6)),"x",""))</f>
        <v/>
      </c>
      <c r="U853" s="39" t="str">
        <f>IF(AND('3411-CT'!$F$9=H853,OR(LEFT(L853,3)=$U$7,LEFT(M853,3)=$U$7)),"x","")</f>
        <v/>
      </c>
      <c r="V853" s="39" t="str">
        <f>IF(OR(TH!L853=TH!$V$7,M853=TH!$V$7),"x","")</f>
        <v/>
      </c>
      <c r="W853" s="39" t="str">
        <f>IF(AND(OR(L853="131",M853="131"),H853='131-CT'!$E$7),"x","")</f>
        <v/>
      </c>
      <c r="X853" s="39" t="str">
        <f>IF(AND(B853&gt;='IN-NX'!$P$3,B853&lt;='IN-NX'!$Q$3,'IN-NX'!$D$7=D853,OR(LEFT(TH!L853,2)="15",LEFT(TH!M853,2)="15")),"x","")</f>
        <v/>
      </c>
      <c r="Y853" s="39" t="str">
        <f>IF(AND(OR(LEFT(TH!L853,2)="15",LEFT(TH!M853,2)="15"),'152-CT'!$J$8=TH!F853),"x","")</f>
        <v/>
      </c>
      <c r="Z853" s="39" t="str">
        <f>IF(AND(OR(LEFT(TH!L853,2)="15",LEFT(TH!M853,2)="15"),TK!$E$7=TH!F853),"x","")</f>
        <v/>
      </c>
      <c r="AA853" s="39" t="str">
        <f>IF(AND(B853&lt;=NKC!$N$8,B853&gt;=NKC!$M$8),"x","")</f>
        <v/>
      </c>
    </row>
    <row r="854" spans="1:30" s="225" customFormat="1" ht="15.75" customHeight="1">
      <c r="A854" s="218" t="str">
        <f>IF(B854&lt;&gt;"",IF(AND(B854&gt;=_TM1,B854&lt;=_TM2,OR(TH!L854="1111",TH!M854="1111")),TH!D854,""),"")</f>
        <v/>
      </c>
      <c r="B854" s="36" t="str">
        <f t="shared" si="40"/>
        <v/>
      </c>
      <c r="C854" s="37"/>
      <c r="D854" s="37"/>
      <c r="E854" s="37"/>
      <c r="F854" s="40"/>
      <c r="G854" s="626"/>
      <c r="H854" s="45"/>
      <c r="I854" s="276"/>
      <c r="J854" s="276"/>
      <c r="K854" s="38"/>
      <c r="L854" s="39"/>
      <c r="M854" s="39"/>
      <c r="N854" s="39" t="str">
        <f>IF(AND('331-CT'!$E$7=TH!H854,OR(L854="331",M854="331")),"x","")</f>
        <v/>
      </c>
      <c r="O854" s="39" t="str">
        <f>IF(AND($B854&gt;='111'!$N$11,$B854&lt;='111'!$O$11,OR($L854=$O$7,$M854=$O$7)),"x","")</f>
        <v/>
      </c>
      <c r="P854" s="39" t="str">
        <f>IF(AND($L854=$O$7,$B854&lt;'111'!$N$11),"x","")</f>
        <v/>
      </c>
      <c r="Q854" s="39" t="str">
        <f>IF(AND($M854=$O$7,$B854&lt;'111'!$N$11),"x","")</f>
        <v/>
      </c>
      <c r="R854" s="39" t="str">
        <f>IF(ISERROR(FIND('112'!$M$9,G854,1)),"",IF((AND(FIND('112'!$M$9,G854,1)&gt;=1,$B854&gt;='112'!$N$8,$B854&lt;='112'!$O$8,OR($L854='112'!$I$6,$M854='112'!$I$6))),"x",""))</f>
        <v/>
      </c>
      <c r="S854" s="39" t="str">
        <f>IF(ISERROR(FIND('112'!$M$9,G854,1)),"",IF((AND(LEFT(G854,2)=LEFT('112'!$M$9,2),B854&lt;'112'!$N$8,$L854='112'!$I$6)),"x",""))</f>
        <v/>
      </c>
      <c r="T854" s="39" t="str">
        <f>IF(ISERROR(FIND('112'!$M$9,G854,1)),"",IF((AND(RIGHT(G854,2)=RIGHT('112'!$M$9,2),B854&lt;'112'!$N$8,$M854='112'!$I$6)),"x",""))</f>
        <v/>
      </c>
      <c r="U854" s="39" t="str">
        <f>IF(AND('3411-CT'!$F$9=H854,OR(LEFT(L854,3)=$U$7,LEFT(M854,3)=$U$7)),"x","")</f>
        <v/>
      </c>
      <c r="V854" s="39" t="str">
        <f>IF(OR(TH!L854=TH!$V$7,M854=TH!$V$7),"x","")</f>
        <v/>
      </c>
      <c r="W854" s="39" t="str">
        <f>IF(AND(OR(L854="131",M854="131"),H854='131-CT'!$E$7),"x","")</f>
        <v/>
      </c>
      <c r="X854" s="39" t="str">
        <f>IF(AND(B854&gt;='IN-NX'!$P$3,B854&lt;='IN-NX'!$Q$3,'IN-NX'!$D$7=D854,OR(LEFT(TH!L854,2)="15",LEFT(TH!M854,2)="15")),"x","")</f>
        <v/>
      </c>
      <c r="Y854" s="39" t="str">
        <f>IF(AND(OR(LEFT(TH!L854,2)="15",LEFT(TH!M854,2)="15"),'152-CT'!$J$8=TH!F854),"x","")</f>
        <v/>
      </c>
      <c r="Z854" s="39" t="str">
        <f>IF(AND(OR(LEFT(TH!L854,2)="15",LEFT(TH!M854,2)="15"),TK!$E$7=TH!F854),"x","")</f>
        <v/>
      </c>
      <c r="AA854" s="39" t="str">
        <f>IF(AND(B854&lt;=NKC!$N$8,B854&gt;=NKC!$M$8),"x","")</f>
        <v/>
      </c>
    </row>
    <row r="855" spans="1:30" s="225" customFormat="1" ht="15.75" customHeight="1">
      <c r="A855" s="218" t="str">
        <f>IF(B855&lt;&gt;"",IF(AND(B855&gt;=_TM1,B855&lt;=_TM2,OR(TH!L855="1111",TH!M855="1111")),TH!D855,""),"")</f>
        <v/>
      </c>
      <c r="B855" s="36" t="str">
        <f t="shared" si="40"/>
        <v/>
      </c>
      <c r="C855" s="37"/>
      <c r="D855" s="204"/>
      <c r="E855" s="37"/>
      <c r="F855" s="40"/>
      <c r="G855" s="626"/>
      <c r="H855" s="7"/>
      <c r="I855" s="276"/>
      <c r="J855" s="276"/>
      <c r="K855" s="38"/>
      <c r="L855" s="39"/>
      <c r="M855" s="749"/>
      <c r="N855" s="39" t="str">
        <f>IF(AND('331-CT'!$E$7=TH!H855,OR(L855="331",M855="331")),"x","")</f>
        <v/>
      </c>
      <c r="O855" s="39" t="str">
        <f>IF(AND($B855&gt;='111'!$N$11,$B855&lt;='111'!$O$11,OR($L855=$O$7,$M855=$O$7)),"x","")</f>
        <v/>
      </c>
      <c r="P855" s="39" t="str">
        <f>IF(AND($L855=$O$7,$B855&lt;'111'!$N$11),"x","")</f>
        <v/>
      </c>
      <c r="Q855" s="39" t="str">
        <f>IF(AND($M855=$O$7,$B855&lt;'111'!$N$11),"x","")</f>
        <v/>
      </c>
      <c r="R855" s="39" t="str">
        <f>IF(ISERROR(FIND('112'!$M$9,G855,1)),"",IF((AND(FIND('112'!$M$9,G855,1)&gt;=1,$B855&gt;='112'!$N$8,$B855&lt;='112'!$O$8,OR($L855='112'!$I$6,$M855='112'!$I$6))),"x",""))</f>
        <v/>
      </c>
      <c r="S855" s="39" t="str">
        <f>IF(ISERROR(FIND('112'!$M$9,G855,1)),"",IF((AND(LEFT(G855,2)=LEFT('112'!$M$9,2),B855&lt;'112'!$N$8,$L855='112'!$I$6)),"x",""))</f>
        <v/>
      </c>
      <c r="T855" s="39" t="str">
        <f>IF(ISERROR(FIND('112'!$M$9,G855,1)),"",IF((AND(RIGHT(G855,2)=RIGHT('112'!$M$9,2),B855&lt;'112'!$N$8,$M855='112'!$I$6)),"x",""))</f>
        <v/>
      </c>
      <c r="U855" s="39" t="str">
        <f>IF(AND('3411-CT'!$F$9=H855,OR(LEFT(L855,3)=$U$7,LEFT(M855,3)=$U$7)),"x","")</f>
        <v/>
      </c>
      <c r="V855" s="39" t="str">
        <f>IF(OR(TH!L855=TH!$V$7,M855=TH!$V$7),"x","")</f>
        <v/>
      </c>
      <c r="W855" s="39" t="str">
        <f>IF(AND(OR(L855="131",M855="131"),H855='131-CT'!$E$7),"x","")</f>
        <v/>
      </c>
      <c r="X855" s="39" t="str">
        <f>IF(AND(B855&gt;='IN-NX'!$P$3,B855&lt;='IN-NX'!$Q$3,'IN-NX'!$D$7=D855,OR(LEFT(TH!L855,2)="15",LEFT(TH!M855,2)="15")),"x","")</f>
        <v/>
      </c>
      <c r="Y855" s="39" t="str">
        <f>IF(AND(OR(LEFT(TH!L855,2)="15",LEFT(TH!M855,2)="15"),'152-CT'!$J$8=TH!F855),"x","")</f>
        <v/>
      </c>
      <c r="Z855" s="39" t="str">
        <f>IF(AND(OR(LEFT(TH!L855,2)="15",LEFT(TH!M855,2)="15"),TK!$E$7=TH!F855),"x","")</f>
        <v/>
      </c>
      <c r="AA855" s="39" t="str">
        <f>IF(AND(B855&lt;=NKC!$N$8,B855&gt;=NKC!$M$8),"x","")</f>
        <v/>
      </c>
    </row>
    <row r="856" spans="1:30" s="225" customFormat="1" ht="15.75" customHeight="1">
      <c r="A856" s="218" t="str">
        <f>IF(B856&lt;&gt;"",IF(AND(B856&gt;=_TM1,B856&lt;=_TM2,OR(TH!L856="1111",TH!M856="1111")),TH!D856,""),"")</f>
        <v/>
      </c>
      <c r="B856" s="36" t="str">
        <f t="shared" si="40"/>
        <v/>
      </c>
      <c r="C856" s="37"/>
      <c r="D856" s="204"/>
      <c r="E856" s="37"/>
      <c r="F856" s="40"/>
      <c r="G856" s="626"/>
      <c r="H856" s="7"/>
      <c r="I856" s="276"/>
      <c r="J856" s="276"/>
      <c r="K856" s="38"/>
      <c r="L856" s="39"/>
      <c r="M856" s="749"/>
      <c r="N856" s="39" t="str">
        <f>IF(AND('331-CT'!$E$7=TH!H856,OR(L856="331",M856="331")),"x","")</f>
        <v/>
      </c>
      <c r="O856" s="39" t="str">
        <f>IF(AND($B856&gt;='111'!$N$11,$B856&lt;='111'!$O$11,OR($L856=$O$7,$M856=$O$7)),"x","")</f>
        <v/>
      </c>
      <c r="P856" s="39" t="str">
        <f>IF(AND($L856=$O$7,$B856&lt;'111'!$N$11),"x","")</f>
        <v/>
      </c>
      <c r="Q856" s="39" t="str">
        <f>IF(AND($M856=$O$7,$B856&lt;'111'!$N$11),"x","")</f>
        <v/>
      </c>
      <c r="R856" s="39" t="str">
        <f>IF(ISERROR(FIND('112'!$M$9,G856,1)),"",IF((AND(FIND('112'!$M$9,G856,1)&gt;=1,$B856&gt;='112'!$N$8,$B856&lt;='112'!$O$8,OR($L856='112'!$I$6,$M856='112'!$I$6))),"x",""))</f>
        <v/>
      </c>
      <c r="S856" s="39" t="str">
        <f>IF(ISERROR(FIND('112'!$M$9,G856,1)),"",IF((AND(LEFT(G856,2)=LEFT('112'!$M$9,2),B856&lt;'112'!$N$8,$L856='112'!$I$6)),"x",""))</f>
        <v/>
      </c>
      <c r="T856" s="39" t="str">
        <f>IF(ISERROR(FIND('112'!$M$9,G856,1)),"",IF((AND(RIGHT(G856,2)=RIGHT('112'!$M$9,2),B856&lt;'112'!$N$8,$M856='112'!$I$6)),"x",""))</f>
        <v/>
      </c>
      <c r="U856" s="39" t="str">
        <f>IF(AND('3411-CT'!$F$9=H856,OR(LEFT(L856,3)=$U$7,LEFT(M856,3)=$U$7)),"x","")</f>
        <v/>
      </c>
      <c r="V856" s="39" t="str">
        <f>IF(OR(TH!L856=TH!$V$7,M856=TH!$V$7),"x","")</f>
        <v/>
      </c>
      <c r="W856" s="39" t="str">
        <f>IF(AND(OR(L856="131",M856="131"),H856='131-CT'!$E$7),"x","")</f>
        <v/>
      </c>
      <c r="X856" s="39" t="str">
        <f>IF(AND(B856&gt;='IN-NX'!$P$3,B856&lt;='IN-NX'!$Q$3,'IN-NX'!$D$7=D856,OR(LEFT(TH!L856,2)="15",LEFT(TH!M856,2)="15")),"x","")</f>
        <v/>
      </c>
      <c r="Y856" s="39" t="str">
        <f>IF(AND(OR(LEFT(TH!L856,2)="15",LEFT(TH!M856,2)="15"),'152-CT'!$J$8=TH!F856),"x","")</f>
        <v/>
      </c>
      <c r="Z856" s="39" t="str">
        <f>IF(AND(OR(LEFT(TH!L856,2)="15",LEFT(TH!M856,2)="15"),TK!$E$7=TH!F856),"x","")</f>
        <v/>
      </c>
      <c r="AA856" s="39" t="str">
        <f>IF(AND(B856&lt;=NKC!$N$8,B856&gt;=NKC!$M$8),"x","")</f>
        <v/>
      </c>
    </row>
    <row r="857" spans="1:30" s="225" customFormat="1" ht="15.75" customHeight="1">
      <c r="A857" s="218" t="str">
        <f>IF(B857&lt;&gt;"",IF(AND(B857&gt;=_TM1,B857&lt;=_TM2,OR(TH!L857="1111",TH!M857="1111")),TH!D857,""),"")</f>
        <v/>
      </c>
      <c r="B857" s="36" t="str">
        <f t="shared" si="40"/>
        <v/>
      </c>
      <c r="C857" s="37"/>
      <c r="D857" s="37"/>
      <c r="E857" s="37"/>
      <c r="F857" s="40"/>
      <c r="G857" s="626"/>
      <c r="H857" s="45"/>
      <c r="I857" s="276"/>
      <c r="J857" s="276"/>
      <c r="K857" s="38"/>
      <c r="L857" s="39"/>
      <c r="M857" s="39"/>
      <c r="N857" s="39" t="str">
        <f>IF(AND('331-CT'!$E$7=TH!H857,OR(L857="331",M857="331")),"x","")</f>
        <v/>
      </c>
      <c r="O857" s="39" t="str">
        <f>IF(AND($B857&gt;='111'!$N$11,$B857&lt;='111'!$O$11,OR($L857=$O$7,$M857=$O$7)),"x","")</f>
        <v/>
      </c>
      <c r="P857" s="39" t="str">
        <f>IF(AND($L857=$O$7,$B857&lt;'111'!$N$11),"x","")</f>
        <v/>
      </c>
      <c r="Q857" s="39" t="str">
        <f>IF(AND($M857=$O$7,$B857&lt;'111'!$N$11),"x","")</f>
        <v/>
      </c>
      <c r="R857" s="39" t="str">
        <f>IF(ISERROR(FIND('112'!$M$9,G857,1)),"",IF((AND(FIND('112'!$M$9,G857,1)&gt;=1,$B857&gt;='112'!$N$8,$B857&lt;='112'!$O$8,OR($L857='112'!$I$6,$M857='112'!$I$6))),"x",""))</f>
        <v/>
      </c>
      <c r="S857" s="39" t="str">
        <f>IF(ISERROR(FIND('112'!$M$9,G857,1)),"",IF((AND(LEFT(G857,2)=LEFT('112'!$M$9,2),B857&lt;'112'!$N$8,$L857='112'!$I$6)),"x",""))</f>
        <v/>
      </c>
      <c r="T857" s="39" t="str">
        <f>IF(ISERROR(FIND('112'!$M$9,G857,1)),"",IF((AND(RIGHT(G857,2)=RIGHT('112'!$M$9,2),B857&lt;'112'!$N$8,$M857='112'!$I$6)),"x",""))</f>
        <v/>
      </c>
      <c r="U857" s="39" t="str">
        <f>IF(AND('3411-CT'!$F$9=H857,OR(LEFT(L857,3)=$U$7,LEFT(M857,3)=$U$7)),"x","")</f>
        <v/>
      </c>
      <c r="V857" s="39" t="str">
        <f>IF(OR(TH!L857=TH!$V$7,M857=TH!$V$7),"x","")</f>
        <v/>
      </c>
      <c r="W857" s="39" t="str">
        <f>IF(AND(OR(L857="131",M857="131"),H857='131-CT'!$E$7),"x","")</f>
        <v/>
      </c>
      <c r="X857" s="39" t="str">
        <f>IF(AND(B857&gt;='IN-NX'!$P$3,B857&lt;='IN-NX'!$Q$3,'IN-NX'!$D$7=D857,OR(LEFT(TH!L857,2)="15",LEFT(TH!M857,2)="15")),"x","")</f>
        <v/>
      </c>
      <c r="Y857" s="39" t="str">
        <f>IF(AND(OR(LEFT(TH!L857,2)="15",LEFT(TH!M857,2)="15"),'152-CT'!$J$8=TH!F857),"x","")</f>
        <v/>
      </c>
      <c r="Z857" s="39" t="str">
        <f>IF(AND(OR(LEFT(TH!L857,2)="15",LEFT(TH!M857,2)="15"),TK!$E$7=TH!F857),"x","")</f>
        <v/>
      </c>
      <c r="AA857" s="39" t="str">
        <f>IF(AND(B857&lt;=NKC!$N$8,B857&gt;=NKC!$M$8),"x","")</f>
        <v/>
      </c>
    </row>
    <row r="858" spans="1:30" s="225" customFormat="1" ht="15.75" customHeight="1">
      <c r="A858" s="218" t="str">
        <f>IF(B858&lt;&gt;"",IF(AND(B858&gt;=_TM1,B858&lt;=_TM2,OR(TH!L858="1111",TH!M858="1111")),TH!D858,""),"")</f>
        <v/>
      </c>
      <c r="B858" s="36" t="str">
        <f t="shared" si="40"/>
        <v/>
      </c>
      <c r="C858" s="37"/>
      <c r="D858" s="37"/>
      <c r="E858" s="37"/>
      <c r="F858" s="40"/>
      <c r="G858" s="626"/>
      <c r="H858" s="45"/>
      <c r="I858" s="276"/>
      <c r="J858" s="276"/>
      <c r="K858" s="38"/>
      <c r="L858" s="39"/>
      <c r="M858" s="39"/>
      <c r="N858" s="39" t="str">
        <f>IF(AND('331-CT'!$E$7=TH!H858,OR(L858="331",M858="331")),"x","")</f>
        <v/>
      </c>
      <c r="O858" s="39" t="str">
        <f>IF(AND($B858&gt;='111'!$N$11,$B858&lt;='111'!$O$11,OR($L858=$O$7,$M858=$O$7)),"x","")</f>
        <v/>
      </c>
      <c r="P858" s="39" t="str">
        <f>IF(AND($L858=$O$7,$B858&lt;'111'!$N$11),"x","")</f>
        <v/>
      </c>
      <c r="Q858" s="39" t="str">
        <f>IF(AND($M858=$O$7,$B858&lt;'111'!$N$11),"x","")</f>
        <v/>
      </c>
      <c r="R858" s="39" t="str">
        <f>IF(ISERROR(FIND('112'!$M$9,G858,1)),"",IF((AND(FIND('112'!$M$9,G858,1)&gt;=1,$B858&gt;='112'!$N$8,$B858&lt;='112'!$O$8,OR($L858='112'!$I$6,$M858='112'!$I$6))),"x",""))</f>
        <v/>
      </c>
      <c r="S858" s="39" t="str">
        <f>IF(ISERROR(FIND('112'!$M$9,G858,1)),"",IF((AND(LEFT(G858,2)=LEFT('112'!$M$9,2),B858&lt;'112'!$N$8,$L858='112'!$I$6)),"x",""))</f>
        <v/>
      </c>
      <c r="T858" s="39" t="str">
        <f>IF(ISERROR(FIND('112'!$M$9,G858,1)),"",IF((AND(RIGHT(G858,2)=RIGHT('112'!$M$9,2),B858&lt;'112'!$N$8,$M858='112'!$I$6)),"x",""))</f>
        <v/>
      </c>
      <c r="U858" s="39" t="str">
        <f>IF(AND('3411-CT'!$F$9=H858,OR(LEFT(L858,3)=$U$7,LEFT(M858,3)=$U$7)),"x","")</f>
        <v/>
      </c>
      <c r="V858" s="39" t="str">
        <f>IF(OR(TH!L858=TH!$V$7,M858=TH!$V$7),"x","")</f>
        <v/>
      </c>
      <c r="W858" s="39" t="str">
        <f>IF(AND(OR(L858="131",M858="131"),H858='131-CT'!$E$7),"x","")</f>
        <v/>
      </c>
      <c r="X858" s="39" t="str">
        <f>IF(AND(B858&gt;='IN-NX'!$P$3,B858&lt;='IN-NX'!$Q$3,'IN-NX'!$D$7=D858,OR(LEFT(TH!L858,2)="15",LEFT(TH!M858,2)="15")),"x","")</f>
        <v/>
      </c>
      <c r="Y858" s="39" t="str">
        <f>IF(AND(OR(LEFT(TH!L858,2)="15",LEFT(TH!M858,2)="15"),'152-CT'!$J$8=TH!F858),"x","")</f>
        <v/>
      </c>
      <c r="Z858" s="39" t="str">
        <f>IF(AND(OR(LEFT(TH!L858,2)="15",LEFT(TH!M858,2)="15"),TK!$E$7=TH!F858),"x","")</f>
        <v/>
      </c>
      <c r="AA858" s="39" t="str">
        <f>IF(AND(B858&lt;=NKC!$N$8,B858&gt;=NKC!$M$8),"x","")</f>
        <v/>
      </c>
    </row>
    <row r="859" spans="1:30" s="225" customFormat="1" ht="15.75" customHeight="1">
      <c r="A859" s="218" t="str">
        <f>IF(B859&lt;&gt;"",IF(AND(B859&gt;=_TM1,B859&lt;=_TM2,OR(TH!L859="1111",TH!M859="1111")),TH!D859,""),"")</f>
        <v/>
      </c>
      <c r="B859" s="36" t="str">
        <f t="shared" si="40"/>
        <v/>
      </c>
      <c r="C859" s="37"/>
      <c r="D859" s="37"/>
      <c r="E859" s="37"/>
      <c r="F859" s="40"/>
      <c r="G859" s="626"/>
      <c r="H859" s="45"/>
      <c r="I859" s="276"/>
      <c r="J859" s="276"/>
      <c r="K859" s="38"/>
      <c r="L859" s="39"/>
      <c r="M859" s="39"/>
      <c r="N859" s="39" t="str">
        <f>IF(AND('331-CT'!$E$7=TH!H859,OR(L859="331",M859="331")),"x","")</f>
        <v/>
      </c>
      <c r="O859" s="39" t="str">
        <f>IF(AND($B859&gt;='111'!$N$11,$B859&lt;='111'!$O$11,OR($L859=$O$7,$M859=$O$7)),"x","")</f>
        <v/>
      </c>
      <c r="P859" s="39" t="str">
        <f>IF(AND($L859=$O$7,$B859&lt;'111'!$N$11),"x","")</f>
        <v/>
      </c>
      <c r="Q859" s="39" t="str">
        <f>IF(AND($M859=$O$7,$B859&lt;'111'!$N$11),"x","")</f>
        <v/>
      </c>
      <c r="R859" s="39" t="str">
        <f>IF(ISERROR(FIND('112'!$M$9,G859,1)),"",IF((AND(FIND('112'!$M$9,G859,1)&gt;=1,$B859&gt;='112'!$N$8,$B859&lt;='112'!$O$8,OR($L859='112'!$I$6,$M859='112'!$I$6))),"x",""))</f>
        <v/>
      </c>
      <c r="S859" s="39" t="str">
        <f>IF(ISERROR(FIND('112'!$M$9,G859,1)),"",IF((AND(LEFT(G859,2)=LEFT('112'!$M$9,2),B859&lt;'112'!$N$8,$L859='112'!$I$6)),"x",""))</f>
        <v/>
      </c>
      <c r="T859" s="39" t="str">
        <f>IF(ISERROR(FIND('112'!$M$9,G859,1)),"",IF((AND(RIGHT(G859,2)=RIGHT('112'!$M$9,2),B859&lt;'112'!$N$8,$M859='112'!$I$6)),"x",""))</f>
        <v/>
      </c>
      <c r="U859" s="39" t="str">
        <f>IF(AND('3411-CT'!$F$9=H859,OR(LEFT(L859,3)=$U$7,LEFT(M859,3)=$U$7)),"x","")</f>
        <v/>
      </c>
      <c r="V859" s="39" t="str">
        <f>IF(OR(TH!L859=TH!$V$7,M859=TH!$V$7),"x","")</f>
        <v/>
      </c>
      <c r="W859" s="39" t="str">
        <f>IF(AND(OR(L859="131",M859="131"),H859='131-CT'!$E$7),"x","")</f>
        <v/>
      </c>
      <c r="X859" s="39" t="str">
        <f>IF(AND(B859&gt;='IN-NX'!$P$3,B859&lt;='IN-NX'!$Q$3,'IN-NX'!$D$7=D859,OR(LEFT(TH!L859,2)="15",LEFT(TH!M859,2)="15")),"x","")</f>
        <v/>
      </c>
      <c r="Y859" s="39" t="str">
        <f>IF(AND(OR(LEFT(TH!L859,2)="15",LEFT(TH!M859,2)="15"),'152-CT'!$J$8=TH!F859),"x","")</f>
        <v/>
      </c>
      <c r="Z859" s="39" t="str">
        <f>IF(AND(OR(LEFT(TH!L859,2)="15",LEFT(TH!M859,2)="15"),TK!$E$7=TH!F859),"x","")</f>
        <v/>
      </c>
      <c r="AA859" s="39" t="str">
        <f>IF(AND(B859&lt;=NKC!$N$8,B859&gt;=NKC!$M$8),"x","")</f>
        <v/>
      </c>
    </row>
    <row r="860" spans="1:30" s="225" customFormat="1" ht="15.75" customHeight="1">
      <c r="A860" s="218" t="str">
        <f>IF(B860&lt;&gt;"",IF(AND(B860&gt;=_TM1,B860&lt;=_TM2,OR(TH!L860="1111",TH!M860="1111")),TH!D860,""),"")</f>
        <v/>
      </c>
      <c r="B860" s="36" t="str">
        <f t="shared" si="40"/>
        <v/>
      </c>
      <c r="C860" s="37"/>
      <c r="D860" s="37"/>
      <c r="E860" s="37"/>
      <c r="F860" s="40"/>
      <c r="G860" s="626"/>
      <c r="H860" s="45"/>
      <c r="I860" s="276"/>
      <c r="J860" s="276"/>
      <c r="K860" s="38"/>
      <c r="L860" s="39"/>
      <c r="M860" s="39"/>
      <c r="N860" s="39" t="str">
        <f>IF(AND('331-CT'!$E$7=TH!H860,OR(L860="331",M860="331")),"x","")</f>
        <v/>
      </c>
      <c r="O860" s="39" t="str">
        <f>IF(AND($B860&gt;='111'!$N$11,$B860&lt;='111'!$O$11,OR($L860=$O$7,$M860=$O$7)),"x","")</f>
        <v/>
      </c>
      <c r="P860" s="39" t="str">
        <f>IF(AND($L860=$O$7,$B860&lt;'111'!$N$11),"x","")</f>
        <v/>
      </c>
      <c r="Q860" s="39" t="str">
        <f>IF(AND($M860=$O$7,$B860&lt;'111'!$N$11),"x","")</f>
        <v/>
      </c>
      <c r="R860" s="39" t="str">
        <f>IF(ISERROR(FIND('112'!$M$9,G860,1)),"",IF((AND(FIND('112'!$M$9,G860,1)&gt;=1,$B860&gt;='112'!$N$8,$B860&lt;='112'!$O$8,OR($L860='112'!$I$6,$M860='112'!$I$6))),"x",""))</f>
        <v/>
      </c>
      <c r="S860" s="39" t="str">
        <f>IF(ISERROR(FIND('112'!$M$9,G860,1)),"",IF((AND(LEFT(G860,2)=LEFT('112'!$M$9,2),B860&lt;'112'!$N$8,$L860='112'!$I$6)),"x",""))</f>
        <v/>
      </c>
      <c r="T860" s="39" t="str">
        <f>IF(ISERROR(FIND('112'!$M$9,G860,1)),"",IF((AND(RIGHT(G860,2)=RIGHT('112'!$M$9,2),B860&lt;'112'!$N$8,$M860='112'!$I$6)),"x",""))</f>
        <v/>
      </c>
      <c r="U860" s="39" t="str">
        <f>IF(AND('3411-CT'!$F$9=H860,OR(LEFT(L860,3)=$U$7,LEFT(M860,3)=$U$7)),"x","")</f>
        <v/>
      </c>
      <c r="V860" s="39" t="str">
        <f>IF(OR(TH!L860=TH!$V$7,M860=TH!$V$7),"x","")</f>
        <v/>
      </c>
      <c r="W860" s="39" t="str">
        <f>IF(AND(OR(L860="131",M860="131"),H860='131-CT'!$E$7),"x","")</f>
        <v/>
      </c>
      <c r="X860" s="39" t="str">
        <f>IF(AND(B860&gt;='IN-NX'!$P$3,B860&lt;='IN-NX'!$Q$3,'IN-NX'!$D$7=D860,OR(LEFT(TH!L860,2)="15",LEFT(TH!M860,2)="15")),"x","")</f>
        <v/>
      </c>
      <c r="Y860" s="39" t="str">
        <f>IF(AND(OR(LEFT(TH!L860,2)="15",LEFT(TH!M860,2)="15"),'152-CT'!$J$8=TH!F860),"x","")</f>
        <v/>
      </c>
      <c r="Z860" s="39" t="str">
        <f>IF(AND(OR(LEFT(TH!L860,2)="15",LEFT(TH!M860,2)="15"),TK!$E$7=TH!F860),"x","")</f>
        <v/>
      </c>
      <c r="AA860" s="39" t="str">
        <f>IF(AND(B860&lt;=NKC!$N$8,B860&gt;=NKC!$M$8),"x","")</f>
        <v/>
      </c>
    </row>
    <row r="861" spans="1:30" s="225" customFormat="1" ht="15.75" customHeight="1">
      <c r="A861" s="218" t="str">
        <f>IF(B861&lt;&gt;"",IF(AND(B861&gt;=_TM1,B861&lt;=_TM2,OR(TH!L861="1111",TH!M861="1111")),TH!D861,""),"")</f>
        <v/>
      </c>
      <c r="B861" s="36" t="str">
        <f t="shared" si="40"/>
        <v/>
      </c>
      <c r="C861" s="37"/>
      <c r="D861" s="37"/>
      <c r="E861" s="37"/>
      <c r="F861" s="40"/>
      <c r="G861" s="626"/>
      <c r="H861" s="45"/>
      <c r="I861" s="276"/>
      <c r="J861" s="276"/>
      <c r="K861" s="38"/>
      <c r="L861" s="39"/>
      <c r="M861" s="39"/>
      <c r="N861" s="39" t="str">
        <f>IF(AND('331-CT'!$E$7=TH!H861,OR(L861="331",M861="331")),"x","")</f>
        <v/>
      </c>
      <c r="O861" s="39" t="str">
        <f>IF(AND($B861&gt;='111'!$N$11,$B861&lt;='111'!$O$11,OR($L861=$O$7,$M861=$O$7)),"x","")</f>
        <v/>
      </c>
      <c r="P861" s="39" t="str">
        <f>IF(AND($L861=$O$7,$B861&lt;'111'!$N$11),"x","")</f>
        <v/>
      </c>
      <c r="Q861" s="39" t="str">
        <f>IF(AND($M861=$O$7,$B861&lt;'111'!$N$11),"x","")</f>
        <v/>
      </c>
      <c r="R861" s="39" t="str">
        <f>IF(ISERROR(FIND('112'!$M$9,G861,1)),"",IF((AND(FIND('112'!$M$9,G861,1)&gt;=1,$B861&gt;='112'!$N$8,$B861&lt;='112'!$O$8,OR($L861='112'!$I$6,$M861='112'!$I$6))),"x",""))</f>
        <v/>
      </c>
      <c r="S861" s="39" t="str">
        <f>IF(ISERROR(FIND('112'!$M$9,G861,1)),"",IF((AND(LEFT(G861,2)=LEFT('112'!$M$9,2),B861&lt;'112'!$N$8,$L861='112'!$I$6)),"x",""))</f>
        <v/>
      </c>
      <c r="T861" s="39" t="str">
        <f>IF(ISERROR(FIND('112'!$M$9,G861,1)),"",IF((AND(RIGHT(G861,2)=RIGHT('112'!$M$9,2),B861&lt;'112'!$N$8,$M861='112'!$I$6)),"x",""))</f>
        <v/>
      </c>
      <c r="U861" s="39" t="str">
        <f>IF(AND('3411-CT'!$F$9=H861,OR(LEFT(L861,3)=$U$7,LEFT(M861,3)=$U$7)),"x","")</f>
        <v/>
      </c>
      <c r="V861" s="39" t="str">
        <f>IF(OR(TH!L861=TH!$V$7,M861=TH!$V$7),"x","")</f>
        <v/>
      </c>
      <c r="W861" s="39" t="str">
        <f>IF(AND(OR(L861="131",M861="131"),H861='131-CT'!$E$7),"x","")</f>
        <v/>
      </c>
      <c r="X861" s="39" t="str">
        <f>IF(AND(B861&gt;='IN-NX'!$P$3,B861&lt;='IN-NX'!$Q$3,'IN-NX'!$D$7=D861,OR(LEFT(TH!L861,2)="15",LEFT(TH!M861,2)="15")),"x","")</f>
        <v/>
      </c>
      <c r="Y861" s="39" t="str">
        <f>IF(AND(OR(LEFT(TH!L861,2)="15",LEFT(TH!M861,2)="15"),'152-CT'!$J$8=TH!F861),"x","")</f>
        <v/>
      </c>
      <c r="Z861" s="39" t="str">
        <f>IF(AND(OR(LEFT(TH!L861,2)="15",LEFT(TH!M861,2)="15"),TK!$E$7=TH!F861),"x","")</f>
        <v/>
      </c>
      <c r="AA861" s="39" t="str">
        <f>IF(AND(B861&lt;=NKC!$N$8,B861&gt;=NKC!$M$8),"x","")</f>
        <v/>
      </c>
    </row>
    <row r="862" spans="1:30" s="225" customFormat="1" ht="15.75" customHeight="1">
      <c r="A862" s="218" t="str">
        <f>IF(B862&lt;&gt;"",IF(AND(B862&gt;=_TM1,B862&lt;=_TM2,OR(TH!L862="1111",TH!M862="1111")),TH!D862,""),"")</f>
        <v/>
      </c>
      <c r="B862" s="36" t="str">
        <f t="shared" si="40"/>
        <v/>
      </c>
      <c r="C862" s="37"/>
      <c r="D862" s="37"/>
      <c r="E862" s="37"/>
      <c r="F862" s="40"/>
      <c r="G862" s="626"/>
      <c r="H862" s="45"/>
      <c r="I862" s="276"/>
      <c r="J862" s="276"/>
      <c r="K862" s="38"/>
      <c r="L862" s="39"/>
      <c r="M862" s="39"/>
      <c r="N862" s="39" t="str">
        <f>IF(AND('331-CT'!$E$7=TH!H862,OR(L862="331",M862="331")),"x","")</f>
        <v/>
      </c>
      <c r="O862" s="39" t="str">
        <f>IF(AND($B862&gt;='111'!$N$11,$B862&lt;='111'!$O$11,OR($L862=$O$7,$M862=$O$7)),"x","")</f>
        <v/>
      </c>
      <c r="P862" s="39" t="str">
        <f>IF(AND($L862=$O$7,$B862&lt;'111'!$N$11),"x","")</f>
        <v/>
      </c>
      <c r="Q862" s="39" t="str">
        <f>IF(AND($M862=$O$7,$B862&lt;'111'!$N$11),"x","")</f>
        <v/>
      </c>
      <c r="R862" s="39" t="str">
        <f>IF(ISERROR(FIND('112'!$M$9,G862,1)),"",IF((AND(FIND('112'!$M$9,G862,1)&gt;=1,$B862&gt;='112'!$N$8,$B862&lt;='112'!$O$8,OR($L862='112'!$I$6,$M862='112'!$I$6))),"x",""))</f>
        <v/>
      </c>
      <c r="S862" s="39" t="str">
        <f>IF(ISERROR(FIND('112'!$M$9,G862,1)),"",IF((AND(LEFT(G862,2)=LEFT('112'!$M$9,2),B862&lt;'112'!$N$8,$L862='112'!$I$6)),"x",""))</f>
        <v/>
      </c>
      <c r="T862" s="39" t="str">
        <f>IF(ISERROR(FIND('112'!$M$9,G862,1)),"",IF((AND(RIGHT(G862,2)=RIGHT('112'!$M$9,2),B862&lt;'112'!$N$8,$M862='112'!$I$6)),"x",""))</f>
        <v/>
      </c>
      <c r="U862" s="39" t="str">
        <f>IF(AND('3411-CT'!$F$9=H862,OR(LEFT(L862,3)=$U$7,LEFT(M862,3)=$U$7)),"x","")</f>
        <v/>
      </c>
      <c r="V862" s="39" t="str">
        <f>IF(OR(TH!L862=TH!$V$7,M862=TH!$V$7),"x","")</f>
        <v/>
      </c>
      <c r="W862" s="39" t="str">
        <f>IF(AND(OR(L862="131",M862="131"),H862='131-CT'!$E$7),"x","")</f>
        <v/>
      </c>
      <c r="X862" s="39" t="str">
        <f>IF(AND(B862&gt;='IN-NX'!$P$3,B862&lt;='IN-NX'!$Q$3,'IN-NX'!$D$7=D862,OR(LEFT(TH!L862,2)="15",LEFT(TH!M862,2)="15")),"x","")</f>
        <v/>
      </c>
      <c r="Y862" s="39" t="str">
        <f>IF(AND(OR(LEFT(TH!L862,2)="15",LEFT(TH!M862,2)="15"),'152-CT'!$J$8=TH!F862),"x","")</f>
        <v/>
      </c>
      <c r="Z862" s="39" t="str">
        <f>IF(AND(OR(LEFT(TH!L862,2)="15",LEFT(TH!M862,2)="15"),TK!$E$7=TH!F862),"x","")</f>
        <v/>
      </c>
      <c r="AA862" s="39" t="str">
        <f>IF(AND(B862&lt;=NKC!$N$8,B862&gt;=NKC!$M$8),"x","")</f>
        <v/>
      </c>
    </row>
    <row r="863" spans="1:30" s="225" customFormat="1" ht="15.75" customHeight="1">
      <c r="A863" s="218" t="str">
        <f>IF(B863&lt;&gt;"",IF(AND(B863&gt;=_TM1,B863&lt;=_TM2,OR(TH!L863="1111",TH!M863="1111")),TH!D863,""),"")</f>
        <v/>
      </c>
      <c r="B863" s="36" t="str">
        <f t="shared" si="40"/>
        <v/>
      </c>
      <c r="C863" s="37"/>
      <c r="D863" s="37"/>
      <c r="E863" s="37"/>
      <c r="F863" s="40"/>
      <c r="G863" s="40"/>
      <c r="H863" s="7"/>
      <c r="I863" s="276"/>
      <c r="J863" s="276"/>
      <c r="K863" s="38"/>
      <c r="L863" s="39"/>
      <c r="M863" s="39"/>
      <c r="N863" s="39" t="str">
        <f>IF(AND('331-CT'!$E$7=TH!H863,OR(L863="331",M863="331")),"x","")</f>
        <v/>
      </c>
      <c r="O863" s="39" t="str">
        <f>IF(AND($B863&gt;='111'!$N$11,$B863&lt;='111'!$O$11,OR($L863=$O$7,$M863=$O$7)),"x","")</f>
        <v/>
      </c>
      <c r="P863" s="39" t="str">
        <f>IF(AND($L863=$O$7,$B863&lt;'111'!$N$11),"x","")</f>
        <v/>
      </c>
      <c r="Q863" s="39" t="str">
        <f>IF(AND($M863=$O$7,$B863&lt;'111'!$N$11),"x","")</f>
        <v/>
      </c>
      <c r="R863" s="39" t="str">
        <f>IF(ISERROR(FIND('112'!$M$9,G863,1)),"",IF((AND(FIND('112'!$M$9,G863,1)&gt;=1,$B863&gt;='112'!$N$8,$B863&lt;='112'!$O$8,OR($L863='112'!$I$6,$M863='112'!$I$6))),"x",""))</f>
        <v/>
      </c>
      <c r="S863" s="39" t="str">
        <f>IF(ISERROR(FIND('112'!$M$9,G863,1)),"",IF((AND(LEFT(G863,2)=LEFT('112'!$M$9,2),B863&lt;'112'!$N$8,$L863='112'!$I$6)),"x",""))</f>
        <v/>
      </c>
      <c r="T863" s="39" t="str">
        <f>IF(ISERROR(FIND('112'!$M$9,G863,1)),"",IF((AND(RIGHT(G863,2)=RIGHT('112'!$M$9,2),B863&lt;'112'!$N$8,$M863='112'!$I$6)),"x",""))</f>
        <v/>
      </c>
      <c r="U863" s="39" t="str">
        <f>IF(AND('3411-CT'!$F$9=H863,OR(LEFT(L863,3)=$U$7,LEFT(M863,3)=$U$7)),"x","")</f>
        <v/>
      </c>
      <c r="V863" s="39" t="str">
        <f>IF(OR(TH!L863=TH!$V$7,M863=TH!$V$7),"x","")</f>
        <v/>
      </c>
      <c r="W863" s="39" t="str">
        <f>IF(AND(OR(L863="131",M863="131"),H863='131-CT'!$E$7),"x","")</f>
        <v/>
      </c>
      <c r="X863" s="39" t="str">
        <f>IF(AND(B863&gt;='IN-NX'!$P$3,B863&lt;='IN-NX'!$Q$3,'IN-NX'!$D$7=D863,OR(LEFT(TH!L863,2)="15",LEFT(TH!M863,2)="15")),"x","")</f>
        <v/>
      </c>
      <c r="Y863" s="39" t="str">
        <f>IF(AND(OR(LEFT(TH!L863,2)="15",LEFT(TH!M863,2)="15"),'152-CT'!$J$8=TH!F863),"x","")</f>
        <v/>
      </c>
      <c r="Z863" s="39" t="str">
        <f>IF(AND(OR(LEFT(TH!L863,2)="15",LEFT(TH!M863,2)="15"),TK!$E$7=TH!F863),"x","")</f>
        <v/>
      </c>
      <c r="AA863" s="39" t="str">
        <f>IF(AND(B863&lt;=NKC!$N$8,B863&gt;=NKC!$M$8),"x","")</f>
        <v/>
      </c>
      <c r="AD863" s="739"/>
    </row>
    <row r="864" spans="1:30" s="225" customFormat="1" ht="15.75" customHeight="1">
      <c r="A864" s="218" t="str">
        <f>IF(B864&lt;&gt;"",IF(AND(B864&gt;=_TM1,B864&lt;=_TM2,OR(TH!L864="1111",TH!M864="1111")),TH!D864,""),"")</f>
        <v/>
      </c>
      <c r="B864" s="36" t="str">
        <f t="shared" si="40"/>
        <v/>
      </c>
      <c r="C864" s="37"/>
      <c r="D864" s="37"/>
      <c r="E864" s="37"/>
      <c r="F864" s="40"/>
      <c r="G864" s="40"/>
      <c r="H864" s="47"/>
      <c r="I864" s="276"/>
      <c r="J864" s="276"/>
      <c r="K864" s="38"/>
      <c r="L864" s="39"/>
      <c r="M864" s="39"/>
      <c r="N864" s="39" t="str">
        <f>IF(AND('331-CT'!$E$7=TH!H864,OR(L864="331",M864="331")),"x","")</f>
        <v/>
      </c>
      <c r="O864" s="39" t="str">
        <f>IF(AND($B864&gt;='111'!$N$11,$B864&lt;='111'!$O$11,OR($L864=$O$7,$M864=$O$7)),"x","")</f>
        <v/>
      </c>
      <c r="P864" s="39" t="str">
        <f>IF(AND($L864=$O$7,$B864&lt;'111'!$N$11),"x","")</f>
        <v/>
      </c>
      <c r="Q864" s="39" t="str">
        <f>IF(AND($M864=$O$7,$B864&lt;'111'!$N$11),"x","")</f>
        <v/>
      </c>
      <c r="R864" s="39" t="str">
        <f>IF(ISERROR(FIND('112'!$M$9,G864,1)),"",IF((AND(FIND('112'!$M$9,G864,1)&gt;=1,$B864&gt;='112'!$N$8,$B864&lt;='112'!$O$8,OR($L864='112'!$I$6,$M864='112'!$I$6))),"x",""))</f>
        <v/>
      </c>
      <c r="S864" s="39" t="str">
        <f>IF(ISERROR(FIND('112'!$M$9,G864,1)),"",IF((AND(LEFT(G864,2)=LEFT('112'!$M$9,2),B864&lt;'112'!$N$8,$L864='112'!$I$6)),"x",""))</f>
        <v/>
      </c>
      <c r="T864" s="39" t="str">
        <f>IF(ISERROR(FIND('112'!$M$9,G864,1)),"",IF((AND(RIGHT(G864,2)=RIGHT('112'!$M$9,2),B864&lt;'112'!$N$8,$M864='112'!$I$6)),"x",""))</f>
        <v/>
      </c>
      <c r="U864" s="39" t="str">
        <f>IF(AND('3411-CT'!$F$9=H864,OR(LEFT(L864,3)=$U$7,LEFT(M864,3)=$U$7)),"x","")</f>
        <v/>
      </c>
      <c r="V864" s="39" t="str">
        <f>IF(OR(TH!L864=TH!$V$7,M864=TH!$V$7),"x","")</f>
        <v/>
      </c>
      <c r="W864" s="39" t="str">
        <f>IF(AND(OR(L864="131",M864="131"),H864='131-CT'!$E$7),"x","")</f>
        <v/>
      </c>
      <c r="X864" s="39" t="str">
        <f>IF(AND(B864&gt;='IN-NX'!$P$3,B864&lt;='IN-NX'!$Q$3,'IN-NX'!$D$7=D864,OR(LEFT(TH!L864,2)="15",LEFT(TH!M864,2)="15")),"x","")</f>
        <v/>
      </c>
      <c r="Y864" s="39" t="str">
        <f>IF(AND(OR(LEFT(TH!L864,2)="15",LEFT(TH!M864,2)="15"),'152-CT'!$J$8=TH!F864),"x","")</f>
        <v/>
      </c>
      <c r="Z864" s="39" t="str">
        <f>IF(AND(OR(LEFT(TH!L864,2)="15",LEFT(TH!M864,2)="15"),TK!$E$7=TH!F864),"x","")</f>
        <v/>
      </c>
      <c r="AA864" s="39" t="str">
        <f>IF(AND(B864&lt;=NKC!$N$8,B864&gt;=NKC!$M$8),"x","")</f>
        <v/>
      </c>
      <c r="AD864" s="739"/>
    </row>
    <row r="865" spans="1:30" s="225" customFormat="1" ht="15.75" customHeight="1">
      <c r="A865" s="218" t="str">
        <f>IF(B865&lt;&gt;"",IF(AND(B865&gt;=_TM1,B865&lt;=_TM2,OR(TH!L865="1111",TH!M865="1111")),TH!D865,""),"")</f>
        <v/>
      </c>
      <c r="B865" s="36" t="str">
        <f t="shared" si="40"/>
        <v/>
      </c>
      <c r="C865" s="37"/>
      <c r="D865" s="37"/>
      <c r="E865" s="37"/>
      <c r="F865" s="40"/>
      <c r="G865" s="40"/>
      <c r="H865" s="45"/>
      <c r="I865" s="276"/>
      <c r="J865" s="276"/>
      <c r="K865" s="38"/>
      <c r="L865" s="39"/>
      <c r="M865" s="39"/>
      <c r="N865" s="39" t="str">
        <f>IF(AND('331-CT'!$E$7=TH!H865,OR(L865="331",M865="331")),"x","")</f>
        <v/>
      </c>
      <c r="O865" s="39" t="str">
        <f>IF(AND($B865&gt;='111'!$N$11,$B865&lt;='111'!$O$11,OR($L865=$O$7,$M865=$O$7)),"x","")</f>
        <v/>
      </c>
      <c r="P865" s="39" t="str">
        <f>IF(AND($L865=$O$7,$B865&lt;'111'!$N$11),"x","")</f>
        <v/>
      </c>
      <c r="Q865" s="39" t="str">
        <f>IF(AND($M865=$O$7,$B865&lt;'111'!$N$11),"x","")</f>
        <v/>
      </c>
      <c r="R865" s="39" t="str">
        <f>IF(ISERROR(FIND('112'!$M$9,G865,1)),"",IF((AND(FIND('112'!$M$9,G865,1)&gt;=1,$B865&gt;='112'!$N$8,$B865&lt;='112'!$O$8,OR($L865='112'!$I$6,$M865='112'!$I$6))),"x",""))</f>
        <v/>
      </c>
      <c r="S865" s="39" t="str">
        <f>IF(ISERROR(FIND('112'!$M$9,G865,1)),"",IF((AND(LEFT(G865,2)=LEFT('112'!$M$9,2),B865&lt;'112'!$N$8,$L865='112'!$I$6)),"x",""))</f>
        <v/>
      </c>
      <c r="T865" s="39" t="str">
        <f>IF(ISERROR(FIND('112'!$M$9,G865,1)),"",IF((AND(RIGHT(G865,2)=RIGHT('112'!$M$9,2),B865&lt;'112'!$N$8,$M865='112'!$I$6)),"x",""))</f>
        <v/>
      </c>
      <c r="U865" s="39" t="str">
        <f>IF(AND('3411-CT'!$F$9=H865,OR(LEFT(L865,3)=$U$7,LEFT(M865,3)=$U$7)),"x","")</f>
        <v/>
      </c>
      <c r="V865" s="39" t="str">
        <f>IF(OR(TH!L865=TH!$V$7,M865=TH!$V$7),"x","")</f>
        <v/>
      </c>
      <c r="W865" s="39" t="str">
        <f>IF(AND(OR(L865="131",M865="131"),H865='131-CT'!$E$7),"x","")</f>
        <v/>
      </c>
      <c r="X865" s="39" t="str">
        <f>IF(AND(B865&gt;='IN-NX'!$P$3,B865&lt;='IN-NX'!$Q$3,'IN-NX'!$D$7=D865,OR(LEFT(TH!L865,2)="15",LEFT(TH!M865,2)="15")),"x","")</f>
        <v/>
      </c>
      <c r="Y865" s="39" t="str">
        <f>IF(AND(OR(LEFT(TH!L865,2)="15",LEFT(TH!M865,2)="15"),'152-CT'!$J$8=TH!F865),"x","")</f>
        <v/>
      </c>
      <c r="Z865" s="39" t="str">
        <f>IF(AND(OR(LEFT(TH!L865,2)="15",LEFT(TH!M865,2)="15"),TK!$E$7=TH!F865),"x","")</f>
        <v/>
      </c>
      <c r="AA865" s="39" t="str">
        <f>IF(AND(B865&lt;=NKC!$N$8,B865&gt;=NKC!$M$8),"x","")</f>
        <v/>
      </c>
    </row>
    <row r="866" spans="1:30" s="225" customFormat="1" ht="15.75" customHeight="1">
      <c r="A866" s="218" t="str">
        <f>IF(B866&lt;&gt;"",IF(AND(B866&gt;=_TM1,B866&lt;=_TM2,OR(TH!L866="1111",TH!M866="1111")),TH!D866,""),"")</f>
        <v/>
      </c>
      <c r="B866" s="36" t="str">
        <f t="shared" si="40"/>
        <v/>
      </c>
      <c r="C866" s="37"/>
      <c r="D866" s="37"/>
      <c r="E866" s="37"/>
      <c r="F866" s="40"/>
      <c r="G866" s="40"/>
      <c r="H866" s="45"/>
      <c r="I866" s="276"/>
      <c r="J866" s="276"/>
      <c r="K866" s="38"/>
      <c r="L866" s="39"/>
      <c r="M866" s="39"/>
      <c r="N866" s="39" t="str">
        <f>IF(AND('331-CT'!$E$7=TH!H866,OR(L866="331",M866="331")),"x","")</f>
        <v/>
      </c>
      <c r="O866" s="39" t="str">
        <f>IF(AND($B866&gt;='111'!$N$11,$B866&lt;='111'!$O$11,OR($L866=$O$7,$M866=$O$7)),"x","")</f>
        <v/>
      </c>
      <c r="P866" s="39" t="str">
        <f>IF(AND($L866=$O$7,$B866&lt;'111'!$N$11),"x","")</f>
        <v/>
      </c>
      <c r="Q866" s="39" t="str">
        <f>IF(AND($M866=$O$7,$B866&lt;'111'!$N$11),"x","")</f>
        <v/>
      </c>
      <c r="R866" s="39" t="str">
        <f>IF(ISERROR(FIND('112'!$M$9,G866,1)),"",IF((AND(FIND('112'!$M$9,G866,1)&gt;=1,$B866&gt;='112'!$N$8,$B866&lt;='112'!$O$8,OR($L866='112'!$I$6,$M866='112'!$I$6))),"x",""))</f>
        <v/>
      </c>
      <c r="S866" s="39" t="str">
        <f>IF(ISERROR(FIND('112'!$M$9,G866,1)),"",IF((AND(LEFT(G866,2)=LEFT('112'!$M$9,2),B866&lt;'112'!$N$8,$L866='112'!$I$6)),"x",""))</f>
        <v/>
      </c>
      <c r="T866" s="39" t="str">
        <f>IF(ISERROR(FIND('112'!$M$9,G866,1)),"",IF((AND(RIGHT(G866,2)=RIGHT('112'!$M$9,2),B866&lt;'112'!$N$8,$M866='112'!$I$6)),"x",""))</f>
        <v/>
      </c>
      <c r="U866" s="39" t="str">
        <f>IF(AND('3411-CT'!$F$9=H866,OR(LEFT(L866,3)=$U$7,LEFT(M866,3)=$U$7)),"x","")</f>
        <v/>
      </c>
      <c r="V866" s="39" t="str">
        <f>IF(OR(TH!L866=TH!$V$7,M866=TH!$V$7),"x","")</f>
        <v/>
      </c>
      <c r="W866" s="39" t="str">
        <f>IF(AND(OR(L866="131",M866="131"),H866='131-CT'!$E$7),"x","")</f>
        <v/>
      </c>
      <c r="X866" s="39" t="str">
        <f>IF(AND(B866&gt;='IN-NX'!$P$3,B866&lt;='IN-NX'!$Q$3,'IN-NX'!$D$7=D866,OR(LEFT(TH!L866,2)="15",LEFT(TH!M866,2)="15")),"x","")</f>
        <v/>
      </c>
      <c r="Y866" s="39" t="str">
        <f>IF(AND(OR(LEFT(TH!L866,2)="15",LEFT(TH!M866,2)="15"),'152-CT'!$J$8=TH!F866),"x","")</f>
        <v/>
      </c>
      <c r="Z866" s="39" t="str">
        <f>IF(AND(OR(LEFT(TH!L866,2)="15",LEFT(TH!M866,2)="15"),TK!$E$7=TH!F866),"x","")</f>
        <v/>
      </c>
      <c r="AA866" s="39" t="str">
        <f>IF(AND(B866&lt;=NKC!$N$8,B866&gt;=NKC!$M$8),"x","")</f>
        <v/>
      </c>
    </row>
    <row r="867" spans="1:30" s="225" customFormat="1" ht="15.75" customHeight="1">
      <c r="A867" s="218" t="str">
        <f>IF(B867&lt;&gt;"",IF(AND(B867&gt;=_TM1,B867&lt;=_TM2,OR(TH!L867="1111",TH!M867="1111")),TH!D867,""),"")</f>
        <v/>
      </c>
      <c r="B867" s="36" t="str">
        <f t="shared" si="40"/>
        <v/>
      </c>
      <c r="C867" s="37"/>
      <c r="D867" s="37"/>
      <c r="E867" s="37"/>
      <c r="F867" s="40"/>
      <c r="G867" s="40"/>
      <c r="H867" s="45"/>
      <c r="I867" s="276"/>
      <c r="J867" s="276"/>
      <c r="K867" s="38"/>
      <c r="L867" s="39"/>
      <c r="M867" s="39"/>
      <c r="N867" s="39" t="str">
        <f>IF(AND('331-CT'!$E$7=TH!H867,OR(L867="331",M867="331")),"x","")</f>
        <v/>
      </c>
      <c r="O867" s="39" t="str">
        <f>IF(AND($B867&gt;='111'!$N$11,$B867&lt;='111'!$O$11,OR($L867=$O$7,$M867=$O$7)),"x","")</f>
        <v/>
      </c>
      <c r="P867" s="39" t="str">
        <f>IF(AND($L867=$O$7,$B867&lt;'111'!$N$11),"x","")</f>
        <v/>
      </c>
      <c r="Q867" s="39" t="str">
        <f>IF(AND($M867=$O$7,$B867&lt;'111'!$N$11),"x","")</f>
        <v/>
      </c>
      <c r="R867" s="39" t="str">
        <f>IF(ISERROR(FIND('112'!$M$9,G867,1)),"",IF((AND(FIND('112'!$M$9,G867,1)&gt;=1,$B867&gt;='112'!$N$8,$B867&lt;='112'!$O$8,OR($L867='112'!$I$6,$M867='112'!$I$6))),"x",""))</f>
        <v/>
      </c>
      <c r="S867" s="39" t="str">
        <f>IF(ISERROR(FIND('112'!$M$9,G867,1)),"",IF((AND(LEFT(G867,2)=LEFT('112'!$M$9,2),B867&lt;'112'!$N$8,$L867='112'!$I$6)),"x",""))</f>
        <v/>
      </c>
      <c r="T867" s="39" t="str">
        <f>IF(ISERROR(FIND('112'!$M$9,G867,1)),"",IF((AND(RIGHT(G867,2)=RIGHT('112'!$M$9,2),B867&lt;'112'!$N$8,$M867='112'!$I$6)),"x",""))</f>
        <v/>
      </c>
      <c r="U867" s="39" t="str">
        <f>IF(AND('3411-CT'!$F$9=H867,OR(LEFT(L867,3)=$U$7,LEFT(M867,3)=$U$7)),"x","")</f>
        <v/>
      </c>
      <c r="V867" s="39" t="str">
        <f>IF(OR(TH!L867=TH!$V$7,M867=TH!$V$7),"x","")</f>
        <v/>
      </c>
      <c r="W867" s="39" t="str">
        <f>IF(AND(OR(L867="131",M867="131"),H867='131-CT'!$E$7),"x","")</f>
        <v/>
      </c>
      <c r="X867" s="39" t="str">
        <f>IF(AND(B867&gt;='IN-NX'!$P$3,B867&lt;='IN-NX'!$Q$3,'IN-NX'!$D$7=D867,OR(LEFT(TH!L867,2)="15",LEFT(TH!M867,2)="15")),"x","")</f>
        <v/>
      </c>
      <c r="Y867" s="39" t="str">
        <f>IF(AND(OR(LEFT(TH!L867,2)="15",LEFT(TH!M867,2)="15"),'152-CT'!$J$8=TH!F867),"x","")</f>
        <v/>
      </c>
      <c r="Z867" s="39" t="str">
        <f>IF(AND(OR(LEFT(TH!L867,2)="15",LEFT(TH!M867,2)="15"),TK!$E$7=TH!F867),"x","")</f>
        <v/>
      </c>
      <c r="AA867" s="39" t="str">
        <f>IF(AND(B867&lt;=NKC!$N$8,B867&gt;=NKC!$M$8),"x","")</f>
        <v/>
      </c>
    </row>
    <row r="868" spans="1:30" s="225" customFormat="1" ht="15.75" customHeight="1">
      <c r="A868" s="218" t="str">
        <f>IF(B868&lt;&gt;"",IF(AND(B868&gt;=_TM1,B868&lt;=_TM2,OR(TH!L868="1111",TH!M868="1111")),TH!D868,""),"")</f>
        <v/>
      </c>
      <c r="B868" s="36" t="str">
        <f t="shared" si="40"/>
        <v/>
      </c>
      <c r="C868" s="37"/>
      <c r="D868" s="37"/>
      <c r="E868" s="37"/>
      <c r="F868" s="40"/>
      <c r="G868" s="40"/>
      <c r="H868" s="45"/>
      <c r="I868" s="276"/>
      <c r="J868" s="276"/>
      <c r="K868" s="38"/>
      <c r="L868" s="39"/>
      <c r="M868" s="39"/>
      <c r="N868" s="39" t="str">
        <f>IF(AND('331-CT'!$E$7=TH!H868,OR(L868="331",M868="331")),"x","")</f>
        <v/>
      </c>
      <c r="O868" s="39" t="str">
        <f>IF(AND($B868&gt;='111'!$N$11,$B868&lt;='111'!$O$11,OR($L868=$O$7,$M868=$O$7)),"x","")</f>
        <v/>
      </c>
      <c r="P868" s="39" t="str">
        <f>IF(AND($L868=$O$7,$B868&lt;'111'!$N$11),"x","")</f>
        <v/>
      </c>
      <c r="Q868" s="39" t="str">
        <f>IF(AND($M868=$O$7,$B868&lt;'111'!$N$11),"x","")</f>
        <v/>
      </c>
      <c r="R868" s="39" t="str">
        <f>IF(ISERROR(FIND('112'!$M$9,G868,1)),"",IF((AND(FIND('112'!$M$9,G868,1)&gt;=1,$B868&gt;='112'!$N$8,$B868&lt;='112'!$O$8,OR($L868='112'!$I$6,$M868='112'!$I$6))),"x",""))</f>
        <v/>
      </c>
      <c r="S868" s="39" t="str">
        <f>IF(ISERROR(FIND('112'!$M$9,G868,1)),"",IF((AND(LEFT(G868,2)=LEFT('112'!$M$9,2),B868&lt;'112'!$N$8,$L868='112'!$I$6)),"x",""))</f>
        <v/>
      </c>
      <c r="T868" s="39" t="str">
        <f>IF(ISERROR(FIND('112'!$M$9,G868,1)),"",IF((AND(RIGHT(G868,2)=RIGHT('112'!$M$9,2),B868&lt;'112'!$N$8,$M868='112'!$I$6)),"x",""))</f>
        <v/>
      </c>
      <c r="U868" s="39" t="str">
        <f>IF(AND('3411-CT'!$F$9=H868,OR(LEFT(L868,3)=$U$7,LEFT(M868,3)=$U$7)),"x","")</f>
        <v/>
      </c>
      <c r="V868" s="39" t="str">
        <f>IF(OR(TH!L868=TH!$V$7,M868=TH!$V$7),"x","")</f>
        <v/>
      </c>
      <c r="W868" s="39" t="str">
        <f>IF(AND(OR(L868="131",M868="131"),H868='131-CT'!$E$7),"x","")</f>
        <v/>
      </c>
      <c r="X868" s="39" t="str">
        <f>IF(AND(B868&gt;='IN-NX'!$P$3,B868&lt;='IN-NX'!$Q$3,'IN-NX'!$D$7=D868,OR(LEFT(TH!L868,2)="15",LEFT(TH!M868,2)="15")),"x","")</f>
        <v/>
      </c>
      <c r="Y868" s="39" t="str">
        <f>IF(AND(OR(LEFT(TH!L868,2)="15",LEFT(TH!M868,2)="15"),'152-CT'!$J$8=TH!F868),"x","")</f>
        <v/>
      </c>
      <c r="Z868" s="39" t="str">
        <f>IF(AND(OR(LEFT(TH!L868,2)="15",LEFT(TH!M868,2)="15"),TK!$E$7=TH!F868),"x","")</f>
        <v/>
      </c>
      <c r="AA868" s="39" t="str">
        <f>IF(AND(B868&lt;=NKC!$N$8,B868&gt;=NKC!$M$8),"x","")</f>
        <v/>
      </c>
    </row>
    <row r="869" spans="1:30" s="225" customFormat="1" ht="15.75" customHeight="1">
      <c r="A869" s="218" t="str">
        <f>IF(B869&lt;&gt;"",IF(AND(B869&gt;=_TM1,B869&lt;=_TM2,OR(TH!L869="1111",TH!M869="1111")),TH!D869,""),"")</f>
        <v/>
      </c>
      <c r="B869" s="36" t="str">
        <f t="shared" si="40"/>
        <v/>
      </c>
      <c r="C869" s="37"/>
      <c r="D869" s="37"/>
      <c r="E869" s="37"/>
      <c r="F869" s="40"/>
      <c r="G869" s="40"/>
      <c r="H869" s="45"/>
      <c r="I869" s="276"/>
      <c r="J869" s="276"/>
      <c r="K869" s="38"/>
      <c r="L869" s="39"/>
      <c r="M869" s="39"/>
      <c r="N869" s="39" t="str">
        <f>IF(AND('331-CT'!$E$7=TH!H869,OR(L869="331",M869="331")),"x","")</f>
        <v/>
      </c>
      <c r="O869" s="39" t="str">
        <f>IF(AND($B869&gt;='111'!$N$11,$B869&lt;='111'!$O$11,OR($L869=$O$7,$M869=$O$7)),"x","")</f>
        <v/>
      </c>
      <c r="P869" s="39" t="str">
        <f>IF(AND($L869=$O$7,$B869&lt;'111'!$N$11),"x","")</f>
        <v/>
      </c>
      <c r="Q869" s="39" t="str">
        <f>IF(AND($M869=$O$7,$B869&lt;'111'!$N$11),"x","")</f>
        <v/>
      </c>
      <c r="R869" s="39" t="str">
        <f>IF(ISERROR(FIND('112'!$M$9,G869,1)),"",IF((AND(FIND('112'!$M$9,G869,1)&gt;=1,$B869&gt;='112'!$N$8,$B869&lt;='112'!$O$8,OR($L869='112'!$I$6,$M869='112'!$I$6))),"x",""))</f>
        <v/>
      </c>
      <c r="S869" s="39" t="str">
        <f>IF(ISERROR(FIND('112'!$M$9,G869,1)),"",IF((AND(LEFT(G869,2)=LEFT('112'!$M$9,2),B869&lt;'112'!$N$8,$L869='112'!$I$6)),"x",""))</f>
        <v/>
      </c>
      <c r="T869" s="39" t="str">
        <f>IF(ISERROR(FIND('112'!$M$9,G869,1)),"",IF((AND(RIGHT(G869,2)=RIGHT('112'!$M$9,2),B869&lt;'112'!$N$8,$M869='112'!$I$6)),"x",""))</f>
        <v/>
      </c>
      <c r="U869" s="39" t="str">
        <f>IF(AND('3411-CT'!$F$9=H869,OR(LEFT(L869,3)=$U$7,LEFT(M869,3)=$U$7)),"x","")</f>
        <v/>
      </c>
      <c r="V869" s="39" t="str">
        <f>IF(OR(TH!L869=TH!$V$7,M869=TH!$V$7),"x","")</f>
        <v/>
      </c>
      <c r="W869" s="39" t="str">
        <f>IF(AND(OR(L869="131",M869="131"),H869='131-CT'!$E$7),"x","")</f>
        <v/>
      </c>
      <c r="X869" s="39" t="str">
        <f>IF(AND(B869&gt;='IN-NX'!$P$3,B869&lt;='IN-NX'!$Q$3,'IN-NX'!$D$7=D869,OR(LEFT(TH!L869,2)="15",LEFT(TH!M869,2)="15")),"x","")</f>
        <v/>
      </c>
      <c r="Y869" s="39" t="str">
        <f>IF(AND(OR(LEFT(TH!L869,2)="15",LEFT(TH!M869,2)="15"),'152-CT'!$J$8=TH!F869),"x","")</f>
        <v/>
      </c>
      <c r="Z869" s="39" t="str">
        <f>IF(AND(OR(LEFT(TH!L869,2)="15",LEFT(TH!M869,2)="15"),TK!$E$7=TH!F869),"x","")</f>
        <v/>
      </c>
      <c r="AA869" s="39" t="str">
        <f>IF(AND(B869&lt;=NKC!$N$8,B869&gt;=NKC!$M$8),"x","")</f>
        <v/>
      </c>
    </row>
    <row r="870" spans="1:30" s="225" customFormat="1" ht="15.75" customHeight="1">
      <c r="A870" s="218" t="str">
        <f>IF(B870&lt;&gt;"",IF(AND(B870&gt;=_TM1,B870&lt;=_TM2,OR(TH!L870="1111",TH!M870="1111")),TH!D870,""),"")</f>
        <v/>
      </c>
      <c r="B870" s="36" t="str">
        <f t="shared" si="40"/>
        <v/>
      </c>
      <c r="C870" s="37"/>
      <c r="D870" s="37"/>
      <c r="E870" s="37"/>
      <c r="F870" s="40"/>
      <c r="G870" s="40"/>
      <c r="H870" s="45"/>
      <c r="I870" s="276"/>
      <c r="J870" s="276"/>
      <c r="K870" s="38"/>
      <c r="L870" s="39"/>
      <c r="M870" s="39"/>
      <c r="N870" s="39" t="str">
        <f>IF(AND('331-CT'!$E$7=TH!H870,OR(L870="331",M870="331")),"x","")</f>
        <v/>
      </c>
      <c r="O870" s="39" t="str">
        <f>IF(AND($B870&gt;='111'!$N$11,$B870&lt;='111'!$O$11,OR($L870=$O$7,$M870=$O$7)),"x","")</f>
        <v/>
      </c>
      <c r="P870" s="39" t="str">
        <f>IF(AND($L870=$O$7,$B870&lt;'111'!$N$11),"x","")</f>
        <v/>
      </c>
      <c r="Q870" s="39" t="str">
        <f>IF(AND($M870=$O$7,$B870&lt;'111'!$N$11),"x","")</f>
        <v/>
      </c>
      <c r="R870" s="39" t="str">
        <f>IF(ISERROR(FIND('112'!$M$9,G870,1)),"",IF((AND(FIND('112'!$M$9,G870,1)&gt;=1,$B870&gt;='112'!$N$8,$B870&lt;='112'!$O$8,OR($L870='112'!$I$6,$M870='112'!$I$6))),"x",""))</f>
        <v/>
      </c>
      <c r="S870" s="39" t="str">
        <f>IF(ISERROR(FIND('112'!$M$9,G870,1)),"",IF((AND(LEFT(G870,2)=LEFT('112'!$M$9,2),B870&lt;'112'!$N$8,$L870='112'!$I$6)),"x",""))</f>
        <v/>
      </c>
      <c r="T870" s="39" t="str">
        <f>IF(ISERROR(FIND('112'!$M$9,G870,1)),"",IF((AND(RIGHT(G870,2)=RIGHT('112'!$M$9,2),B870&lt;'112'!$N$8,$M870='112'!$I$6)),"x",""))</f>
        <v/>
      </c>
      <c r="U870" s="39" t="str">
        <f>IF(AND('3411-CT'!$F$9=H870,OR(LEFT(L870,3)=$U$7,LEFT(M870,3)=$U$7)),"x","")</f>
        <v/>
      </c>
      <c r="V870" s="39" t="str">
        <f>IF(OR(TH!L870=TH!$V$7,M870=TH!$V$7),"x","")</f>
        <v/>
      </c>
      <c r="W870" s="39" t="str">
        <f>IF(AND(OR(L870="131",M870="131"),H870='131-CT'!$E$7),"x","")</f>
        <v/>
      </c>
      <c r="X870" s="39" t="str">
        <f>IF(AND(B870&gt;='IN-NX'!$P$3,B870&lt;='IN-NX'!$Q$3,'IN-NX'!$D$7=D870,OR(LEFT(TH!L870,2)="15",LEFT(TH!M870,2)="15")),"x","")</f>
        <v/>
      </c>
      <c r="Y870" s="39" t="str">
        <f>IF(AND(OR(LEFT(TH!L870,2)="15",LEFT(TH!M870,2)="15"),'152-CT'!$J$8=TH!F870),"x","")</f>
        <v/>
      </c>
      <c r="Z870" s="39" t="str">
        <f>IF(AND(OR(LEFT(TH!L870,2)="15",LEFT(TH!M870,2)="15"),TK!$E$7=TH!F870),"x","")</f>
        <v/>
      </c>
      <c r="AA870" s="39" t="str">
        <f>IF(AND(B870&lt;=NKC!$N$8,B870&gt;=NKC!$M$8),"x","")</f>
        <v/>
      </c>
    </row>
    <row r="871" spans="1:30" s="225" customFormat="1" ht="15.75" customHeight="1">
      <c r="A871" s="218" t="str">
        <f>IF(B871&lt;&gt;"",IF(AND(B871&gt;=_TM1,B871&lt;=_TM2,OR(TH!L871="1111",TH!M871="1111")),TH!D871,""),"")</f>
        <v/>
      </c>
      <c r="B871" s="36" t="str">
        <f t="shared" si="40"/>
        <v/>
      </c>
      <c r="C871" s="37"/>
      <c r="D871" s="37"/>
      <c r="E871" s="37"/>
      <c r="F871" s="40"/>
      <c r="G871" s="40"/>
      <c r="H871" s="45"/>
      <c r="I871" s="276"/>
      <c r="J871" s="276"/>
      <c r="K871" s="38"/>
      <c r="L871" s="39"/>
      <c r="M871" s="39"/>
      <c r="N871" s="39" t="str">
        <f>IF(AND('331-CT'!$E$7=TH!H871,OR(L871="331",M871="331")),"x","")</f>
        <v/>
      </c>
      <c r="O871" s="39" t="str">
        <f>IF(AND($B871&gt;='111'!$N$11,$B871&lt;='111'!$O$11,OR($L871=$O$7,$M871=$O$7)),"x","")</f>
        <v/>
      </c>
      <c r="P871" s="39" t="str">
        <f>IF(AND($L871=$O$7,$B871&lt;'111'!$N$11),"x","")</f>
        <v/>
      </c>
      <c r="Q871" s="39" t="str">
        <f>IF(AND($M871=$O$7,$B871&lt;'111'!$N$11),"x","")</f>
        <v/>
      </c>
      <c r="R871" s="39" t="str">
        <f>IF(ISERROR(FIND('112'!$M$9,G871,1)),"",IF((AND(FIND('112'!$M$9,G871,1)&gt;=1,$B871&gt;='112'!$N$8,$B871&lt;='112'!$O$8,OR($L871='112'!$I$6,$M871='112'!$I$6))),"x",""))</f>
        <v/>
      </c>
      <c r="S871" s="39" t="str">
        <f>IF(ISERROR(FIND('112'!$M$9,G871,1)),"",IF((AND(LEFT(G871,2)=LEFT('112'!$M$9,2),B871&lt;'112'!$N$8,$L871='112'!$I$6)),"x",""))</f>
        <v/>
      </c>
      <c r="T871" s="39" t="str">
        <f>IF(ISERROR(FIND('112'!$M$9,G871,1)),"",IF((AND(RIGHT(G871,2)=RIGHT('112'!$M$9,2),B871&lt;'112'!$N$8,$M871='112'!$I$6)),"x",""))</f>
        <v/>
      </c>
      <c r="U871" s="39" t="str">
        <f>IF(AND('3411-CT'!$F$9=H871,OR(LEFT(L871,3)=$U$7,LEFT(M871,3)=$U$7)),"x","")</f>
        <v/>
      </c>
      <c r="V871" s="39" t="str">
        <f>IF(OR(TH!L871=TH!$V$7,M871=TH!$V$7),"x","")</f>
        <v/>
      </c>
      <c r="W871" s="39" t="str">
        <f>IF(AND(OR(L871="131",M871="131"),H871='131-CT'!$E$7),"x","")</f>
        <v/>
      </c>
      <c r="X871" s="39" t="str">
        <f>IF(AND(B871&gt;='IN-NX'!$P$3,B871&lt;='IN-NX'!$Q$3,'IN-NX'!$D$7=D871,OR(LEFT(TH!L871,2)="15",LEFT(TH!M871,2)="15")),"x","")</f>
        <v/>
      </c>
      <c r="Y871" s="39" t="str">
        <f>IF(AND(OR(LEFT(TH!L871,2)="15",LEFT(TH!M871,2)="15"),'152-CT'!$J$8=TH!F871),"x","")</f>
        <v/>
      </c>
      <c r="Z871" s="39" t="str">
        <f>IF(AND(OR(LEFT(TH!L871,2)="15",LEFT(TH!M871,2)="15"),TK!$E$7=TH!F871),"x","")</f>
        <v/>
      </c>
      <c r="AA871" s="39" t="str">
        <f>IF(AND(B871&lt;=NKC!$N$8,B871&gt;=NKC!$M$8),"x","")</f>
        <v/>
      </c>
    </row>
    <row r="872" spans="1:30" s="225" customFormat="1" ht="15.75" customHeight="1">
      <c r="A872" s="218" t="str">
        <f>IF(B872&lt;&gt;"",IF(AND(B872&gt;=_TM1,B872&lt;=_TM2,OR(TH!L872="1111",TH!M872="1111")),TH!D872,""),"")</f>
        <v/>
      </c>
      <c r="B872" s="36" t="str">
        <f t="shared" ref="B872:B935" si="42">IF(C872&lt;&gt;"",MONTH(C872),"")</f>
        <v/>
      </c>
      <c r="C872" s="37"/>
      <c r="D872" s="37"/>
      <c r="E872" s="37"/>
      <c r="F872" s="40"/>
      <c r="G872" s="40"/>
      <c r="H872" s="7"/>
      <c r="I872" s="277"/>
      <c r="J872" s="277"/>
      <c r="K872" s="38"/>
      <c r="L872" s="39"/>
      <c r="M872" s="39"/>
      <c r="N872" s="39" t="str">
        <f>IF(AND('331-CT'!$E$7=TH!H872,OR(L872="331",M872="331")),"x","")</f>
        <v/>
      </c>
      <c r="O872" s="39" t="str">
        <f>IF(AND($B872&gt;='111'!$N$11,$B872&lt;='111'!$O$11,OR($L872=$O$7,$M872=$O$7)),"x","")</f>
        <v/>
      </c>
      <c r="P872" s="39" t="str">
        <f>IF(AND($L872=$O$7,$B872&lt;'111'!$N$11),"x","")</f>
        <v/>
      </c>
      <c r="Q872" s="39" t="str">
        <f>IF(AND($M872=$O$7,$B872&lt;'111'!$N$11),"x","")</f>
        <v/>
      </c>
      <c r="R872" s="39" t="str">
        <f>IF(ISERROR(FIND('112'!$M$9,G872,1)),"",IF((AND(FIND('112'!$M$9,G872,1)&gt;=1,$B872&gt;='112'!$N$8,$B872&lt;='112'!$O$8,OR($L872='112'!$I$6,$M872='112'!$I$6))),"x",""))</f>
        <v/>
      </c>
      <c r="S872" s="39" t="str">
        <f>IF(ISERROR(FIND('112'!$M$9,G872,1)),"",IF((AND(LEFT(G872,2)=LEFT('112'!$M$9,2),B872&lt;'112'!$N$8,$L872='112'!$I$6)),"x",""))</f>
        <v/>
      </c>
      <c r="T872" s="39" t="str">
        <f>IF(ISERROR(FIND('112'!$M$9,G872,1)),"",IF((AND(RIGHT(G872,2)=RIGHT('112'!$M$9,2),B872&lt;'112'!$N$8,$M872='112'!$I$6)),"x",""))</f>
        <v/>
      </c>
      <c r="U872" s="39" t="str">
        <f>IF(AND('3411-CT'!$F$9=H872,OR(LEFT(L872,3)=$U$7,LEFT(M872,3)=$U$7)),"x","")</f>
        <v/>
      </c>
      <c r="V872" s="39" t="str">
        <f>IF(OR(TH!L872=TH!$V$7,M872=TH!$V$7),"x","")</f>
        <v/>
      </c>
      <c r="W872" s="39" t="str">
        <f>IF(AND(OR(L872="131",M872="131"),H872='131-CT'!$E$7),"x","")</f>
        <v/>
      </c>
      <c r="X872" s="39" t="str">
        <f>IF(AND(B872&gt;='IN-NX'!$P$3,B872&lt;='IN-NX'!$Q$3,'IN-NX'!$D$7=D872,OR(LEFT(TH!L872,2)="15",LEFT(TH!M872,2)="15")),"x","")</f>
        <v/>
      </c>
      <c r="Y872" s="39" t="str">
        <f>IF(AND(OR(LEFT(TH!L872,2)="15",LEFT(TH!M872,2)="15"),'152-CT'!$J$8=TH!F872),"x","")</f>
        <v/>
      </c>
      <c r="Z872" s="39" t="str">
        <f>IF(AND(OR(LEFT(TH!L872,2)="15",LEFT(TH!M872,2)="15"),TK!$E$7=TH!F872),"x","")</f>
        <v/>
      </c>
      <c r="AA872" s="39" t="str">
        <f>IF(AND(B872&lt;=NKC!$N$8,B872&gt;=NKC!$M$8),"x","")</f>
        <v/>
      </c>
      <c r="AD872" s="739"/>
    </row>
    <row r="873" spans="1:30" s="225" customFormat="1" ht="15.75" customHeight="1">
      <c r="A873" s="218" t="str">
        <f>IF(B873&lt;&gt;"",IF(AND(B873&gt;=_TM1,B873&lt;=_TM2,OR(TH!L873="1111",TH!M873="1111")),TH!D873,""),"")</f>
        <v/>
      </c>
      <c r="B873" s="36" t="str">
        <f t="shared" si="42"/>
        <v/>
      </c>
      <c r="C873" s="37"/>
      <c r="D873" s="37"/>
      <c r="E873" s="37"/>
      <c r="F873" s="40"/>
      <c r="G873" s="40"/>
      <c r="H873" s="45"/>
      <c r="I873" s="276"/>
      <c r="J873" s="276"/>
      <c r="K873" s="38"/>
      <c r="L873" s="39"/>
      <c r="M873" s="39"/>
      <c r="N873" s="39" t="str">
        <f>IF(AND('331-CT'!$E$7=TH!H873,OR(L873="331",M873="331")),"x","")</f>
        <v/>
      </c>
      <c r="O873" s="39" t="str">
        <f>IF(AND($B873&gt;='111'!$N$11,$B873&lt;='111'!$O$11,OR($L873=$O$7,$M873=$O$7)),"x","")</f>
        <v/>
      </c>
      <c r="P873" s="39" t="str">
        <f>IF(AND($L873=$O$7,$B873&lt;'111'!$N$11),"x","")</f>
        <v/>
      </c>
      <c r="Q873" s="39" t="str">
        <f>IF(AND($M873=$O$7,$B873&lt;'111'!$N$11),"x","")</f>
        <v/>
      </c>
      <c r="R873" s="39" t="str">
        <f>IF(ISERROR(FIND('112'!$M$9,G873,1)),"",IF((AND(FIND('112'!$M$9,G873,1)&gt;=1,$B873&gt;='112'!$N$8,$B873&lt;='112'!$O$8,OR($L873='112'!$I$6,$M873='112'!$I$6))),"x",""))</f>
        <v/>
      </c>
      <c r="S873" s="39" t="str">
        <f>IF(ISERROR(FIND('112'!$M$9,G873,1)),"",IF((AND(LEFT(G873,2)=LEFT('112'!$M$9,2),B873&lt;'112'!$N$8,$L873='112'!$I$6)),"x",""))</f>
        <v/>
      </c>
      <c r="T873" s="39" t="str">
        <f>IF(ISERROR(FIND('112'!$M$9,G873,1)),"",IF((AND(RIGHT(G873,2)=RIGHT('112'!$M$9,2),B873&lt;'112'!$N$8,$M873='112'!$I$6)),"x",""))</f>
        <v/>
      </c>
      <c r="U873" s="39" t="str">
        <f>IF(AND('3411-CT'!$F$9=H873,OR(LEFT(L873,3)=$U$7,LEFT(M873,3)=$U$7)),"x","")</f>
        <v/>
      </c>
      <c r="V873" s="39" t="str">
        <f>IF(OR(TH!L873=TH!$V$7,M873=TH!$V$7),"x","")</f>
        <v/>
      </c>
      <c r="W873" s="39" t="str">
        <f>IF(AND(OR(L873="131",M873="131"),H873='131-CT'!$E$7),"x","")</f>
        <v/>
      </c>
      <c r="X873" s="39" t="str">
        <f>IF(AND(B873&gt;='IN-NX'!$P$3,B873&lt;='IN-NX'!$Q$3,'IN-NX'!$D$7=D873,OR(LEFT(TH!L873,2)="15",LEFT(TH!M873,2)="15")),"x","")</f>
        <v/>
      </c>
      <c r="Y873" s="39" t="str">
        <f>IF(AND(OR(LEFT(TH!L873,2)="15",LEFT(TH!M873,2)="15"),'152-CT'!$J$8=TH!F873),"x","")</f>
        <v/>
      </c>
      <c r="Z873" s="39" t="str">
        <f>IF(AND(OR(LEFT(TH!L873,2)="15",LEFT(TH!M873,2)="15"),TK!$E$7=TH!F873),"x","")</f>
        <v/>
      </c>
      <c r="AA873" s="39" t="str">
        <f>IF(AND(B873&lt;=NKC!$N$8,B873&gt;=NKC!$M$8),"x","")</f>
        <v/>
      </c>
    </row>
    <row r="874" spans="1:30" s="225" customFormat="1" ht="15.75" customHeight="1">
      <c r="A874" s="218" t="str">
        <f>IF(B874&lt;&gt;"",IF(AND(B874&gt;=_TM1,B874&lt;=_TM2,OR(TH!L874="1111",TH!M874="1111")),TH!D874,""),"")</f>
        <v/>
      </c>
      <c r="B874" s="36" t="str">
        <f t="shared" si="42"/>
        <v/>
      </c>
      <c r="C874" s="37"/>
      <c r="D874" s="37"/>
      <c r="E874" s="37"/>
      <c r="F874" s="40"/>
      <c r="G874" s="40"/>
      <c r="H874" s="7"/>
      <c r="I874" s="276"/>
      <c r="J874" s="276"/>
      <c r="K874" s="38"/>
      <c r="L874" s="39"/>
      <c r="M874" s="39"/>
      <c r="N874" s="39" t="str">
        <f>IF(AND('331-CT'!$E$7=TH!H874,OR(L874="331",M874="331")),"x","")</f>
        <v/>
      </c>
      <c r="O874" s="39" t="str">
        <f>IF(AND($B874&gt;='111'!$N$11,$B874&lt;='111'!$O$11,OR($L874=$O$7,$M874=$O$7)),"x","")</f>
        <v/>
      </c>
      <c r="P874" s="39" t="str">
        <f>IF(AND($L874=$O$7,$B874&lt;'111'!$N$11),"x","")</f>
        <v/>
      </c>
      <c r="Q874" s="39" t="str">
        <f>IF(AND($M874=$O$7,$B874&lt;'111'!$N$11),"x","")</f>
        <v/>
      </c>
      <c r="R874" s="39" t="str">
        <f>IF(ISERROR(FIND('112'!$M$9,G874,1)),"",IF((AND(FIND('112'!$M$9,G874,1)&gt;=1,$B874&gt;='112'!$N$8,$B874&lt;='112'!$O$8,OR($L874='112'!$I$6,$M874='112'!$I$6))),"x",""))</f>
        <v/>
      </c>
      <c r="S874" s="39" t="str">
        <f>IF(ISERROR(FIND('112'!$M$9,G874,1)),"",IF((AND(LEFT(G874,2)=LEFT('112'!$M$9,2),B874&lt;'112'!$N$8,$L874='112'!$I$6)),"x",""))</f>
        <v/>
      </c>
      <c r="T874" s="39" t="str">
        <f>IF(ISERROR(FIND('112'!$M$9,G874,1)),"",IF((AND(RIGHT(G874,2)=RIGHT('112'!$M$9,2),B874&lt;'112'!$N$8,$M874='112'!$I$6)),"x",""))</f>
        <v/>
      </c>
      <c r="U874" s="39" t="str">
        <f>IF(AND('3411-CT'!$F$9=H874,OR(LEFT(L874,3)=$U$7,LEFT(M874,3)=$U$7)),"x","")</f>
        <v/>
      </c>
      <c r="V874" s="39" t="str">
        <f>IF(OR(TH!L874=TH!$V$7,M874=TH!$V$7),"x","")</f>
        <v/>
      </c>
      <c r="W874" s="39" t="str">
        <f>IF(AND(OR(L874="131",M874="131"),H874='131-CT'!$E$7),"x","")</f>
        <v/>
      </c>
      <c r="X874" s="39" t="str">
        <f>IF(AND(B874&gt;='IN-NX'!$P$3,B874&lt;='IN-NX'!$Q$3,'IN-NX'!$D$7=D874,OR(LEFT(TH!L874,2)="15",LEFT(TH!M874,2)="15")),"x","")</f>
        <v/>
      </c>
      <c r="Y874" s="39" t="str">
        <f>IF(AND(OR(LEFT(TH!L874,2)="15",LEFT(TH!M874,2)="15"),'152-CT'!$J$8=TH!F874),"x","")</f>
        <v/>
      </c>
      <c r="Z874" s="39" t="str">
        <f>IF(AND(OR(LEFT(TH!L874,2)="15",LEFT(TH!M874,2)="15"),TK!$E$7=TH!F874),"x","")</f>
        <v/>
      </c>
      <c r="AA874" s="39" t="str">
        <f>IF(AND(B874&lt;=NKC!$N$8,B874&gt;=NKC!$M$8),"x","")</f>
        <v/>
      </c>
      <c r="AD874" s="739"/>
    </row>
    <row r="875" spans="1:30" s="225" customFormat="1" ht="15.75" customHeight="1">
      <c r="A875" s="218" t="str">
        <f>IF(B875&lt;&gt;"",IF(AND(B875&gt;=_TM1,B875&lt;=_TM2,OR(TH!L875="1111",TH!M875="1111")),TH!D875,""),"")</f>
        <v/>
      </c>
      <c r="B875" s="36" t="str">
        <f t="shared" si="42"/>
        <v/>
      </c>
      <c r="C875" s="37"/>
      <c r="D875" s="37"/>
      <c r="E875" s="37"/>
      <c r="F875" s="40"/>
      <c r="G875" s="40"/>
      <c r="H875" s="224"/>
      <c r="I875" s="277"/>
      <c r="J875" s="277"/>
      <c r="K875" s="38"/>
      <c r="L875" s="39"/>
      <c r="M875" s="39"/>
      <c r="N875" s="39" t="str">
        <f>IF(AND('331-CT'!$E$7=TH!H875,OR(L875="331",M875="331")),"x","")</f>
        <v/>
      </c>
      <c r="O875" s="39" t="str">
        <f>IF(AND($B875&gt;='111'!$N$11,$B875&lt;='111'!$O$11,OR($L875=$O$7,$M875=$O$7)),"x","")</f>
        <v/>
      </c>
      <c r="P875" s="39" t="str">
        <f>IF(AND($L875=$O$7,$B875&lt;'111'!$N$11),"x","")</f>
        <v/>
      </c>
      <c r="Q875" s="39" t="str">
        <f>IF(AND($M875=$O$7,$B875&lt;'111'!$N$11),"x","")</f>
        <v/>
      </c>
      <c r="R875" s="39" t="str">
        <f>IF(ISERROR(FIND('112'!$M$9,G875,1)),"",IF((AND(FIND('112'!$M$9,G875,1)&gt;=1,$B875&gt;='112'!$N$8,$B875&lt;='112'!$O$8,OR($L875='112'!$I$6,$M875='112'!$I$6))),"x",""))</f>
        <v/>
      </c>
      <c r="S875" s="39" t="str">
        <f>IF(ISERROR(FIND('112'!$M$9,G875,1)),"",IF((AND(LEFT(G875,2)=LEFT('112'!$M$9,2),B875&lt;'112'!$N$8,$L875='112'!$I$6)),"x",""))</f>
        <v/>
      </c>
      <c r="T875" s="39" t="str">
        <f>IF(ISERROR(FIND('112'!$M$9,G875,1)),"",IF((AND(RIGHT(G875,2)=RIGHT('112'!$M$9,2),B875&lt;'112'!$N$8,$M875='112'!$I$6)),"x",""))</f>
        <v/>
      </c>
      <c r="U875" s="39" t="str">
        <f>IF(AND('3411-CT'!$F$9=H875,OR(LEFT(L875,3)=$U$7,LEFT(M875,3)=$U$7)),"x","")</f>
        <v/>
      </c>
      <c r="V875" s="39" t="str">
        <f>IF(OR(TH!L875=TH!$V$7,M875=TH!$V$7),"x","")</f>
        <v/>
      </c>
      <c r="W875" s="39" t="str">
        <f>IF(AND(OR(L875="131",M875="131"),H875='131-CT'!$E$7),"x","")</f>
        <v/>
      </c>
      <c r="X875" s="39" t="str">
        <f>IF(AND(B875&gt;='IN-NX'!$P$3,B875&lt;='IN-NX'!$Q$3,'IN-NX'!$D$7=D875,OR(LEFT(TH!L875,2)="15",LEFT(TH!M875,2)="15")),"x","")</f>
        <v/>
      </c>
      <c r="Y875" s="39" t="str">
        <f>IF(AND(OR(LEFT(TH!L875,2)="15",LEFT(TH!M875,2)="15"),'152-CT'!$J$8=TH!F875),"x","")</f>
        <v/>
      </c>
      <c r="Z875" s="39" t="str">
        <f>IF(AND(OR(LEFT(TH!L875,2)="15",LEFT(TH!M875,2)="15"),TK!$E$7=TH!F875),"x","")</f>
        <v/>
      </c>
      <c r="AA875" s="39" t="str">
        <f>IF(AND(B875&lt;=NKC!$N$8,B875&gt;=NKC!$M$8),"x","")</f>
        <v/>
      </c>
    </row>
    <row r="876" spans="1:30" s="225" customFormat="1" ht="15.75" customHeight="1">
      <c r="A876" s="218" t="str">
        <f>IF(B876&lt;&gt;"",IF(AND(B876&gt;=_TM1,B876&lt;=_TM2,OR(TH!L876="1111",TH!M876="1111")),TH!D876,""),"")</f>
        <v/>
      </c>
      <c r="B876" s="36" t="str">
        <f t="shared" si="42"/>
        <v/>
      </c>
      <c r="C876" s="37"/>
      <c r="D876" s="37"/>
      <c r="E876" s="37"/>
      <c r="F876" s="40"/>
      <c r="G876" s="40"/>
      <c r="H876" s="45"/>
      <c r="I876" s="276"/>
      <c r="J876" s="276"/>
      <c r="K876" s="38"/>
      <c r="L876" s="39"/>
      <c r="M876" s="39"/>
      <c r="N876" s="39" t="str">
        <f>IF(AND('331-CT'!$E$7=TH!H876,OR(L876="331",M876="331")),"x","")</f>
        <v/>
      </c>
      <c r="O876" s="39" t="str">
        <f>IF(AND($B876&gt;='111'!$N$11,$B876&lt;='111'!$O$11,OR($L876=$O$7,$M876=$O$7)),"x","")</f>
        <v/>
      </c>
      <c r="P876" s="39" t="str">
        <f>IF(AND($L876=$O$7,$B876&lt;'111'!$N$11),"x","")</f>
        <v/>
      </c>
      <c r="Q876" s="39" t="str">
        <f>IF(AND($M876=$O$7,$B876&lt;'111'!$N$11),"x","")</f>
        <v/>
      </c>
      <c r="R876" s="39" t="str">
        <f>IF(ISERROR(FIND('112'!$M$9,G876,1)),"",IF((AND(FIND('112'!$M$9,G876,1)&gt;=1,$B876&gt;='112'!$N$8,$B876&lt;='112'!$O$8,OR($L876='112'!$I$6,$M876='112'!$I$6))),"x",""))</f>
        <v/>
      </c>
      <c r="S876" s="39" t="str">
        <f>IF(ISERROR(FIND('112'!$M$9,G876,1)),"",IF((AND(LEFT(G876,2)=LEFT('112'!$M$9,2),B876&lt;'112'!$N$8,$L876='112'!$I$6)),"x",""))</f>
        <v/>
      </c>
      <c r="T876" s="39" t="str">
        <f>IF(ISERROR(FIND('112'!$M$9,G876,1)),"",IF((AND(RIGHT(G876,2)=RIGHT('112'!$M$9,2),B876&lt;'112'!$N$8,$M876='112'!$I$6)),"x",""))</f>
        <v/>
      </c>
      <c r="U876" s="39" t="str">
        <f>IF(AND('3411-CT'!$F$9=H876,OR(LEFT(L876,3)=$U$7,LEFT(M876,3)=$U$7)),"x","")</f>
        <v/>
      </c>
      <c r="V876" s="39" t="str">
        <f>IF(OR(TH!L876=TH!$V$7,M876=TH!$V$7),"x","")</f>
        <v/>
      </c>
      <c r="W876" s="39" t="str">
        <f>IF(AND(OR(L876="131",M876="131"),H876='131-CT'!$E$7),"x","")</f>
        <v/>
      </c>
      <c r="X876" s="39" t="str">
        <f>IF(AND(B876&gt;='IN-NX'!$P$3,B876&lt;='IN-NX'!$Q$3,'IN-NX'!$D$7=D876,OR(LEFT(TH!L876,2)="15",LEFT(TH!M876,2)="15")),"x","")</f>
        <v/>
      </c>
      <c r="Y876" s="39" t="str">
        <f>IF(AND(OR(LEFT(TH!L876,2)="15",LEFT(TH!M876,2)="15"),'152-CT'!$J$8=TH!F876),"x","")</f>
        <v/>
      </c>
      <c r="Z876" s="39" t="str">
        <f>IF(AND(OR(LEFT(TH!L876,2)="15",LEFT(TH!M876,2)="15"),TK!$E$7=TH!F876),"x","")</f>
        <v/>
      </c>
      <c r="AA876" s="39" t="str">
        <f>IF(AND(B876&lt;=NKC!$N$8,B876&gt;=NKC!$M$8),"x","")</f>
        <v/>
      </c>
    </row>
    <row r="877" spans="1:30" s="225" customFormat="1" ht="15.75" customHeight="1">
      <c r="A877" s="218" t="str">
        <f>IF(B877&lt;&gt;"",IF(AND(B877&gt;=_TM1,B877&lt;=_TM2,OR(TH!L877="1111",TH!M877="1111")),TH!D877,""),"")</f>
        <v/>
      </c>
      <c r="B877" s="36" t="str">
        <f t="shared" si="42"/>
        <v/>
      </c>
      <c r="C877" s="37"/>
      <c r="D877" s="37"/>
      <c r="E877" s="37"/>
      <c r="F877" s="40"/>
      <c r="G877" s="40"/>
      <c r="H877" s="7"/>
      <c r="I877" s="276"/>
      <c r="J877" s="276"/>
      <c r="K877" s="38"/>
      <c r="L877" s="39"/>
      <c r="M877" s="39"/>
      <c r="N877" s="39" t="str">
        <f>IF(AND('331-CT'!$E$7=TH!H877,OR(L877="331",M877="331")),"x","")</f>
        <v/>
      </c>
      <c r="O877" s="39" t="str">
        <f>IF(AND($B877&gt;='111'!$N$11,$B877&lt;='111'!$O$11,OR($L877=$O$7,$M877=$O$7)),"x","")</f>
        <v/>
      </c>
      <c r="P877" s="39" t="str">
        <f>IF(AND($L877=$O$7,$B877&lt;'111'!$N$11),"x","")</f>
        <v/>
      </c>
      <c r="Q877" s="39" t="str">
        <f>IF(AND($M877=$O$7,$B877&lt;'111'!$N$11),"x","")</f>
        <v/>
      </c>
      <c r="R877" s="39" t="str">
        <f>IF(ISERROR(FIND('112'!$M$9,G877,1)),"",IF((AND(FIND('112'!$M$9,G877,1)&gt;=1,$B877&gt;='112'!$N$8,$B877&lt;='112'!$O$8,OR($L877='112'!$I$6,$M877='112'!$I$6))),"x",""))</f>
        <v/>
      </c>
      <c r="S877" s="39" t="str">
        <f>IF(ISERROR(FIND('112'!$M$9,G877,1)),"",IF((AND(LEFT(G877,2)=LEFT('112'!$M$9,2),B877&lt;'112'!$N$8,$L877='112'!$I$6)),"x",""))</f>
        <v/>
      </c>
      <c r="T877" s="39" t="str">
        <f>IF(ISERROR(FIND('112'!$M$9,G877,1)),"",IF((AND(RIGHT(G877,2)=RIGHT('112'!$M$9,2),B877&lt;'112'!$N$8,$M877='112'!$I$6)),"x",""))</f>
        <v/>
      </c>
      <c r="U877" s="39" t="str">
        <f>IF(AND('3411-CT'!$F$9=H877,OR(LEFT(L877,3)=$U$7,LEFT(M877,3)=$U$7)),"x","")</f>
        <v/>
      </c>
      <c r="V877" s="39" t="str">
        <f>IF(OR(TH!L877=TH!$V$7,M877=TH!$V$7),"x","")</f>
        <v/>
      </c>
      <c r="W877" s="39" t="str">
        <f>IF(AND(OR(L877="131",M877="131"),H877='131-CT'!$E$7),"x","")</f>
        <v/>
      </c>
      <c r="X877" s="39" t="str">
        <f>IF(AND(B877&gt;='IN-NX'!$P$3,B877&lt;='IN-NX'!$Q$3,'IN-NX'!$D$7=D877,OR(LEFT(TH!L877,2)="15",LEFT(TH!M877,2)="15")),"x","")</f>
        <v/>
      </c>
      <c r="Y877" s="39" t="str">
        <f>IF(AND(OR(LEFT(TH!L877,2)="15",LEFT(TH!M877,2)="15"),'152-CT'!$J$8=TH!F877),"x","")</f>
        <v/>
      </c>
      <c r="Z877" s="39" t="str">
        <f>IF(AND(OR(LEFT(TH!L877,2)="15",LEFT(TH!M877,2)="15"),TK!$E$7=TH!F877),"x","")</f>
        <v/>
      </c>
      <c r="AA877" s="39" t="str">
        <f>IF(AND(B877&lt;=NKC!$N$8,B877&gt;=NKC!$M$8),"x","")</f>
        <v/>
      </c>
      <c r="AD877" s="739"/>
    </row>
    <row r="878" spans="1:30" s="225" customFormat="1" ht="15.75" customHeight="1">
      <c r="A878" s="218" t="str">
        <f>IF(B878&lt;&gt;"",IF(AND(B878&gt;=_TM1,B878&lt;=_TM2,OR(TH!L878="1111",TH!M878="1111")),TH!D878,""),"")</f>
        <v/>
      </c>
      <c r="B878" s="36" t="str">
        <f t="shared" si="42"/>
        <v/>
      </c>
      <c r="C878" s="37"/>
      <c r="D878" s="37"/>
      <c r="E878" s="37"/>
      <c r="F878" s="40"/>
      <c r="G878" s="626"/>
      <c r="H878" s="206"/>
      <c r="I878" s="276"/>
      <c r="J878" s="276"/>
      <c r="K878" s="38"/>
      <c r="L878" s="39"/>
      <c r="M878" s="39"/>
      <c r="N878" s="39" t="str">
        <f>IF(AND('331-CT'!$E$7=TH!H878,OR(L878="331",M878="331")),"x","")</f>
        <v/>
      </c>
      <c r="O878" s="39" t="str">
        <f>IF(AND($B878&gt;='111'!$N$11,$B878&lt;='111'!$O$11,OR($L878=$O$7,$M878=$O$7)),"x","")</f>
        <v/>
      </c>
      <c r="P878" s="39" t="str">
        <f>IF(AND($L878=$O$7,$B878&lt;'111'!$N$11),"x","")</f>
        <v/>
      </c>
      <c r="Q878" s="39" t="str">
        <f>IF(AND($M878=$O$7,$B878&lt;'111'!$N$11),"x","")</f>
        <v/>
      </c>
      <c r="R878" s="39" t="str">
        <f>IF(ISERROR(FIND('112'!$M$9,G878,1)),"",IF((AND(FIND('112'!$M$9,G878,1)&gt;=1,$B878&gt;='112'!$N$8,$B878&lt;='112'!$O$8,OR($L878='112'!$I$6,$M878='112'!$I$6))),"x",""))</f>
        <v/>
      </c>
      <c r="S878" s="39" t="str">
        <f>IF(ISERROR(FIND('112'!$M$9,G878,1)),"",IF((AND(LEFT(G878,2)=LEFT('112'!$M$9,2),B878&lt;'112'!$N$8,$L878='112'!$I$6)),"x",""))</f>
        <v/>
      </c>
      <c r="T878" s="39" t="str">
        <f>IF(ISERROR(FIND('112'!$M$9,G878,1)),"",IF((AND(RIGHT(G878,2)=RIGHT('112'!$M$9,2),B878&lt;'112'!$N$8,$M878='112'!$I$6)),"x",""))</f>
        <v/>
      </c>
      <c r="U878" s="39" t="str">
        <f>IF(AND('3411-CT'!$F$9=H878,OR(LEFT(L878,3)=$U$7,LEFT(M878,3)=$U$7)),"x","")</f>
        <v/>
      </c>
      <c r="V878" s="39" t="str">
        <f>IF(OR(TH!L878=TH!$V$7,M878=TH!$V$7),"x","")</f>
        <v/>
      </c>
      <c r="W878" s="39" t="str">
        <f>IF(AND(OR(L878="131",M878="131"),H878='131-CT'!$E$7),"x","")</f>
        <v/>
      </c>
      <c r="X878" s="39" t="str">
        <f>IF(AND(B878&gt;='IN-NX'!$P$3,B878&lt;='IN-NX'!$Q$3,'IN-NX'!$D$7=D878,OR(LEFT(TH!L878,2)="15",LEFT(TH!M878,2)="15")),"x","")</f>
        <v/>
      </c>
      <c r="Y878" s="39" t="str">
        <f>IF(AND(OR(LEFT(TH!L878,2)="15",LEFT(TH!M878,2)="15"),'152-CT'!$J$8=TH!F878),"x","")</f>
        <v/>
      </c>
      <c r="Z878" s="39" t="str">
        <f>IF(AND(OR(LEFT(TH!L878,2)="15",LEFT(TH!M878,2)="15"),TK!$E$7=TH!F878),"x","")</f>
        <v/>
      </c>
      <c r="AA878" s="39" t="str">
        <f>IF(AND(B878&lt;=NKC!$N$8,B878&gt;=NKC!$M$8),"x","")</f>
        <v/>
      </c>
    </row>
    <row r="879" spans="1:30" s="225" customFormat="1" ht="15.75" customHeight="1">
      <c r="A879" s="218" t="str">
        <f>IF(B879&lt;&gt;"",IF(AND(B879&gt;=_TM1,B879&lt;=_TM2,OR(TH!L879="1111",TH!M879="1111")),TH!D879,""),"")</f>
        <v/>
      </c>
      <c r="B879" s="36" t="str">
        <f t="shared" si="42"/>
        <v/>
      </c>
      <c r="C879" s="37"/>
      <c r="D879" s="204"/>
      <c r="E879" s="37"/>
      <c r="F879" s="40"/>
      <c r="G879" s="626"/>
      <c r="H879" s="206"/>
      <c r="I879" s="276"/>
      <c r="J879" s="276"/>
      <c r="K879" s="38"/>
      <c r="L879" s="39"/>
      <c r="M879" s="749"/>
      <c r="N879" s="39" t="str">
        <f>IF(AND('331-CT'!$E$7=TH!H879,OR(L879="331",M879="331")),"x","")</f>
        <v/>
      </c>
      <c r="O879" s="39" t="str">
        <f>IF(AND($B879&gt;='111'!$N$11,$B879&lt;='111'!$O$11,OR($L879=$O$7,$M879=$O$7)),"x","")</f>
        <v/>
      </c>
      <c r="P879" s="39" t="str">
        <f>IF(AND($L879=$O$7,$B879&lt;'111'!$N$11),"x","")</f>
        <v/>
      </c>
      <c r="Q879" s="39" t="str">
        <f>IF(AND($M879=$O$7,$B879&lt;'111'!$N$11),"x","")</f>
        <v/>
      </c>
      <c r="R879" s="39" t="str">
        <f>IF(ISERROR(FIND('112'!$M$9,G879,1)),"",IF((AND(FIND('112'!$M$9,G879,1)&gt;=1,$B879&gt;='112'!$N$8,$B879&lt;='112'!$O$8,OR($L879='112'!$I$6,$M879='112'!$I$6))),"x",""))</f>
        <v/>
      </c>
      <c r="S879" s="39" t="str">
        <f>IF(ISERROR(FIND('112'!$M$9,G879,1)),"",IF((AND(LEFT(G879,2)=LEFT('112'!$M$9,2),B879&lt;'112'!$N$8,$L879='112'!$I$6)),"x",""))</f>
        <v/>
      </c>
      <c r="T879" s="39" t="str">
        <f>IF(ISERROR(FIND('112'!$M$9,G879,1)),"",IF((AND(RIGHT(G879,2)=RIGHT('112'!$M$9,2),B879&lt;'112'!$N$8,$M879='112'!$I$6)),"x",""))</f>
        <v/>
      </c>
      <c r="U879" s="39" t="str">
        <f>IF(AND('3411-CT'!$F$9=H879,OR(LEFT(L879,3)=$U$7,LEFT(M879,3)=$U$7)),"x","")</f>
        <v/>
      </c>
      <c r="V879" s="39" t="str">
        <f>IF(OR(TH!L879=TH!$V$7,M879=TH!$V$7),"x","")</f>
        <v/>
      </c>
      <c r="W879" s="39" t="str">
        <f>IF(AND(OR(L879="131",M879="131"),H879='131-CT'!$E$7),"x","")</f>
        <v/>
      </c>
      <c r="X879" s="39" t="str">
        <f>IF(AND(B879&gt;='IN-NX'!$P$3,B879&lt;='IN-NX'!$Q$3,'IN-NX'!$D$7=D879,OR(LEFT(TH!L879,2)="15",LEFT(TH!M879,2)="15")),"x","")</f>
        <v/>
      </c>
      <c r="Y879" s="39" t="str">
        <f>IF(AND(OR(LEFT(TH!L879,2)="15",LEFT(TH!M879,2)="15"),'152-CT'!$J$8=TH!F879),"x","")</f>
        <v/>
      </c>
      <c r="Z879" s="39" t="str">
        <f>IF(AND(OR(LEFT(TH!L879,2)="15",LEFT(TH!M879,2)="15"),TK!$E$7=TH!F879),"x","")</f>
        <v/>
      </c>
      <c r="AA879" s="39" t="str">
        <f>IF(AND(B879&lt;=NKC!$N$8,B879&gt;=NKC!$M$8),"x","")</f>
        <v/>
      </c>
    </row>
    <row r="880" spans="1:30" s="225" customFormat="1" ht="15.75" customHeight="1">
      <c r="A880" s="218" t="str">
        <f>IF(B880&lt;&gt;"",IF(AND(B880&gt;=_TM1,B880&lt;=_TM2,OR(TH!L880="1111",TH!M880="1111")),TH!D880,""),"")</f>
        <v/>
      </c>
      <c r="B880" s="36" t="str">
        <f t="shared" si="42"/>
        <v/>
      </c>
      <c r="C880" s="37"/>
      <c r="D880" s="204"/>
      <c r="E880" s="204"/>
      <c r="F880" s="205"/>
      <c r="G880" s="205"/>
      <c r="H880" s="206"/>
      <c r="I880" s="276"/>
      <c r="J880" s="276"/>
      <c r="K880" s="38"/>
      <c r="L880" s="207"/>
      <c r="M880" s="749"/>
      <c r="N880" s="39" t="str">
        <f>IF(AND('331-CT'!$E$7=TH!H880,OR(L880="331",M880="331")),"x","")</f>
        <v/>
      </c>
      <c r="O880" s="39" t="str">
        <f>IF(AND($B880&gt;='111'!$N$11,$B880&lt;='111'!$O$11,OR($L880=$O$7,$M880=$O$7)),"x","")</f>
        <v/>
      </c>
      <c r="P880" s="39" t="str">
        <f>IF(AND($L880=$O$7,$B880&lt;'111'!$N$11),"x","")</f>
        <v/>
      </c>
      <c r="Q880" s="39" t="str">
        <f>IF(AND($M880=$O$7,$B880&lt;'111'!$N$11),"x","")</f>
        <v/>
      </c>
      <c r="R880" s="39" t="str">
        <f>IF(ISERROR(FIND('112'!$M$9,G880,1)),"",IF((AND(FIND('112'!$M$9,G880,1)&gt;=1,$B880&gt;='112'!$N$8,$B880&lt;='112'!$O$8,OR($L880='112'!$I$6,$M880='112'!$I$6))),"x",""))</f>
        <v/>
      </c>
      <c r="S880" s="39" t="str">
        <f>IF(ISERROR(FIND('112'!$M$9,G880,1)),"",IF((AND(LEFT(G880,2)=LEFT('112'!$M$9,2),B880&lt;'112'!$N$8,$L880='112'!$I$6)),"x",""))</f>
        <v/>
      </c>
      <c r="T880" s="39" t="str">
        <f>IF(ISERROR(FIND('112'!$M$9,G880,1)),"",IF((AND(RIGHT(G880,2)=RIGHT('112'!$M$9,2),B880&lt;'112'!$N$8,$M880='112'!$I$6)),"x",""))</f>
        <v/>
      </c>
      <c r="U880" s="39" t="str">
        <f>IF(AND('3411-CT'!$F$9=H880,OR(LEFT(L880,3)=$U$7,LEFT(M880,3)=$U$7)),"x","")</f>
        <v/>
      </c>
      <c r="V880" s="39" t="str">
        <f>IF(OR(TH!L880=TH!$V$7,M880=TH!$V$7),"x","")</f>
        <v/>
      </c>
      <c r="W880" s="39" t="str">
        <f>IF(AND(OR(L880="131",M880="131"),H880='131-CT'!$E$7),"x","")</f>
        <v/>
      </c>
      <c r="X880" s="39" t="str">
        <f>IF(AND(B880&gt;='IN-NX'!$P$3,B880&lt;='IN-NX'!$Q$3,'IN-NX'!$D$7=D880,OR(LEFT(TH!L880,2)="15",LEFT(TH!M880,2)="15")),"x","")</f>
        <v/>
      </c>
      <c r="Y880" s="39" t="str">
        <f>IF(AND(OR(LEFT(TH!L880,2)="15",LEFT(TH!M880,2)="15"),'152-CT'!$J$8=TH!F880),"x","")</f>
        <v/>
      </c>
      <c r="Z880" s="39" t="str">
        <f>IF(AND(OR(LEFT(TH!L880,2)="15",LEFT(TH!M880,2)="15"),TK!$E$7=TH!F880),"x","")</f>
        <v/>
      </c>
      <c r="AA880" s="39" t="str">
        <f>IF(AND(B880&lt;=NKC!$N$8,B880&gt;=NKC!$M$8),"x","")</f>
        <v/>
      </c>
    </row>
    <row r="881" spans="1:27" s="225" customFormat="1" ht="15.75" customHeight="1">
      <c r="A881" s="218" t="str">
        <f>IF(B881&lt;&gt;"",IF(AND(B881&gt;=_TM1,B881&lt;=_TM2,OR(TH!L881="1111",TH!M881="1111")),TH!D881,""),"")</f>
        <v/>
      </c>
      <c r="B881" s="36" t="str">
        <f t="shared" si="42"/>
        <v/>
      </c>
      <c r="C881" s="37"/>
      <c r="D881" s="204"/>
      <c r="E881" s="204"/>
      <c r="F881" s="205"/>
      <c r="G881" s="205"/>
      <c r="H881" s="206"/>
      <c r="I881" s="276"/>
      <c r="J881" s="276"/>
      <c r="K881" s="38"/>
      <c r="L881" s="207"/>
      <c r="M881" s="749"/>
      <c r="N881" s="39" t="str">
        <f>IF(AND('331-CT'!$E$7=TH!H881,OR(L881="331",M881="331")),"x","")</f>
        <v/>
      </c>
      <c r="O881" s="39" t="str">
        <f>IF(AND($B881&gt;='111'!$N$11,$B881&lt;='111'!$O$11,OR($L881=$O$7,$M881=$O$7)),"x","")</f>
        <v/>
      </c>
      <c r="P881" s="39" t="str">
        <f>IF(AND($L881=$O$7,$B881&lt;'111'!$N$11),"x","")</f>
        <v/>
      </c>
      <c r="Q881" s="39" t="str">
        <f>IF(AND($M881=$O$7,$B881&lt;'111'!$N$11),"x","")</f>
        <v/>
      </c>
      <c r="R881" s="39" t="str">
        <f>IF(ISERROR(FIND('112'!$M$9,G881,1)),"",IF((AND(FIND('112'!$M$9,G881,1)&gt;=1,$B881&gt;='112'!$N$8,$B881&lt;='112'!$O$8,OR($L881='112'!$I$6,$M881='112'!$I$6))),"x",""))</f>
        <v/>
      </c>
      <c r="S881" s="39" t="str">
        <f>IF(ISERROR(FIND('112'!$M$9,G881,1)),"",IF((AND(LEFT(G881,2)=LEFT('112'!$M$9,2),B881&lt;'112'!$N$8,$L881='112'!$I$6)),"x",""))</f>
        <v/>
      </c>
      <c r="T881" s="39" t="str">
        <f>IF(ISERROR(FIND('112'!$M$9,G881,1)),"",IF((AND(RIGHT(G881,2)=RIGHT('112'!$M$9,2),B881&lt;'112'!$N$8,$M881='112'!$I$6)),"x",""))</f>
        <v/>
      </c>
      <c r="U881" s="39" t="str">
        <f>IF(AND('3411-CT'!$F$9=H881,OR(LEFT(L881,3)=$U$7,LEFT(M881,3)=$U$7)),"x","")</f>
        <v/>
      </c>
      <c r="V881" s="39" t="str">
        <f>IF(OR(TH!L881=TH!$V$7,M881=TH!$V$7),"x","")</f>
        <v/>
      </c>
      <c r="W881" s="39" t="str">
        <f>IF(AND(OR(L881="131",M881="131"),H881='131-CT'!$E$7),"x","")</f>
        <v/>
      </c>
      <c r="X881" s="39" t="str">
        <f>IF(AND(B881&gt;='IN-NX'!$P$3,B881&lt;='IN-NX'!$Q$3,'IN-NX'!$D$7=D881,OR(LEFT(TH!L881,2)="15",LEFT(TH!M881,2)="15")),"x","")</f>
        <v/>
      </c>
      <c r="Y881" s="39" t="str">
        <f>IF(AND(OR(LEFT(TH!L881,2)="15",LEFT(TH!M881,2)="15"),'152-CT'!$J$8=TH!F881),"x","")</f>
        <v/>
      </c>
      <c r="Z881" s="39" t="str">
        <f>IF(AND(OR(LEFT(TH!L881,2)="15",LEFT(TH!M881,2)="15"),TK!$E$7=TH!F881),"x","")</f>
        <v/>
      </c>
      <c r="AA881" s="39" t="str">
        <f>IF(AND(B881&lt;=NKC!$N$8,B881&gt;=NKC!$M$8),"x","")</f>
        <v/>
      </c>
    </row>
    <row r="882" spans="1:27" s="225" customFormat="1" ht="15.75" customHeight="1">
      <c r="A882" s="218" t="str">
        <f>IF(B882&lt;&gt;"",IF(AND(B882&gt;=_TM1,B882&lt;=_TM2,OR(TH!L882="1111",TH!M882="1111")),TH!D882,""),"")</f>
        <v/>
      </c>
      <c r="B882" s="36" t="str">
        <f t="shared" si="42"/>
        <v/>
      </c>
      <c r="C882" s="37"/>
      <c r="D882" s="204"/>
      <c r="E882" s="204"/>
      <c r="F882" s="205"/>
      <c r="G882" s="205"/>
      <c r="H882" s="206"/>
      <c r="I882" s="276"/>
      <c r="J882" s="276"/>
      <c r="K882" s="38"/>
      <c r="L882" s="207"/>
      <c r="M882" s="749"/>
      <c r="N882" s="39" t="str">
        <f>IF(AND('331-CT'!$E$7=TH!H882,OR(L882="331",M882="331")),"x","")</f>
        <v/>
      </c>
      <c r="O882" s="39" t="str">
        <f>IF(AND($B882&gt;='111'!$N$11,$B882&lt;='111'!$O$11,OR($L882=$O$7,$M882=$O$7)),"x","")</f>
        <v/>
      </c>
      <c r="P882" s="39" t="str">
        <f>IF(AND($L882=$O$7,$B882&lt;'111'!$N$11),"x","")</f>
        <v/>
      </c>
      <c r="Q882" s="39" t="str">
        <f>IF(AND($M882=$O$7,$B882&lt;'111'!$N$11),"x","")</f>
        <v/>
      </c>
      <c r="R882" s="39" t="str">
        <f>IF(ISERROR(FIND('112'!$M$9,G882,1)),"",IF((AND(FIND('112'!$M$9,G882,1)&gt;=1,$B882&gt;='112'!$N$8,$B882&lt;='112'!$O$8,OR($L882='112'!$I$6,$M882='112'!$I$6))),"x",""))</f>
        <v/>
      </c>
      <c r="S882" s="39" t="str">
        <f>IF(ISERROR(FIND('112'!$M$9,G882,1)),"",IF((AND(LEFT(G882,2)=LEFT('112'!$M$9,2),B882&lt;'112'!$N$8,$L882='112'!$I$6)),"x",""))</f>
        <v/>
      </c>
      <c r="T882" s="39" t="str">
        <f>IF(ISERROR(FIND('112'!$M$9,G882,1)),"",IF((AND(RIGHT(G882,2)=RIGHT('112'!$M$9,2),B882&lt;'112'!$N$8,$M882='112'!$I$6)),"x",""))</f>
        <v/>
      </c>
      <c r="U882" s="39" t="str">
        <f>IF(AND('3411-CT'!$F$9=H882,OR(LEFT(L882,3)=$U$7,LEFT(M882,3)=$U$7)),"x","")</f>
        <v/>
      </c>
      <c r="V882" s="39" t="str">
        <f>IF(OR(TH!L882=TH!$V$7,M882=TH!$V$7),"x","")</f>
        <v/>
      </c>
      <c r="W882" s="39" t="str">
        <f>IF(AND(OR(L882="131",M882="131"),H882='131-CT'!$E$7),"x","")</f>
        <v/>
      </c>
      <c r="X882" s="39" t="str">
        <f>IF(AND(B882&gt;='IN-NX'!$P$3,B882&lt;='IN-NX'!$Q$3,'IN-NX'!$D$7=D882,OR(LEFT(TH!L882,2)="15",LEFT(TH!M882,2)="15")),"x","")</f>
        <v/>
      </c>
      <c r="Y882" s="39" t="str">
        <f>IF(AND(OR(LEFT(TH!L882,2)="15",LEFT(TH!M882,2)="15"),'152-CT'!$J$8=TH!F882),"x","")</f>
        <v/>
      </c>
      <c r="Z882" s="39" t="str">
        <f>IF(AND(OR(LEFT(TH!L882,2)="15",LEFT(TH!M882,2)="15"),TK!$E$7=TH!F882),"x","")</f>
        <v/>
      </c>
      <c r="AA882" s="39" t="str">
        <f>IF(AND(B882&lt;=NKC!$N$8,B882&gt;=NKC!$M$8),"x","")</f>
        <v/>
      </c>
    </row>
    <row r="883" spans="1:27" s="225" customFormat="1" ht="15.75" customHeight="1">
      <c r="A883" s="218" t="str">
        <f>IF(B883&lt;&gt;"",IF(AND(B883&gt;=_TM1,B883&lt;=_TM2,OR(TH!L883="1111",TH!M883="1111")),TH!D883,""),"")</f>
        <v/>
      </c>
      <c r="B883" s="36" t="str">
        <f t="shared" si="42"/>
        <v/>
      </c>
      <c r="C883" s="37"/>
      <c r="D883" s="204"/>
      <c r="E883" s="37"/>
      <c r="F883" s="40"/>
      <c r="G883" s="626"/>
      <c r="H883" s="224"/>
      <c r="I883" s="277"/>
      <c r="J883" s="277"/>
      <c r="K883" s="38"/>
      <c r="L883" s="207"/>
      <c r="M883" s="749"/>
      <c r="N883" s="39" t="str">
        <f>IF(AND('331-CT'!$E$7=TH!H883,OR(L883="331",M883="331")),"x","")</f>
        <v/>
      </c>
      <c r="O883" s="39" t="str">
        <f>IF(AND($B883&gt;='111'!$N$11,$B883&lt;='111'!$O$11,OR($L883=$O$7,$M883=$O$7)),"x","")</f>
        <v/>
      </c>
      <c r="P883" s="39" t="str">
        <f>IF(AND($L883=$O$7,$B883&lt;'111'!$N$11),"x","")</f>
        <v/>
      </c>
      <c r="Q883" s="39" t="str">
        <f>IF(AND($M883=$O$7,$B883&lt;'111'!$N$11),"x","")</f>
        <v/>
      </c>
      <c r="R883" s="39" t="str">
        <f>IF(ISERROR(FIND('112'!$M$9,G883,1)),"",IF((AND(FIND('112'!$M$9,G883,1)&gt;=1,$B883&gt;='112'!$N$8,$B883&lt;='112'!$O$8,OR($L883='112'!$I$6,$M883='112'!$I$6))),"x",""))</f>
        <v/>
      </c>
      <c r="S883" s="39" t="str">
        <f>IF(ISERROR(FIND('112'!$M$9,G883,1)),"",IF((AND(LEFT(G883,2)=LEFT('112'!$M$9,2),B883&lt;'112'!$N$8,$L883='112'!$I$6)),"x",""))</f>
        <v/>
      </c>
      <c r="T883" s="39" t="str">
        <f>IF(ISERROR(FIND('112'!$M$9,G883,1)),"",IF((AND(RIGHT(G883,2)=RIGHT('112'!$M$9,2),B883&lt;'112'!$N$8,$M883='112'!$I$6)),"x",""))</f>
        <v/>
      </c>
      <c r="U883" s="39" t="str">
        <f>IF(AND('3411-CT'!$F$9=H883,OR(LEFT(L883,3)=$U$7,LEFT(M883,3)=$U$7)),"x","")</f>
        <v/>
      </c>
      <c r="V883" s="39" t="str">
        <f>IF(OR(TH!L883=TH!$V$7,M883=TH!$V$7),"x","")</f>
        <v/>
      </c>
      <c r="W883" s="39" t="str">
        <f>IF(AND(OR(L883="131",M883="131"),H883='131-CT'!$E$7),"x","")</f>
        <v/>
      </c>
      <c r="X883" s="39" t="str">
        <f>IF(AND(B883&gt;='IN-NX'!$P$3,B883&lt;='IN-NX'!$Q$3,'IN-NX'!$D$7=D883,OR(LEFT(TH!L883,2)="15",LEFT(TH!M883,2)="15")),"x","")</f>
        <v/>
      </c>
      <c r="Y883" s="39" t="str">
        <f>IF(AND(OR(LEFT(TH!L883,2)="15",LEFT(TH!M883,2)="15"),'152-CT'!$J$8=TH!F883),"x","")</f>
        <v/>
      </c>
      <c r="Z883" s="39" t="str">
        <f>IF(AND(OR(LEFT(TH!L883,2)="15",LEFT(TH!M883,2)="15"),TK!$E$7=TH!F883),"x","")</f>
        <v/>
      </c>
      <c r="AA883" s="39" t="str">
        <f>IF(AND(B883&lt;=NKC!$N$8,B883&gt;=NKC!$M$8),"x","")</f>
        <v/>
      </c>
    </row>
    <row r="884" spans="1:27" s="225" customFormat="1" ht="15.75" customHeight="1">
      <c r="A884" s="218" t="str">
        <f>IF(B884&lt;&gt;"",IF(AND(B884&gt;=_TM1,B884&lt;=_TM2,OR(TH!L884="1111",TH!M884="1111")),TH!D884,""),"")</f>
        <v/>
      </c>
      <c r="B884" s="36" t="str">
        <f t="shared" si="42"/>
        <v/>
      </c>
      <c r="C884" s="37"/>
      <c r="D884" s="204"/>
      <c r="E884" s="37"/>
      <c r="F884" s="40"/>
      <c r="G884" s="626"/>
      <c r="H884" s="224"/>
      <c r="I884" s="277"/>
      <c r="J884" s="277"/>
      <c r="K884" s="38"/>
      <c r="L884" s="207"/>
      <c r="M884" s="749"/>
      <c r="N884" s="39" t="str">
        <f>IF(AND('331-CT'!$E$7=TH!H884,OR(L884="331",M884="331")),"x","")</f>
        <v/>
      </c>
      <c r="O884" s="39" t="str">
        <f>IF(AND($B884&gt;='111'!$N$11,$B884&lt;='111'!$O$11,OR($L884=$O$7,$M884=$O$7)),"x","")</f>
        <v/>
      </c>
      <c r="P884" s="39" t="str">
        <f>IF(AND($L884=$O$7,$B884&lt;'111'!$N$11),"x","")</f>
        <v/>
      </c>
      <c r="Q884" s="39" t="str">
        <f>IF(AND($M884=$O$7,$B884&lt;'111'!$N$11),"x","")</f>
        <v/>
      </c>
      <c r="R884" s="39" t="str">
        <f>IF(ISERROR(FIND('112'!$M$9,G884,1)),"",IF((AND(FIND('112'!$M$9,G884,1)&gt;=1,$B884&gt;='112'!$N$8,$B884&lt;='112'!$O$8,OR($L884='112'!$I$6,$M884='112'!$I$6))),"x",""))</f>
        <v/>
      </c>
      <c r="S884" s="39" t="str">
        <f>IF(ISERROR(FIND('112'!$M$9,G884,1)),"",IF((AND(LEFT(G884,2)=LEFT('112'!$M$9,2),B884&lt;'112'!$N$8,$L884='112'!$I$6)),"x",""))</f>
        <v/>
      </c>
      <c r="T884" s="39" t="str">
        <f>IF(ISERROR(FIND('112'!$M$9,G884,1)),"",IF((AND(RIGHT(G884,2)=RIGHT('112'!$M$9,2),B884&lt;'112'!$N$8,$M884='112'!$I$6)),"x",""))</f>
        <v/>
      </c>
      <c r="U884" s="39" t="str">
        <f>IF(AND('3411-CT'!$F$9=H884,OR(LEFT(L884,3)=$U$7,LEFT(M884,3)=$U$7)),"x","")</f>
        <v/>
      </c>
      <c r="V884" s="39" t="str">
        <f>IF(OR(TH!L884=TH!$V$7,M884=TH!$V$7),"x","")</f>
        <v/>
      </c>
      <c r="W884" s="39" t="str">
        <f>IF(AND(OR(L884="131",M884="131"),H884='131-CT'!$E$7),"x","")</f>
        <v/>
      </c>
      <c r="X884" s="39" t="str">
        <f>IF(AND(B884&gt;='IN-NX'!$P$3,B884&lt;='IN-NX'!$Q$3,'IN-NX'!$D$7=D884,OR(LEFT(TH!L884,2)="15",LEFT(TH!M884,2)="15")),"x","")</f>
        <v/>
      </c>
      <c r="Y884" s="39" t="str">
        <f>IF(AND(OR(LEFT(TH!L884,2)="15",LEFT(TH!M884,2)="15"),'152-CT'!$J$8=TH!F884),"x","")</f>
        <v/>
      </c>
      <c r="Z884" s="39" t="str">
        <f>IF(AND(OR(LEFT(TH!L884,2)="15",LEFT(TH!M884,2)="15"),TK!$E$7=TH!F884),"x","")</f>
        <v/>
      </c>
      <c r="AA884" s="39" t="str">
        <f>IF(AND(B884&lt;=NKC!$N$8,B884&gt;=NKC!$M$8),"x","")</f>
        <v/>
      </c>
    </row>
    <row r="885" spans="1:27" s="225" customFormat="1" ht="15.75" customHeight="1">
      <c r="A885" s="218" t="str">
        <f>IF(B885&lt;&gt;"",IF(AND(B885&gt;=_TM1,B885&lt;=_TM2,OR(TH!L885="1111",TH!M885="1111")),TH!D885,""),"")</f>
        <v/>
      </c>
      <c r="B885" s="36" t="str">
        <f t="shared" si="42"/>
        <v/>
      </c>
      <c r="C885" s="37"/>
      <c r="D885" s="204"/>
      <c r="E885" s="204"/>
      <c r="F885" s="205"/>
      <c r="G885" s="205"/>
      <c r="H885" s="206"/>
      <c r="I885" s="276"/>
      <c r="J885" s="276"/>
      <c r="K885" s="38"/>
      <c r="L885" s="207"/>
      <c r="M885" s="749"/>
      <c r="N885" s="39" t="str">
        <f>IF(AND('331-CT'!$E$7=TH!H885,OR(L885="331",M885="331")),"x","")</f>
        <v/>
      </c>
      <c r="O885" s="39" t="str">
        <f>IF(AND($B885&gt;='111'!$N$11,$B885&lt;='111'!$O$11,OR($L885=$O$7,$M885=$O$7)),"x","")</f>
        <v/>
      </c>
      <c r="P885" s="39" t="str">
        <f>IF(AND($L885=$O$7,$B885&lt;'111'!$N$11),"x","")</f>
        <v/>
      </c>
      <c r="Q885" s="39" t="str">
        <f>IF(AND($M885=$O$7,$B885&lt;'111'!$N$11),"x","")</f>
        <v/>
      </c>
      <c r="R885" s="39" t="str">
        <f>IF(ISERROR(FIND('112'!$M$9,G885,1)),"",IF((AND(FIND('112'!$M$9,G885,1)&gt;=1,$B885&gt;='112'!$N$8,$B885&lt;='112'!$O$8,OR($L885='112'!$I$6,$M885='112'!$I$6))),"x",""))</f>
        <v/>
      </c>
      <c r="S885" s="39" t="str">
        <f>IF(ISERROR(FIND('112'!$M$9,G885,1)),"",IF((AND(LEFT(G885,2)=LEFT('112'!$M$9,2),B885&lt;'112'!$N$8,$L885='112'!$I$6)),"x",""))</f>
        <v/>
      </c>
      <c r="T885" s="39" t="str">
        <f>IF(ISERROR(FIND('112'!$M$9,G885,1)),"",IF((AND(RIGHT(G885,2)=RIGHT('112'!$M$9,2),B885&lt;'112'!$N$8,$M885='112'!$I$6)),"x",""))</f>
        <v/>
      </c>
      <c r="U885" s="39" t="str">
        <f>IF(AND('3411-CT'!$F$9=H885,OR(LEFT(L885,3)=$U$7,LEFT(M885,3)=$U$7)),"x","")</f>
        <v/>
      </c>
      <c r="V885" s="39" t="str">
        <f>IF(OR(TH!L885=TH!$V$7,M885=TH!$V$7),"x","")</f>
        <v/>
      </c>
      <c r="W885" s="39" t="str">
        <f>IF(AND(OR(L885="131",M885="131"),H885='131-CT'!$E$7),"x","")</f>
        <v/>
      </c>
      <c r="X885" s="39" t="str">
        <f>IF(AND(B885&gt;='IN-NX'!$P$3,B885&lt;='IN-NX'!$Q$3,'IN-NX'!$D$7=D885,OR(LEFT(TH!L885,2)="15",LEFT(TH!M885,2)="15")),"x","")</f>
        <v/>
      </c>
      <c r="Y885" s="39" t="str">
        <f>IF(AND(OR(LEFT(TH!L885,2)="15",LEFT(TH!M885,2)="15"),'152-CT'!$J$8=TH!F885),"x","")</f>
        <v/>
      </c>
      <c r="Z885" s="39" t="str">
        <f>IF(AND(OR(LEFT(TH!L885,2)="15",LEFT(TH!M885,2)="15"),TK!$E$7=TH!F885),"x","")</f>
        <v/>
      </c>
      <c r="AA885" s="39" t="str">
        <f>IF(AND(B885&lt;=NKC!$N$8,B885&gt;=NKC!$M$8),"x","")</f>
        <v/>
      </c>
    </row>
    <row r="886" spans="1:27" s="225" customFormat="1" ht="15.75" customHeight="1">
      <c r="A886" s="218" t="str">
        <f>IF(B886&lt;&gt;"",IF(AND(B886&gt;=_TM1,B886&lt;=_TM2,OR(TH!L886="1111",TH!M886="1111")),TH!D886,""),"")</f>
        <v/>
      </c>
      <c r="B886" s="36" t="str">
        <f t="shared" si="42"/>
        <v/>
      </c>
      <c r="C886" s="37"/>
      <c r="D886" s="204"/>
      <c r="E886" s="204"/>
      <c r="F886" s="205"/>
      <c r="G886" s="205"/>
      <c r="H886" s="206"/>
      <c r="I886" s="276"/>
      <c r="J886" s="276"/>
      <c r="K886" s="38"/>
      <c r="L886" s="207"/>
      <c r="M886" s="749"/>
      <c r="N886" s="39" t="str">
        <f>IF(AND('331-CT'!$E$7=TH!H886,OR(L886="331",M886="331")),"x","")</f>
        <v/>
      </c>
      <c r="O886" s="39" t="str">
        <f>IF(AND($B886&gt;='111'!$N$11,$B886&lt;='111'!$O$11,OR($L886=$O$7,$M886=$O$7)),"x","")</f>
        <v/>
      </c>
      <c r="P886" s="39" t="str">
        <f>IF(AND($L886=$O$7,$B886&lt;'111'!$N$11),"x","")</f>
        <v/>
      </c>
      <c r="Q886" s="39" t="str">
        <f>IF(AND($M886=$O$7,$B886&lt;'111'!$N$11),"x","")</f>
        <v/>
      </c>
      <c r="R886" s="39" t="str">
        <f>IF(ISERROR(FIND('112'!$M$9,G886,1)),"",IF((AND(FIND('112'!$M$9,G886,1)&gt;=1,$B886&gt;='112'!$N$8,$B886&lt;='112'!$O$8,OR($L886='112'!$I$6,$M886='112'!$I$6))),"x",""))</f>
        <v/>
      </c>
      <c r="S886" s="39" t="str">
        <f>IF(ISERROR(FIND('112'!$M$9,G886,1)),"",IF((AND(LEFT(G886,2)=LEFT('112'!$M$9,2),B886&lt;'112'!$N$8,$L886='112'!$I$6)),"x",""))</f>
        <v/>
      </c>
      <c r="T886" s="39" t="str">
        <f>IF(ISERROR(FIND('112'!$M$9,G886,1)),"",IF((AND(RIGHT(G886,2)=RIGHT('112'!$M$9,2),B886&lt;'112'!$N$8,$M886='112'!$I$6)),"x",""))</f>
        <v/>
      </c>
      <c r="U886" s="39" t="str">
        <f>IF(AND('3411-CT'!$F$9=H886,OR(LEFT(L886,3)=$U$7,LEFT(M886,3)=$U$7)),"x","")</f>
        <v/>
      </c>
      <c r="V886" s="39" t="str">
        <f>IF(OR(TH!L886=TH!$V$7,M886=TH!$V$7),"x","")</f>
        <v/>
      </c>
      <c r="W886" s="39" t="str">
        <f>IF(AND(OR(L886="131",M886="131"),H886='131-CT'!$E$7),"x","")</f>
        <v/>
      </c>
      <c r="X886" s="39" t="str">
        <f>IF(AND(B886&gt;='IN-NX'!$P$3,B886&lt;='IN-NX'!$Q$3,'IN-NX'!$D$7=D886,OR(LEFT(TH!L886,2)="15",LEFT(TH!M886,2)="15")),"x","")</f>
        <v/>
      </c>
      <c r="Y886" s="39" t="str">
        <f>IF(AND(OR(LEFT(TH!L886,2)="15",LEFT(TH!M886,2)="15"),'152-CT'!$J$8=TH!F886),"x","")</f>
        <v/>
      </c>
      <c r="Z886" s="39" t="str">
        <f>IF(AND(OR(LEFT(TH!L886,2)="15",LEFT(TH!M886,2)="15"),TK!$E$7=TH!F886),"x","")</f>
        <v/>
      </c>
      <c r="AA886" s="39" t="str">
        <f>IF(AND(B886&lt;=NKC!$N$8,B886&gt;=NKC!$M$8),"x","")</f>
        <v/>
      </c>
    </row>
    <row r="887" spans="1:27" s="225" customFormat="1" ht="15.75" customHeight="1">
      <c r="A887" s="218" t="str">
        <f>IF(B887&lt;&gt;"",IF(AND(B887&gt;=_TM1,B887&lt;=_TM2,OR(TH!L887="1111",TH!M887="1111")),TH!D887,""),"")</f>
        <v/>
      </c>
      <c r="B887" s="36" t="str">
        <f t="shared" si="42"/>
        <v/>
      </c>
      <c r="C887" s="37"/>
      <c r="D887" s="204"/>
      <c r="E887" s="204"/>
      <c r="F887" s="205"/>
      <c r="G887" s="205"/>
      <c r="H887" s="206"/>
      <c r="I887" s="276"/>
      <c r="J887" s="276"/>
      <c r="K887" s="38"/>
      <c r="L887" s="207"/>
      <c r="M887" s="749"/>
      <c r="N887" s="39" t="str">
        <f>IF(AND('331-CT'!$E$7=TH!H887,OR(L887="331",M887="331")),"x","")</f>
        <v/>
      </c>
      <c r="O887" s="39" t="str">
        <f>IF(AND($B887&gt;='111'!$N$11,$B887&lt;='111'!$O$11,OR($L887=$O$7,$M887=$O$7)),"x","")</f>
        <v/>
      </c>
      <c r="P887" s="39" t="str">
        <f>IF(AND($L887=$O$7,$B887&lt;'111'!$N$11),"x","")</f>
        <v/>
      </c>
      <c r="Q887" s="39" t="str">
        <f>IF(AND($M887=$O$7,$B887&lt;'111'!$N$11),"x","")</f>
        <v/>
      </c>
      <c r="R887" s="39" t="str">
        <f>IF(ISERROR(FIND('112'!$M$9,G887,1)),"",IF((AND(FIND('112'!$M$9,G887,1)&gt;=1,$B887&gt;='112'!$N$8,$B887&lt;='112'!$O$8,OR($L887='112'!$I$6,$M887='112'!$I$6))),"x",""))</f>
        <v/>
      </c>
      <c r="S887" s="39" t="str">
        <f>IF(ISERROR(FIND('112'!$M$9,G887,1)),"",IF((AND(LEFT(G887,2)=LEFT('112'!$M$9,2),B887&lt;'112'!$N$8,$L887='112'!$I$6)),"x",""))</f>
        <v/>
      </c>
      <c r="T887" s="39" t="str">
        <f>IF(ISERROR(FIND('112'!$M$9,G887,1)),"",IF((AND(RIGHT(G887,2)=RIGHT('112'!$M$9,2),B887&lt;'112'!$N$8,$M887='112'!$I$6)),"x",""))</f>
        <v/>
      </c>
      <c r="U887" s="39" t="str">
        <f>IF(AND('3411-CT'!$F$9=H887,OR(LEFT(L887,3)=$U$7,LEFT(M887,3)=$U$7)),"x","")</f>
        <v/>
      </c>
      <c r="V887" s="39" t="str">
        <f>IF(OR(TH!L887=TH!$V$7,M887=TH!$V$7),"x","")</f>
        <v/>
      </c>
      <c r="W887" s="39" t="str">
        <f>IF(AND(OR(L887="131",M887="131"),H887='131-CT'!$E$7),"x","")</f>
        <v/>
      </c>
      <c r="X887" s="39" t="str">
        <f>IF(AND(B887&gt;='IN-NX'!$P$3,B887&lt;='IN-NX'!$Q$3,'IN-NX'!$D$7=D887,OR(LEFT(TH!L887,2)="15",LEFT(TH!M887,2)="15")),"x","")</f>
        <v/>
      </c>
      <c r="Y887" s="39" t="str">
        <f>IF(AND(OR(LEFT(TH!L887,2)="15",LEFT(TH!M887,2)="15"),'152-CT'!$J$8=TH!F887),"x","")</f>
        <v/>
      </c>
      <c r="Z887" s="39" t="str">
        <f>IF(AND(OR(LEFT(TH!L887,2)="15",LEFT(TH!M887,2)="15"),TK!$E$7=TH!F887),"x","")</f>
        <v/>
      </c>
      <c r="AA887" s="39" t="str">
        <f>IF(AND(B887&lt;=NKC!$N$8,B887&gt;=NKC!$M$8),"x","")</f>
        <v/>
      </c>
    </row>
    <row r="888" spans="1:27" s="225" customFormat="1" ht="15.75" customHeight="1">
      <c r="A888" s="218" t="str">
        <f>IF(B888&lt;&gt;"",IF(AND(B888&gt;=_TM1,B888&lt;=_TM2,OR(TH!L888="1111",TH!M888="1111")),TH!D888,""),"")</f>
        <v/>
      </c>
      <c r="B888" s="36" t="str">
        <f t="shared" si="42"/>
        <v/>
      </c>
      <c r="C888" s="37"/>
      <c r="D888" s="204"/>
      <c r="E888" s="204"/>
      <c r="F888" s="205"/>
      <c r="G888" s="205"/>
      <c r="H888" s="206"/>
      <c r="I888" s="276"/>
      <c r="J888" s="276"/>
      <c r="K888" s="38"/>
      <c r="L888" s="207"/>
      <c r="M888" s="749"/>
      <c r="N888" s="39" t="str">
        <f>IF(AND('331-CT'!$E$7=TH!H888,OR(L888="331",M888="331")),"x","")</f>
        <v/>
      </c>
      <c r="O888" s="39" t="str">
        <f>IF(AND($B888&gt;='111'!$N$11,$B888&lt;='111'!$O$11,OR($L888=$O$7,$M888=$O$7)),"x","")</f>
        <v/>
      </c>
      <c r="P888" s="39" t="str">
        <f>IF(AND($L888=$O$7,$B888&lt;'111'!$N$11),"x","")</f>
        <v/>
      </c>
      <c r="Q888" s="39" t="str">
        <f>IF(AND($M888=$O$7,$B888&lt;'111'!$N$11),"x","")</f>
        <v/>
      </c>
      <c r="R888" s="39" t="str">
        <f>IF(ISERROR(FIND('112'!$M$9,G888,1)),"",IF((AND(FIND('112'!$M$9,G888,1)&gt;=1,$B888&gt;='112'!$N$8,$B888&lt;='112'!$O$8,OR($L888='112'!$I$6,$M888='112'!$I$6))),"x",""))</f>
        <v/>
      </c>
      <c r="S888" s="39" t="str">
        <f>IF(ISERROR(FIND('112'!$M$9,G888,1)),"",IF((AND(LEFT(G888,2)=LEFT('112'!$M$9,2),B888&lt;'112'!$N$8,$L888='112'!$I$6)),"x",""))</f>
        <v/>
      </c>
      <c r="T888" s="39" t="str">
        <f>IF(ISERROR(FIND('112'!$M$9,G888,1)),"",IF((AND(RIGHT(G888,2)=RIGHT('112'!$M$9,2),B888&lt;'112'!$N$8,$M888='112'!$I$6)),"x",""))</f>
        <v/>
      </c>
      <c r="U888" s="39" t="str">
        <f>IF(AND('3411-CT'!$F$9=H888,OR(LEFT(L888,3)=$U$7,LEFT(M888,3)=$U$7)),"x","")</f>
        <v/>
      </c>
      <c r="V888" s="39" t="str">
        <f>IF(OR(TH!L888=TH!$V$7,M888=TH!$V$7),"x","")</f>
        <v/>
      </c>
      <c r="W888" s="39" t="str">
        <f>IF(AND(OR(L888="131",M888="131"),H888='131-CT'!$E$7),"x","")</f>
        <v/>
      </c>
      <c r="X888" s="39" t="str">
        <f>IF(AND(B888&gt;='IN-NX'!$P$3,B888&lt;='IN-NX'!$Q$3,'IN-NX'!$D$7=D888,OR(LEFT(TH!L888,2)="15",LEFT(TH!M888,2)="15")),"x","")</f>
        <v/>
      </c>
      <c r="Y888" s="39" t="str">
        <f>IF(AND(OR(LEFT(TH!L888,2)="15",LEFT(TH!M888,2)="15"),'152-CT'!$J$8=TH!F888),"x","")</f>
        <v/>
      </c>
      <c r="Z888" s="39" t="str">
        <f>IF(AND(OR(LEFT(TH!L888,2)="15",LEFT(TH!M888,2)="15"),TK!$E$7=TH!F888),"x","")</f>
        <v/>
      </c>
      <c r="AA888" s="39" t="str">
        <f>IF(AND(B888&lt;=NKC!$N$8,B888&gt;=NKC!$M$8),"x","")</f>
        <v/>
      </c>
    </row>
    <row r="889" spans="1:27" s="225" customFormat="1" ht="15.75" customHeight="1">
      <c r="A889" s="218" t="str">
        <f>IF(B889&lt;&gt;"",IF(AND(B889&gt;=_TM1,B889&lt;=_TM2,OR(TH!L889="1111",TH!M889="1111")),TH!D889,""),"")</f>
        <v/>
      </c>
      <c r="B889" s="36" t="str">
        <f t="shared" si="42"/>
        <v/>
      </c>
      <c r="C889" s="37"/>
      <c r="D889" s="204"/>
      <c r="E889" s="204"/>
      <c r="F889" s="205"/>
      <c r="G889" s="205"/>
      <c r="H889" s="206"/>
      <c r="I889" s="276"/>
      <c r="J889" s="276"/>
      <c r="K889" s="38"/>
      <c r="L889" s="207"/>
      <c r="M889" s="749"/>
      <c r="N889" s="39" t="str">
        <f>IF(AND('331-CT'!$E$7=TH!H889,OR(L889="331",M889="331")),"x","")</f>
        <v/>
      </c>
      <c r="O889" s="39" t="str">
        <f>IF(AND($B889&gt;='111'!$N$11,$B889&lt;='111'!$O$11,OR($L889=$O$7,$M889=$O$7)),"x","")</f>
        <v/>
      </c>
      <c r="P889" s="39" t="str">
        <f>IF(AND($L889=$O$7,$B889&lt;'111'!$N$11),"x","")</f>
        <v/>
      </c>
      <c r="Q889" s="39" t="str">
        <f>IF(AND($M889=$O$7,$B889&lt;'111'!$N$11),"x","")</f>
        <v/>
      </c>
      <c r="R889" s="39" t="str">
        <f>IF(ISERROR(FIND('112'!$M$9,G889,1)),"",IF((AND(FIND('112'!$M$9,G889,1)&gt;=1,$B889&gt;='112'!$N$8,$B889&lt;='112'!$O$8,OR($L889='112'!$I$6,$M889='112'!$I$6))),"x",""))</f>
        <v/>
      </c>
      <c r="S889" s="39" t="str">
        <f>IF(ISERROR(FIND('112'!$M$9,G889,1)),"",IF((AND(LEFT(G889,2)=LEFT('112'!$M$9,2),B889&lt;'112'!$N$8,$L889='112'!$I$6)),"x",""))</f>
        <v/>
      </c>
      <c r="T889" s="39" t="str">
        <f>IF(ISERROR(FIND('112'!$M$9,G889,1)),"",IF((AND(RIGHT(G889,2)=RIGHT('112'!$M$9,2),B889&lt;'112'!$N$8,$M889='112'!$I$6)),"x",""))</f>
        <v/>
      </c>
      <c r="U889" s="39" t="str">
        <f>IF(AND('3411-CT'!$F$9=H889,OR(LEFT(L889,3)=$U$7,LEFT(M889,3)=$U$7)),"x","")</f>
        <v/>
      </c>
      <c r="V889" s="39" t="str">
        <f>IF(OR(TH!L889=TH!$V$7,M889=TH!$V$7),"x","")</f>
        <v/>
      </c>
      <c r="W889" s="39" t="str">
        <f>IF(AND(OR(L889="131",M889="131"),H889='131-CT'!$E$7),"x","")</f>
        <v/>
      </c>
      <c r="X889" s="39" t="str">
        <f>IF(AND(B889&gt;='IN-NX'!$P$3,B889&lt;='IN-NX'!$Q$3,'IN-NX'!$D$7=D889,OR(LEFT(TH!L889,2)="15",LEFT(TH!M889,2)="15")),"x","")</f>
        <v/>
      </c>
      <c r="Y889" s="39" t="str">
        <f>IF(AND(OR(LEFT(TH!L889,2)="15",LEFT(TH!M889,2)="15"),'152-CT'!$J$8=TH!F889),"x","")</f>
        <v/>
      </c>
      <c r="Z889" s="39" t="str">
        <f>IF(AND(OR(LEFT(TH!L889,2)="15",LEFT(TH!M889,2)="15"),TK!$E$7=TH!F889),"x","")</f>
        <v/>
      </c>
      <c r="AA889" s="39" t="str">
        <f>IF(AND(B889&lt;=NKC!$N$8,B889&gt;=NKC!$M$8),"x","")</f>
        <v/>
      </c>
    </row>
    <row r="890" spans="1:27" s="225" customFormat="1" ht="15.75" customHeight="1">
      <c r="A890" s="218" t="str">
        <f>IF(B890&lt;&gt;"",IF(AND(B890&gt;=_TM1,B890&lt;=_TM2,OR(TH!L890="1111",TH!M890="1111")),TH!D890,""),"")</f>
        <v/>
      </c>
      <c r="B890" s="36" t="str">
        <f t="shared" si="42"/>
        <v/>
      </c>
      <c r="C890" s="37"/>
      <c r="D890" s="204"/>
      <c r="E890" s="204"/>
      <c r="F890" s="205"/>
      <c r="G890" s="205"/>
      <c r="H890" s="206"/>
      <c r="I890" s="276"/>
      <c r="J890" s="276"/>
      <c r="K890" s="38"/>
      <c r="L890" s="207"/>
      <c r="M890" s="749"/>
      <c r="N890" s="39" t="str">
        <f>IF(AND('331-CT'!$E$7=TH!H890,OR(L890="331",M890="331")),"x","")</f>
        <v/>
      </c>
      <c r="O890" s="39" t="str">
        <f>IF(AND($B890&gt;='111'!$N$11,$B890&lt;='111'!$O$11,OR($L890=$O$7,$M890=$O$7)),"x","")</f>
        <v/>
      </c>
      <c r="P890" s="39" t="str">
        <f>IF(AND($L890=$O$7,$B890&lt;'111'!$N$11),"x","")</f>
        <v/>
      </c>
      <c r="Q890" s="39" t="str">
        <f>IF(AND($M890=$O$7,$B890&lt;'111'!$N$11),"x","")</f>
        <v/>
      </c>
      <c r="R890" s="39" t="str">
        <f>IF(ISERROR(FIND('112'!$M$9,G890,1)),"",IF((AND(FIND('112'!$M$9,G890,1)&gt;=1,$B890&gt;='112'!$N$8,$B890&lt;='112'!$O$8,OR($L890='112'!$I$6,$M890='112'!$I$6))),"x",""))</f>
        <v/>
      </c>
      <c r="S890" s="39" t="str">
        <f>IF(ISERROR(FIND('112'!$M$9,G890,1)),"",IF((AND(LEFT(G890,2)=LEFT('112'!$M$9,2),B890&lt;'112'!$N$8,$L890='112'!$I$6)),"x",""))</f>
        <v/>
      </c>
      <c r="T890" s="39" t="str">
        <f>IF(ISERROR(FIND('112'!$M$9,G890,1)),"",IF((AND(RIGHT(G890,2)=RIGHT('112'!$M$9,2),B890&lt;'112'!$N$8,$M890='112'!$I$6)),"x",""))</f>
        <v/>
      </c>
      <c r="U890" s="39" t="str">
        <f>IF(AND('3411-CT'!$F$9=H890,OR(LEFT(L890,3)=$U$7,LEFT(M890,3)=$U$7)),"x","")</f>
        <v/>
      </c>
      <c r="V890" s="39" t="str">
        <f>IF(OR(TH!L890=TH!$V$7,M890=TH!$V$7),"x","")</f>
        <v/>
      </c>
      <c r="W890" s="39" t="str">
        <f>IF(AND(OR(L890="131",M890="131"),H890='131-CT'!$E$7),"x","")</f>
        <v/>
      </c>
      <c r="X890" s="39" t="str">
        <f>IF(AND(B890&gt;='IN-NX'!$P$3,B890&lt;='IN-NX'!$Q$3,'IN-NX'!$D$7=D890,OR(LEFT(TH!L890,2)="15",LEFT(TH!M890,2)="15")),"x","")</f>
        <v/>
      </c>
      <c r="Y890" s="39" t="str">
        <f>IF(AND(OR(LEFT(TH!L890,2)="15",LEFT(TH!M890,2)="15"),'152-CT'!$J$8=TH!F890),"x","")</f>
        <v/>
      </c>
      <c r="Z890" s="39" t="str">
        <f>IF(AND(OR(LEFT(TH!L890,2)="15",LEFT(TH!M890,2)="15"),TK!$E$7=TH!F890),"x","")</f>
        <v/>
      </c>
      <c r="AA890" s="39" t="str">
        <f>IF(AND(B890&lt;=NKC!$N$8,B890&gt;=NKC!$M$8),"x","")</f>
        <v/>
      </c>
    </row>
    <row r="891" spans="1:27" s="225" customFormat="1" ht="15.75" customHeight="1">
      <c r="A891" s="218" t="str">
        <f>IF(B891&lt;&gt;"",IF(AND(B891&gt;=_TM1,B891&lt;=_TM2,OR(TH!L891="1111",TH!M891="1111")),TH!D891,""),"")</f>
        <v/>
      </c>
      <c r="B891" s="36" t="str">
        <f t="shared" si="42"/>
        <v/>
      </c>
      <c r="C891" s="37"/>
      <c r="D891" s="204"/>
      <c r="E891" s="204"/>
      <c r="F891" s="205"/>
      <c r="G891" s="205"/>
      <c r="H891" s="206"/>
      <c r="I891" s="276"/>
      <c r="J891" s="276"/>
      <c r="K891" s="38"/>
      <c r="L891" s="207"/>
      <c r="M891" s="207"/>
      <c r="N891" s="39" t="str">
        <f>IF(AND('331-CT'!$E$7=TH!H891,OR(L891="331",M891="331")),"x","")</f>
        <v/>
      </c>
      <c r="O891" s="39" t="str">
        <f>IF(AND($B891&gt;='111'!$N$11,$B891&lt;='111'!$O$11,OR($L891=$O$7,$M891=$O$7)),"x","")</f>
        <v/>
      </c>
      <c r="P891" s="39" t="str">
        <f>IF(AND($L891=$O$7,$B891&lt;'111'!$N$11),"x","")</f>
        <v/>
      </c>
      <c r="Q891" s="39" t="str">
        <f>IF(AND($M891=$O$7,$B891&lt;'111'!$N$11),"x","")</f>
        <v/>
      </c>
      <c r="R891" s="39" t="str">
        <f>IF(ISERROR(FIND('112'!$M$9,G891,1)),"",IF((AND(FIND('112'!$M$9,G891,1)&gt;=1,$B891&gt;='112'!$N$8,$B891&lt;='112'!$O$8,OR($L891='112'!$I$6,$M891='112'!$I$6))),"x",""))</f>
        <v/>
      </c>
      <c r="S891" s="39" t="str">
        <f>IF(ISERROR(FIND('112'!$M$9,G891,1)),"",IF((AND(LEFT(G891,2)=LEFT('112'!$M$9,2),B891&lt;'112'!$N$8,$L891='112'!$I$6)),"x",""))</f>
        <v/>
      </c>
      <c r="T891" s="39" t="str">
        <f>IF(ISERROR(FIND('112'!$M$9,G891,1)),"",IF((AND(RIGHT(G891,2)=RIGHT('112'!$M$9,2),B891&lt;'112'!$N$8,$M891='112'!$I$6)),"x",""))</f>
        <v/>
      </c>
      <c r="U891" s="39" t="str">
        <f>IF(AND('3411-CT'!$F$9=H891,OR(LEFT(L891,3)=$U$7,LEFT(M891,3)=$U$7)),"x","")</f>
        <v/>
      </c>
      <c r="V891" s="39" t="str">
        <f>IF(OR(TH!L891=TH!$V$7,M891=TH!$V$7),"x","")</f>
        <v/>
      </c>
      <c r="W891" s="39" t="str">
        <f>IF(AND(OR(L891="131",M891="131"),H891='131-CT'!$E$7),"x","")</f>
        <v/>
      </c>
      <c r="X891" s="39" t="str">
        <f>IF(AND(B891&gt;='IN-NX'!$P$3,B891&lt;='IN-NX'!$Q$3,'IN-NX'!$D$7=D891,OR(LEFT(TH!L891,2)="15",LEFT(TH!M891,2)="15")),"x","")</f>
        <v/>
      </c>
      <c r="Y891" s="39" t="str">
        <f>IF(AND(OR(LEFT(TH!L891,2)="15",LEFT(TH!M891,2)="15"),'152-CT'!$J$8=TH!F891),"x","")</f>
        <v/>
      </c>
      <c r="Z891" s="39" t="str">
        <f>IF(AND(OR(LEFT(TH!L891,2)="15",LEFT(TH!M891,2)="15"),TK!$E$7=TH!F891),"x","")</f>
        <v/>
      </c>
      <c r="AA891" s="39" t="str">
        <f>IF(AND(B891&lt;=NKC!$N$8,B891&gt;=NKC!$M$8),"x","")</f>
        <v/>
      </c>
    </row>
    <row r="892" spans="1:27" s="225" customFormat="1" ht="15.75" customHeight="1">
      <c r="A892" s="218" t="str">
        <f>IF(B892&lt;&gt;"",IF(AND(B892&gt;=_TM1,B892&lt;=_TM2,OR(TH!L892="1111",TH!M892="1111")),TH!D892,""),"")</f>
        <v/>
      </c>
      <c r="B892" s="36" t="str">
        <f t="shared" si="42"/>
        <v/>
      </c>
      <c r="C892" s="37"/>
      <c r="D892" s="204"/>
      <c r="E892" s="204"/>
      <c r="F892" s="205"/>
      <c r="G892" s="205"/>
      <c r="H892" s="206"/>
      <c r="I892" s="276"/>
      <c r="J892" s="276"/>
      <c r="K892" s="38"/>
      <c r="L892" s="207"/>
      <c r="M892" s="207"/>
      <c r="N892" s="39" t="str">
        <f>IF(AND('331-CT'!$E$7=TH!H892,OR(L892="331",M892="331")),"x","")</f>
        <v/>
      </c>
      <c r="O892" s="39" t="str">
        <f>IF(AND($B892&gt;='111'!$N$11,$B892&lt;='111'!$O$11,OR($L892=$O$7,$M892=$O$7)),"x","")</f>
        <v/>
      </c>
      <c r="P892" s="39" t="str">
        <f>IF(AND($L892=$O$7,$B892&lt;'111'!$N$11),"x","")</f>
        <v/>
      </c>
      <c r="Q892" s="39" t="str">
        <f>IF(AND($M892=$O$7,$B892&lt;'111'!$N$11),"x","")</f>
        <v/>
      </c>
      <c r="R892" s="39" t="str">
        <f>IF(ISERROR(FIND('112'!$M$9,G892,1)),"",IF((AND(FIND('112'!$M$9,G892,1)&gt;=1,$B892&gt;='112'!$N$8,$B892&lt;='112'!$O$8,OR($L892='112'!$I$6,$M892='112'!$I$6))),"x",""))</f>
        <v/>
      </c>
      <c r="S892" s="39" t="str">
        <f>IF(ISERROR(FIND('112'!$M$9,G892,1)),"",IF((AND(LEFT(G892,2)=LEFT('112'!$M$9,2),B892&lt;'112'!$N$8,$L892='112'!$I$6)),"x",""))</f>
        <v/>
      </c>
      <c r="T892" s="39" t="str">
        <f>IF(ISERROR(FIND('112'!$M$9,G892,1)),"",IF((AND(RIGHT(G892,2)=RIGHT('112'!$M$9,2),B892&lt;'112'!$N$8,$M892='112'!$I$6)),"x",""))</f>
        <v/>
      </c>
      <c r="U892" s="39" t="str">
        <f>IF(AND('3411-CT'!$F$9=H892,OR(LEFT(L892,3)=$U$7,LEFT(M892,3)=$U$7)),"x","")</f>
        <v/>
      </c>
      <c r="V892" s="39" t="str">
        <f>IF(OR(TH!L892=TH!$V$7,M892=TH!$V$7),"x","")</f>
        <v/>
      </c>
      <c r="W892" s="39" t="str">
        <f>IF(AND(OR(L892="131",M892="131"),H892='131-CT'!$E$7),"x","")</f>
        <v/>
      </c>
      <c r="X892" s="39" t="str">
        <f>IF(AND(B892&gt;='IN-NX'!$P$3,B892&lt;='IN-NX'!$Q$3,'IN-NX'!$D$7=D892,OR(LEFT(TH!L892,2)="15",LEFT(TH!M892,2)="15")),"x","")</f>
        <v/>
      </c>
      <c r="Y892" s="39" t="str">
        <f>IF(AND(OR(LEFT(TH!L892,2)="15",LEFT(TH!M892,2)="15"),'152-CT'!$J$8=TH!F892),"x","")</f>
        <v/>
      </c>
      <c r="Z892" s="39" t="str">
        <f>IF(AND(OR(LEFT(TH!L892,2)="15",LEFT(TH!M892,2)="15"),TK!$E$7=TH!F892),"x","")</f>
        <v/>
      </c>
      <c r="AA892" s="39" t="str">
        <f>IF(AND(B892&lt;=NKC!$N$8,B892&gt;=NKC!$M$8),"x","")</f>
        <v/>
      </c>
    </row>
    <row r="893" spans="1:27" s="225" customFormat="1" ht="15.75" customHeight="1">
      <c r="A893" s="218" t="str">
        <f>IF(B893&lt;&gt;"",IF(AND(B893&gt;=_TM1,B893&lt;=_TM2,OR(TH!L893="1111",TH!M893="1111")),TH!D893,""),"")</f>
        <v/>
      </c>
      <c r="B893" s="36" t="str">
        <f t="shared" si="42"/>
        <v/>
      </c>
      <c r="C893" s="37"/>
      <c r="D893" s="204"/>
      <c r="E893" s="204"/>
      <c r="F893" s="205"/>
      <c r="G893" s="205"/>
      <c r="H893" s="206"/>
      <c r="I893" s="276"/>
      <c r="J893" s="276"/>
      <c r="K893" s="38"/>
      <c r="L893" s="207"/>
      <c r="M893" s="207"/>
      <c r="N893" s="39" t="str">
        <f>IF(AND('331-CT'!$E$7=TH!H893,OR(L893="331",M893="331")),"x","")</f>
        <v/>
      </c>
      <c r="O893" s="39" t="str">
        <f>IF(AND($B893&gt;='111'!$N$11,$B893&lt;='111'!$O$11,OR($L893=$O$7,$M893=$O$7)),"x","")</f>
        <v/>
      </c>
      <c r="P893" s="39" t="str">
        <f>IF(AND($L893=$O$7,$B893&lt;'111'!$N$11),"x","")</f>
        <v/>
      </c>
      <c r="Q893" s="39" t="str">
        <f>IF(AND($M893=$O$7,$B893&lt;'111'!$N$11),"x","")</f>
        <v/>
      </c>
      <c r="R893" s="39" t="str">
        <f>IF(ISERROR(FIND('112'!$M$9,G893,1)),"",IF((AND(FIND('112'!$M$9,G893,1)&gt;=1,$B893&gt;='112'!$N$8,$B893&lt;='112'!$O$8,OR($L893='112'!$I$6,$M893='112'!$I$6))),"x",""))</f>
        <v/>
      </c>
      <c r="S893" s="39" t="str">
        <f>IF(ISERROR(FIND('112'!$M$9,G893,1)),"",IF((AND(LEFT(G893,2)=LEFT('112'!$M$9,2),B893&lt;'112'!$N$8,$L893='112'!$I$6)),"x",""))</f>
        <v/>
      </c>
      <c r="T893" s="39" t="str">
        <f>IF(ISERROR(FIND('112'!$M$9,G893,1)),"",IF((AND(RIGHT(G893,2)=RIGHT('112'!$M$9,2),B893&lt;'112'!$N$8,$M893='112'!$I$6)),"x",""))</f>
        <v/>
      </c>
      <c r="U893" s="39" t="str">
        <f>IF(AND('3411-CT'!$F$9=H893,OR(LEFT(L893,3)=$U$7,LEFT(M893,3)=$U$7)),"x","")</f>
        <v/>
      </c>
      <c r="V893" s="39" t="str">
        <f>IF(OR(TH!L893=TH!$V$7,M893=TH!$V$7),"x","")</f>
        <v/>
      </c>
      <c r="W893" s="39" t="str">
        <f>IF(AND(OR(L893="131",M893="131"),H893='131-CT'!$E$7),"x","")</f>
        <v/>
      </c>
      <c r="X893" s="39" t="str">
        <f>IF(AND(B893&gt;='IN-NX'!$P$3,B893&lt;='IN-NX'!$Q$3,'IN-NX'!$D$7=D893,OR(LEFT(TH!L893,2)="15",LEFT(TH!M893,2)="15")),"x","")</f>
        <v/>
      </c>
      <c r="Y893" s="39" t="str">
        <f>IF(AND(OR(LEFT(TH!L893,2)="15",LEFT(TH!M893,2)="15"),'152-CT'!$J$8=TH!F893),"x","")</f>
        <v/>
      </c>
      <c r="Z893" s="39" t="str">
        <f>IF(AND(OR(LEFT(TH!L893,2)="15",LEFT(TH!M893,2)="15"),TK!$E$7=TH!F893),"x","")</f>
        <v/>
      </c>
      <c r="AA893" s="39" t="str">
        <f>IF(AND(B893&lt;=NKC!$N$8,B893&gt;=NKC!$M$8),"x","")</f>
        <v/>
      </c>
    </row>
    <row r="894" spans="1:27" s="225" customFormat="1" ht="15.75" customHeight="1">
      <c r="A894" s="218" t="str">
        <f>IF(B894&lt;&gt;"",IF(AND(B894&gt;=_TM1,B894&lt;=_TM2,OR(TH!L894="1111",TH!M894="1111")),TH!D894,""),"")</f>
        <v/>
      </c>
      <c r="B894" s="36" t="str">
        <f t="shared" si="42"/>
        <v/>
      </c>
      <c r="C894" s="37"/>
      <c r="D894" s="204"/>
      <c r="E894" s="204"/>
      <c r="F894" s="205"/>
      <c r="G894" s="205"/>
      <c r="H894" s="206"/>
      <c r="I894" s="276"/>
      <c r="J894" s="276"/>
      <c r="K894" s="38"/>
      <c r="L894" s="207"/>
      <c r="M894" s="207"/>
      <c r="N894" s="39" t="str">
        <f>IF(AND('331-CT'!$E$7=TH!H894,OR(L894="331",M894="331")),"x","")</f>
        <v/>
      </c>
      <c r="O894" s="39" t="str">
        <f>IF(AND($B894&gt;='111'!$N$11,$B894&lt;='111'!$O$11,OR($L894=$O$7,$M894=$O$7)),"x","")</f>
        <v/>
      </c>
      <c r="P894" s="39" t="str">
        <f>IF(AND($L894=$O$7,$B894&lt;'111'!$N$11),"x","")</f>
        <v/>
      </c>
      <c r="Q894" s="39" t="str">
        <f>IF(AND($M894=$O$7,$B894&lt;'111'!$N$11),"x","")</f>
        <v/>
      </c>
      <c r="R894" s="39" t="str">
        <f>IF(ISERROR(FIND('112'!$M$9,G894,1)),"",IF((AND(FIND('112'!$M$9,G894,1)&gt;=1,$B894&gt;='112'!$N$8,$B894&lt;='112'!$O$8,OR($L894='112'!$I$6,$M894='112'!$I$6))),"x",""))</f>
        <v/>
      </c>
      <c r="S894" s="39" t="str">
        <f>IF(ISERROR(FIND('112'!$M$9,G894,1)),"",IF((AND(LEFT(G894,2)=LEFT('112'!$M$9,2),B894&lt;'112'!$N$8,$L894='112'!$I$6)),"x",""))</f>
        <v/>
      </c>
      <c r="T894" s="39" t="str">
        <f>IF(ISERROR(FIND('112'!$M$9,G894,1)),"",IF((AND(RIGHT(G894,2)=RIGHT('112'!$M$9,2),B894&lt;'112'!$N$8,$M894='112'!$I$6)),"x",""))</f>
        <v/>
      </c>
      <c r="U894" s="39" t="str">
        <f>IF(AND('3411-CT'!$F$9=H894,OR(LEFT(L894,3)=$U$7,LEFT(M894,3)=$U$7)),"x","")</f>
        <v/>
      </c>
      <c r="V894" s="39" t="str">
        <f>IF(OR(TH!L894=TH!$V$7,M894=TH!$V$7),"x","")</f>
        <v/>
      </c>
      <c r="W894" s="39" t="str">
        <f>IF(AND(OR(L894="131",M894="131"),H894='131-CT'!$E$7),"x","")</f>
        <v/>
      </c>
      <c r="X894" s="39" t="str">
        <f>IF(AND(B894&gt;='IN-NX'!$P$3,B894&lt;='IN-NX'!$Q$3,'IN-NX'!$D$7=D894,OR(LEFT(TH!L894,2)="15",LEFT(TH!M894,2)="15")),"x","")</f>
        <v/>
      </c>
      <c r="Y894" s="39" t="str">
        <f>IF(AND(OR(LEFT(TH!L894,2)="15",LEFT(TH!M894,2)="15"),'152-CT'!$J$8=TH!F894),"x","")</f>
        <v/>
      </c>
      <c r="Z894" s="39" t="str">
        <f>IF(AND(OR(LEFT(TH!L894,2)="15",LEFT(TH!M894,2)="15"),TK!$E$7=TH!F894),"x","")</f>
        <v/>
      </c>
      <c r="AA894" s="39" t="str">
        <f>IF(AND(B894&lt;=NKC!$N$8,B894&gt;=NKC!$M$8),"x","")</f>
        <v/>
      </c>
    </row>
    <row r="895" spans="1:27" s="225" customFormat="1" ht="15.75" customHeight="1">
      <c r="A895" s="218" t="str">
        <f>IF(B895&lt;&gt;"",IF(AND(B895&gt;=_TM1,B895&lt;=_TM2,OR(TH!L895="1111",TH!M895="1111")),TH!D895,""),"")</f>
        <v/>
      </c>
      <c r="B895" s="36" t="str">
        <f t="shared" si="42"/>
        <v/>
      </c>
      <c r="C895" s="37"/>
      <c r="D895" s="204"/>
      <c r="E895" s="204"/>
      <c r="F895" s="205"/>
      <c r="G895" s="205"/>
      <c r="H895" s="206"/>
      <c r="I895" s="276"/>
      <c r="J895" s="276"/>
      <c r="K895" s="38"/>
      <c r="L895" s="207"/>
      <c r="M895" s="207"/>
      <c r="N895" s="39" t="str">
        <f>IF(AND('331-CT'!$E$7=TH!H895,OR(L895="331",M895="331")),"x","")</f>
        <v/>
      </c>
      <c r="O895" s="39" t="str">
        <f>IF(AND($B895&gt;='111'!$N$11,$B895&lt;='111'!$O$11,OR($L895=$O$7,$M895=$O$7)),"x","")</f>
        <v/>
      </c>
      <c r="P895" s="39" t="str">
        <f>IF(AND($L895=$O$7,$B895&lt;'111'!$N$11),"x","")</f>
        <v/>
      </c>
      <c r="Q895" s="39" t="str">
        <f>IF(AND($M895=$O$7,$B895&lt;'111'!$N$11),"x","")</f>
        <v/>
      </c>
      <c r="R895" s="39" t="str">
        <f>IF(ISERROR(FIND('112'!$M$9,G895,1)),"",IF((AND(FIND('112'!$M$9,G895,1)&gt;=1,$B895&gt;='112'!$N$8,$B895&lt;='112'!$O$8,OR($L895='112'!$I$6,$M895='112'!$I$6))),"x",""))</f>
        <v/>
      </c>
      <c r="S895" s="39" t="str">
        <f>IF(ISERROR(FIND('112'!$M$9,G895,1)),"",IF((AND(LEFT(G895,2)=LEFT('112'!$M$9,2),B895&lt;'112'!$N$8,$L895='112'!$I$6)),"x",""))</f>
        <v/>
      </c>
      <c r="T895" s="39" t="str">
        <f>IF(ISERROR(FIND('112'!$M$9,G895,1)),"",IF((AND(RIGHT(G895,2)=RIGHT('112'!$M$9,2),B895&lt;'112'!$N$8,$M895='112'!$I$6)),"x",""))</f>
        <v/>
      </c>
      <c r="U895" s="39" t="str">
        <f>IF(AND('3411-CT'!$F$9=H895,OR(LEFT(L895,3)=$U$7,LEFT(M895,3)=$U$7)),"x","")</f>
        <v/>
      </c>
      <c r="V895" s="39" t="str">
        <f>IF(OR(TH!L895=TH!$V$7,M895=TH!$V$7),"x","")</f>
        <v/>
      </c>
      <c r="W895" s="39" t="str">
        <f>IF(AND(OR(L895="131",M895="131"),H895='131-CT'!$E$7),"x","")</f>
        <v/>
      </c>
      <c r="X895" s="39" t="str">
        <f>IF(AND(B895&gt;='IN-NX'!$P$3,B895&lt;='IN-NX'!$Q$3,'IN-NX'!$D$7=D895,OR(LEFT(TH!L895,2)="15",LEFT(TH!M895,2)="15")),"x","")</f>
        <v/>
      </c>
      <c r="Y895" s="39" t="str">
        <f>IF(AND(OR(LEFT(TH!L895,2)="15",LEFT(TH!M895,2)="15"),'152-CT'!$J$8=TH!F895),"x","")</f>
        <v/>
      </c>
      <c r="Z895" s="39" t="str">
        <f>IF(AND(OR(LEFT(TH!L895,2)="15",LEFT(TH!M895,2)="15"),TK!$E$7=TH!F895),"x","")</f>
        <v/>
      </c>
      <c r="AA895" s="39" t="str">
        <f>IF(AND(B895&lt;=NKC!$N$8,B895&gt;=NKC!$M$8),"x","")</f>
        <v/>
      </c>
    </row>
    <row r="896" spans="1:27" s="225" customFormat="1" ht="15.75" customHeight="1">
      <c r="A896" s="218" t="str">
        <f>IF(B896&lt;&gt;"",IF(AND(B896&gt;=_TM1,B896&lt;=_TM2,OR(TH!L896="1111",TH!M896="1111")),TH!D896,""),"")</f>
        <v/>
      </c>
      <c r="B896" s="36" t="str">
        <f t="shared" si="42"/>
        <v/>
      </c>
      <c r="C896" s="37"/>
      <c r="D896" s="204"/>
      <c r="E896" s="204"/>
      <c r="F896" s="205"/>
      <c r="G896" s="205"/>
      <c r="H896" s="206"/>
      <c r="I896" s="276"/>
      <c r="J896" s="276"/>
      <c r="K896" s="38"/>
      <c r="L896" s="207"/>
      <c r="M896" s="207"/>
      <c r="N896" s="39" t="str">
        <f>IF(AND('331-CT'!$E$7=TH!H896,OR(L896="331",M896="331")),"x","")</f>
        <v/>
      </c>
      <c r="O896" s="39" t="str">
        <f>IF(AND($B896&gt;='111'!$N$11,$B896&lt;='111'!$O$11,OR($L896=$O$7,$M896=$O$7)),"x","")</f>
        <v/>
      </c>
      <c r="P896" s="39" t="str">
        <f>IF(AND($L896=$O$7,$B896&lt;'111'!$N$11),"x","")</f>
        <v/>
      </c>
      <c r="Q896" s="39" t="str">
        <f>IF(AND($M896=$O$7,$B896&lt;'111'!$N$11),"x","")</f>
        <v/>
      </c>
      <c r="R896" s="39" t="str">
        <f>IF(ISERROR(FIND('112'!$M$9,G896,1)),"",IF((AND(FIND('112'!$M$9,G896,1)&gt;=1,$B896&gt;='112'!$N$8,$B896&lt;='112'!$O$8,OR($L896='112'!$I$6,$M896='112'!$I$6))),"x",""))</f>
        <v/>
      </c>
      <c r="S896" s="39" t="str">
        <f>IF(ISERROR(FIND('112'!$M$9,G896,1)),"",IF((AND(LEFT(G896,2)=LEFT('112'!$M$9,2),B896&lt;'112'!$N$8,$L896='112'!$I$6)),"x",""))</f>
        <v/>
      </c>
      <c r="T896" s="39" t="str">
        <f>IF(ISERROR(FIND('112'!$M$9,G896,1)),"",IF((AND(RIGHT(G896,2)=RIGHT('112'!$M$9,2),B896&lt;'112'!$N$8,$M896='112'!$I$6)),"x",""))</f>
        <v/>
      </c>
      <c r="U896" s="39" t="str">
        <f>IF(AND('3411-CT'!$F$9=H896,OR(LEFT(L896,3)=$U$7,LEFT(M896,3)=$U$7)),"x","")</f>
        <v/>
      </c>
      <c r="V896" s="39" t="str">
        <f>IF(OR(TH!L896=TH!$V$7,M896=TH!$V$7),"x","")</f>
        <v/>
      </c>
      <c r="W896" s="39" t="str">
        <f>IF(AND(OR(L896="131",M896="131"),H896='131-CT'!$E$7),"x","")</f>
        <v/>
      </c>
      <c r="X896" s="39" t="str">
        <f>IF(AND(B896&gt;='IN-NX'!$P$3,B896&lt;='IN-NX'!$Q$3,'IN-NX'!$D$7=D896,OR(LEFT(TH!L896,2)="15",LEFT(TH!M896,2)="15")),"x","")</f>
        <v/>
      </c>
      <c r="Y896" s="39" t="str">
        <f>IF(AND(OR(LEFT(TH!L896,2)="15",LEFT(TH!M896,2)="15"),'152-CT'!$J$8=TH!F896),"x","")</f>
        <v/>
      </c>
      <c r="Z896" s="39" t="str">
        <f>IF(AND(OR(LEFT(TH!L896,2)="15",LEFT(TH!M896,2)="15"),TK!$E$7=TH!F896),"x","")</f>
        <v/>
      </c>
      <c r="AA896" s="39" t="str">
        <f>IF(AND(B896&lt;=NKC!$N$8,B896&gt;=NKC!$M$8),"x","")</f>
        <v/>
      </c>
    </row>
    <row r="897" spans="1:30" s="225" customFormat="1" ht="15.75" customHeight="1">
      <c r="A897" s="218" t="str">
        <f>IF(B897&lt;&gt;"",IF(AND(B897&gt;=_TM1,B897&lt;=_TM2,OR(TH!L897="1111",TH!M897="1111")),TH!D897,""),"")</f>
        <v/>
      </c>
      <c r="B897" s="36" t="str">
        <f t="shared" si="42"/>
        <v/>
      </c>
      <c r="C897" s="37"/>
      <c r="D897" s="204"/>
      <c r="E897" s="204"/>
      <c r="F897" s="205"/>
      <c r="G897" s="205"/>
      <c r="H897" s="7"/>
      <c r="I897" s="276"/>
      <c r="J897" s="276"/>
      <c r="K897" s="38"/>
      <c r="L897" s="207"/>
      <c r="M897" s="207"/>
      <c r="N897" s="39" t="str">
        <f>IF(AND('331-CT'!$E$7=TH!H897,OR(L897="331",M897="331")),"x","")</f>
        <v/>
      </c>
      <c r="O897" s="39" t="str">
        <f>IF(AND($B897&gt;='111'!$N$11,$B897&lt;='111'!$O$11,OR($L897=$O$7,$M897=$O$7)),"x","")</f>
        <v/>
      </c>
      <c r="P897" s="39" t="str">
        <f>IF(AND($L897=$O$7,$B897&lt;'111'!$N$11),"x","")</f>
        <v/>
      </c>
      <c r="Q897" s="39" t="str">
        <f>IF(AND($M897=$O$7,$B897&lt;'111'!$N$11),"x","")</f>
        <v/>
      </c>
      <c r="R897" s="39" t="str">
        <f>IF(ISERROR(FIND('112'!$M$9,G897,1)),"",IF((AND(FIND('112'!$M$9,G897,1)&gt;=1,$B897&gt;='112'!$N$8,$B897&lt;='112'!$O$8,OR($L897='112'!$I$6,$M897='112'!$I$6))),"x",""))</f>
        <v/>
      </c>
      <c r="S897" s="39" t="str">
        <f>IF(ISERROR(FIND('112'!$M$9,G897,1)),"",IF((AND(LEFT(G897,2)=LEFT('112'!$M$9,2),B897&lt;'112'!$N$8,$L897='112'!$I$6)),"x",""))</f>
        <v/>
      </c>
      <c r="T897" s="39" t="str">
        <f>IF(ISERROR(FIND('112'!$M$9,G897,1)),"",IF((AND(RIGHT(G897,2)=RIGHT('112'!$M$9,2),B897&lt;'112'!$N$8,$M897='112'!$I$6)),"x",""))</f>
        <v/>
      </c>
      <c r="U897" s="39" t="str">
        <f>IF(AND('3411-CT'!$F$9=H897,OR(LEFT(L897,3)=$U$7,LEFT(M897,3)=$U$7)),"x","")</f>
        <v/>
      </c>
      <c r="V897" s="39" t="str">
        <f>IF(OR(TH!L897=TH!$V$7,M897=TH!$V$7),"x","")</f>
        <v/>
      </c>
      <c r="W897" s="39" t="str">
        <f>IF(AND(OR(L897="131",M897="131"),H897='131-CT'!$E$7),"x","")</f>
        <v/>
      </c>
      <c r="X897" s="39" t="str">
        <f>IF(AND(B897&gt;='IN-NX'!$P$3,B897&lt;='IN-NX'!$Q$3,'IN-NX'!$D$7=D897,OR(LEFT(TH!L897,2)="15",LEFT(TH!M897,2)="15")),"x","")</f>
        <v/>
      </c>
      <c r="Y897" s="39" t="str">
        <f>IF(AND(OR(LEFT(TH!L897,2)="15",LEFT(TH!M897,2)="15"),'152-CT'!$J$8=TH!F897),"x","")</f>
        <v/>
      </c>
      <c r="Z897" s="39" t="str">
        <f>IF(AND(OR(LEFT(TH!L897,2)="15",LEFT(TH!M897,2)="15"),TK!$E$7=TH!F897),"x","")</f>
        <v/>
      </c>
      <c r="AA897" s="39" t="str">
        <f>IF(AND(B897&lt;=NKC!$N$8,B897&gt;=NKC!$M$8),"x","")</f>
        <v/>
      </c>
      <c r="AD897" s="739"/>
    </row>
    <row r="898" spans="1:30" s="225" customFormat="1" ht="15.75" customHeight="1">
      <c r="A898" s="218" t="str">
        <f>IF(B898&lt;&gt;"",IF(AND(B898&gt;=_TM1,B898&lt;=_TM2,OR(TH!L898="1111",TH!M898="1111")),TH!D898,""),"")</f>
        <v/>
      </c>
      <c r="B898" s="36" t="str">
        <f t="shared" si="42"/>
        <v/>
      </c>
      <c r="C898" s="37"/>
      <c r="D898" s="204"/>
      <c r="E898" s="204"/>
      <c r="F898" s="205"/>
      <c r="G898" s="205"/>
      <c r="H898" s="206"/>
      <c r="I898" s="276"/>
      <c r="J898" s="276"/>
      <c r="K898" s="38"/>
      <c r="L898" s="207"/>
      <c r="M898" s="207"/>
      <c r="N898" s="39" t="str">
        <f>IF(AND('331-CT'!$E$7=TH!H898,OR(L898="331",M898="331")),"x","")</f>
        <v/>
      </c>
      <c r="O898" s="39" t="str">
        <f>IF(AND($B898&gt;='111'!$N$11,$B898&lt;='111'!$O$11,OR($L898=$O$7,$M898=$O$7)),"x","")</f>
        <v/>
      </c>
      <c r="P898" s="39" t="str">
        <f>IF(AND($L898=$O$7,$B898&lt;'111'!$N$11),"x","")</f>
        <v/>
      </c>
      <c r="Q898" s="39" t="str">
        <f>IF(AND($M898=$O$7,$B898&lt;'111'!$N$11),"x","")</f>
        <v/>
      </c>
      <c r="R898" s="39" t="str">
        <f>IF(ISERROR(FIND('112'!$M$9,G898,1)),"",IF((AND(FIND('112'!$M$9,G898,1)&gt;=1,$B898&gt;='112'!$N$8,$B898&lt;='112'!$O$8,OR($L898='112'!$I$6,$M898='112'!$I$6))),"x",""))</f>
        <v/>
      </c>
      <c r="S898" s="39" t="str">
        <f>IF(ISERROR(FIND('112'!$M$9,G898,1)),"",IF((AND(LEFT(G898,2)=LEFT('112'!$M$9,2),B898&lt;'112'!$N$8,$L898='112'!$I$6)),"x",""))</f>
        <v/>
      </c>
      <c r="T898" s="39" t="str">
        <f>IF(ISERROR(FIND('112'!$M$9,G898,1)),"",IF((AND(RIGHT(G898,2)=RIGHT('112'!$M$9,2),B898&lt;'112'!$N$8,$M898='112'!$I$6)),"x",""))</f>
        <v/>
      </c>
      <c r="U898" s="39" t="str">
        <f>IF(AND('3411-CT'!$F$9=H898,OR(LEFT(L898,3)=$U$7,LEFT(M898,3)=$U$7)),"x","")</f>
        <v/>
      </c>
      <c r="V898" s="39" t="str">
        <f>IF(OR(TH!L898=TH!$V$7,M898=TH!$V$7),"x","")</f>
        <v/>
      </c>
      <c r="W898" s="39" t="str">
        <f>IF(AND(OR(L898="131",M898="131"),H898='131-CT'!$E$7),"x","")</f>
        <v/>
      </c>
      <c r="X898" s="39" t="str">
        <f>IF(AND(B898&gt;='IN-NX'!$P$3,B898&lt;='IN-NX'!$Q$3,'IN-NX'!$D$7=D898,OR(LEFT(TH!L898,2)="15",LEFT(TH!M898,2)="15")),"x","")</f>
        <v/>
      </c>
      <c r="Y898" s="39" t="str">
        <f>IF(AND(OR(LEFT(TH!L898,2)="15",LEFT(TH!M898,2)="15"),'152-CT'!$J$8=TH!F898),"x","")</f>
        <v/>
      </c>
      <c r="Z898" s="39" t="str">
        <f>IF(AND(OR(LEFT(TH!L898,2)="15",LEFT(TH!M898,2)="15"),TK!$E$7=TH!F898),"x","")</f>
        <v/>
      </c>
      <c r="AA898" s="39" t="str">
        <f>IF(AND(B898&lt;=NKC!$N$8,B898&gt;=NKC!$M$8),"x","")</f>
        <v/>
      </c>
    </row>
    <row r="899" spans="1:30" s="225" customFormat="1" ht="15.75" customHeight="1">
      <c r="A899" s="218" t="str">
        <f>IF(B899&lt;&gt;"",IF(AND(B899&gt;=_TM1,B899&lt;=_TM2,OR(TH!L899="1111",TH!M899="1111")),TH!D899,""),"")</f>
        <v/>
      </c>
      <c r="B899" s="36" t="str">
        <f t="shared" si="42"/>
        <v/>
      </c>
      <c r="C899" s="37"/>
      <c r="D899" s="204"/>
      <c r="E899" s="204"/>
      <c r="F899" s="205"/>
      <c r="G899" s="205"/>
      <c r="H899" s="206"/>
      <c r="I899" s="276"/>
      <c r="J899" s="276"/>
      <c r="K899" s="38"/>
      <c r="L899" s="207"/>
      <c r="M899" s="207"/>
      <c r="N899" s="39" t="str">
        <f>IF(AND('331-CT'!$E$7=TH!H899,OR(L899="331",M899="331")),"x","")</f>
        <v/>
      </c>
      <c r="O899" s="39" t="str">
        <f>IF(AND($B899&gt;='111'!$N$11,$B899&lt;='111'!$O$11,OR($L899=$O$7,$M899=$O$7)),"x","")</f>
        <v/>
      </c>
      <c r="P899" s="39" t="str">
        <f>IF(AND($L899=$O$7,$B899&lt;'111'!$N$11),"x","")</f>
        <v/>
      </c>
      <c r="Q899" s="39" t="str">
        <f>IF(AND($M899=$O$7,$B899&lt;'111'!$N$11),"x","")</f>
        <v/>
      </c>
      <c r="R899" s="39" t="str">
        <f>IF(ISERROR(FIND('112'!$M$9,G899,1)),"",IF((AND(FIND('112'!$M$9,G899,1)&gt;=1,$B899&gt;='112'!$N$8,$B899&lt;='112'!$O$8,OR($L899='112'!$I$6,$M899='112'!$I$6))),"x",""))</f>
        <v/>
      </c>
      <c r="S899" s="39" t="str">
        <f>IF(ISERROR(FIND('112'!$M$9,G899,1)),"",IF((AND(LEFT(G899,2)=LEFT('112'!$M$9,2),B899&lt;'112'!$N$8,$L899='112'!$I$6)),"x",""))</f>
        <v/>
      </c>
      <c r="T899" s="39" t="str">
        <f>IF(ISERROR(FIND('112'!$M$9,G899,1)),"",IF((AND(RIGHT(G899,2)=RIGHT('112'!$M$9,2),B899&lt;'112'!$N$8,$M899='112'!$I$6)),"x",""))</f>
        <v/>
      </c>
      <c r="U899" s="39" t="str">
        <f>IF(AND('3411-CT'!$F$9=H899,OR(LEFT(L899,3)=$U$7,LEFT(M899,3)=$U$7)),"x","")</f>
        <v/>
      </c>
      <c r="V899" s="39" t="str">
        <f>IF(OR(TH!L899=TH!$V$7,M899=TH!$V$7),"x","")</f>
        <v/>
      </c>
      <c r="W899" s="39" t="str">
        <f>IF(AND(OR(L899="131",M899="131"),H899='131-CT'!$E$7),"x","")</f>
        <v/>
      </c>
      <c r="X899" s="39" t="str">
        <f>IF(AND(B899&gt;='IN-NX'!$P$3,B899&lt;='IN-NX'!$Q$3,'IN-NX'!$D$7=D899,OR(LEFT(TH!L899,2)="15",LEFT(TH!M899,2)="15")),"x","")</f>
        <v/>
      </c>
      <c r="Y899" s="39" t="str">
        <f>IF(AND(OR(LEFT(TH!L899,2)="15",LEFT(TH!M899,2)="15"),'152-CT'!$J$8=TH!F899),"x","")</f>
        <v/>
      </c>
      <c r="Z899" s="39" t="str">
        <f>IF(AND(OR(LEFT(TH!L899,2)="15",LEFT(TH!M899,2)="15"),TK!$E$7=TH!F899),"x","")</f>
        <v/>
      </c>
      <c r="AA899" s="39" t="str">
        <f>IF(AND(B899&lt;=NKC!$N$8,B899&gt;=NKC!$M$8),"x","")</f>
        <v/>
      </c>
    </row>
    <row r="900" spans="1:30" s="225" customFormat="1" ht="15.75" customHeight="1">
      <c r="A900" s="218" t="str">
        <f>IF(B900&lt;&gt;"",IF(AND(B900&gt;=_TM1,B900&lt;=_TM2,OR(TH!L900="1111",TH!M900="1111")),TH!D900,""),"")</f>
        <v/>
      </c>
      <c r="B900" s="36" t="str">
        <f t="shared" si="42"/>
        <v/>
      </c>
      <c r="C900" s="37"/>
      <c r="D900" s="204"/>
      <c r="E900" s="204"/>
      <c r="F900" s="205"/>
      <c r="G900" s="205"/>
      <c r="H900" s="47"/>
      <c r="I900" s="276"/>
      <c r="J900" s="276"/>
      <c r="K900" s="38"/>
      <c r="L900" s="207"/>
      <c r="M900" s="207"/>
      <c r="N900" s="39" t="str">
        <f>IF(AND('331-CT'!$E$7=TH!H900,OR(L900="331",M900="331")),"x","")</f>
        <v/>
      </c>
      <c r="O900" s="39" t="str">
        <f>IF(AND($B900&gt;='111'!$N$11,$B900&lt;='111'!$O$11,OR($L900=$O$7,$M900=$O$7)),"x","")</f>
        <v/>
      </c>
      <c r="P900" s="39" t="str">
        <f>IF(AND($L900=$O$7,$B900&lt;'111'!$N$11),"x","")</f>
        <v/>
      </c>
      <c r="Q900" s="39" t="str">
        <f>IF(AND($M900=$O$7,$B900&lt;'111'!$N$11),"x","")</f>
        <v/>
      </c>
      <c r="R900" s="39" t="str">
        <f>IF(ISERROR(FIND('112'!$M$9,G900,1)),"",IF((AND(FIND('112'!$M$9,G900,1)&gt;=1,$B900&gt;='112'!$N$8,$B900&lt;='112'!$O$8,OR($L900='112'!$I$6,$M900='112'!$I$6))),"x",""))</f>
        <v/>
      </c>
      <c r="S900" s="39" t="str">
        <f>IF(ISERROR(FIND('112'!$M$9,G900,1)),"",IF((AND(LEFT(G900,2)=LEFT('112'!$M$9,2),B900&lt;'112'!$N$8,$L900='112'!$I$6)),"x",""))</f>
        <v/>
      </c>
      <c r="T900" s="39" t="str">
        <f>IF(ISERROR(FIND('112'!$M$9,G900,1)),"",IF((AND(RIGHT(G900,2)=RIGHT('112'!$M$9,2),B900&lt;'112'!$N$8,$M900='112'!$I$6)),"x",""))</f>
        <v/>
      </c>
      <c r="U900" s="39" t="str">
        <f>IF(AND('3411-CT'!$F$9=H900,OR(LEFT(L900,3)=$U$7,LEFT(M900,3)=$U$7)),"x","")</f>
        <v/>
      </c>
      <c r="V900" s="39" t="str">
        <f>IF(OR(TH!L900=TH!$V$7,M900=TH!$V$7),"x","")</f>
        <v/>
      </c>
      <c r="W900" s="39" t="str">
        <f>IF(AND(OR(L900="131",M900="131"),H900='131-CT'!$E$7),"x","")</f>
        <v/>
      </c>
      <c r="X900" s="39" t="str">
        <f>IF(AND(B900&gt;='IN-NX'!$P$3,B900&lt;='IN-NX'!$Q$3,'IN-NX'!$D$7=D900,OR(LEFT(TH!L900,2)="15",LEFT(TH!M900,2)="15")),"x","")</f>
        <v/>
      </c>
      <c r="Y900" s="39" t="str">
        <f>IF(AND(OR(LEFT(TH!L900,2)="15",LEFT(TH!M900,2)="15"),'152-CT'!$J$8=TH!F900),"x","")</f>
        <v/>
      </c>
      <c r="Z900" s="39" t="str">
        <f>IF(AND(OR(LEFT(TH!L900,2)="15",LEFT(TH!M900,2)="15"),TK!$E$7=TH!F900),"x","")</f>
        <v/>
      </c>
      <c r="AA900" s="39" t="str">
        <f>IF(AND(B900&lt;=NKC!$N$8,B900&gt;=NKC!$M$8),"x","")</f>
        <v/>
      </c>
      <c r="AD900" s="739"/>
    </row>
    <row r="901" spans="1:30" s="225" customFormat="1" ht="15.75" customHeight="1">
      <c r="A901" s="218" t="str">
        <f>IF(B901&lt;&gt;"",IF(AND(B901&gt;=_TM1,B901&lt;=_TM2,OR(TH!L901="1111",TH!M901="1111")),TH!D901,""),"")</f>
        <v/>
      </c>
      <c r="B901" s="36" t="str">
        <f t="shared" si="42"/>
        <v/>
      </c>
      <c r="C901" s="37"/>
      <c r="D901" s="204"/>
      <c r="E901" s="204"/>
      <c r="F901" s="205"/>
      <c r="G901" s="205"/>
      <c r="H901" s="206"/>
      <c r="I901" s="276"/>
      <c r="J901" s="276"/>
      <c r="K901" s="38"/>
      <c r="L901" s="207"/>
      <c r="M901" s="207"/>
      <c r="N901" s="39" t="str">
        <f>IF(AND('331-CT'!$E$7=TH!H901,OR(L901="331",M901="331")),"x","")</f>
        <v/>
      </c>
      <c r="O901" s="39" t="str">
        <f>IF(AND($B901&gt;='111'!$N$11,$B901&lt;='111'!$O$11,OR($L901=$O$7,$M901=$O$7)),"x","")</f>
        <v/>
      </c>
      <c r="P901" s="39" t="str">
        <f>IF(AND($L901=$O$7,$B901&lt;'111'!$N$11),"x","")</f>
        <v/>
      </c>
      <c r="Q901" s="39" t="str">
        <f>IF(AND($M901=$O$7,$B901&lt;'111'!$N$11),"x","")</f>
        <v/>
      </c>
      <c r="R901" s="39" t="str">
        <f>IF(ISERROR(FIND('112'!$M$9,G901,1)),"",IF((AND(FIND('112'!$M$9,G901,1)&gt;=1,$B901&gt;='112'!$N$8,$B901&lt;='112'!$O$8,OR($L901='112'!$I$6,$M901='112'!$I$6))),"x",""))</f>
        <v/>
      </c>
      <c r="S901" s="39" t="str">
        <f>IF(ISERROR(FIND('112'!$M$9,G901,1)),"",IF((AND(LEFT(G901,2)=LEFT('112'!$M$9,2),B901&lt;'112'!$N$8,$L901='112'!$I$6)),"x",""))</f>
        <v/>
      </c>
      <c r="T901" s="39" t="str">
        <f>IF(ISERROR(FIND('112'!$M$9,G901,1)),"",IF((AND(RIGHT(G901,2)=RIGHT('112'!$M$9,2),B901&lt;'112'!$N$8,$M901='112'!$I$6)),"x",""))</f>
        <v/>
      </c>
      <c r="U901" s="39" t="str">
        <f>IF(AND('3411-CT'!$F$9=H901,OR(LEFT(L901,3)=$U$7,LEFT(M901,3)=$U$7)),"x","")</f>
        <v/>
      </c>
      <c r="V901" s="39" t="str">
        <f>IF(OR(TH!L901=TH!$V$7,M901=TH!$V$7),"x","")</f>
        <v/>
      </c>
      <c r="W901" s="39" t="str">
        <f>IF(AND(OR(L901="131",M901="131"),H901='131-CT'!$E$7),"x","")</f>
        <v/>
      </c>
      <c r="X901" s="39" t="str">
        <f>IF(AND(B901&gt;='IN-NX'!$P$3,B901&lt;='IN-NX'!$Q$3,'IN-NX'!$D$7=D901,OR(LEFT(TH!L901,2)="15",LEFT(TH!M901,2)="15")),"x","")</f>
        <v/>
      </c>
      <c r="Y901" s="39" t="str">
        <f>IF(AND(OR(LEFT(TH!L901,2)="15",LEFT(TH!M901,2)="15"),'152-CT'!$J$8=TH!F901),"x","")</f>
        <v/>
      </c>
      <c r="Z901" s="39" t="str">
        <f>IF(AND(OR(LEFT(TH!L901,2)="15",LEFT(TH!M901,2)="15"),TK!$E$7=TH!F901),"x","")</f>
        <v/>
      </c>
      <c r="AA901" s="39" t="str">
        <f>IF(AND(B901&lt;=NKC!$N$8,B901&gt;=NKC!$M$8),"x","")</f>
        <v/>
      </c>
      <c r="AD901" s="739"/>
    </row>
    <row r="902" spans="1:30" s="225" customFormat="1" ht="15.75" customHeight="1">
      <c r="A902" s="218" t="str">
        <f>IF(B902&lt;&gt;"",IF(AND(B902&gt;=_TM1,B902&lt;=_TM2,OR(TH!L902="1111",TH!M902="1111")),TH!D902,""),"")</f>
        <v/>
      </c>
      <c r="B902" s="36" t="str">
        <f t="shared" si="42"/>
        <v/>
      </c>
      <c r="C902" s="37"/>
      <c r="D902" s="37"/>
      <c r="E902" s="37"/>
      <c r="F902" s="40"/>
      <c r="G902" s="626"/>
      <c r="H902" s="224"/>
      <c r="I902" s="277"/>
      <c r="J902" s="277"/>
      <c r="K902" s="38"/>
      <c r="L902" s="207"/>
      <c r="M902" s="39"/>
      <c r="N902" s="39" t="str">
        <f>IF(AND('331-CT'!$E$7=TH!H902,OR(L902="331",M902="331")),"x","")</f>
        <v/>
      </c>
      <c r="O902" s="39" t="str">
        <f>IF(AND($B902&gt;='111'!$N$11,$B902&lt;='111'!$O$11,OR($L902=$O$7,$M902=$O$7)),"x","")</f>
        <v/>
      </c>
      <c r="P902" s="39" t="str">
        <f>IF(AND($L902=$O$7,$B902&lt;'111'!$N$11),"x","")</f>
        <v/>
      </c>
      <c r="Q902" s="39" t="str">
        <f>IF(AND($M902=$O$7,$B902&lt;'111'!$N$11),"x","")</f>
        <v/>
      </c>
      <c r="R902" s="39" t="str">
        <f>IF(ISERROR(FIND('112'!$M$9,G902,1)),"",IF((AND(FIND('112'!$M$9,G902,1)&gt;=1,$B902&gt;='112'!$N$8,$B902&lt;='112'!$O$8,OR($L902='112'!$I$6,$M902='112'!$I$6))),"x",""))</f>
        <v/>
      </c>
      <c r="S902" s="39" t="str">
        <f>IF(ISERROR(FIND('112'!$M$9,G902,1)),"",IF((AND(LEFT(G902,2)=LEFT('112'!$M$9,2),B902&lt;'112'!$N$8,$L902='112'!$I$6)),"x",""))</f>
        <v/>
      </c>
      <c r="T902" s="39" t="str">
        <f>IF(ISERROR(FIND('112'!$M$9,G902,1)),"",IF((AND(RIGHT(G902,2)=RIGHT('112'!$M$9,2),B902&lt;'112'!$N$8,$M902='112'!$I$6)),"x",""))</f>
        <v/>
      </c>
      <c r="U902" s="39" t="str">
        <f>IF(AND('3411-CT'!$F$9=H902,OR(LEFT(L902,3)=$U$7,LEFT(M902,3)=$U$7)),"x","")</f>
        <v/>
      </c>
      <c r="V902" s="39" t="str">
        <f>IF(OR(TH!L902=TH!$V$7,M902=TH!$V$7),"x","")</f>
        <v/>
      </c>
      <c r="W902" s="39" t="str">
        <f>IF(AND(OR(L902="131",M902="131"),H902='131-CT'!$E$7),"x","")</f>
        <v/>
      </c>
      <c r="X902" s="39" t="str">
        <f>IF(AND(B902&gt;='IN-NX'!$P$3,B902&lt;='IN-NX'!$Q$3,'IN-NX'!$D$7=D902,OR(LEFT(TH!L902,2)="15",LEFT(TH!M902,2)="15")),"x","")</f>
        <v/>
      </c>
      <c r="Y902" s="39" t="str">
        <f>IF(AND(OR(LEFT(TH!L902,2)="15",LEFT(TH!M902,2)="15"),'152-CT'!$J$8=TH!F902),"x","")</f>
        <v/>
      </c>
      <c r="Z902" s="39" t="str">
        <f>IF(AND(OR(LEFT(TH!L902,2)="15",LEFT(TH!M902,2)="15"),TK!$E$7=TH!F902),"x","")</f>
        <v/>
      </c>
      <c r="AA902" s="39" t="str">
        <f>IF(AND(B902&lt;=NKC!$N$8,B902&gt;=NKC!$M$8),"x","")</f>
        <v/>
      </c>
    </row>
    <row r="903" spans="1:30" s="225" customFormat="1" ht="15.75" customHeight="1">
      <c r="A903" s="218" t="str">
        <f>IF(B903&lt;&gt;"",IF(AND(B903&gt;=_TM1,B903&lt;=_TM2,OR(TH!L903="1111",TH!M903="1111")),TH!D903,""),"")</f>
        <v/>
      </c>
      <c r="B903" s="36" t="str">
        <f t="shared" si="42"/>
        <v/>
      </c>
      <c r="C903" s="37"/>
      <c r="D903" s="37"/>
      <c r="E903" s="37"/>
      <c r="F903" s="40"/>
      <c r="G903" s="626"/>
      <c r="H903" s="224"/>
      <c r="I903" s="277"/>
      <c r="J903" s="277"/>
      <c r="K903" s="38"/>
      <c r="L903" s="207"/>
      <c r="M903" s="39"/>
      <c r="N903" s="39" t="str">
        <f>IF(AND('331-CT'!$E$7=TH!H903,OR(L903="331",M903="331")),"x","")</f>
        <v/>
      </c>
      <c r="O903" s="39" t="str">
        <f>IF(AND($B903&gt;='111'!$N$11,$B903&lt;='111'!$O$11,OR($L903=$O$7,$M903=$O$7)),"x","")</f>
        <v/>
      </c>
      <c r="P903" s="39" t="str">
        <f>IF(AND($L903=$O$7,$B903&lt;'111'!$N$11),"x","")</f>
        <v/>
      </c>
      <c r="Q903" s="39" t="str">
        <f>IF(AND($M903=$O$7,$B903&lt;'111'!$N$11),"x","")</f>
        <v/>
      </c>
      <c r="R903" s="39" t="str">
        <f>IF(ISERROR(FIND('112'!$M$9,G903,1)),"",IF((AND(FIND('112'!$M$9,G903,1)&gt;=1,$B903&gt;='112'!$N$8,$B903&lt;='112'!$O$8,OR($L903='112'!$I$6,$M903='112'!$I$6))),"x",""))</f>
        <v/>
      </c>
      <c r="S903" s="39" t="str">
        <f>IF(ISERROR(FIND('112'!$M$9,G903,1)),"",IF((AND(LEFT(G903,2)=LEFT('112'!$M$9,2),B903&lt;'112'!$N$8,$L903='112'!$I$6)),"x",""))</f>
        <v/>
      </c>
      <c r="T903" s="39" t="str">
        <f>IF(ISERROR(FIND('112'!$M$9,G903,1)),"",IF((AND(RIGHT(G903,2)=RIGHT('112'!$M$9,2),B903&lt;'112'!$N$8,$M903='112'!$I$6)),"x",""))</f>
        <v/>
      </c>
      <c r="U903" s="39" t="str">
        <f>IF(AND('3411-CT'!$F$9=H903,OR(LEFT(L903,3)=$U$7,LEFT(M903,3)=$U$7)),"x","")</f>
        <v/>
      </c>
      <c r="V903" s="39" t="str">
        <f>IF(OR(TH!L903=TH!$V$7,M903=TH!$V$7),"x","")</f>
        <v/>
      </c>
      <c r="W903" s="39" t="str">
        <f>IF(AND(OR(L903="131",M903="131"),H903='131-CT'!$E$7),"x","")</f>
        <v/>
      </c>
      <c r="X903" s="39" t="str">
        <f>IF(AND(B903&gt;='IN-NX'!$P$3,B903&lt;='IN-NX'!$Q$3,'IN-NX'!$D$7=D903,OR(LEFT(TH!L903,2)="15",LEFT(TH!M903,2)="15")),"x","")</f>
        <v/>
      </c>
      <c r="Y903" s="39" t="str">
        <f>IF(AND(OR(LEFT(TH!L903,2)="15",LEFT(TH!M903,2)="15"),'152-CT'!$J$8=TH!F903),"x","")</f>
        <v/>
      </c>
      <c r="Z903" s="39" t="str">
        <f>IF(AND(OR(LEFT(TH!L903,2)="15",LEFT(TH!M903,2)="15"),TK!$E$7=TH!F903),"x","")</f>
        <v/>
      </c>
      <c r="AA903" s="39" t="str">
        <f>IF(AND(B903&lt;=NKC!$N$8,B903&gt;=NKC!$M$8),"x","")</f>
        <v/>
      </c>
    </row>
    <row r="904" spans="1:30" s="225" customFormat="1" ht="15.75" customHeight="1">
      <c r="A904" s="218" t="str">
        <f>IF(B904&lt;&gt;"",IF(AND(B904&gt;=_TM1,B904&lt;=_TM2,OR(TH!L904="1111",TH!M904="1111")),TH!D904,""),"")</f>
        <v/>
      </c>
      <c r="B904" s="36" t="str">
        <f t="shared" si="42"/>
        <v/>
      </c>
      <c r="C904" s="37"/>
      <c r="D904" s="204"/>
      <c r="E904" s="204"/>
      <c r="F904" s="205"/>
      <c r="G904" s="205"/>
      <c r="H904" s="206"/>
      <c r="I904" s="276"/>
      <c r="J904" s="276"/>
      <c r="K904" s="38"/>
      <c r="L904" s="207"/>
      <c r="M904" s="207"/>
      <c r="N904" s="39" t="str">
        <f>IF(AND('331-CT'!$E$7=TH!H904,OR(L904="331",M904="331")),"x","")</f>
        <v/>
      </c>
      <c r="O904" s="39" t="str">
        <f>IF(AND($B904&gt;='111'!$N$11,$B904&lt;='111'!$O$11,OR($L904=$O$7,$M904=$O$7)),"x","")</f>
        <v/>
      </c>
      <c r="P904" s="39" t="str">
        <f>IF(AND($L904=$O$7,$B904&lt;'111'!$N$11),"x","")</f>
        <v/>
      </c>
      <c r="Q904" s="39" t="str">
        <f>IF(AND($M904=$O$7,$B904&lt;'111'!$N$11),"x","")</f>
        <v/>
      </c>
      <c r="R904" s="39" t="str">
        <f>IF(ISERROR(FIND('112'!$M$9,G904,1)),"",IF((AND(FIND('112'!$M$9,G904,1)&gt;=1,$B904&gt;='112'!$N$8,$B904&lt;='112'!$O$8,OR($L904='112'!$I$6,$M904='112'!$I$6))),"x",""))</f>
        <v/>
      </c>
      <c r="S904" s="39" t="str">
        <f>IF(ISERROR(FIND('112'!$M$9,G904,1)),"",IF((AND(LEFT(G904,2)=LEFT('112'!$M$9,2),B904&lt;'112'!$N$8,$L904='112'!$I$6)),"x",""))</f>
        <v/>
      </c>
      <c r="T904" s="39" t="str">
        <f>IF(ISERROR(FIND('112'!$M$9,G904,1)),"",IF((AND(RIGHT(G904,2)=RIGHT('112'!$M$9,2),B904&lt;'112'!$N$8,$M904='112'!$I$6)),"x",""))</f>
        <v/>
      </c>
      <c r="U904" s="39" t="str">
        <f>IF(AND('3411-CT'!$F$9=H904,OR(LEFT(L904,3)=$U$7,LEFT(M904,3)=$U$7)),"x","")</f>
        <v/>
      </c>
      <c r="V904" s="39" t="str">
        <f>IF(OR(TH!L904=TH!$V$7,M904=TH!$V$7),"x","")</f>
        <v/>
      </c>
      <c r="W904" s="39" t="str">
        <f>IF(AND(OR(L904="131",M904="131"),H904='131-CT'!$E$7),"x","")</f>
        <v/>
      </c>
      <c r="X904" s="39" t="str">
        <f>IF(AND(B904&gt;='IN-NX'!$P$3,B904&lt;='IN-NX'!$Q$3,'IN-NX'!$D$7=D904,OR(LEFT(TH!L904,2)="15",LEFT(TH!M904,2)="15")),"x","")</f>
        <v/>
      </c>
      <c r="Y904" s="39" t="str">
        <f>IF(AND(OR(LEFT(TH!L904,2)="15",LEFT(TH!M904,2)="15"),'152-CT'!$J$8=TH!F904),"x","")</f>
        <v/>
      </c>
      <c r="Z904" s="39" t="str">
        <f>IF(AND(OR(LEFT(TH!L904,2)="15",LEFT(TH!M904,2)="15"),TK!$E$7=TH!F904),"x","")</f>
        <v/>
      </c>
      <c r="AA904" s="39" t="str">
        <f>IF(AND(B904&lt;=NKC!$N$8,B904&gt;=NKC!$M$8),"x","")</f>
        <v/>
      </c>
    </row>
    <row r="905" spans="1:30" s="225" customFormat="1" ht="15.75" customHeight="1">
      <c r="A905" s="218" t="str">
        <f>IF(B905&lt;&gt;"",IF(AND(B905&gt;=_TM1,B905&lt;=_TM2,OR(TH!L905="1111",TH!M905="1111")),TH!D905,""),"")</f>
        <v/>
      </c>
      <c r="B905" s="36" t="str">
        <f t="shared" si="42"/>
        <v/>
      </c>
      <c r="C905" s="37"/>
      <c r="D905" s="204"/>
      <c r="E905" s="204"/>
      <c r="F905" s="205"/>
      <c r="G905" s="205"/>
      <c r="H905" s="206"/>
      <c r="I905" s="276"/>
      <c r="J905" s="276"/>
      <c r="K905" s="38"/>
      <c r="L905" s="207"/>
      <c r="M905" s="207"/>
      <c r="N905" s="39" t="str">
        <f>IF(AND('331-CT'!$E$7=TH!H905,OR(L905="331",M905="331")),"x","")</f>
        <v/>
      </c>
      <c r="O905" s="39" t="str">
        <f>IF(AND($B905&gt;='111'!$N$11,$B905&lt;='111'!$O$11,OR($L905=$O$7,$M905=$O$7)),"x","")</f>
        <v/>
      </c>
      <c r="P905" s="39" t="str">
        <f>IF(AND($L905=$O$7,$B905&lt;'111'!$N$11),"x","")</f>
        <v/>
      </c>
      <c r="Q905" s="39" t="str">
        <f>IF(AND($M905=$O$7,$B905&lt;'111'!$N$11),"x","")</f>
        <v/>
      </c>
      <c r="R905" s="39" t="str">
        <f>IF(ISERROR(FIND('112'!$M$9,G905,1)),"",IF((AND(FIND('112'!$M$9,G905,1)&gt;=1,$B905&gt;='112'!$N$8,$B905&lt;='112'!$O$8,OR($L905='112'!$I$6,$M905='112'!$I$6))),"x",""))</f>
        <v/>
      </c>
      <c r="S905" s="39" t="str">
        <f>IF(ISERROR(FIND('112'!$M$9,G905,1)),"",IF((AND(LEFT(G905,2)=LEFT('112'!$M$9,2),B905&lt;'112'!$N$8,$L905='112'!$I$6)),"x",""))</f>
        <v/>
      </c>
      <c r="T905" s="39" t="str">
        <f>IF(ISERROR(FIND('112'!$M$9,G905,1)),"",IF((AND(RIGHT(G905,2)=RIGHT('112'!$M$9,2),B905&lt;'112'!$N$8,$M905='112'!$I$6)),"x",""))</f>
        <v/>
      </c>
      <c r="U905" s="39" t="str">
        <f>IF(AND('3411-CT'!$F$9=H905,OR(LEFT(L905,3)=$U$7,LEFT(M905,3)=$U$7)),"x","")</f>
        <v/>
      </c>
      <c r="V905" s="39" t="str">
        <f>IF(OR(TH!L905=TH!$V$7,M905=TH!$V$7),"x","")</f>
        <v/>
      </c>
      <c r="W905" s="39" t="str">
        <f>IF(AND(OR(L905="131",M905="131"),H905='131-CT'!$E$7),"x","")</f>
        <v/>
      </c>
      <c r="X905" s="39" t="str">
        <f>IF(AND(B905&gt;='IN-NX'!$P$3,B905&lt;='IN-NX'!$Q$3,'IN-NX'!$D$7=D905,OR(LEFT(TH!L905,2)="15",LEFT(TH!M905,2)="15")),"x","")</f>
        <v/>
      </c>
      <c r="Y905" s="39" t="str">
        <f>IF(AND(OR(LEFT(TH!L905,2)="15",LEFT(TH!M905,2)="15"),'152-CT'!$J$8=TH!F905),"x","")</f>
        <v/>
      </c>
      <c r="Z905" s="39" t="str">
        <f>IF(AND(OR(LEFT(TH!L905,2)="15",LEFT(TH!M905,2)="15"),TK!$E$7=TH!F905),"x","")</f>
        <v/>
      </c>
      <c r="AA905" s="39" t="str">
        <f>IF(AND(B905&lt;=NKC!$N$8,B905&gt;=NKC!$M$8),"x","")</f>
        <v/>
      </c>
    </row>
    <row r="906" spans="1:30" s="225" customFormat="1" ht="15.75" customHeight="1">
      <c r="A906" s="218" t="str">
        <f>IF(B906&lt;&gt;"",IF(AND(B906&gt;=_TM1,B906&lt;=_TM2,OR(TH!L906="1111",TH!M906="1111")),TH!D906,""),"")</f>
        <v/>
      </c>
      <c r="B906" s="36" t="str">
        <f t="shared" si="42"/>
        <v/>
      </c>
      <c r="C906" s="37"/>
      <c r="D906" s="204"/>
      <c r="E906" s="204"/>
      <c r="F906" s="205"/>
      <c r="G906" s="205"/>
      <c r="H906" s="206"/>
      <c r="I906" s="276"/>
      <c r="J906" s="276"/>
      <c r="K906" s="38"/>
      <c r="L906" s="207"/>
      <c r="M906" s="207"/>
      <c r="N906" s="39" t="str">
        <f>IF(AND('331-CT'!$E$7=TH!H906,OR(L906="331",M906="331")),"x","")</f>
        <v/>
      </c>
      <c r="O906" s="39" t="str">
        <f>IF(AND($B906&gt;='111'!$N$11,$B906&lt;='111'!$O$11,OR($L906=$O$7,$M906=$O$7)),"x","")</f>
        <v/>
      </c>
      <c r="P906" s="39" t="str">
        <f>IF(AND($L906=$O$7,$B906&lt;'111'!$N$11),"x","")</f>
        <v/>
      </c>
      <c r="Q906" s="39" t="str">
        <f>IF(AND($M906=$O$7,$B906&lt;'111'!$N$11),"x","")</f>
        <v/>
      </c>
      <c r="R906" s="39" t="str">
        <f>IF(ISERROR(FIND('112'!$M$9,G906,1)),"",IF((AND(FIND('112'!$M$9,G906,1)&gt;=1,$B906&gt;='112'!$N$8,$B906&lt;='112'!$O$8,OR($L906='112'!$I$6,$M906='112'!$I$6))),"x",""))</f>
        <v/>
      </c>
      <c r="S906" s="39" t="str">
        <f>IF(ISERROR(FIND('112'!$M$9,G906,1)),"",IF((AND(LEFT(G906,2)=LEFT('112'!$M$9,2),B906&lt;'112'!$N$8,$L906='112'!$I$6)),"x",""))</f>
        <v/>
      </c>
      <c r="T906" s="39" t="str">
        <f>IF(ISERROR(FIND('112'!$M$9,G906,1)),"",IF((AND(RIGHT(G906,2)=RIGHT('112'!$M$9,2),B906&lt;'112'!$N$8,$M906='112'!$I$6)),"x",""))</f>
        <v/>
      </c>
      <c r="U906" s="39" t="str">
        <f>IF(AND('3411-CT'!$F$9=H906,OR(LEFT(L906,3)=$U$7,LEFT(M906,3)=$U$7)),"x","")</f>
        <v/>
      </c>
      <c r="V906" s="39" t="str">
        <f>IF(OR(TH!L906=TH!$V$7,M906=TH!$V$7),"x","")</f>
        <v/>
      </c>
      <c r="W906" s="39" t="str">
        <f>IF(AND(OR(L906="131",M906="131"),H906='131-CT'!$E$7),"x","")</f>
        <v/>
      </c>
      <c r="X906" s="39" t="str">
        <f>IF(AND(B906&gt;='IN-NX'!$P$3,B906&lt;='IN-NX'!$Q$3,'IN-NX'!$D$7=D906,OR(LEFT(TH!L906,2)="15",LEFT(TH!M906,2)="15")),"x","")</f>
        <v/>
      </c>
      <c r="Y906" s="39" t="str">
        <f>IF(AND(OR(LEFT(TH!L906,2)="15",LEFT(TH!M906,2)="15"),'152-CT'!$J$8=TH!F906),"x","")</f>
        <v/>
      </c>
      <c r="Z906" s="39" t="str">
        <f>IF(AND(OR(LEFT(TH!L906,2)="15",LEFT(TH!M906,2)="15"),TK!$E$7=TH!F906),"x","")</f>
        <v/>
      </c>
      <c r="AA906" s="39" t="str">
        <f>IF(AND(B906&lt;=NKC!$N$8,B906&gt;=NKC!$M$8),"x","")</f>
        <v/>
      </c>
    </row>
    <row r="907" spans="1:30" s="225" customFormat="1" ht="15.75" customHeight="1">
      <c r="A907" s="218" t="str">
        <f>IF(B907&lt;&gt;"",IF(AND(B907&gt;=_TM1,B907&lt;=_TM2,OR(TH!L907="1111",TH!M907="1111")),TH!D907,""),"")</f>
        <v/>
      </c>
      <c r="B907" s="36" t="str">
        <f t="shared" si="42"/>
        <v/>
      </c>
      <c r="C907" s="37"/>
      <c r="D907" s="204"/>
      <c r="E907" s="204"/>
      <c r="F907" s="205"/>
      <c r="G907" s="205"/>
      <c r="H907" s="206"/>
      <c r="I907" s="276"/>
      <c r="J907" s="276"/>
      <c r="K907" s="38"/>
      <c r="L907" s="207"/>
      <c r="M907" s="207"/>
      <c r="N907" s="39" t="str">
        <f>IF(AND('331-CT'!$E$7=TH!H907,OR(L907="331",M907="331")),"x","")</f>
        <v/>
      </c>
      <c r="O907" s="39" t="str">
        <f>IF(AND($B907&gt;='111'!$N$11,$B907&lt;='111'!$O$11,OR($L907=$O$7,$M907=$O$7)),"x","")</f>
        <v/>
      </c>
      <c r="P907" s="39" t="str">
        <f>IF(AND($L907=$O$7,$B907&lt;'111'!$N$11),"x","")</f>
        <v/>
      </c>
      <c r="Q907" s="39" t="str">
        <f>IF(AND($M907=$O$7,$B907&lt;'111'!$N$11),"x","")</f>
        <v/>
      </c>
      <c r="R907" s="39" t="str">
        <f>IF(ISERROR(FIND('112'!$M$9,G907,1)),"",IF((AND(FIND('112'!$M$9,G907,1)&gt;=1,$B907&gt;='112'!$N$8,$B907&lt;='112'!$O$8,OR($L907='112'!$I$6,$M907='112'!$I$6))),"x",""))</f>
        <v/>
      </c>
      <c r="S907" s="39" t="str">
        <f>IF(ISERROR(FIND('112'!$M$9,G907,1)),"",IF((AND(LEFT(G907,2)=LEFT('112'!$M$9,2),B907&lt;'112'!$N$8,$L907='112'!$I$6)),"x",""))</f>
        <v/>
      </c>
      <c r="T907" s="39" t="str">
        <f>IF(ISERROR(FIND('112'!$M$9,G907,1)),"",IF((AND(RIGHT(G907,2)=RIGHT('112'!$M$9,2),B907&lt;'112'!$N$8,$M907='112'!$I$6)),"x",""))</f>
        <v/>
      </c>
      <c r="U907" s="39" t="str">
        <f>IF(AND('3411-CT'!$F$9=H907,OR(LEFT(L907,3)=$U$7,LEFT(M907,3)=$U$7)),"x","")</f>
        <v/>
      </c>
      <c r="V907" s="39" t="str">
        <f>IF(OR(TH!L907=TH!$V$7,M907=TH!$V$7),"x","")</f>
        <v/>
      </c>
      <c r="W907" s="39" t="str">
        <f>IF(AND(OR(L907="131",M907="131"),H907='131-CT'!$E$7),"x","")</f>
        <v/>
      </c>
      <c r="X907" s="39" t="str">
        <f>IF(AND(B907&gt;='IN-NX'!$P$3,B907&lt;='IN-NX'!$Q$3,'IN-NX'!$D$7=D907,OR(LEFT(TH!L907,2)="15",LEFT(TH!M907,2)="15")),"x","")</f>
        <v/>
      </c>
      <c r="Y907" s="39" t="str">
        <f>IF(AND(OR(LEFT(TH!L907,2)="15",LEFT(TH!M907,2)="15"),'152-CT'!$J$8=TH!F907),"x","")</f>
        <v/>
      </c>
      <c r="Z907" s="39" t="str">
        <f>IF(AND(OR(LEFT(TH!L907,2)="15",LEFT(TH!M907,2)="15"),TK!$E$7=TH!F907),"x","")</f>
        <v/>
      </c>
      <c r="AA907" s="39" t="str">
        <f>IF(AND(B907&lt;=NKC!$N$8,B907&gt;=NKC!$M$8),"x","")</f>
        <v/>
      </c>
    </row>
    <row r="908" spans="1:30" s="225" customFormat="1" ht="15.75" customHeight="1">
      <c r="A908" s="218" t="str">
        <f>IF(B908&lt;&gt;"",IF(AND(B908&gt;=_TM1,B908&lt;=_TM2,OR(TH!L908="1111",TH!M908="1111")),TH!D908,""),"")</f>
        <v/>
      </c>
      <c r="B908" s="36" t="str">
        <f t="shared" si="42"/>
        <v/>
      </c>
      <c r="C908" s="37"/>
      <c r="D908" s="204"/>
      <c r="E908" s="204"/>
      <c r="F908" s="205"/>
      <c r="G908" s="205"/>
      <c r="H908" s="206"/>
      <c r="I908" s="276"/>
      <c r="J908" s="276"/>
      <c r="K908" s="38"/>
      <c r="L908" s="207"/>
      <c r="M908" s="207"/>
      <c r="N908" s="39" t="str">
        <f>IF(AND('331-CT'!$E$7=TH!H908,OR(L908="331",M908="331")),"x","")</f>
        <v/>
      </c>
      <c r="O908" s="39" t="str">
        <f>IF(AND($B908&gt;='111'!$N$11,$B908&lt;='111'!$O$11,OR($L908=$O$7,$M908=$O$7)),"x","")</f>
        <v/>
      </c>
      <c r="P908" s="39" t="str">
        <f>IF(AND($L908=$O$7,$B908&lt;'111'!$N$11),"x","")</f>
        <v/>
      </c>
      <c r="Q908" s="39" t="str">
        <f>IF(AND($M908=$O$7,$B908&lt;'111'!$N$11),"x","")</f>
        <v/>
      </c>
      <c r="R908" s="39" t="str">
        <f>IF(ISERROR(FIND('112'!$M$9,G908,1)),"",IF((AND(FIND('112'!$M$9,G908,1)&gt;=1,$B908&gt;='112'!$N$8,$B908&lt;='112'!$O$8,OR($L908='112'!$I$6,$M908='112'!$I$6))),"x",""))</f>
        <v/>
      </c>
      <c r="S908" s="39" t="str">
        <f>IF(ISERROR(FIND('112'!$M$9,G908,1)),"",IF((AND(LEFT(G908,2)=LEFT('112'!$M$9,2),B908&lt;'112'!$N$8,$L908='112'!$I$6)),"x",""))</f>
        <v/>
      </c>
      <c r="T908" s="39" t="str">
        <f>IF(ISERROR(FIND('112'!$M$9,G908,1)),"",IF((AND(RIGHT(G908,2)=RIGHT('112'!$M$9,2),B908&lt;'112'!$N$8,$M908='112'!$I$6)),"x",""))</f>
        <v/>
      </c>
      <c r="U908" s="39" t="str">
        <f>IF(AND('3411-CT'!$F$9=H908,OR(LEFT(L908,3)=$U$7,LEFT(M908,3)=$U$7)),"x","")</f>
        <v/>
      </c>
      <c r="V908" s="39" t="str">
        <f>IF(OR(TH!L908=TH!$V$7,M908=TH!$V$7),"x","")</f>
        <v/>
      </c>
      <c r="W908" s="39" t="str">
        <f>IF(AND(OR(L908="131",M908="131"),H908='131-CT'!$E$7),"x","")</f>
        <v/>
      </c>
      <c r="X908" s="39" t="str">
        <f>IF(AND(B908&gt;='IN-NX'!$P$3,B908&lt;='IN-NX'!$Q$3,'IN-NX'!$D$7=D908,OR(LEFT(TH!L908,2)="15",LEFT(TH!M908,2)="15")),"x","")</f>
        <v/>
      </c>
      <c r="Y908" s="39" t="str">
        <f>IF(AND(OR(LEFT(TH!L908,2)="15",LEFT(TH!M908,2)="15"),'152-CT'!$J$8=TH!F908),"x","")</f>
        <v/>
      </c>
      <c r="Z908" s="39" t="str">
        <f>IF(AND(OR(LEFT(TH!L908,2)="15",LEFT(TH!M908,2)="15"),TK!$E$7=TH!F908),"x","")</f>
        <v/>
      </c>
      <c r="AA908" s="39" t="str">
        <f>IF(AND(B908&lt;=NKC!$N$8,B908&gt;=NKC!$M$8),"x","")</f>
        <v/>
      </c>
    </row>
    <row r="909" spans="1:30" s="225" customFormat="1" ht="15.75" customHeight="1">
      <c r="A909" s="218" t="str">
        <f>IF(B909&lt;&gt;"",IF(AND(B909&gt;=_TM1,B909&lt;=_TM2,OR(TH!L909="1111",TH!M909="1111")),TH!D909,""),"")</f>
        <v/>
      </c>
      <c r="B909" s="36" t="str">
        <f t="shared" si="42"/>
        <v/>
      </c>
      <c r="C909" s="37"/>
      <c r="D909" s="204"/>
      <c r="E909" s="204"/>
      <c r="F909" s="205"/>
      <c r="G909" s="205"/>
      <c r="H909" s="206"/>
      <c r="I909" s="276"/>
      <c r="J909" s="276"/>
      <c r="K909" s="38"/>
      <c r="L909" s="207"/>
      <c r="M909" s="749"/>
      <c r="N909" s="39" t="str">
        <f>IF(AND('331-CT'!$E$7=TH!H909,OR(L909="331",M909="331")),"x","")</f>
        <v/>
      </c>
      <c r="O909" s="39" t="str">
        <f>IF(AND($B909&gt;='111'!$N$11,$B909&lt;='111'!$O$11,OR($L909=$O$7,$M909=$O$7)),"x","")</f>
        <v/>
      </c>
      <c r="P909" s="39" t="str">
        <f>IF(AND($L909=$O$7,$B909&lt;'111'!$N$11),"x","")</f>
        <v/>
      </c>
      <c r="Q909" s="39" t="str">
        <f>IF(AND($M909=$O$7,$B909&lt;'111'!$N$11),"x","")</f>
        <v/>
      </c>
      <c r="R909" s="39" t="str">
        <f>IF(ISERROR(FIND('112'!$M$9,G909,1)),"",IF((AND(FIND('112'!$M$9,G909,1)&gt;=1,$B909&gt;='112'!$N$8,$B909&lt;='112'!$O$8,OR($L909='112'!$I$6,$M909='112'!$I$6))),"x",""))</f>
        <v/>
      </c>
      <c r="S909" s="39" t="str">
        <f>IF(ISERROR(FIND('112'!$M$9,G909,1)),"",IF((AND(LEFT(G909,2)=LEFT('112'!$M$9,2),B909&lt;'112'!$N$8,$L909='112'!$I$6)),"x",""))</f>
        <v/>
      </c>
      <c r="T909" s="39" t="str">
        <f>IF(ISERROR(FIND('112'!$M$9,G909,1)),"",IF((AND(RIGHT(G909,2)=RIGHT('112'!$M$9,2),B909&lt;'112'!$N$8,$M909='112'!$I$6)),"x",""))</f>
        <v/>
      </c>
      <c r="U909" s="39" t="str">
        <f>IF(AND('3411-CT'!$F$9=H909,OR(LEFT(L909,3)=$U$7,LEFT(M909,3)=$U$7)),"x","")</f>
        <v/>
      </c>
      <c r="V909" s="39" t="str">
        <f>IF(OR(TH!L909=TH!$V$7,M909=TH!$V$7),"x","")</f>
        <v/>
      </c>
      <c r="W909" s="39" t="str">
        <f>IF(AND(OR(L909="131",M909="131"),H909='131-CT'!$E$7),"x","")</f>
        <v/>
      </c>
      <c r="X909" s="39" t="str">
        <f>IF(AND(B909&gt;='IN-NX'!$P$3,B909&lt;='IN-NX'!$Q$3,'IN-NX'!$D$7=D909,OR(LEFT(TH!L909,2)="15",LEFT(TH!M909,2)="15")),"x","")</f>
        <v/>
      </c>
      <c r="Y909" s="39" t="str">
        <f>IF(AND(OR(LEFT(TH!L909,2)="15",LEFT(TH!M909,2)="15"),'152-CT'!$J$8=TH!F909),"x","")</f>
        <v/>
      </c>
      <c r="Z909" s="39" t="str">
        <f>IF(AND(OR(LEFT(TH!L909,2)="15",LEFT(TH!M909,2)="15"),TK!$E$7=TH!F909),"x","")</f>
        <v/>
      </c>
      <c r="AA909" s="39" t="str">
        <f>IF(AND(B909&lt;=NKC!$N$8,B909&gt;=NKC!$M$8),"x","")</f>
        <v/>
      </c>
    </row>
    <row r="910" spans="1:30" s="225" customFormat="1" ht="15.75" customHeight="1">
      <c r="A910" s="218" t="str">
        <f>IF(B910&lt;&gt;"",IF(AND(B910&gt;=_TM1,B910&lt;=_TM2,OR(TH!L910="1111",TH!M910="1111")),TH!D910,""),"")</f>
        <v/>
      </c>
      <c r="B910" s="36" t="str">
        <f t="shared" si="42"/>
        <v/>
      </c>
      <c r="C910" s="37"/>
      <c r="D910" s="204"/>
      <c r="E910" s="204"/>
      <c r="F910" s="205"/>
      <c r="G910" s="205"/>
      <c r="H910" s="206"/>
      <c r="I910" s="276"/>
      <c r="J910" s="276"/>
      <c r="K910" s="38"/>
      <c r="L910" s="207"/>
      <c r="M910" s="749"/>
      <c r="N910" s="39" t="str">
        <f>IF(AND('331-CT'!$E$7=TH!H910,OR(L910="331",M910="331")),"x","")</f>
        <v/>
      </c>
      <c r="O910" s="39" t="str">
        <f>IF(AND($B910&gt;='111'!$N$11,$B910&lt;='111'!$O$11,OR($L910=$O$7,$M910=$O$7)),"x","")</f>
        <v/>
      </c>
      <c r="P910" s="39" t="str">
        <f>IF(AND($L910=$O$7,$B910&lt;'111'!$N$11),"x","")</f>
        <v/>
      </c>
      <c r="Q910" s="39" t="str">
        <f>IF(AND($M910=$O$7,$B910&lt;'111'!$N$11),"x","")</f>
        <v/>
      </c>
      <c r="R910" s="39" t="str">
        <f>IF(ISERROR(FIND('112'!$M$9,G910,1)),"",IF((AND(FIND('112'!$M$9,G910,1)&gt;=1,$B910&gt;='112'!$N$8,$B910&lt;='112'!$O$8,OR($L910='112'!$I$6,$M910='112'!$I$6))),"x",""))</f>
        <v/>
      </c>
      <c r="S910" s="39" t="str">
        <f>IF(ISERROR(FIND('112'!$M$9,G910,1)),"",IF((AND(LEFT(G910,2)=LEFT('112'!$M$9,2),B910&lt;'112'!$N$8,$L910='112'!$I$6)),"x",""))</f>
        <v/>
      </c>
      <c r="T910" s="39" t="str">
        <f>IF(ISERROR(FIND('112'!$M$9,G910,1)),"",IF((AND(RIGHT(G910,2)=RIGHT('112'!$M$9,2),B910&lt;'112'!$N$8,$M910='112'!$I$6)),"x",""))</f>
        <v/>
      </c>
      <c r="U910" s="39" t="str">
        <f>IF(AND('3411-CT'!$F$9=H910,OR(LEFT(L910,3)=$U$7,LEFT(M910,3)=$U$7)),"x","")</f>
        <v/>
      </c>
      <c r="V910" s="39" t="str">
        <f>IF(OR(TH!L910=TH!$V$7,M910=TH!$V$7),"x","")</f>
        <v/>
      </c>
      <c r="W910" s="39" t="str">
        <f>IF(AND(OR(L910="131",M910="131"),H910='131-CT'!$E$7),"x","")</f>
        <v/>
      </c>
      <c r="X910" s="39" t="str">
        <f>IF(AND(B910&gt;='IN-NX'!$P$3,B910&lt;='IN-NX'!$Q$3,'IN-NX'!$D$7=D910,OR(LEFT(TH!L910,2)="15",LEFT(TH!M910,2)="15")),"x","")</f>
        <v/>
      </c>
      <c r="Y910" s="39" t="str">
        <f>IF(AND(OR(LEFT(TH!L910,2)="15",LEFT(TH!M910,2)="15"),'152-CT'!$J$8=TH!F910),"x","")</f>
        <v/>
      </c>
      <c r="Z910" s="39" t="str">
        <f>IF(AND(OR(LEFT(TH!L910,2)="15",LEFT(TH!M910,2)="15"),TK!$E$7=TH!F910),"x","")</f>
        <v/>
      </c>
      <c r="AA910" s="39" t="str">
        <f>IF(AND(B910&lt;=NKC!$N$8,B910&gt;=NKC!$M$8),"x","")</f>
        <v/>
      </c>
    </row>
    <row r="911" spans="1:30" s="225" customFormat="1" ht="15.75" customHeight="1">
      <c r="A911" s="218" t="str">
        <f>IF(B911&lt;&gt;"",IF(AND(B911&gt;=_TM1,B911&lt;=_TM2,OR(TH!L911="1111",TH!M911="1111")),TH!D911,""),"")</f>
        <v/>
      </c>
      <c r="B911" s="36" t="str">
        <f t="shared" si="42"/>
        <v/>
      </c>
      <c r="C911" s="37"/>
      <c r="D911" s="204"/>
      <c r="E911" s="204"/>
      <c r="F911" s="205"/>
      <c r="G911" s="205"/>
      <c r="H911" s="206"/>
      <c r="I911" s="276"/>
      <c r="J911" s="276"/>
      <c r="K911" s="38"/>
      <c r="L911" s="207"/>
      <c r="M911" s="749"/>
      <c r="N911" s="39" t="str">
        <f>IF(AND('331-CT'!$E$7=TH!H911,OR(L911="331",M911="331")),"x","")</f>
        <v/>
      </c>
      <c r="O911" s="39" t="str">
        <f>IF(AND($B911&gt;='111'!$N$11,$B911&lt;='111'!$O$11,OR($L911=$O$7,$M911=$O$7)),"x","")</f>
        <v/>
      </c>
      <c r="P911" s="39" t="str">
        <f>IF(AND($L911=$O$7,$B911&lt;'111'!$N$11),"x","")</f>
        <v/>
      </c>
      <c r="Q911" s="39" t="str">
        <f>IF(AND($M911=$O$7,$B911&lt;'111'!$N$11),"x","")</f>
        <v/>
      </c>
      <c r="R911" s="39" t="str">
        <f>IF(ISERROR(FIND('112'!$M$9,G911,1)),"",IF((AND(FIND('112'!$M$9,G911,1)&gt;=1,$B911&gt;='112'!$N$8,$B911&lt;='112'!$O$8,OR($L911='112'!$I$6,$M911='112'!$I$6))),"x",""))</f>
        <v/>
      </c>
      <c r="S911" s="39" t="str">
        <f>IF(ISERROR(FIND('112'!$M$9,G911,1)),"",IF((AND(LEFT(G911,2)=LEFT('112'!$M$9,2),B911&lt;'112'!$N$8,$L911='112'!$I$6)),"x",""))</f>
        <v/>
      </c>
      <c r="T911" s="39" t="str">
        <f>IF(ISERROR(FIND('112'!$M$9,G911,1)),"",IF((AND(RIGHT(G911,2)=RIGHT('112'!$M$9,2),B911&lt;'112'!$N$8,$M911='112'!$I$6)),"x",""))</f>
        <v/>
      </c>
      <c r="U911" s="39" t="str">
        <f>IF(AND('3411-CT'!$F$9=H911,OR(LEFT(L911,3)=$U$7,LEFT(M911,3)=$U$7)),"x","")</f>
        <v/>
      </c>
      <c r="V911" s="39" t="str">
        <f>IF(OR(TH!L911=TH!$V$7,M911=TH!$V$7),"x","")</f>
        <v/>
      </c>
      <c r="W911" s="39" t="str">
        <f>IF(AND(OR(L911="131",M911="131"),H911='131-CT'!$E$7),"x","")</f>
        <v/>
      </c>
      <c r="X911" s="39" t="str">
        <f>IF(AND(B911&gt;='IN-NX'!$P$3,B911&lt;='IN-NX'!$Q$3,'IN-NX'!$D$7=D911,OR(LEFT(TH!L911,2)="15",LEFT(TH!M911,2)="15")),"x","")</f>
        <v/>
      </c>
      <c r="Y911" s="39" t="str">
        <f>IF(AND(OR(LEFT(TH!L911,2)="15",LEFT(TH!M911,2)="15"),'152-CT'!$J$8=TH!F911),"x","")</f>
        <v/>
      </c>
      <c r="Z911" s="39" t="str">
        <f>IF(AND(OR(LEFT(TH!L911,2)="15",LEFT(TH!M911,2)="15"),TK!$E$7=TH!F911),"x","")</f>
        <v/>
      </c>
      <c r="AA911" s="39" t="str">
        <f>IF(AND(B911&lt;=NKC!$N$8,B911&gt;=NKC!$M$8),"x","")</f>
        <v/>
      </c>
    </row>
    <row r="912" spans="1:30" s="225" customFormat="1" ht="15.75" customHeight="1">
      <c r="A912" s="218" t="str">
        <f>IF(B912&lt;&gt;"",IF(AND(B912&gt;=_TM1,B912&lt;=_TM2,OR(TH!L912="1111",TH!M912="1111")),TH!D912,""),"")</f>
        <v/>
      </c>
      <c r="B912" s="36" t="str">
        <f t="shared" si="42"/>
        <v/>
      </c>
      <c r="C912" s="37"/>
      <c r="D912" s="204"/>
      <c r="E912" s="204"/>
      <c r="F912" s="205"/>
      <c r="G912" s="205"/>
      <c r="H912" s="206"/>
      <c r="I912" s="276"/>
      <c r="J912" s="276"/>
      <c r="K912" s="38"/>
      <c r="L912" s="207"/>
      <c r="M912" s="749"/>
      <c r="N912" s="39" t="str">
        <f>IF(AND('331-CT'!$E$7=TH!H912,OR(L912="331",M912="331")),"x","")</f>
        <v/>
      </c>
      <c r="O912" s="39" t="str">
        <f>IF(AND($B912&gt;='111'!$N$11,$B912&lt;='111'!$O$11,OR($L912=$O$7,$M912=$O$7)),"x","")</f>
        <v/>
      </c>
      <c r="P912" s="39" t="str">
        <f>IF(AND($L912=$O$7,$B912&lt;'111'!$N$11),"x","")</f>
        <v/>
      </c>
      <c r="Q912" s="39" t="str">
        <f>IF(AND($M912=$O$7,$B912&lt;'111'!$N$11),"x","")</f>
        <v/>
      </c>
      <c r="R912" s="39" t="str">
        <f>IF(ISERROR(FIND('112'!$M$9,G912,1)),"",IF((AND(FIND('112'!$M$9,G912,1)&gt;=1,$B912&gt;='112'!$N$8,$B912&lt;='112'!$O$8,OR($L912='112'!$I$6,$M912='112'!$I$6))),"x",""))</f>
        <v/>
      </c>
      <c r="S912" s="39" t="str">
        <f>IF(ISERROR(FIND('112'!$M$9,G912,1)),"",IF((AND(LEFT(G912,2)=LEFT('112'!$M$9,2),B912&lt;'112'!$N$8,$L912='112'!$I$6)),"x",""))</f>
        <v/>
      </c>
      <c r="T912" s="39" t="str">
        <f>IF(ISERROR(FIND('112'!$M$9,G912,1)),"",IF((AND(RIGHT(G912,2)=RIGHT('112'!$M$9,2),B912&lt;'112'!$N$8,$M912='112'!$I$6)),"x",""))</f>
        <v/>
      </c>
      <c r="U912" s="39" t="str">
        <f>IF(AND('3411-CT'!$F$9=H912,OR(LEFT(L912,3)=$U$7,LEFT(M912,3)=$U$7)),"x","")</f>
        <v/>
      </c>
      <c r="V912" s="39" t="str">
        <f>IF(OR(TH!L912=TH!$V$7,M912=TH!$V$7),"x","")</f>
        <v/>
      </c>
      <c r="W912" s="39" t="str">
        <f>IF(AND(OR(L912="131",M912="131"),H912='131-CT'!$E$7),"x","")</f>
        <v/>
      </c>
      <c r="X912" s="39" t="str">
        <f>IF(AND(B912&gt;='IN-NX'!$P$3,B912&lt;='IN-NX'!$Q$3,'IN-NX'!$D$7=D912,OR(LEFT(TH!L912,2)="15",LEFT(TH!M912,2)="15")),"x","")</f>
        <v/>
      </c>
      <c r="Y912" s="39" t="str">
        <f>IF(AND(OR(LEFT(TH!L912,2)="15",LEFT(TH!M912,2)="15"),'152-CT'!$J$8=TH!F912),"x","")</f>
        <v/>
      </c>
      <c r="Z912" s="39" t="str">
        <f>IF(AND(OR(LEFT(TH!L912,2)="15",LEFT(TH!M912,2)="15"),TK!$E$7=TH!F912),"x","")</f>
        <v/>
      </c>
      <c r="AA912" s="39" t="str">
        <f>IF(AND(B912&lt;=NKC!$N$8,B912&gt;=NKC!$M$8),"x","")</f>
        <v/>
      </c>
    </row>
    <row r="913" spans="1:27" s="225" customFormat="1" ht="15.75" customHeight="1">
      <c r="A913" s="218" t="str">
        <f>IF(B913&lt;&gt;"",IF(AND(B913&gt;=_TM1,B913&lt;=_TM2,OR(TH!L913="1111",TH!M913="1111")),TH!D913,""),"")</f>
        <v/>
      </c>
      <c r="B913" s="36" t="str">
        <f t="shared" si="42"/>
        <v/>
      </c>
      <c r="C913" s="37"/>
      <c r="D913" s="204"/>
      <c r="E913" s="37"/>
      <c r="F913" s="40"/>
      <c r="G913" s="626"/>
      <c r="H913" s="206"/>
      <c r="I913" s="276"/>
      <c r="J913" s="276"/>
      <c r="K913" s="38"/>
      <c r="L913" s="207"/>
      <c r="M913" s="749"/>
      <c r="N913" s="39" t="str">
        <f>IF(AND('331-CT'!$E$7=TH!H913,OR(L913="331",M913="331")),"x","")</f>
        <v/>
      </c>
      <c r="O913" s="39" t="str">
        <f>IF(AND($B913&gt;='111'!$N$11,$B913&lt;='111'!$O$11,OR($L913=$O$7,$M913=$O$7)),"x","")</f>
        <v/>
      </c>
      <c r="P913" s="39" t="str">
        <f>IF(AND($L913=$O$7,$B913&lt;'111'!$N$11),"x","")</f>
        <v/>
      </c>
      <c r="Q913" s="39" t="str">
        <f>IF(AND($M913=$O$7,$B913&lt;'111'!$N$11),"x","")</f>
        <v/>
      </c>
      <c r="R913" s="39" t="str">
        <f>IF(ISERROR(FIND('112'!$M$9,G913,1)),"",IF((AND(FIND('112'!$M$9,G913,1)&gt;=1,$B913&gt;='112'!$N$8,$B913&lt;='112'!$O$8,OR($L913='112'!$I$6,$M913='112'!$I$6))),"x",""))</f>
        <v/>
      </c>
      <c r="S913" s="39" t="str">
        <f>IF(ISERROR(FIND('112'!$M$9,G913,1)),"",IF((AND(LEFT(G913,2)=LEFT('112'!$M$9,2),B913&lt;'112'!$N$8,$L913='112'!$I$6)),"x",""))</f>
        <v/>
      </c>
      <c r="T913" s="39" t="str">
        <f>IF(ISERROR(FIND('112'!$M$9,G913,1)),"",IF((AND(RIGHT(G913,2)=RIGHT('112'!$M$9,2),B913&lt;'112'!$N$8,$M913='112'!$I$6)),"x",""))</f>
        <v/>
      </c>
      <c r="U913" s="39" t="str">
        <f>IF(AND('3411-CT'!$F$9=H913,OR(LEFT(L913,3)=$U$7,LEFT(M913,3)=$U$7)),"x","")</f>
        <v/>
      </c>
      <c r="V913" s="39" t="str">
        <f>IF(OR(TH!L913=TH!$V$7,M913=TH!$V$7),"x","")</f>
        <v/>
      </c>
      <c r="W913" s="39" t="str">
        <f>IF(AND(OR(L913="131",M913="131"),H913='131-CT'!$E$7),"x","")</f>
        <v/>
      </c>
      <c r="X913" s="39" t="str">
        <f>IF(AND(B913&gt;='IN-NX'!$P$3,B913&lt;='IN-NX'!$Q$3,'IN-NX'!$D$7=D913,OR(LEFT(TH!L913,2)="15",LEFT(TH!M913,2)="15")),"x","")</f>
        <v/>
      </c>
      <c r="Y913" s="39" t="str">
        <f>IF(AND(OR(LEFT(TH!L913,2)="15",LEFT(TH!M913,2)="15"),'152-CT'!$J$8=TH!F913),"x","")</f>
        <v/>
      </c>
      <c r="Z913" s="39" t="str">
        <f>IF(AND(OR(LEFT(TH!L913,2)="15",LEFT(TH!M913,2)="15"),TK!$E$7=TH!F913),"x","")</f>
        <v/>
      </c>
      <c r="AA913" s="39" t="str">
        <f>IF(AND(B913&lt;=NKC!$N$8,B913&gt;=NKC!$M$8),"x","")</f>
        <v/>
      </c>
    </row>
    <row r="914" spans="1:27" s="225" customFormat="1" ht="15.75" customHeight="1">
      <c r="A914" s="218" t="str">
        <f>IF(B914&lt;&gt;"",IF(AND(B914&gt;=_TM1,B914&lt;=_TM2,OR(TH!L914="1111",TH!M914="1111")),TH!D914,""),"")</f>
        <v/>
      </c>
      <c r="B914" s="36" t="str">
        <f t="shared" si="42"/>
        <v/>
      </c>
      <c r="C914" s="37"/>
      <c r="D914" s="37"/>
      <c r="E914" s="37"/>
      <c r="F914" s="40"/>
      <c r="G914" s="626"/>
      <c r="H914" s="206"/>
      <c r="I914" s="276"/>
      <c r="J914" s="276"/>
      <c r="K914" s="38"/>
      <c r="L914" s="207"/>
      <c r="M914" s="39"/>
      <c r="N914" s="39" t="str">
        <f>IF(AND('331-CT'!$E$7=TH!H914,OR(L914="331",M914="331")),"x","")</f>
        <v/>
      </c>
      <c r="O914" s="39" t="str">
        <f>IF(AND($B914&gt;='111'!$N$11,$B914&lt;='111'!$O$11,OR($L914=$O$7,$M914=$O$7)),"x","")</f>
        <v/>
      </c>
      <c r="P914" s="39" t="str">
        <f>IF(AND($L914=$O$7,$B914&lt;'111'!$N$11),"x","")</f>
        <v/>
      </c>
      <c r="Q914" s="39" t="str">
        <f>IF(AND($M914=$O$7,$B914&lt;'111'!$N$11),"x","")</f>
        <v/>
      </c>
      <c r="R914" s="39" t="str">
        <f>IF(ISERROR(FIND('112'!$M$9,G914,1)),"",IF((AND(FIND('112'!$M$9,G914,1)&gt;=1,$B914&gt;='112'!$N$8,$B914&lt;='112'!$O$8,OR($L914='112'!$I$6,$M914='112'!$I$6))),"x",""))</f>
        <v/>
      </c>
      <c r="S914" s="39" t="str">
        <f>IF(ISERROR(FIND('112'!$M$9,G914,1)),"",IF((AND(LEFT(G914,2)=LEFT('112'!$M$9,2),B914&lt;'112'!$N$8,$L914='112'!$I$6)),"x",""))</f>
        <v/>
      </c>
      <c r="T914" s="39" t="str">
        <f>IF(ISERROR(FIND('112'!$M$9,G914,1)),"",IF((AND(RIGHT(G914,2)=RIGHT('112'!$M$9,2),B914&lt;'112'!$N$8,$M914='112'!$I$6)),"x",""))</f>
        <v/>
      </c>
      <c r="U914" s="39" t="str">
        <f>IF(AND('3411-CT'!$F$9=H914,OR(LEFT(L914,3)=$U$7,LEFT(M914,3)=$U$7)),"x","")</f>
        <v/>
      </c>
      <c r="V914" s="39" t="str">
        <f>IF(OR(TH!L914=TH!$V$7,M914=TH!$V$7),"x","")</f>
        <v/>
      </c>
      <c r="W914" s="39" t="str">
        <f>IF(AND(OR(L914="131",M914="131"),H914='131-CT'!$E$7),"x","")</f>
        <v/>
      </c>
      <c r="X914" s="39" t="str">
        <f>IF(AND(B914&gt;='IN-NX'!$P$3,B914&lt;='IN-NX'!$Q$3,'IN-NX'!$D$7=D914,OR(LEFT(TH!L914,2)="15",LEFT(TH!M914,2)="15")),"x","")</f>
        <v/>
      </c>
      <c r="Y914" s="39" t="str">
        <f>IF(AND(OR(LEFT(TH!L914,2)="15",LEFT(TH!M914,2)="15"),'152-CT'!$J$8=TH!F914),"x","")</f>
        <v/>
      </c>
      <c r="Z914" s="39" t="str">
        <f>IF(AND(OR(LEFT(TH!L914,2)="15",LEFT(TH!M914,2)="15"),TK!$E$7=TH!F914),"x","")</f>
        <v/>
      </c>
      <c r="AA914" s="39" t="str">
        <f>IF(AND(B914&lt;=NKC!$N$8,B914&gt;=NKC!$M$8),"x","")</f>
        <v/>
      </c>
    </row>
    <row r="915" spans="1:27" s="225" customFormat="1" ht="15.75" customHeight="1">
      <c r="A915" s="218" t="str">
        <f>IF(B915&lt;&gt;"",IF(AND(B915&gt;=_TM1,B915&lt;=_TM2,OR(TH!L915="1111",TH!M915="1111")),TH!D915,""),"")</f>
        <v/>
      </c>
      <c r="B915" s="36" t="str">
        <f t="shared" si="42"/>
        <v/>
      </c>
      <c r="C915" s="37"/>
      <c r="D915" s="204"/>
      <c r="E915" s="37"/>
      <c r="F915" s="40"/>
      <c r="G915" s="626"/>
      <c r="H915" s="206"/>
      <c r="I915" s="276"/>
      <c r="J915" s="276"/>
      <c r="K915" s="38"/>
      <c r="L915" s="39"/>
      <c r="M915" s="749"/>
      <c r="N915" s="39" t="str">
        <f>IF(AND('331-CT'!$E$7=TH!H915,OR(L915="331",M915="331")),"x","")</f>
        <v/>
      </c>
      <c r="O915" s="39" t="str">
        <f>IF(AND($B915&gt;='111'!$N$11,$B915&lt;='111'!$O$11,OR($L915=$O$7,$M915=$O$7)),"x","")</f>
        <v/>
      </c>
      <c r="P915" s="39" t="str">
        <f>IF(AND($L915=$O$7,$B915&lt;'111'!$N$11),"x","")</f>
        <v/>
      </c>
      <c r="Q915" s="39" t="str">
        <f>IF(AND($M915=$O$7,$B915&lt;'111'!$N$11),"x","")</f>
        <v/>
      </c>
      <c r="R915" s="39" t="str">
        <f>IF(ISERROR(FIND('112'!$M$9,G915,1)),"",IF((AND(FIND('112'!$M$9,G915,1)&gt;=1,$B915&gt;='112'!$N$8,$B915&lt;='112'!$O$8,OR($L915='112'!$I$6,$M915='112'!$I$6))),"x",""))</f>
        <v/>
      </c>
      <c r="S915" s="39" t="str">
        <f>IF(ISERROR(FIND('112'!$M$9,G915,1)),"",IF((AND(LEFT(G915,2)=LEFT('112'!$M$9,2),B915&lt;'112'!$N$8,$L915='112'!$I$6)),"x",""))</f>
        <v/>
      </c>
      <c r="T915" s="39" t="str">
        <f>IF(ISERROR(FIND('112'!$M$9,G915,1)),"",IF((AND(RIGHT(G915,2)=RIGHT('112'!$M$9,2),B915&lt;'112'!$N$8,$M915='112'!$I$6)),"x",""))</f>
        <v/>
      </c>
      <c r="U915" s="39" t="str">
        <f>IF(AND('3411-CT'!$F$9=H915,OR(LEFT(L915,3)=$U$7,LEFT(M915,3)=$U$7)),"x","")</f>
        <v/>
      </c>
      <c r="V915" s="39" t="str">
        <f>IF(OR(TH!L915=TH!$V$7,M915=TH!$V$7),"x","")</f>
        <v/>
      </c>
      <c r="W915" s="39" t="str">
        <f>IF(AND(OR(L915="131",M915="131"),H915='131-CT'!$E$7),"x","")</f>
        <v/>
      </c>
      <c r="X915" s="39" t="str">
        <f>IF(AND(B915&gt;='IN-NX'!$P$3,B915&lt;='IN-NX'!$Q$3,'IN-NX'!$D$7=D915,OR(LEFT(TH!L915,2)="15",LEFT(TH!M915,2)="15")),"x","")</f>
        <v/>
      </c>
      <c r="Y915" s="39" t="str">
        <f>IF(AND(OR(LEFT(TH!L915,2)="15",LEFT(TH!M915,2)="15"),'152-CT'!$J$8=TH!F915),"x","")</f>
        <v/>
      </c>
      <c r="Z915" s="39" t="str">
        <f>IF(AND(OR(LEFT(TH!L915,2)="15",LEFT(TH!M915,2)="15"),TK!$E$7=TH!F915),"x","")</f>
        <v/>
      </c>
      <c r="AA915" s="39" t="str">
        <f>IF(AND(B915&lt;=NKC!$N$8,B915&gt;=NKC!$M$8),"x","")</f>
        <v/>
      </c>
    </row>
    <row r="916" spans="1:27" s="225" customFormat="1" ht="15.75" customHeight="1">
      <c r="A916" s="218" t="str">
        <f>IF(B916&lt;&gt;"",IF(AND(B916&gt;=_TM1,B916&lt;=_TM2,OR(TH!L916="1111",TH!M916="1111")),TH!D916,""),"")</f>
        <v/>
      </c>
      <c r="B916" s="36" t="str">
        <f t="shared" si="42"/>
        <v/>
      </c>
      <c r="C916" s="37"/>
      <c r="D916" s="204"/>
      <c r="E916" s="37"/>
      <c r="F916" s="40"/>
      <c r="G916" s="626"/>
      <c r="H916" s="206"/>
      <c r="I916" s="276"/>
      <c r="J916" s="276"/>
      <c r="K916" s="38"/>
      <c r="L916" s="39"/>
      <c r="M916" s="749"/>
      <c r="N916" s="39" t="str">
        <f>IF(AND('331-CT'!$E$7=TH!H916,OR(L916="331",M916="331")),"x","")</f>
        <v/>
      </c>
      <c r="O916" s="39" t="str">
        <f>IF(AND($B916&gt;='111'!$N$11,$B916&lt;='111'!$O$11,OR($L916=$O$7,$M916=$O$7)),"x","")</f>
        <v/>
      </c>
      <c r="P916" s="39" t="str">
        <f>IF(AND($L916=$O$7,$B916&lt;'111'!$N$11),"x","")</f>
        <v/>
      </c>
      <c r="Q916" s="39" t="str">
        <f>IF(AND($M916=$O$7,$B916&lt;'111'!$N$11),"x","")</f>
        <v/>
      </c>
      <c r="R916" s="39" t="str">
        <f>IF(ISERROR(FIND('112'!$M$9,G916,1)),"",IF((AND(FIND('112'!$M$9,G916,1)&gt;=1,$B916&gt;='112'!$N$8,$B916&lt;='112'!$O$8,OR($L916='112'!$I$6,$M916='112'!$I$6))),"x",""))</f>
        <v/>
      </c>
      <c r="S916" s="39" t="str">
        <f>IF(ISERROR(FIND('112'!$M$9,G916,1)),"",IF((AND(LEFT(G916,2)=LEFT('112'!$M$9,2),B916&lt;'112'!$N$8,$L916='112'!$I$6)),"x",""))</f>
        <v/>
      </c>
      <c r="T916" s="39" t="str">
        <f>IF(ISERROR(FIND('112'!$M$9,G916,1)),"",IF((AND(RIGHT(G916,2)=RIGHT('112'!$M$9,2),B916&lt;'112'!$N$8,$M916='112'!$I$6)),"x",""))</f>
        <v/>
      </c>
      <c r="U916" s="39" t="str">
        <f>IF(AND('3411-CT'!$F$9=H916,OR(LEFT(L916,3)=$U$7,LEFT(M916,3)=$U$7)),"x","")</f>
        <v/>
      </c>
      <c r="V916" s="39" t="str">
        <f>IF(OR(TH!L916=TH!$V$7,M916=TH!$V$7),"x","")</f>
        <v/>
      </c>
      <c r="W916" s="39" t="str">
        <f>IF(AND(OR(L916="131",M916="131"),H916='131-CT'!$E$7),"x","")</f>
        <v/>
      </c>
      <c r="X916" s="39" t="str">
        <f>IF(AND(B916&gt;='IN-NX'!$P$3,B916&lt;='IN-NX'!$Q$3,'IN-NX'!$D$7=D916,OR(LEFT(TH!L916,2)="15",LEFT(TH!M916,2)="15")),"x","")</f>
        <v/>
      </c>
      <c r="Y916" s="39" t="str">
        <f>IF(AND(OR(LEFT(TH!L916,2)="15",LEFT(TH!M916,2)="15"),'152-CT'!$J$8=TH!F916),"x","")</f>
        <v/>
      </c>
      <c r="Z916" s="39" t="str">
        <f>IF(AND(OR(LEFT(TH!L916,2)="15",LEFT(TH!M916,2)="15"),TK!$E$7=TH!F916),"x","")</f>
        <v/>
      </c>
      <c r="AA916" s="39" t="str">
        <f>IF(AND(B916&lt;=NKC!$N$8,B916&gt;=NKC!$M$8),"x","")</f>
        <v/>
      </c>
    </row>
    <row r="917" spans="1:27" s="225" customFormat="1" ht="15.75" customHeight="1">
      <c r="A917" s="218" t="str">
        <f>IF(B917&lt;&gt;"",IF(AND(B917&gt;=_TM1,B917&lt;=_TM2,OR(TH!L917="1111",TH!M917="1111")),TH!D917,""),"")</f>
        <v/>
      </c>
      <c r="B917" s="36" t="str">
        <f t="shared" si="42"/>
        <v/>
      </c>
      <c r="C917" s="37"/>
      <c r="D917" s="204"/>
      <c r="E917" s="37"/>
      <c r="F917" s="40"/>
      <c r="G917" s="626"/>
      <c r="H917" s="45"/>
      <c r="I917" s="276"/>
      <c r="J917" s="276"/>
      <c r="K917" s="38"/>
      <c r="L917" s="39"/>
      <c r="M917" s="749"/>
      <c r="N917" s="39" t="str">
        <f>IF(AND('331-CT'!$E$7=TH!H917,OR(L917="331",M917="331")),"x","")</f>
        <v/>
      </c>
      <c r="O917" s="39" t="str">
        <f>IF(AND($B917&gt;='111'!$N$11,$B917&lt;='111'!$O$11,OR($L917=$O$7,$M917=$O$7)),"x","")</f>
        <v/>
      </c>
      <c r="P917" s="39" t="str">
        <f>IF(AND($L917=$O$7,$B917&lt;'111'!$N$11),"x","")</f>
        <v/>
      </c>
      <c r="Q917" s="39" t="str">
        <f>IF(AND($M917=$O$7,$B917&lt;'111'!$N$11),"x","")</f>
        <v/>
      </c>
      <c r="R917" s="39" t="str">
        <f>IF(ISERROR(FIND('112'!$M$9,G917,1)),"",IF((AND(FIND('112'!$M$9,G917,1)&gt;=1,$B917&gt;='112'!$N$8,$B917&lt;='112'!$O$8,OR($L917='112'!$I$6,$M917='112'!$I$6))),"x",""))</f>
        <v/>
      </c>
      <c r="S917" s="39" t="str">
        <f>IF(ISERROR(FIND('112'!$M$9,G917,1)),"",IF((AND(LEFT(G917,2)=LEFT('112'!$M$9,2),B917&lt;'112'!$N$8,$L917='112'!$I$6)),"x",""))</f>
        <v/>
      </c>
      <c r="T917" s="39" t="str">
        <f>IF(ISERROR(FIND('112'!$M$9,G917,1)),"",IF((AND(RIGHT(G917,2)=RIGHT('112'!$M$9,2),B917&lt;'112'!$N$8,$M917='112'!$I$6)),"x",""))</f>
        <v/>
      </c>
      <c r="U917" s="39" t="str">
        <f>IF(AND('3411-CT'!$F$9=H917,OR(LEFT(L917,3)=$U$7,LEFT(M917,3)=$U$7)),"x","")</f>
        <v/>
      </c>
      <c r="V917" s="39" t="str">
        <f>IF(OR(TH!L917=TH!$V$7,M917=TH!$V$7),"x","")</f>
        <v/>
      </c>
      <c r="W917" s="39" t="str">
        <f>IF(AND(OR(L917="131",M917="131"),H917='131-CT'!$E$7),"x","")</f>
        <v/>
      </c>
      <c r="X917" s="39" t="str">
        <f>IF(AND(B917&gt;='IN-NX'!$P$3,B917&lt;='IN-NX'!$Q$3,'IN-NX'!$D$7=D917,OR(LEFT(TH!L917,2)="15",LEFT(TH!M917,2)="15")),"x","")</f>
        <v/>
      </c>
      <c r="Y917" s="39" t="str">
        <f>IF(AND(OR(LEFT(TH!L917,2)="15",LEFT(TH!M917,2)="15"),'152-CT'!$J$8=TH!F917),"x","")</f>
        <v/>
      </c>
      <c r="Z917" s="39" t="str">
        <f>IF(AND(OR(LEFT(TH!L917,2)="15",LEFT(TH!M917,2)="15"),TK!$E$7=TH!F917),"x","")</f>
        <v/>
      </c>
      <c r="AA917" s="39" t="str">
        <f>IF(AND(B917&lt;=NKC!$N$8,B917&gt;=NKC!$M$8),"x","")</f>
        <v/>
      </c>
    </row>
    <row r="918" spans="1:27" s="225" customFormat="1" ht="15.75" customHeight="1">
      <c r="A918" s="218" t="str">
        <f>IF(B918&lt;&gt;"",IF(AND(B918&gt;=_TM1,B918&lt;=_TM2,OR(TH!L918="1111",TH!M918="1111")),TH!D918,""),"")</f>
        <v/>
      </c>
      <c r="B918" s="36" t="str">
        <f t="shared" si="42"/>
        <v/>
      </c>
      <c r="C918" s="37"/>
      <c r="D918" s="204"/>
      <c r="E918" s="37"/>
      <c r="F918" s="40"/>
      <c r="G918" s="626"/>
      <c r="H918" s="45"/>
      <c r="I918" s="276"/>
      <c r="J918" s="276"/>
      <c r="K918" s="38"/>
      <c r="L918" s="39"/>
      <c r="M918" s="749"/>
      <c r="N918" s="39" t="str">
        <f>IF(AND('331-CT'!$E$7=TH!H918,OR(L918="331",M918="331")),"x","")</f>
        <v/>
      </c>
      <c r="O918" s="39" t="str">
        <f>IF(AND($B918&gt;='111'!$N$11,$B918&lt;='111'!$O$11,OR($L918=$O$7,$M918=$O$7)),"x","")</f>
        <v/>
      </c>
      <c r="P918" s="39" t="str">
        <f>IF(AND($L918=$O$7,$B918&lt;'111'!$N$11),"x","")</f>
        <v/>
      </c>
      <c r="Q918" s="39" t="str">
        <f>IF(AND($M918=$O$7,$B918&lt;'111'!$N$11),"x","")</f>
        <v/>
      </c>
      <c r="R918" s="39" t="str">
        <f>IF(ISERROR(FIND('112'!$M$9,G918,1)),"",IF((AND(FIND('112'!$M$9,G918,1)&gt;=1,$B918&gt;='112'!$N$8,$B918&lt;='112'!$O$8,OR($L918='112'!$I$6,$M918='112'!$I$6))),"x",""))</f>
        <v/>
      </c>
      <c r="S918" s="39" t="str">
        <f>IF(ISERROR(FIND('112'!$M$9,G918,1)),"",IF((AND(LEFT(G918,2)=LEFT('112'!$M$9,2),B918&lt;'112'!$N$8,$L918='112'!$I$6)),"x",""))</f>
        <v/>
      </c>
      <c r="T918" s="39" t="str">
        <f>IF(ISERROR(FIND('112'!$M$9,G918,1)),"",IF((AND(RIGHT(G918,2)=RIGHT('112'!$M$9,2),B918&lt;'112'!$N$8,$M918='112'!$I$6)),"x",""))</f>
        <v/>
      </c>
      <c r="U918" s="39" t="str">
        <f>IF(AND('3411-CT'!$F$9=H918,OR(LEFT(L918,3)=$U$7,LEFT(M918,3)=$U$7)),"x","")</f>
        <v/>
      </c>
      <c r="V918" s="39" t="str">
        <f>IF(OR(TH!L918=TH!$V$7,M918=TH!$V$7),"x","")</f>
        <v/>
      </c>
      <c r="W918" s="39" t="str">
        <f>IF(AND(OR(L918="131",M918="131"),H918='131-CT'!$E$7),"x","")</f>
        <v/>
      </c>
      <c r="X918" s="39" t="str">
        <f>IF(AND(B918&gt;='IN-NX'!$P$3,B918&lt;='IN-NX'!$Q$3,'IN-NX'!$D$7=D918,OR(LEFT(TH!L918,2)="15",LEFT(TH!M918,2)="15")),"x","")</f>
        <v/>
      </c>
      <c r="Y918" s="39" t="str">
        <f>IF(AND(OR(LEFT(TH!L918,2)="15",LEFT(TH!M918,2)="15"),'152-CT'!$J$8=TH!F918),"x","")</f>
        <v/>
      </c>
      <c r="Z918" s="39" t="str">
        <f>IF(AND(OR(LEFT(TH!L918,2)="15",LEFT(TH!M918,2)="15"),TK!$E$7=TH!F918),"x","")</f>
        <v/>
      </c>
      <c r="AA918" s="39" t="str">
        <f>IF(AND(B918&lt;=NKC!$N$8,B918&gt;=NKC!$M$8),"x","")</f>
        <v/>
      </c>
    </row>
    <row r="919" spans="1:27" s="225" customFormat="1" ht="15.75" customHeight="1">
      <c r="A919" s="218" t="str">
        <f>IF(B919&lt;&gt;"",IF(AND(B919&gt;=_TM1,B919&lt;=_TM2,OR(TH!L919="1111",TH!M919="1111")),TH!D919,""),"")</f>
        <v/>
      </c>
      <c r="B919" s="36" t="str">
        <f t="shared" si="42"/>
        <v/>
      </c>
      <c r="C919" s="37"/>
      <c r="D919" s="204"/>
      <c r="E919" s="37"/>
      <c r="F919" s="40"/>
      <c r="G919" s="626"/>
      <c r="H919" s="45"/>
      <c r="I919" s="276"/>
      <c r="J919" s="276"/>
      <c r="K919" s="38"/>
      <c r="L919" s="39"/>
      <c r="M919" s="749"/>
      <c r="N919" s="39" t="str">
        <f>IF(AND('331-CT'!$E$7=TH!H919,OR(L919="331",M919="331")),"x","")</f>
        <v/>
      </c>
      <c r="O919" s="39" t="str">
        <f>IF(AND($B919&gt;='111'!$N$11,$B919&lt;='111'!$O$11,OR($L919=$O$7,$M919=$O$7)),"x","")</f>
        <v/>
      </c>
      <c r="P919" s="39" t="str">
        <f>IF(AND($L919=$O$7,$B919&lt;'111'!$N$11),"x","")</f>
        <v/>
      </c>
      <c r="Q919" s="39" t="str">
        <f>IF(AND($M919=$O$7,$B919&lt;'111'!$N$11),"x","")</f>
        <v/>
      </c>
      <c r="R919" s="39" t="str">
        <f>IF(ISERROR(FIND('112'!$M$9,G919,1)),"",IF((AND(FIND('112'!$M$9,G919,1)&gt;=1,$B919&gt;='112'!$N$8,$B919&lt;='112'!$O$8,OR($L919='112'!$I$6,$M919='112'!$I$6))),"x",""))</f>
        <v/>
      </c>
      <c r="S919" s="39" t="str">
        <f>IF(ISERROR(FIND('112'!$M$9,G919,1)),"",IF((AND(LEFT(G919,2)=LEFT('112'!$M$9,2),B919&lt;'112'!$N$8,$L919='112'!$I$6)),"x",""))</f>
        <v/>
      </c>
      <c r="T919" s="39" t="str">
        <f>IF(ISERROR(FIND('112'!$M$9,G919,1)),"",IF((AND(RIGHT(G919,2)=RIGHT('112'!$M$9,2),B919&lt;'112'!$N$8,$M919='112'!$I$6)),"x",""))</f>
        <v/>
      </c>
      <c r="U919" s="39" t="str">
        <f>IF(AND('3411-CT'!$F$9=H919,OR(LEFT(L919,3)=$U$7,LEFT(M919,3)=$U$7)),"x","")</f>
        <v/>
      </c>
      <c r="V919" s="39" t="str">
        <f>IF(OR(TH!L919=TH!$V$7,M919=TH!$V$7),"x","")</f>
        <v/>
      </c>
      <c r="W919" s="39" t="str">
        <f>IF(AND(OR(L919="131",M919="131"),H919='131-CT'!$E$7),"x","")</f>
        <v/>
      </c>
      <c r="X919" s="39" t="str">
        <f>IF(AND(B919&gt;='IN-NX'!$P$3,B919&lt;='IN-NX'!$Q$3,'IN-NX'!$D$7=D919,OR(LEFT(TH!L919,2)="15",LEFT(TH!M919,2)="15")),"x","")</f>
        <v/>
      </c>
      <c r="Y919" s="39" t="str">
        <f>IF(AND(OR(LEFT(TH!L919,2)="15",LEFT(TH!M919,2)="15"),'152-CT'!$J$8=TH!F919),"x","")</f>
        <v/>
      </c>
      <c r="Z919" s="39" t="str">
        <f>IF(AND(OR(LEFT(TH!L919,2)="15",LEFT(TH!M919,2)="15"),TK!$E$7=TH!F919),"x","")</f>
        <v/>
      </c>
      <c r="AA919" s="39" t="str">
        <f>IF(AND(B919&lt;=NKC!$N$8,B919&gt;=NKC!$M$8),"x","")</f>
        <v/>
      </c>
    </row>
    <row r="920" spans="1:27" s="225" customFormat="1" ht="15.75" customHeight="1">
      <c r="A920" s="218" t="str">
        <f>IF(B920&lt;&gt;"",IF(AND(B920&gt;=_TM1,B920&lt;=_TM2,OR(TH!L920="1111",TH!M920="1111")),TH!D920,""),"")</f>
        <v/>
      </c>
      <c r="B920" s="36" t="str">
        <f t="shared" si="42"/>
        <v/>
      </c>
      <c r="C920" s="37"/>
      <c r="D920" s="204"/>
      <c r="E920" s="204"/>
      <c r="F920" s="205"/>
      <c r="G920" s="205"/>
      <c r="H920" s="206"/>
      <c r="I920" s="276"/>
      <c r="J920" s="276"/>
      <c r="K920" s="38"/>
      <c r="L920" s="207"/>
      <c r="M920" s="207"/>
      <c r="N920" s="39" t="str">
        <f>IF(AND('331-CT'!$E$7=TH!H920,OR(L920="331",M920="331")),"x","")</f>
        <v/>
      </c>
      <c r="O920" s="39" t="str">
        <f>IF(AND($B920&gt;='111'!$N$11,$B920&lt;='111'!$O$11,OR($L920=$O$7,$M920=$O$7)),"x","")</f>
        <v/>
      </c>
      <c r="P920" s="39" t="str">
        <f>IF(AND($L920=$O$7,$B920&lt;'111'!$N$11),"x","")</f>
        <v/>
      </c>
      <c r="Q920" s="39" t="str">
        <f>IF(AND($M920=$O$7,$B920&lt;'111'!$N$11),"x","")</f>
        <v/>
      </c>
      <c r="R920" s="39" t="str">
        <f>IF(ISERROR(FIND('112'!$M$9,G920,1)),"",IF((AND(FIND('112'!$M$9,G920,1)&gt;=1,$B920&gt;='112'!$N$8,$B920&lt;='112'!$O$8,OR($L920='112'!$I$6,$M920='112'!$I$6))),"x",""))</f>
        <v/>
      </c>
      <c r="S920" s="39" t="str">
        <f>IF(ISERROR(FIND('112'!$M$9,G920,1)),"",IF((AND(LEFT(G920,2)=LEFT('112'!$M$9,2),B920&lt;'112'!$N$8,$L920='112'!$I$6)),"x",""))</f>
        <v/>
      </c>
      <c r="T920" s="39" t="str">
        <f>IF(ISERROR(FIND('112'!$M$9,G920,1)),"",IF((AND(RIGHT(G920,2)=RIGHT('112'!$M$9,2),B920&lt;'112'!$N$8,$M920='112'!$I$6)),"x",""))</f>
        <v/>
      </c>
      <c r="U920" s="39" t="str">
        <f>IF(AND('3411-CT'!$F$9=H920,OR(LEFT(L920,3)=$U$7,LEFT(M920,3)=$U$7)),"x","")</f>
        <v/>
      </c>
      <c r="V920" s="39" t="str">
        <f>IF(OR(TH!L920=TH!$V$7,M920=TH!$V$7),"x","")</f>
        <v/>
      </c>
      <c r="W920" s="39" t="str">
        <f>IF(AND(OR(L920="131",M920="131"),H920='131-CT'!$E$7),"x","")</f>
        <v/>
      </c>
      <c r="X920" s="39" t="str">
        <f>IF(AND(B920&gt;='IN-NX'!$P$3,B920&lt;='IN-NX'!$Q$3,'IN-NX'!$D$7=D920,OR(LEFT(TH!L920,2)="15",LEFT(TH!M920,2)="15")),"x","")</f>
        <v/>
      </c>
      <c r="Y920" s="39" t="str">
        <f>IF(AND(OR(LEFT(TH!L920,2)="15",LEFT(TH!M920,2)="15"),'152-CT'!$J$8=TH!F920),"x","")</f>
        <v/>
      </c>
      <c r="Z920" s="39" t="str">
        <f>IF(AND(OR(LEFT(TH!L920,2)="15",LEFT(TH!M920,2)="15"),TK!$E$7=TH!F920),"x","")</f>
        <v/>
      </c>
      <c r="AA920" s="39" t="str">
        <f>IF(AND(B920&lt;=NKC!$N$8,B920&gt;=NKC!$M$8),"x","")</f>
        <v/>
      </c>
    </row>
    <row r="921" spans="1:27" s="225" customFormat="1" ht="15.75" customHeight="1">
      <c r="A921" s="218" t="str">
        <f>IF(B921&lt;&gt;"",IF(AND(B921&gt;=_TM1,B921&lt;=_TM2,OR(TH!L921="1111",TH!M921="1111")),TH!D921,""),"")</f>
        <v/>
      </c>
      <c r="B921" s="36" t="str">
        <f t="shared" si="42"/>
        <v/>
      </c>
      <c r="C921" s="37"/>
      <c r="D921" s="204"/>
      <c r="E921" s="204"/>
      <c r="F921" s="205"/>
      <c r="G921" s="205"/>
      <c r="H921" s="206"/>
      <c r="I921" s="276"/>
      <c r="J921" s="276"/>
      <c r="K921" s="38"/>
      <c r="L921" s="207"/>
      <c r="M921" s="207"/>
      <c r="N921" s="39" t="str">
        <f>IF(AND('331-CT'!$E$7=TH!H921,OR(L921="331",M921="331")),"x","")</f>
        <v/>
      </c>
      <c r="O921" s="39" t="str">
        <f>IF(AND($B921&gt;='111'!$N$11,$B921&lt;='111'!$O$11,OR($L921=$O$7,$M921=$O$7)),"x","")</f>
        <v/>
      </c>
      <c r="P921" s="39" t="str">
        <f>IF(AND($L921=$O$7,$B921&lt;'111'!$N$11),"x","")</f>
        <v/>
      </c>
      <c r="Q921" s="39" t="str">
        <f>IF(AND($M921=$O$7,$B921&lt;'111'!$N$11),"x","")</f>
        <v/>
      </c>
      <c r="R921" s="39" t="str">
        <f>IF(ISERROR(FIND('112'!$M$9,G921,1)),"",IF((AND(FIND('112'!$M$9,G921,1)&gt;=1,$B921&gt;='112'!$N$8,$B921&lt;='112'!$O$8,OR($L921='112'!$I$6,$M921='112'!$I$6))),"x",""))</f>
        <v/>
      </c>
      <c r="S921" s="39" t="str">
        <f>IF(ISERROR(FIND('112'!$M$9,G921,1)),"",IF((AND(LEFT(G921,2)=LEFT('112'!$M$9,2),B921&lt;'112'!$N$8,$L921='112'!$I$6)),"x",""))</f>
        <v/>
      </c>
      <c r="T921" s="39" t="str">
        <f>IF(ISERROR(FIND('112'!$M$9,G921,1)),"",IF((AND(RIGHT(G921,2)=RIGHT('112'!$M$9,2),B921&lt;'112'!$N$8,$M921='112'!$I$6)),"x",""))</f>
        <v/>
      </c>
      <c r="U921" s="39" t="str">
        <f>IF(AND('3411-CT'!$F$9=H921,OR(LEFT(L921,3)=$U$7,LEFT(M921,3)=$U$7)),"x","")</f>
        <v/>
      </c>
      <c r="V921" s="39" t="str">
        <f>IF(OR(TH!L921=TH!$V$7,M921=TH!$V$7),"x","")</f>
        <v/>
      </c>
      <c r="W921" s="39" t="str">
        <f>IF(AND(OR(L921="131",M921="131"),H921='131-CT'!$E$7),"x","")</f>
        <v/>
      </c>
      <c r="X921" s="39" t="str">
        <f>IF(AND(B921&gt;='IN-NX'!$P$3,B921&lt;='IN-NX'!$Q$3,'IN-NX'!$D$7=D921,OR(LEFT(TH!L921,2)="15",LEFT(TH!M921,2)="15")),"x","")</f>
        <v/>
      </c>
      <c r="Y921" s="39" t="str">
        <f>IF(AND(OR(LEFT(TH!L921,2)="15",LEFT(TH!M921,2)="15"),'152-CT'!$J$8=TH!F921),"x","")</f>
        <v/>
      </c>
      <c r="Z921" s="39" t="str">
        <f>IF(AND(OR(LEFT(TH!L921,2)="15",LEFT(TH!M921,2)="15"),TK!$E$7=TH!F921),"x","")</f>
        <v/>
      </c>
      <c r="AA921" s="39" t="str">
        <f>IF(AND(B921&lt;=NKC!$N$8,B921&gt;=NKC!$M$8),"x","")</f>
        <v/>
      </c>
    </row>
    <row r="922" spans="1:27" s="225" customFormat="1" ht="15.75" customHeight="1">
      <c r="A922" s="218" t="str">
        <f>IF(B922&lt;&gt;"",IF(AND(B922&gt;=_TM1,B922&lt;=_TM2,OR(TH!L922="1111",TH!M922="1111")),TH!D922,""),"")</f>
        <v/>
      </c>
      <c r="B922" s="36" t="str">
        <f t="shared" si="42"/>
        <v/>
      </c>
      <c r="C922" s="37"/>
      <c r="D922" s="204"/>
      <c r="E922" s="204"/>
      <c r="F922" s="205"/>
      <c r="G922" s="205"/>
      <c r="H922" s="206"/>
      <c r="I922" s="276"/>
      <c r="J922" s="276"/>
      <c r="K922" s="38"/>
      <c r="L922" s="207"/>
      <c r="M922" s="207"/>
      <c r="N922" s="39" t="str">
        <f>IF(AND('331-CT'!$E$7=TH!H922,OR(L922="331",M922="331")),"x","")</f>
        <v/>
      </c>
      <c r="O922" s="39" t="str">
        <f>IF(AND($B922&gt;='111'!$N$11,$B922&lt;='111'!$O$11,OR($L922=$O$7,$M922=$O$7)),"x","")</f>
        <v/>
      </c>
      <c r="P922" s="39" t="str">
        <f>IF(AND($L922=$O$7,$B922&lt;'111'!$N$11),"x","")</f>
        <v/>
      </c>
      <c r="Q922" s="39" t="str">
        <f>IF(AND($M922=$O$7,$B922&lt;'111'!$N$11),"x","")</f>
        <v/>
      </c>
      <c r="R922" s="39" t="str">
        <f>IF(ISERROR(FIND('112'!$M$9,G922,1)),"",IF((AND(FIND('112'!$M$9,G922,1)&gt;=1,$B922&gt;='112'!$N$8,$B922&lt;='112'!$O$8,OR($L922='112'!$I$6,$M922='112'!$I$6))),"x",""))</f>
        <v/>
      </c>
      <c r="S922" s="39" t="str">
        <f>IF(ISERROR(FIND('112'!$M$9,G922,1)),"",IF((AND(LEFT(G922,2)=LEFT('112'!$M$9,2),B922&lt;'112'!$N$8,$L922='112'!$I$6)),"x",""))</f>
        <v/>
      </c>
      <c r="T922" s="39" t="str">
        <f>IF(ISERROR(FIND('112'!$M$9,G922,1)),"",IF((AND(RIGHT(G922,2)=RIGHT('112'!$M$9,2),B922&lt;'112'!$N$8,$M922='112'!$I$6)),"x",""))</f>
        <v/>
      </c>
      <c r="U922" s="39" t="str">
        <f>IF(AND('3411-CT'!$F$9=H922,OR(LEFT(L922,3)=$U$7,LEFT(M922,3)=$U$7)),"x","")</f>
        <v/>
      </c>
      <c r="V922" s="39" t="str">
        <f>IF(OR(TH!L922=TH!$V$7,M922=TH!$V$7),"x","")</f>
        <v/>
      </c>
      <c r="W922" s="39" t="str">
        <f>IF(AND(OR(L922="131",M922="131"),H922='131-CT'!$E$7),"x","")</f>
        <v/>
      </c>
      <c r="X922" s="39" t="str">
        <f>IF(AND(B922&gt;='IN-NX'!$P$3,B922&lt;='IN-NX'!$Q$3,'IN-NX'!$D$7=D922,OR(LEFT(TH!L922,2)="15",LEFT(TH!M922,2)="15")),"x","")</f>
        <v/>
      </c>
      <c r="Y922" s="39" t="str">
        <f>IF(AND(OR(LEFT(TH!L922,2)="15",LEFT(TH!M922,2)="15"),'152-CT'!$J$8=TH!F922),"x","")</f>
        <v/>
      </c>
      <c r="Z922" s="39" t="str">
        <f>IF(AND(OR(LEFT(TH!L922,2)="15",LEFT(TH!M922,2)="15"),TK!$E$7=TH!F922),"x","")</f>
        <v/>
      </c>
      <c r="AA922" s="39" t="str">
        <f>IF(AND(B922&lt;=NKC!$N$8,B922&gt;=NKC!$M$8),"x","")</f>
        <v/>
      </c>
    </row>
    <row r="923" spans="1:27" s="225" customFormat="1" ht="15.75" customHeight="1">
      <c r="A923" s="218" t="str">
        <f>IF(B923&lt;&gt;"",IF(AND(B923&gt;=_TM1,B923&lt;=_TM2,OR(TH!L923="1111",TH!M923="1111")),TH!D923,""),"")</f>
        <v/>
      </c>
      <c r="B923" s="36" t="str">
        <f t="shared" si="42"/>
        <v/>
      </c>
      <c r="C923" s="37"/>
      <c r="D923" s="204"/>
      <c r="E923" s="204"/>
      <c r="F923" s="205"/>
      <c r="G923" s="205"/>
      <c r="H923" s="206"/>
      <c r="I923" s="276"/>
      <c r="J923" s="276"/>
      <c r="K923" s="38"/>
      <c r="L923" s="207"/>
      <c r="M923" s="207"/>
      <c r="N923" s="39" t="str">
        <f>IF(AND('331-CT'!$E$7=TH!H923,OR(L923="331",M923="331")),"x","")</f>
        <v/>
      </c>
      <c r="O923" s="39" t="str">
        <f>IF(AND($B923&gt;='111'!$N$11,$B923&lt;='111'!$O$11,OR($L923=$O$7,$M923=$O$7)),"x","")</f>
        <v/>
      </c>
      <c r="P923" s="39" t="str">
        <f>IF(AND($L923=$O$7,$B923&lt;'111'!$N$11),"x","")</f>
        <v/>
      </c>
      <c r="Q923" s="39" t="str">
        <f>IF(AND($M923=$O$7,$B923&lt;'111'!$N$11),"x","")</f>
        <v/>
      </c>
      <c r="R923" s="39" t="str">
        <f>IF(ISERROR(FIND('112'!$M$9,G923,1)),"",IF((AND(FIND('112'!$M$9,G923,1)&gt;=1,$B923&gt;='112'!$N$8,$B923&lt;='112'!$O$8,OR($L923='112'!$I$6,$M923='112'!$I$6))),"x",""))</f>
        <v/>
      </c>
      <c r="S923" s="39" t="str">
        <f>IF(ISERROR(FIND('112'!$M$9,G923,1)),"",IF((AND(LEFT(G923,2)=LEFT('112'!$M$9,2),B923&lt;'112'!$N$8,$L923='112'!$I$6)),"x",""))</f>
        <v/>
      </c>
      <c r="T923" s="39" t="str">
        <f>IF(ISERROR(FIND('112'!$M$9,G923,1)),"",IF((AND(RIGHT(G923,2)=RIGHT('112'!$M$9,2),B923&lt;'112'!$N$8,$M923='112'!$I$6)),"x",""))</f>
        <v/>
      </c>
      <c r="U923" s="39" t="str">
        <f>IF(AND('3411-CT'!$F$9=H923,OR(LEFT(L923,3)=$U$7,LEFT(M923,3)=$U$7)),"x","")</f>
        <v/>
      </c>
      <c r="V923" s="39" t="str">
        <f>IF(OR(TH!L923=TH!$V$7,M923=TH!$V$7),"x","")</f>
        <v/>
      </c>
      <c r="W923" s="39" t="str">
        <f>IF(AND(OR(L923="131",M923="131"),H923='131-CT'!$E$7),"x","")</f>
        <v/>
      </c>
      <c r="X923" s="39" t="str">
        <f>IF(AND(B923&gt;='IN-NX'!$P$3,B923&lt;='IN-NX'!$Q$3,'IN-NX'!$D$7=D923,OR(LEFT(TH!L923,2)="15",LEFT(TH!M923,2)="15")),"x","")</f>
        <v/>
      </c>
      <c r="Y923" s="39" t="str">
        <f>IF(AND(OR(LEFT(TH!L923,2)="15",LEFT(TH!M923,2)="15"),'152-CT'!$J$8=TH!F923),"x","")</f>
        <v/>
      </c>
      <c r="Z923" s="39" t="str">
        <f>IF(AND(OR(LEFT(TH!L923,2)="15",LEFT(TH!M923,2)="15"),TK!$E$7=TH!F923),"x","")</f>
        <v/>
      </c>
      <c r="AA923" s="39" t="str">
        <f>IF(AND(B923&lt;=NKC!$N$8,B923&gt;=NKC!$M$8),"x","")</f>
        <v/>
      </c>
    </row>
    <row r="924" spans="1:27" s="225" customFormat="1" ht="15.75" customHeight="1">
      <c r="A924" s="218" t="str">
        <f>IF(B924&lt;&gt;"",IF(AND(B924&gt;=_TM1,B924&lt;=_TM2,OR(TH!L924="1111",TH!M924="1111")),TH!D924,""),"")</f>
        <v/>
      </c>
      <c r="B924" s="36" t="str">
        <f t="shared" si="42"/>
        <v/>
      </c>
      <c r="C924" s="37"/>
      <c r="D924" s="204"/>
      <c r="E924" s="204"/>
      <c r="F924" s="205"/>
      <c r="G924" s="205"/>
      <c r="H924" s="206"/>
      <c r="I924" s="276"/>
      <c r="J924" s="276"/>
      <c r="K924" s="38"/>
      <c r="L924" s="207"/>
      <c r="M924" s="207"/>
      <c r="N924" s="39" t="str">
        <f>IF(AND('331-CT'!$E$7=TH!H924,OR(L924="331",M924="331")),"x","")</f>
        <v/>
      </c>
      <c r="O924" s="39" t="str">
        <f>IF(AND($B924&gt;='111'!$N$11,$B924&lt;='111'!$O$11,OR($L924=$O$7,$M924=$O$7)),"x","")</f>
        <v/>
      </c>
      <c r="P924" s="39" t="str">
        <f>IF(AND($L924=$O$7,$B924&lt;'111'!$N$11),"x","")</f>
        <v/>
      </c>
      <c r="Q924" s="39" t="str">
        <f>IF(AND($M924=$O$7,$B924&lt;'111'!$N$11),"x","")</f>
        <v/>
      </c>
      <c r="R924" s="39" t="str">
        <f>IF(ISERROR(FIND('112'!$M$9,G924,1)),"",IF((AND(FIND('112'!$M$9,G924,1)&gt;=1,$B924&gt;='112'!$N$8,$B924&lt;='112'!$O$8,OR($L924='112'!$I$6,$M924='112'!$I$6))),"x",""))</f>
        <v/>
      </c>
      <c r="S924" s="39" t="str">
        <f>IF(ISERROR(FIND('112'!$M$9,G924,1)),"",IF((AND(LEFT(G924,2)=LEFT('112'!$M$9,2),B924&lt;'112'!$N$8,$L924='112'!$I$6)),"x",""))</f>
        <v/>
      </c>
      <c r="T924" s="39" t="str">
        <f>IF(ISERROR(FIND('112'!$M$9,G924,1)),"",IF((AND(RIGHT(G924,2)=RIGHT('112'!$M$9,2),B924&lt;'112'!$N$8,$M924='112'!$I$6)),"x",""))</f>
        <v/>
      </c>
      <c r="U924" s="39" t="str">
        <f>IF(AND('3411-CT'!$F$9=H924,OR(LEFT(L924,3)=$U$7,LEFT(M924,3)=$U$7)),"x","")</f>
        <v/>
      </c>
      <c r="V924" s="39" t="str">
        <f>IF(OR(TH!L924=TH!$V$7,M924=TH!$V$7),"x","")</f>
        <v/>
      </c>
      <c r="W924" s="39" t="str">
        <f>IF(AND(OR(L924="131",M924="131"),H924='131-CT'!$E$7),"x","")</f>
        <v/>
      </c>
      <c r="X924" s="39" t="str">
        <f>IF(AND(B924&gt;='IN-NX'!$P$3,B924&lt;='IN-NX'!$Q$3,'IN-NX'!$D$7=D924,OR(LEFT(TH!L924,2)="15",LEFT(TH!M924,2)="15")),"x","")</f>
        <v/>
      </c>
      <c r="Y924" s="39" t="str">
        <f>IF(AND(OR(LEFT(TH!L924,2)="15",LEFT(TH!M924,2)="15"),'152-CT'!$J$8=TH!F924),"x","")</f>
        <v/>
      </c>
      <c r="Z924" s="39" t="str">
        <f>IF(AND(OR(LEFT(TH!L924,2)="15",LEFT(TH!M924,2)="15"),TK!$E$7=TH!F924),"x","")</f>
        <v/>
      </c>
      <c r="AA924" s="39" t="str">
        <f>IF(AND(B924&lt;=NKC!$N$8,B924&gt;=NKC!$M$8),"x","")</f>
        <v/>
      </c>
    </row>
    <row r="925" spans="1:27" s="225" customFormat="1" ht="15.75" customHeight="1">
      <c r="A925" s="218" t="str">
        <f>IF(B925&lt;&gt;"",IF(AND(B925&gt;=_TM1,B925&lt;=_TM2,OR(TH!L925="1111",TH!M925="1111")),TH!D925,""),"")</f>
        <v/>
      </c>
      <c r="B925" s="36" t="str">
        <f t="shared" si="42"/>
        <v/>
      </c>
      <c r="C925" s="37"/>
      <c r="D925" s="204"/>
      <c r="E925" s="204"/>
      <c r="F925" s="205"/>
      <c r="G925" s="205"/>
      <c r="H925" s="206"/>
      <c r="I925" s="276"/>
      <c r="J925" s="276"/>
      <c r="K925" s="38"/>
      <c r="L925" s="207"/>
      <c r="M925" s="207"/>
      <c r="N925" s="39" t="str">
        <f>IF(AND('331-CT'!$E$7=TH!H925,OR(L925="331",M925="331")),"x","")</f>
        <v/>
      </c>
      <c r="O925" s="39" t="str">
        <f>IF(AND($B925&gt;='111'!$N$11,$B925&lt;='111'!$O$11,OR($L925=$O$7,$M925=$O$7)),"x","")</f>
        <v/>
      </c>
      <c r="P925" s="39" t="str">
        <f>IF(AND($L925=$O$7,$B925&lt;'111'!$N$11),"x","")</f>
        <v/>
      </c>
      <c r="Q925" s="39" t="str">
        <f>IF(AND($M925=$O$7,$B925&lt;'111'!$N$11),"x","")</f>
        <v/>
      </c>
      <c r="R925" s="39" t="str">
        <f>IF(ISERROR(FIND('112'!$M$9,G925,1)),"",IF((AND(FIND('112'!$M$9,G925,1)&gt;=1,$B925&gt;='112'!$N$8,$B925&lt;='112'!$O$8,OR($L925='112'!$I$6,$M925='112'!$I$6))),"x",""))</f>
        <v/>
      </c>
      <c r="S925" s="39" t="str">
        <f>IF(ISERROR(FIND('112'!$M$9,G925,1)),"",IF((AND(LEFT(G925,2)=LEFT('112'!$M$9,2),B925&lt;'112'!$N$8,$L925='112'!$I$6)),"x",""))</f>
        <v/>
      </c>
      <c r="T925" s="39" t="str">
        <f>IF(ISERROR(FIND('112'!$M$9,G925,1)),"",IF((AND(RIGHT(G925,2)=RIGHT('112'!$M$9,2),B925&lt;'112'!$N$8,$M925='112'!$I$6)),"x",""))</f>
        <v/>
      </c>
      <c r="U925" s="39" t="str">
        <f>IF(AND('3411-CT'!$F$9=H925,OR(LEFT(L925,3)=$U$7,LEFT(M925,3)=$U$7)),"x","")</f>
        <v/>
      </c>
      <c r="V925" s="39" t="str">
        <f>IF(OR(TH!L925=TH!$V$7,M925=TH!$V$7),"x","")</f>
        <v/>
      </c>
      <c r="W925" s="39" t="str">
        <f>IF(AND(OR(L925="131",M925="131"),H925='131-CT'!$E$7),"x","")</f>
        <v/>
      </c>
      <c r="X925" s="39" t="str">
        <f>IF(AND(B925&gt;='IN-NX'!$P$3,B925&lt;='IN-NX'!$Q$3,'IN-NX'!$D$7=D925,OR(LEFT(TH!L925,2)="15",LEFT(TH!M925,2)="15")),"x","")</f>
        <v/>
      </c>
      <c r="Y925" s="39" t="str">
        <f>IF(AND(OR(LEFT(TH!L925,2)="15",LEFT(TH!M925,2)="15"),'152-CT'!$J$8=TH!F925),"x","")</f>
        <v/>
      </c>
      <c r="Z925" s="39" t="str">
        <f>IF(AND(OR(LEFT(TH!L925,2)="15",LEFT(TH!M925,2)="15"),TK!$E$7=TH!F925),"x","")</f>
        <v/>
      </c>
      <c r="AA925" s="39" t="str">
        <f>IF(AND(B925&lt;=NKC!$N$8,B925&gt;=NKC!$M$8),"x","")</f>
        <v/>
      </c>
    </row>
    <row r="926" spans="1:27" s="225" customFormat="1" ht="15.75" customHeight="1">
      <c r="A926" s="218" t="str">
        <f>IF(B926&lt;&gt;"",IF(AND(B926&gt;=_TM1,B926&lt;=_TM2,OR(TH!L926="1111",TH!M926="1111")),TH!D926,""),"")</f>
        <v/>
      </c>
      <c r="B926" s="36" t="str">
        <f t="shared" si="42"/>
        <v/>
      </c>
      <c r="C926" s="37"/>
      <c r="D926" s="204"/>
      <c r="E926" s="204"/>
      <c r="F926" s="205"/>
      <c r="G926" s="205"/>
      <c r="H926" s="206"/>
      <c r="I926" s="276"/>
      <c r="J926" s="276"/>
      <c r="K926" s="38"/>
      <c r="L926" s="207"/>
      <c r="M926" s="207"/>
      <c r="N926" s="39" t="str">
        <f>IF(AND('331-CT'!$E$7=TH!H926,OR(L926="331",M926="331")),"x","")</f>
        <v/>
      </c>
      <c r="O926" s="39" t="str">
        <f>IF(AND($B926&gt;='111'!$N$11,$B926&lt;='111'!$O$11,OR($L926=$O$7,$M926=$O$7)),"x","")</f>
        <v/>
      </c>
      <c r="P926" s="39" t="str">
        <f>IF(AND($L926=$O$7,$B926&lt;'111'!$N$11),"x","")</f>
        <v/>
      </c>
      <c r="Q926" s="39" t="str">
        <f>IF(AND($M926=$O$7,$B926&lt;'111'!$N$11),"x","")</f>
        <v/>
      </c>
      <c r="R926" s="39" t="str">
        <f>IF(ISERROR(FIND('112'!$M$9,G926,1)),"",IF((AND(FIND('112'!$M$9,G926,1)&gt;=1,$B926&gt;='112'!$N$8,$B926&lt;='112'!$O$8,OR($L926='112'!$I$6,$M926='112'!$I$6))),"x",""))</f>
        <v/>
      </c>
      <c r="S926" s="39" t="str">
        <f>IF(ISERROR(FIND('112'!$M$9,G926,1)),"",IF((AND(LEFT(G926,2)=LEFT('112'!$M$9,2),B926&lt;'112'!$N$8,$L926='112'!$I$6)),"x",""))</f>
        <v/>
      </c>
      <c r="T926" s="39" t="str">
        <f>IF(ISERROR(FIND('112'!$M$9,G926,1)),"",IF((AND(RIGHT(G926,2)=RIGHT('112'!$M$9,2),B926&lt;'112'!$N$8,$M926='112'!$I$6)),"x",""))</f>
        <v/>
      </c>
      <c r="U926" s="39" t="str">
        <f>IF(AND('3411-CT'!$F$9=H926,OR(LEFT(L926,3)=$U$7,LEFT(M926,3)=$U$7)),"x","")</f>
        <v/>
      </c>
      <c r="V926" s="39" t="str">
        <f>IF(OR(TH!L926=TH!$V$7,M926=TH!$V$7),"x","")</f>
        <v/>
      </c>
      <c r="W926" s="39" t="str">
        <f>IF(AND(OR(L926="131",M926="131"),H926='131-CT'!$E$7),"x","")</f>
        <v/>
      </c>
      <c r="X926" s="39" t="str">
        <f>IF(AND(B926&gt;='IN-NX'!$P$3,B926&lt;='IN-NX'!$Q$3,'IN-NX'!$D$7=D926,OR(LEFT(TH!L926,2)="15",LEFT(TH!M926,2)="15")),"x","")</f>
        <v/>
      </c>
      <c r="Y926" s="39" t="str">
        <f>IF(AND(OR(LEFT(TH!L926,2)="15",LEFT(TH!M926,2)="15"),'152-CT'!$J$8=TH!F926),"x","")</f>
        <v/>
      </c>
      <c r="Z926" s="39" t="str">
        <f>IF(AND(OR(LEFT(TH!L926,2)="15",LEFT(TH!M926,2)="15"),TK!$E$7=TH!F926),"x","")</f>
        <v/>
      </c>
      <c r="AA926" s="39" t="str">
        <f>IF(AND(B926&lt;=NKC!$N$8,B926&gt;=NKC!$M$8),"x","")</f>
        <v/>
      </c>
    </row>
    <row r="927" spans="1:27" s="225" customFormat="1" ht="15.75" customHeight="1">
      <c r="A927" s="218" t="str">
        <f>IF(B927&lt;&gt;"",IF(AND(B927&gt;=_TM1,B927&lt;=_TM2,OR(TH!L927="1111",TH!M927="1111")),TH!D927,""),"")</f>
        <v/>
      </c>
      <c r="B927" s="36" t="str">
        <f t="shared" si="42"/>
        <v/>
      </c>
      <c r="C927" s="37"/>
      <c r="D927" s="204"/>
      <c r="E927" s="204"/>
      <c r="F927" s="205"/>
      <c r="G927" s="205"/>
      <c r="H927" s="206"/>
      <c r="I927" s="276"/>
      <c r="J927" s="276"/>
      <c r="K927" s="38"/>
      <c r="L927" s="207"/>
      <c r="M927" s="207"/>
      <c r="N927" s="39" t="str">
        <f>IF(AND('331-CT'!$E$7=TH!H927,OR(L927="331",M927="331")),"x","")</f>
        <v/>
      </c>
      <c r="O927" s="39" t="str">
        <f>IF(AND($B927&gt;='111'!$N$11,$B927&lt;='111'!$O$11,OR($L927=$O$7,$M927=$O$7)),"x","")</f>
        <v/>
      </c>
      <c r="P927" s="39" t="str">
        <f>IF(AND($L927=$O$7,$B927&lt;'111'!$N$11),"x","")</f>
        <v/>
      </c>
      <c r="Q927" s="39" t="str">
        <f>IF(AND($M927=$O$7,$B927&lt;'111'!$N$11),"x","")</f>
        <v/>
      </c>
      <c r="R927" s="39" t="str">
        <f>IF(ISERROR(FIND('112'!$M$9,G927,1)),"",IF((AND(FIND('112'!$M$9,G927,1)&gt;=1,$B927&gt;='112'!$N$8,$B927&lt;='112'!$O$8,OR($L927='112'!$I$6,$M927='112'!$I$6))),"x",""))</f>
        <v/>
      </c>
      <c r="S927" s="39" t="str">
        <f>IF(ISERROR(FIND('112'!$M$9,G927,1)),"",IF((AND(LEFT(G927,2)=LEFT('112'!$M$9,2),B927&lt;'112'!$N$8,$L927='112'!$I$6)),"x",""))</f>
        <v/>
      </c>
      <c r="T927" s="39" t="str">
        <f>IF(ISERROR(FIND('112'!$M$9,G927,1)),"",IF((AND(RIGHT(G927,2)=RIGHT('112'!$M$9,2),B927&lt;'112'!$N$8,$M927='112'!$I$6)),"x",""))</f>
        <v/>
      </c>
      <c r="U927" s="39" t="str">
        <f>IF(AND('3411-CT'!$F$9=H927,OR(LEFT(L927,3)=$U$7,LEFT(M927,3)=$U$7)),"x","")</f>
        <v/>
      </c>
      <c r="V927" s="39" t="str">
        <f>IF(OR(TH!L927=TH!$V$7,M927=TH!$V$7),"x","")</f>
        <v/>
      </c>
      <c r="W927" s="39" t="str">
        <f>IF(AND(OR(L927="131",M927="131"),H927='131-CT'!$E$7),"x","")</f>
        <v/>
      </c>
      <c r="X927" s="39" t="str">
        <f>IF(AND(B927&gt;='IN-NX'!$P$3,B927&lt;='IN-NX'!$Q$3,'IN-NX'!$D$7=D927,OR(LEFT(TH!L927,2)="15",LEFT(TH!M927,2)="15")),"x","")</f>
        <v/>
      </c>
      <c r="Y927" s="39" t="str">
        <f>IF(AND(OR(LEFT(TH!L927,2)="15",LEFT(TH!M927,2)="15"),'152-CT'!$J$8=TH!F927),"x","")</f>
        <v/>
      </c>
      <c r="Z927" s="39" t="str">
        <f>IF(AND(OR(LEFT(TH!L927,2)="15",LEFT(TH!M927,2)="15"),TK!$E$7=TH!F927),"x","")</f>
        <v/>
      </c>
      <c r="AA927" s="39" t="str">
        <f>IF(AND(B927&lt;=NKC!$N$8,B927&gt;=NKC!$M$8),"x","")</f>
        <v/>
      </c>
    </row>
    <row r="928" spans="1:27" s="225" customFormat="1" ht="15.75" customHeight="1">
      <c r="A928" s="218" t="str">
        <f>IF(B928&lt;&gt;"",IF(AND(B928&gt;=_TM1,B928&lt;=_TM2,OR(TH!L928="1111",TH!M928="1111")),TH!D928,""),"")</f>
        <v/>
      </c>
      <c r="B928" s="36" t="str">
        <f t="shared" si="42"/>
        <v/>
      </c>
      <c r="C928" s="37"/>
      <c r="D928" s="204"/>
      <c r="E928" s="204"/>
      <c r="F928" s="205"/>
      <c r="G928" s="205"/>
      <c r="H928" s="206"/>
      <c r="I928" s="276"/>
      <c r="J928" s="276"/>
      <c r="K928" s="38"/>
      <c r="L928" s="207"/>
      <c r="M928" s="207"/>
      <c r="N928" s="39" t="str">
        <f>IF(AND('331-CT'!$E$7=TH!H928,OR(L928="331",M928="331")),"x","")</f>
        <v/>
      </c>
      <c r="O928" s="39" t="str">
        <f>IF(AND($B928&gt;='111'!$N$11,$B928&lt;='111'!$O$11,OR($L928=$O$7,$M928=$O$7)),"x","")</f>
        <v/>
      </c>
      <c r="P928" s="39" t="str">
        <f>IF(AND($L928=$O$7,$B928&lt;'111'!$N$11),"x","")</f>
        <v/>
      </c>
      <c r="Q928" s="39" t="str">
        <f>IF(AND($M928=$O$7,$B928&lt;'111'!$N$11),"x","")</f>
        <v/>
      </c>
      <c r="R928" s="39" t="str">
        <f>IF(ISERROR(FIND('112'!$M$9,G928,1)),"",IF((AND(FIND('112'!$M$9,G928,1)&gt;=1,$B928&gt;='112'!$N$8,$B928&lt;='112'!$O$8,OR($L928='112'!$I$6,$M928='112'!$I$6))),"x",""))</f>
        <v/>
      </c>
      <c r="S928" s="39" t="str">
        <f>IF(ISERROR(FIND('112'!$M$9,G928,1)),"",IF((AND(LEFT(G928,2)=LEFT('112'!$M$9,2),B928&lt;'112'!$N$8,$L928='112'!$I$6)),"x",""))</f>
        <v/>
      </c>
      <c r="T928" s="39" t="str">
        <f>IF(ISERROR(FIND('112'!$M$9,G928,1)),"",IF((AND(RIGHT(G928,2)=RIGHT('112'!$M$9,2),B928&lt;'112'!$N$8,$M928='112'!$I$6)),"x",""))</f>
        <v/>
      </c>
      <c r="U928" s="39" t="str">
        <f>IF(AND('3411-CT'!$F$9=H928,OR(LEFT(L928,3)=$U$7,LEFT(M928,3)=$U$7)),"x","")</f>
        <v/>
      </c>
      <c r="V928" s="39" t="str">
        <f>IF(OR(TH!L928=TH!$V$7,M928=TH!$V$7),"x","")</f>
        <v/>
      </c>
      <c r="W928" s="39" t="str">
        <f>IF(AND(OR(L928="131",M928="131"),H928='131-CT'!$E$7),"x","")</f>
        <v/>
      </c>
      <c r="X928" s="39" t="str">
        <f>IF(AND(B928&gt;='IN-NX'!$P$3,B928&lt;='IN-NX'!$Q$3,'IN-NX'!$D$7=D928,OR(LEFT(TH!L928,2)="15",LEFT(TH!M928,2)="15")),"x","")</f>
        <v/>
      </c>
      <c r="Y928" s="39" t="str">
        <f>IF(AND(OR(LEFT(TH!L928,2)="15",LEFT(TH!M928,2)="15"),'152-CT'!$J$8=TH!F928),"x","")</f>
        <v/>
      </c>
      <c r="Z928" s="39" t="str">
        <f>IF(AND(OR(LEFT(TH!L928,2)="15",LEFT(TH!M928,2)="15"),TK!$E$7=TH!F928),"x","")</f>
        <v/>
      </c>
      <c r="AA928" s="39" t="str">
        <f>IF(AND(B928&lt;=NKC!$N$8,B928&gt;=NKC!$M$8),"x","")</f>
        <v/>
      </c>
    </row>
    <row r="929" spans="1:27" s="225" customFormat="1" ht="15.75" customHeight="1">
      <c r="A929" s="218" t="str">
        <f>IF(B929&lt;&gt;"",IF(AND(B929&gt;=_TM1,B929&lt;=_TM2,OR(TH!L929="1111",TH!M929="1111")),TH!D929,""),"")</f>
        <v/>
      </c>
      <c r="B929" s="36" t="str">
        <f t="shared" si="42"/>
        <v/>
      </c>
      <c r="C929" s="37"/>
      <c r="D929" s="37"/>
      <c r="E929" s="37"/>
      <c r="F929" s="40"/>
      <c r="G929" s="626"/>
      <c r="H929" s="224"/>
      <c r="I929" s="277"/>
      <c r="J929" s="277"/>
      <c r="K929" s="214"/>
      <c r="L929" s="207"/>
      <c r="M929" s="39"/>
      <c r="N929" s="39" t="str">
        <f>IF(AND('331-CT'!$E$7=TH!H929,OR(L929="331",M929="331")),"x","")</f>
        <v/>
      </c>
      <c r="O929" s="39" t="str">
        <f>IF(AND($B929&gt;='111'!$N$11,$B929&lt;='111'!$O$11,OR($L929=$O$7,$M929=$O$7)),"x","")</f>
        <v/>
      </c>
      <c r="P929" s="39" t="str">
        <f>IF(AND($L929=$O$7,$B929&lt;'111'!$N$11),"x","")</f>
        <v/>
      </c>
      <c r="Q929" s="39" t="str">
        <f>IF(AND($M929=$O$7,$B929&lt;'111'!$N$11),"x","")</f>
        <v/>
      </c>
      <c r="R929" s="39" t="str">
        <f>IF(ISERROR(FIND('112'!$M$9,G929,1)),"",IF((AND(FIND('112'!$M$9,G929,1)&gt;=1,$B929&gt;='112'!$N$8,$B929&lt;='112'!$O$8,OR($L929='112'!$I$6,$M929='112'!$I$6))),"x",""))</f>
        <v/>
      </c>
      <c r="S929" s="39" t="str">
        <f>IF(ISERROR(FIND('112'!$M$9,G929,1)),"",IF((AND(LEFT(G929,2)=LEFT('112'!$M$9,2),B929&lt;'112'!$N$8,$L929='112'!$I$6)),"x",""))</f>
        <v/>
      </c>
      <c r="T929" s="39" t="str">
        <f>IF(ISERROR(FIND('112'!$M$9,G929,1)),"",IF((AND(RIGHT(G929,2)=RIGHT('112'!$M$9,2),B929&lt;'112'!$N$8,$M929='112'!$I$6)),"x",""))</f>
        <v/>
      </c>
      <c r="U929" s="39" t="str">
        <f>IF(AND('3411-CT'!$F$9=H929,OR(LEFT(L929,3)=$U$7,LEFT(M929,3)=$U$7)),"x","")</f>
        <v/>
      </c>
      <c r="V929" s="39" t="str">
        <f>IF(OR(TH!L929=TH!$V$7,M929=TH!$V$7),"x","")</f>
        <v/>
      </c>
      <c r="W929" s="39" t="str">
        <f>IF(AND(OR(L929="131",M929="131"),H929='131-CT'!$E$7),"x","")</f>
        <v/>
      </c>
      <c r="X929" s="39" t="str">
        <f>IF(AND(B929&gt;='IN-NX'!$P$3,B929&lt;='IN-NX'!$Q$3,'IN-NX'!$D$7=D929,OR(LEFT(TH!L929,2)="15",LEFT(TH!M929,2)="15")),"x","")</f>
        <v/>
      </c>
      <c r="Y929" s="39" t="str">
        <f>IF(AND(OR(LEFT(TH!L929,2)="15",LEFT(TH!M929,2)="15"),'152-CT'!$J$8=TH!F929),"x","")</f>
        <v/>
      </c>
      <c r="Z929" s="39" t="str">
        <f>IF(AND(OR(LEFT(TH!L929,2)="15",LEFT(TH!M929,2)="15"),TK!$E$7=TH!F929),"x","")</f>
        <v/>
      </c>
      <c r="AA929" s="39" t="str">
        <f>IF(AND(B929&lt;=NKC!$N$8,B929&gt;=NKC!$M$8),"x","")</f>
        <v/>
      </c>
    </row>
    <row r="930" spans="1:27" s="225" customFormat="1" ht="15.75" customHeight="1">
      <c r="A930" s="218" t="str">
        <f>IF(B930&lt;&gt;"",IF(AND(B930&gt;=_TM1,B930&lt;=_TM2,OR(TH!L930="1111",TH!M930="1111")),TH!D930,""),"")</f>
        <v/>
      </c>
      <c r="B930" s="36" t="str">
        <f t="shared" si="42"/>
        <v/>
      </c>
      <c r="C930" s="37"/>
      <c r="D930" s="37"/>
      <c r="E930" s="37"/>
      <c r="F930" s="40"/>
      <c r="G930" s="626"/>
      <c r="H930" s="224"/>
      <c r="I930" s="277"/>
      <c r="J930" s="277"/>
      <c r="K930" s="38"/>
      <c r="L930" s="207"/>
      <c r="M930" s="39"/>
      <c r="N930" s="39" t="str">
        <f>IF(AND('331-CT'!$E$7=TH!H930,OR(L930="331",M930="331")),"x","")</f>
        <v/>
      </c>
      <c r="O930" s="39" t="str">
        <f>IF(AND($B930&gt;='111'!$N$11,$B930&lt;='111'!$O$11,OR($L930=$O$7,$M930=$O$7)),"x","")</f>
        <v/>
      </c>
      <c r="P930" s="39" t="str">
        <f>IF(AND($L930=$O$7,$B930&lt;'111'!$N$11),"x","")</f>
        <v/>
      </c>
      <c r="Q930" s="39" t="str">
        <f>IF(AND($M930=$O$7,$B930&lt;'111'!$N$11),"x","")</f>
        <v/>
      </c>
      <c r="R930" s="39" t="str">
        <f>IF(ISERROR(FIND('112'!$M$9,G930,1)),"",IF((AND(FIND('112'!$M$9,G930,1)&gt;=1,$B930&gt;='112'!$N$8,$B930&lt;='112'!$O$8,OR($L930='112'!$I$6,$M930='112'!$I$6))),"x",""))</f>
        <v/>
      </c>
      <c r="S930" s="39" t="str">
        <f>IF(ISERROR(FIND('112'!$M$9,G930,1)),"",IF((AND(LEFT(G930,2)=LEFT('112'!$M$9,2),B930&lt;'112'!$N$8,$L930='112'!$I$6)),"x",""))</f>
        <v/>
      </c>
      <c r="T930" s="39" t="str">
        <f>IF(ISERROR(FIND('112'!$M$9,G930,1)),"",IF((AND(RIGHT(G930,2)=RIGHT('112'!$M$9,2),B930&lt;'112'!$N$8,$M930='112'!$I$6)),"x",""))</f>
        <v/>
      </c>
      <c r="U930" s="39" t="str">
        <f>IF(AND('3411-CT'!$F$9=H930,OR(LEFT(L930,3)=$U$7,LEFT(M930,3)=$U$7)),"x","")</f>
        <v/>
      </c>
      <c r="V930" s="39" t="str">
        <f>IF(OR(TH!L930=TH!$V$7,M930=TH!$V$7),"x","")</f>
        <v/>
      </c>
      <c r="W930" s="39" t="str">
        <f>IF(AND(OR(L930="131",M930="131"),H930='131-CT'!$E$7),"x","")</f>
        <v/>
      </c>
      <c r="X930" s="39" t="str">
        <f>IF(AND(B930&gt;='IN-NX'!$P$3,B930&lt;='IN-NX'!$Q$3,'IN-NX'!$D$7=D930,OR(LEFT(TH!L930,2)="15",LEFT(TH!M930,2)="15")),"x","")</f>
        <v/>
      </c>
      <c r="Y930" s="39" t="str">
        <f>IF(AND(OR(LEFT(TH!L930,2)="15",LEFT(TH!M930,2)="15"),'152-CT'!$J$8=TH!F930),"x","")</f>
        <v/>
      </c>
      <c r="Z930" s="39" t="str">
        <f>IF(AND(OR(LEFT(TH!L930,2)="15",LEFT(TH!M930,2)="15"),TK!$E$7=TH!F930),"x","")</f>
        <v/>
      </c>
      <c r="AA930" s="39" t="str">
        <f>IF(AND(B930&lt;=NKC!$N$8,B930&gt;=NKC!$M$8),"x","")</f>
        <v/>
      </c>
    </row>
    <row r="931" spans="1:27" s="225" customFormat="1" ht="15.75" customHeight="1">
      <c r="A931" s="218" t="str">
        <f>IF(B931&lt;&gt;"",IF(AND(B931&gt;=_TM1,B931&lt;=_TM2,OR(TH!L931="1111",TH!M931="1111")),TH!D931,""),"")</f>
        <v/>
      </c>
      <c r="B931" s="36" t="str">
        <f t="shared" si="42"/>
        <v/>
      </c>
      <c r="C931" s="37"/>
      <c r="D931" s="37"/>
      <c r="E931" s="37"/>
      <c r="F931" s="40"/>
      <c r="G931" s="626"/>
      <c r="H931" s="45"/>
      <c r="I931" s="276"/>
      <c r="J931" s="276"/>
      <c r="K931" s="38"/>
      <c r="L931" s="39"/>
      <c r="M931" s="39"/>
      <c r="N931" s="39" t="str">
        <f>IF(AND('331-CT'!$E$7=TH!H931,OR(L931="331",M931="331")),"x","")</f>
        <v/>
      </c>
      <c r="O931" s="39" t="str">
        <f>IF(AND($B931&gt;='111'!$N$11,$B931&lt;='111'!$O$11,OR($L931=$O$7,$M931=$O$7)),"x","")</f>
        <v/>
      </c>
      <c r="P931" s="39" t="str">
        <f>IF(AND($L931=$O$7,$B931&lt;'111'!$N$11),"x","")</f>
        <v/>
      </c>
      <c r="Q931" s="39" t="str">
        <f>IF(AND($M931=$O$7,$B931&lt;'111'!$N$11),"x","")</f>
        <v/>
      </c>
      <c r="R931" s="39" t="str">
        <f>IF(ISERROR(FIND('112'!$M$9,G931,1)),"",IF((AND(FIND('112'!$M$9,G931,1)&gt;=1,$B931&gt;='112'!$N$8,$B931&lt;='112'!$O$8,OR($L931='112'!$I$6,$M931='112'!$I$6))),"x",""))</f>
        <v/>
      </c>
      <c r="S931" s="39" t="str">
        <f>IF(ISERROR(FIND('112'!$M$9,G931,1)),"",IF((AND(LEFT(G931,2)=LEFT('112'!$M$9,2),B931&lt;'112'!$N$8,$L931='112'!$I$6)),"x",""))</f>
        <v/>
      </c>
      <c r="T931" s="39" t="str">
        <f>IF(ISERROR(FIND('112'!$M$9,G931,1)),"",IF((AND(RIGHT(G931,2)=RIGHT('112'!$M$9,2),B931&lt;'112'!$N$8,$M931='112'!$I$6)),"x",""))</f>
        <v/>
      </c>
      <c r="U931" s="39" t="str">
        <f>IF(AND('3411-CT'!$F$9=H931,OR(LEFT(L931,3)=$U$7,LEFT(M931,3)=$U$7)),"x","")</f>
        <v/>
      </c>
      <c r="V931" s="39" t="str">
        <f>IF(OR(TH!L931=TH!$V$7,M931=TH!$V$7),"x","")</f>
        <v/>
      </c>
      <c r="W931" s="39" t="str">
        <f>IF(AND(OR(L931="131",M931="131"),H931='131-CT'!$E$7),"x","")</f>
        <v/>
      </c>
      <c r="X931" s="39" t="str">
        <f>IF(AND(B931&gt;='IN-NX'!$P$3,B931&lt;='IN-NX'!$Q$3,'IN-NX'!$D$7=D931,OR(LEFT(TH!L931,2)="15",LEFT(TH!M931,2)="15")),"x","")</f>
        <v/>
      </c>
      <c r="Y931" s="39" t="str">
        <f>IF(AND(OR(LEFT(TH!L931,2)="15",LEFT(TH!M931,2)="15"),'152-CT'!$J$8=TH!F931),"x","")</f>
        <v/>
      </c>
      <c r="Z931" s="39" t="str">
        <f>IF(AND(OR(LEFT(TH!L931,2)="15",LEFT(TH!M931,2)="15"),TK!$E$7=TH!F931),"x","")</f>
        <v/>
      </c>
      <c r="AA931" s="39" t="str">
        <f>IF(AND(B931&lt;=NKC!$N$8,B931&gt;=NKC!$M$8),"x","")</f>
        <v/>
      </c>
    </row>
    <row r="932" spans="1:27" s="225" customFormat="1" ht="15.75" customHeight="1">
      <c r="A932" s="218" t="str">
        <f>IF(B932&lt;&gt;"",IF(AND(B932&gt;=_TM1,B932&lt;=_TM2,OR(TH!L932="1111",TH!M932="1111")),TH!D932,""),"")</f>
        <v/>
      </c>
      <c r="B932" s="36" t="str">
        <f t="shared" si="42"/>
        <v/>
      </c>
      <c r="C932" s="37"/>
      <c r="D932" s="37"/>
      <c r="E932" s="37"/>
      <c r="F932" s="40"/>
      <c r="G932" s="626"/>
      <c r="H932" s="45"/>
      <c r="I932" s="276"/>
      <c r="J932" s="276"/>
      <c r="K932" s="38"/>
      <c r="L932" s="39"/>
      <c r="M932" s="39"/>
      <c r="N932" s="39" t="str">
        <f>IF(AND('331-CT'!$E$7=TH!H932,OR(L932="331",M932="331")),"x","")</f>
        <v/>
      </c>
      <c r="O932" s="39" t="str">
        <f>IF(AND($B932&gt;='111'!$N$11,$B932&lt;='111'!$O$11,OR($L932=$O$7,$M932=$O$7)),"x","")</f>
        <v/>
      </c>
      <c r="P932" s="39" t="str">
        <f>IF(AND($L932=$O$7,$B932&lt;'111'!$N$11),"x","")</f>
        <v/>
      </c>
      <c r="Q932" s="39" t="str">
        <f>IF(AND($M932=$O$7,$B932&lt;'111'!$N$11),"x","")</f>
        <v/>
      </c>
      <c r="R932" s="39" t="str">
        <f>IF(ISERROR(FIND('112'!$M$9,G932,1)),"",IF((AND(FIND('112'!$M$9,G932,1)&gt;=1,$B932&gt;='112'!$N$8,$B932&lt;='112'!$O$8,OR($L932='112'!$I$6,$M932='112'!$I$6))),"x",""))</f>
        <v/>
      </c>
      <c r="S932" s="39" t="str">
        <f>IF(ISERROR(FIND('112'!$M$9,G932,1)),"",IF((AND(LEFT(G932,2)=LEFT('112'!$M$9,2),B932&lt;'112'!$N$8,$L932='112'!$I$6)),"x",""))</f>
        <v/>
      </c>
      <c r="T932" s="39" t="str">
        <f>IF(ISERROR(FIND('112'!$M$9,G932,1)),"",IF((AND(RIGHT(G932,2)=RIGHT('112'!$M$9,2),B932&lt;'112'!$N$8,$M932='112'!$I$6)),"x",""))</f>
        <v/>
      </c>
      <c r="U932" s="39" t="str">
        <f>IF(AND('3411-CT'!$F$9=H932,OR(LEFT(L932,3)=$U$7,LEFT(M932,3)=$U$7)),"x","")</f>
        <v/>
      </c>
      <c r="V932" s="39" t="str">
        <f>IF(OR(TH!L932=TH!$V$7,M932=TH!$V$7),"x","")</f>
        <v/>
      </c>
      <c r="W932" s="39" t="str">
        <f>IF(AND(OR(L932="131",M932="131"),H932='131-CT'!$E$7),"x","")</f>
        <v/>
      </c>
      <c r="X932" s="39" t="str">
        <f>IF(AND(B932&gt;='IN-NX'!$P$3,B932&lt;='IN-NX'!$Q$3,'IN-NX'!$D$7=D932,OR(LEFT(TH!L932,2)="15",LEFT(TH!M932,2)="15")),"x","")</f>
        <v/>
      </c>
      <c r="Y932" s="39" t="str">
        <f>IF(AND(OR(LEFT(TH!L932,2)="15",LEFT(TH!M932,2)="15"),'152-CT'!$J$8=TH!F932),"x","")</f>
        <v/>
      </c>
      <c r="Z932" s="39" t="str">
        <f>IF(AND(OR(LEFT(TH!L932,2)="15",LEFT(TH!M932,2)="15"),TK!$E$7=TH!F932),"x","")</f>
        <v/>
      </c>
      <c r="AA932" s="39" t="str">
        <f>IF(AND(B932&lt;=NKC!$N$8,B932&gt;=NKC!$M$8),"x","")</f>
        <v/>
      </c>
    </row>
    <row r="933" spans="1:27" s="225" customFormat="1" ht="15.75" customHeight="1">
      <c r="A933" s="218" t="str">
        <f>IF(B933&lt;&gt;"",IF(AND(B933&gt;=_TM1,B933&lt;=_TM2,OR(TH!L933="1111",TH!M933="1111")),TH!D933,""),"")</f>
        <v/>
      </c>
      <c r="B933" s="36" t="str">
        <f t="shared" si="42"/>
        <v/>
      </c>
      <c r="C933" s="37"/>
      <c r="D933" s="37"/>
      <c r="E933" s="37"/>
      <c r="F933" s="40"/>
      <c r="G933" s="626"/>
      <c r="H933" s="45"/>
      <c r="I933" s="276"/>
      <c r="J933" s="276"/>
      <c r="K933" s="38"/>
      <c r="L933" s="39"/>
      <c r="M933" s="39"/>
      <c r="N933" s="39" t="str">
        <f>IF(AND('331-CT'!$E$7=TH!H933,OR(L933="331",M933="331")),"x","")</f>
        <v/>
      </c>
      <c r="O933" s="39" t="str">
        <f>IF(AND($B933&gt;='111'!$N$11,$B933&lt;='111'!$O$11,OR($L933=$O$7,$M933=$O$7)),"x","")</f>
        <v/>
      </c>
      <c r="P933" s="39" t="str">
        <f>IF(AND($L933=$O$7,$B933&lt;'111'!$N$11),"x","")</f>
        <v/>
      </c>
      <c r="Q933" s="39" t="str">
        <f>IF(AND($M933=$O$7,$B933&lt;'111'!$N$11),"x","")</f>
        <v/>
      </c>
      <c r="R933" s="39" t="str">
        <f>IF(ISERROR(FIND('112'!$M$9,G933,1)),"",IF((AND(FIND('112'!$M$9,G933,1)&gt;=1,$B933&gt;='112'!$N$8,$B933&lt;='112'!$O$8,OR($L933='112'!$I$6,$M933='112'!$I$6))),"x",""))</f>
        <v/>
      </c>
      <c r="S933" s="39" t="str">
        <f>IF(ISERROR(FIND('112'!$M$9,G933,1)),"",IF((AND(LEFT(G933,2)=LEFT('112'!$M$9,2),B933&lt;'112'!$N$8,$L933='112'!$I$6)),"x",""))</f>
        <v/>
      </c>
      <c r="T933" s="39" t="str">
        <f>IF(ISERROR(FIND('112'!$M$9,G933,1)),"",IF((AND(RIGHT(G933,2)=RIGHT('112'!$M$9,2),B933&lt;'112'!$N$8,$M933='112'!$I$6)),"x",""))</f>
        <v/>
      </c>
      <c r="U933" s="39" t="str">
        <f>IF(AND('3411-CT'!$F$9=H933,OR(LEFT(L933,3)=$U$7,LEFT(M933,3)=$U$7)),"x","")</f>
        <v/>
      </c>
      <c r="V933" s="39" t="str">
        <f>IF(OR(TH!L933=TH!$V$7,M933=TH!$V$7),"x","")</f>
        <v/>
      </c>
      <c r="W933" s="39" t="str">
        <f>IF(AND(OR(L933="131",M933="131"),H933='131-CT'!$E$7),"x","")</f>
        <v/>
      </c>
      <c r="X933" s="39" t="str">
        <f>IF(AND(B933&gt;='IN-NX'!$P$3,B933&lt;='IN-NX'!$Q$3,'IN-NX'!$D$7=D933,OR(LEFT(TH!L933,2)="15",LEFT(TH!M933,2)="15")),"x","")</f>
        <v/>
      </c>
      <c r="Y933" s="39" t="str">
        <f>IF(AND(OR(LEFT(TH!L933,2)="15",LEFT(TH!M933,2)="15"),'152-CT'!$J$8=TH!F933),"x","")</f>
        <v/>
      </c>
      <c r="Z933" s="39" t="str">
        <f>IF(AND(OR(LEFT(TH!L933,2)="15",LEFT(TH!M933,2)="15"),TK!$E$7=TH!F933),"x","")</f>
        <v/>
      </c>
      <c r="AA933" s="39" t="str">
        <f>IF(AND(B933&lt;=NKC!$N$8,B933&gt;=NKC!$M$8),"x","")</f>
        <v/>
      </c>
    </row>
    <row r="934" spans="1:27" s="225" customFormat="1" ht="15.75" customHeight="1">
      <c r="A934" s="218" t="str">
        <f>IF(B934&lt;&gt;"",IF(AND(B934&gt;=_TM1,B934&lt;=_TM2,OR(TH!L934="1111",TH!M934="1111")),TH!D934,""),"")</f>
        <v/>
      </c>
      <c r="B934" s="36" t="str">
        <f t="shared" si="42"/>
        <v/>
      </c>
      <c r="C934" s="37"/>
      <c r="D934" s="37"/>
      <c r="E934" s="204"/>
      <c r="F934" s="205"/>
      <c r="G934" s="40"/>
      <c r="H934" s="45"/>
      <c r="I934" s="276"/>
      <c r="J934" s="276"/>
      <c r="K934" s="38"/>
      <c r="L934" s="207"/>
      <c r="M934" s="207"/>
      <c r="N934" s="39" t="str">
        <f>IF(AND('331-CT'!$E$7=TH!H934,OR(L934="331",M934="331")),"x","")</f>
        <v/>
      </c>
      <c r="O934" s="39" t="str">
        <f>IF(AND($B934&gt;='111'!$N$11,$B934&lt;='111'!$O$11,OR($L934=$O$7,$M934=$O$7)),"x","")</f>
        <v/>
      </c>
      <c r="P934" s="39" t="str">
        <f>IF(AND($L934=$O$7,$B934&lt;'111'!$N$11),"x","")</f>
        <v/>
      </c>
      <c r="Q934" s="39" t="str">
        <f>IF(AND($M934=$O$7,$B934&lt;'111'!$N$11),"x","")</f>
        <v/>
      </c>
      <c r="R934" s="39" t="str">
        <f>IF(ISERROR(FIND('112'!$M$9,G934,1)),"",IF((AND(FIND('112'!$M$9,G934,1)&gt;=1,$B934&gt;='112'!$N$8,$B934&lt;='112'!$O$8,OR($L934='112'!$I$6,$M934='112'!$I$6))),"x",""))</f>
        <v/>
      </c>
      <c r="S934" s="39" t="str">
        <f>IF(ISERROR(FIND('112'!$M$9,G934,1)),"",IF((AND(LEFT(G934,2)=LEFT('112'!$M$9,2),B934&lt;'112'!$N$8,$L934='112'!$I$6)),"x",""))</f>
        <v/>
      </c>
      <c r="T934" s="39" t="str">
        <f>IF(ISERROR(FIND('112'!$M$9,G934,1)),"",IF((AND(RIGHT(G934,2)=RIGHT('112'!$M$9,2),B934&lt;'112'!$N$8,$M934='112'!$I$6)),"x",""))</f>
        <v/>
      </c>
      <c r="U934" s="39" t="str">
        <f>IF(AND('3411-CT'!$F$9=H934,OR(LEFT(L934,3)=$U$7,LEFT(M934,3)=$U$7)),"x","")</f>
        <v/>
      </c>
      <c r="V934" s="39" t="str">
        <f>IF(OR(TH!L934=TH!$V$7,M934=TH!$V$7),"x","")</f>
        <v/>
      </c>
      <c r="W934" s="39" t="str">
        <f>IF(AND(OR(L934="131",M934="131"),H934='131-CT'!$E$7),"x","")</f>
        <v/>
      </c>
      <c r="X934" s="39" t="str">
        <f>IF(AND(B934&gt;='IN-NX'!$P$3,B934&lt;='IN-NX'!$Q$3,'IN-NX'!$D$7=D934,OR(LEFT(TH!L934,2)="15",LEFT(TH!M934,2)="15")),"x","")</f>
        <v/>
      </c>
      <c r="Y934" s="39" t="str">
        <f>IF(AND(OR(LEFT(TH!L934,2)="15",LEFT(TH!M934,2)="15"),'152-CT'!$J$8=TH!F934),"x","")</f>
        <v/>
      </c>
      <c r="Z934" s="39" t="str">
        <f>IF(AND(OR(LEFT(TH!L934,2)="15",LEFT(TH!M934,2)="15"),TK!$E$7=TH!F934),"x","")</f>
        <v/>
      </c>
      <c r="AA934" s="39" t="str">
        <f>IF(AND(B934&lt;=NKC!$N$8,B934&gt;=NKC!$M$8),"x","")</f>
        <v/>
      </c>
    </row>
    <row r="935" spans="1:27" ht="15.75" customHeight="1">
      <c r="A935" s="218" t="str">
        <f>IF(B935&lt;&gt;"",IF(AND(B935&gt;=_TM1,B935&lt;=_TM2,OR(TH!L935="1111",TH!M935="1111")),TH!D935,""),"")</f>
        <v/>
      </c>
      <c r="B935" s="36" t="str">
        <f t="shared" si="42"/>
        <v/>
      </c>
      <c r="C935" s="37"/>
      <c r="D935" s="204"/>
      <c r="E935" s="204"/>
      <c r="F935" s="205"/>
      <c r="G935" s="205"/>
      <c r="H935" s="206"/>
      <c r="I935" s="276"/>
      <c r="J935" s="276"/>
      <c r="K935" s="38"/>
      <c r="L935" s="207"/>
      <c r="M935" s="207"/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7" ht="15.75" customHeight="1">
      <c r="A936" s="218" t="str">
        <f>IF(B936&lt;&gt;"",IF(AND(B936&gt;=_TM1,B936&lt;=_TM2,OR(TH!L936="1111",TH!M936="1111")),TH!D936,""),"")</f>
        <v/>
      </c>
      <c r="B936" s="36" t="str">
        <f t="shared" ref="B936:B960" si="43">IF(C936&lt;&gt;"",MONTH(C936),"")</f>
        <v/>
      </c>
      <c r="C936" s="37"/>
      <c r="D936" s="204"/>
      <c r="E936" s="204"/>
      <c r="F936" s="205"/>
      <c r="G936" s="205"/>
      <c r="H936" s="206"/>
      <c r="I936" s="276"/>
      <c r="J936" s="276"/>
      <c r="K936" s="38"/>
      <c r="L936" s="207"/>
      <c r="M936" s="207"/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27" ht="15.75" customHeight="1">
      <c r="A937" s="218" t="str">
        <f>IF(B937&lt;&gt;"",IF(AND(B937&gt;=_TM1,B937&lt;=_TM2,OR(TH!L937="1111",TH!M937="1111")),TH!D937,""),"")</f>
        <v/>
      </c>
      <c r="B937" s="36" t="str">
        <f t="shared" si="43"/>
        <v/>
      </c>
      <c r="C937" s="37"/>
      <c r="D937" s="204"/>
      <c r="E937" s="204"/>
      <c r="F937" s="205"/>
      <c r="G937" s="205"/>
      <c r="H937" s="206"/>
      <c r="I937" s="276"/>
      <c r="J937" s="276"/>
      <c r="K937" s="38"/>
      <c r="L937" s="207"/>
      <c r="M937" s="207"/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7" ht="15.75" customHeight="1">
      <c r="A938" s="218" t="str">
        <f>IF(B938&lt;&gt;"",IF(AND(B938&gt;=_TM1,B938&lt;=_TM2,OR(TH!L938="1111",TH!M938="1111")),TH!D938,""),"")</f>
        <v/>
      </c>
      <c r="B938" s="36" t="str">
        <f t="shared" si="43"/>
        <v/>
      </c>
      <c r="C938" s="37"/>
      <c r="D938" s="204"/>
      <c r="E938" s="204"/>
      <c r="F938" s="205"/>
      <c r="G938" s="205"/>
      <c r="H938" s="206"/>
      <c r="I938" s="276"/>
      <c r="J938" s="276"/>
      <c r="K938" s="38"/>
      <c r="L938" s="207"/>
      <c r="M938" s="207"/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7" ht="15.75" customHeight="1">
      <c r="A939" s="218" t="str">
        <f>IF(B939&lt;&gt;"",IF(AND(B939&gt;=_TM1,B939&lt;=_TM2,OR(TH!L939="1111",TH!M939="1111")),TH!D939,""),"")</f>
        <v/>
      </c>
      <c r="B939" s="36" t="str">
        <f t="shared" si="43"/>
        <v/>
      </c>
      <c r="C939" s="37"/>
      <c r="D939" s="204"/>
      <c r="E939" s="204"/>
      <c r="F939" s="205"/>
      <c r="G939" s="205"/>
      <c r="H939" s="206"/>
      <c r="I939" s="276"/>
      <c r="J939" s="276"/>
      <c r="K939" s="38"/>
      <c r="L939" s="207"/>
      <c r="M939" s="207"/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7" ht="15.75" customHeight="1">
      <c r="A940" s="218" t="str">
        <f>IF(B940&lt;&gt;"",IF(AND(B940&gt;=_TM1,B940&lt;=_TM2,OR(TH!L940="1111",TH!M940="1111")),TH!D940,""),"")</f>
        <v/>
      </c>
      <c r="B940" s="36" t="str">
        <f t="shared" si="43"/>
        <v/>
      </c>
      <c r="C940" s="37"/>
      <c r="D940" s="204"/>
      <c r="E940" s="204"/>
      <c r="F940" s="205"/>
      <c r="G940" s="205"/>
      <c r="H940" s="206"/>
      <c r="I940" s="276"/>
      <c r="J940" s="276"/>
      <c r="K940" s="38"/>
      <c r="L940" s="207"/>
      <c r="M940" s="207"/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7" ht="15.75" customHeight="1">
      <c r="A941" s="218" t="str">
        <f>IF(B941&lt;&gt;"",IF(AND(B941&gt;=_TM1,B941&lt;=_TM2,OR(TH!L941="1111",TH!M941="1111")),TH!D941,""),"")</f>
        <v/>
      </c>
      <c r="B941" s="36" t="str">
        <f t="shared" si="43"/>
        <v/>
      </c>
      <c r="C941" s="37"/>
      <c r="D941" s="204"/>
      <c r="E941" s="204"/>
      <c r="F941" s="205"/>
      <c r="G941" s="205"/>
      <c r="H941" s="206"/>
      <c r="I941" s="276"/>
      <c r="J941" s="276"/>
      <c r="K941" s="38"/>
      <c r="L941" s="207"/>
      <c r="M941" s="207"/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7" ht="15.75" customHeight="1">
      <c r="A942" s="218" t="str">
        <f>IF(B942&lt;&gt;"",IF(AND(B942&gt;=_TM1,B942&lt;=_TM2,OR(TH!L942="1111",TH!M942="1111")),TH!D942,""),"")</f>
        <v/>
      </c>
      <c r="B942" s="36" t="str">
        <f t="shared" si="43"/>
        <v/>
      </c>
      <c r="C942" s="37"/>
      <c r="D942" s="37"/>
      <c r="E942" s="37"/>
      <c r="F942" s="40"/>
      <c r="G942" s="626"/>
      <c r="H942" s="45"/>
      <c r="I942" s="276"/>
      <c r="J942" s="276"/>
      <c r="K942" s="38"/>
      <c r="L942" s="207"/>
      <c r="M942" s="39"/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7" ht="15.75" customHeight="1">
      <c r="A943" s="218" t="str">
        <f>IF(B943&lt;&gt;"",IF(AND(B943&gt;=_TM1,B943&lt;=_TM2,OR(TH!L943="1111",TH!M943="1111")),TH!D943,""),"")</f>
        <v/>
      </c>
      <c r="B943" s="36" t="str">
        <f t="shared" si="43"/>
        <v/>
      </c>
      <c r="C943" s="37"/>
      <c r="D943" s="37"/>
      <c r="E943" s="37"/>
      <c r="F943" s="40"/>
      <c r="G943" s="626"/>
      <c r="H943" s="45"/>
      <c r="I943" s="276"/>
      <c r="J943" s="276"/>
      <c r="K943" s="38"/>
      <c r="L943" s="207"/>
      <c r="M943" s="39"/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7" ht="15.75" customHeight="1">
      <c r="A944" s="218" t="str">
        <f>IF(B944&lt;&gt;"",IF(AND(B944&gt;=_TM1,B944&lt;=_TM2,OR(TH!L944="1111",TH!M944="1111")),TH!D944,""),"")</f>
        <v/>
      </c>
      <c r="B944" s="36" t="str">
        <f t="shared" si="43"/>
        <v/>
      </c>
      <c r="C944" s="37"/>
      <c r="D944" s="204"/>
      <c r="E944" s="204"/>
      <c r="F944" s="40"/>
      <c r="G944" s="40"/>
      <c r="H944" s="45"/>
      <c r="I944" s="276"/>
      <c r="J944" s="276"/>
      <c r="K944" s="38"/>
      <c r="L944" s="39"/>
      <c r="M944" s="39"/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7" ht="15.75" customHeight="1">
      <c r="A945" s="218" t="str">
        <f>IF(B945&lt;&gt;"",IF(AND(B945&gt;=_TM1,B945&lt;=_TM2,OR(TH!L945="1111",TH!M945="1111")),TH!D945,""),"")</f>
        <v/>
      </c>
      <c r="B945" s="36" t="str">
        <f t="shared" si="43"/>
        <v/>
      </c>
      <c r="C945" s="37"/>
      <c r="D945" s="37"/>
      <c r="E945" s="37"/>
      <c r="F945" s="40"/>
      <c r="G945" s="626"/>
      <c r="H945" s="45"/>
      <c r="I945" s="276"/>
      <c r="J945" s="276"/>
      <c r="K945" s="38"/>
      <c r="L945" s="39"/>
      <c r="M945" s="39"/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7" ht="15.75" customHeight="1">
      <c r="A946" s="218" t="str">
        <f>IF(B946&lt;&gt;"",IF(AND(B946&gt;=_TM1,B946&lt;=_TM2,OR(TH!L946="1111",TH!M946="1111")),TH!D946,""),"")</f>
        <v/>
      </c>
      <c r="B946" s="36" t="str">
        <f t="shared" si="43"/>
        <v/>
      </c>
      <c r="C946" s="37"/>
      <c r="D946" s="37"/>
      <c r="E946" s="37"/>
      <c r="F946" s="40"/>
      <c r="G946" s="626"/>
      <c r="H946" s="45"/>
      <c r="I946" s="276"/>
      <c r="J946" s="276"/>
      <c r="K946" s="38"/>
      <c r="L946" s="39"/>
      <c r="M946" s="39"/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7" ht="15.75" customHeight="1">
      <c r="A947" s="218" t="str">
        <f>IF(B947&lt;&gt;"",IF(AND(B947&gt;=_TM1,B947&lt;=_TM2,OR(TH!L947="1111",TH!M947="1111")),TH!D947,""),"")</f>
        <v/>
      </c>
      <c r="B947" s="36" t="str">
        <f t="shared" si="43"/>
        <v/>
      </c>
      <c r="C947" s="37"/>
      <c r="D947" s="37"/>
      <c r="E947" s="37"/>
      <c r="F947" s="40"/>
      <c r="G947" s="40"/>
      <c r="H947" s="45"/>
      <c r="I947" s="276"/>
      <c r="J947" s="276"/>
      <c r="K947" s="38"/>
      <c r="L947" s="39"/>
      <c r="M947" s="39"/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7" ht="15.75" customHeight="1">
      <c r="A948" s="218" t="str">
        <f>IF(B948&lt;&gt;"",IF(AND(B948&gt;=_TM1,B948&lt;=_TM2,OR(TH!L948="1111",TH!M948="1111")),TH!D948,""),"")</f>
        <v/>
      </c>
      <c r="B948" s="36" t="str">
        <f t="shared" si="43"/>
        <v/>
      </c>
      <c r="C948" s="37"/>
      <c r="D948" s="37"/>
      <c r="E948" s="37"/>
      <c r="F948" s="40"/>
      <c r="G948" s="40"/>
      <c r="H948" s="45"/>
      <c r="I948" s="276"/>
      <c r="J948" s="276"/>
      <c r="K948" s="38"/>
      <c r="L948" s="39"/>
      <c r="M948" s="39"/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7" ht="15.75" customHeight="1">
      <c r="A949" s="218" t="str">
        <f>IF(B949&lt;&gt;"",IF(AND(B949&gt;=_TM1,B949&lt;=_TM2,OR(TH!L949="1111",TH!M949="1111")),TH!D949,""),"")</f>
        <v/>
      </c>
      <c r="B949" s="36" t="str">
        <f t="shared" si="43"/>
        <v/>
      </c>
      <c r="C949" s="37"/>
      <c r="D949" s="37"/>
      <c r="E949" s="37"/>
      <c r="F949" s="40"/>
      <c r="G949" s="40"/>
      <c r="H949" s="45"/>
      <c r="I949" s="276"/>
      <c r="J949" s="276"/>
      <c r="K949" s="38"/>
      <c r="L949" s="39"/>
      <c r="M949" s="39"/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7" ht="15.75" customHeight="1">
      <c r="A950" s="218" t="str">
        <f>IF(B950&lt;&gt;"",IF(AND(B950&gt;=_TM1,B950&lt;=_TM2,OR(TH!L950="1111",TH!M950="1111")),TH!D950,""),"")</f>
        <v/>
      </c>
      <c r="B950" s="36" t="str">
        <f t="shared" si="43"/>
        <v/>
      </c>
      <c r="C950" s="37"/>
      <c r="D950" s="37"/>
      <c r="E950" s="37"/>
      <c r="F950" s="40"/>
      <c r="G950" s="40"/>
      <c r="H950" s="45"/>
      <c r="I950" s="276"/>
      <c r="J950" s="276"/>
      <c r="K950" s="38"/>
      <c r="L950" s="39"/>
      <c r="M950" s="39"/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7" ht="15.75" customHeight="1">
      <c r="A951" s="218" t="str">
        <f>IF(B951&lt;&gt;"",IF(AND(B951&gt;=_TM1,B951&lt;=_TM2,OR(TH!L951="1111",TH!M951="1111")),TH!D951,""),"")</f>
        <v/>
      </c>
      <c r="B951" s="36" t="str">
        <f t="shared" si="43"/>
        <v/>
      </c>
      <c r="C951" s="37"/>
      <c r="D951" s="37"/>
      <c r="E951" s="37"/>
      <c r="F951" s="40"/>
      <c r="G951" s="40"/>
      <c r="H951" s="45"/>
      <c r="I951" s="276"/>
      <c r="J951" s="276"/>
      <c r="K951" s="38"/>
      <c r="L951" s="39"/>
      <c r="M951" s="39"/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7" ht="15.75" customHeight="1">
      <c r="A952" s="218" t="str">
        <f>IF(B952&lt;&gt;"",IF(AND(B952&gt;=_TM1,B952&lt;=_TM2,OR(TH!L952="1111",TH!M952="1111")),TH!D952,""),"")</f>
        <v/>
      </c>
      <c r="B952" s="36" t="str">
        <f t="shared" si="43"/>
        <v/>
      </c>
      <c r="C952" s="37"/>
      <c r="D952" s="37"/>
      <c r="E952" s="37"/>
      <c r="F952" s="40"/>
      <c r="G952" s="40"/>
      <c r="H952" s="45"/>
      <c r="I952" s="276"/>
      <c r="J952" s="276"/>
      <c r="K952" s="38"/>
      <c r="L952" s="39"/>
      <c r="M952" s="39"/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7" ht="15.75" customHeight="1">
      <c r="A953" s="218" t="str">
        <f>IF(B953&lt;&gt;"",IF(AND(B953&gt;=_TM1,B953&lt;=_TM2,OR(TH!L953="1111",TH!M953="1111")),TH!D953,""),"")</f>
        <v/>
      </c>
      <c r="B953" s="36" t="str">
        <f t="shared" si="43"/>
        <v/>
      </c>
      <c r="C953" s="37"/>
      <c r="D953" s="37"/>
      <c r="E953" s="37"/>
      <c r="F953" s="40"/>
      <c r="G953" s="40"/>
      <c r="H953" s="45"/>
      <c r="I953" s="276"/>
      <c r="J953" s="276"/>
      <c r="K953" s="38"/>
      <c r="L953" s="39"/>
      <c r="M953" s="39"/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7" ht="15.75" customHeight="1">
      <c r="A954" s="218" t="str">
        <f>IF(B954&lt;&gt;"",IF(AND(B954&gt;=_TM1,B954&lt;=_TM2,OR(TH!L954="1111",TH!M954="1111")),TH!D954,""),"")</f>
        <v/>
      </c>
      <c r="B954" s="36" t="str">
        <f t="shared" si="43"/>
        <v/>
      </c>
      <c r="C954" s="37"/>
      <c r="D954" s="37"/>
      <c r="E954" s="37"/>
      <c r="F954" s="40"/>
      <c r="G954" s="40"/>
      <c r="H954" s="45"/>
      <c r="I954" s="276"/>
      <c r="J954" s="276"/>
      <c r="K954" s="38"/>
      <c r="L954" s="39"/>
      <c r="M954" s="39"/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7" ht="15.75" customHeight="1">
      <c r="A955" s="218" t="str">
        <f>IF(B955&lt;&gt;"",IF(AND(B955&gt;=_TM1,B955&lt;=_TM2,OR(TH!L955="1111",TH!M955="1111")),TH!D955,""),"")</f>
        <v/>
      </c>
      <c r="B955" s="36" t="str">
        <f t="shared" si="43"/>
        <v/>
      </c>
      <c r="C955" s="37"/>
      <c r="D955" s="37"/>
      <c r="E955" s="37"/>
      <c r="F955" s="40"/>
      <c r="G955" s="40"/>
      <c r="H955" s="45"/>
      <c r="I955" s="276"/>
      <c r="J955" s="276"/>
      <c r="K955" s="38"/>
      <c r="L955" s="39"/>
      <c r="M955" s="39"/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7" ht="15.75" customHeight="1">
      <c r="A956" s="218" t="str">
        <f>IF(B956&lt;&gt;"",IF(AND(B956&gt;=_TM1,B956&lt;=_TM2,OR(TH!L956="1111",TH!M956="1111")),TH!D956,""),"")</f>
        <v/>
      </c>
      <c r="B956" s="36" t="str">
        <f t="shared" si="43"/>
        <v/>
      </c>
      <c r="C956" s="37"/>
      <c r="D956" s="37"/>
      <c r="E956" s="37"/>
      <c r="F956" s="40"/>
      <c r="G956" s="40"/>
      <c r="H956" s="45"/>
      <c r="I956" s="276"/>
      <c r="J956" s="276"/>
      <c r="K956" s="38"/>
      <c r="L956" s="39"/>
      <c r="M956" s="39"/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7" ht="15.75" customHeight="1">
      <c r="A957" s="218" t="str">
        <f>IF(B957&lt;&gt;"",IF(AND(B957&gt;=_TM1,B957&lt;=_TM2,OR(TH!L957="1111",TH!M957="1111")),TH!D957,""),"")</f>
        <v/>
      </c>
      <c r="B957" s="36" t="str">
        <f t="shared" si="43"/>
        <v/>
      </c>
      <c r="C957" s="37"/>
      <c r="D957" s="37"/>
      <c r="E957" s="37"/>
      <c r="F957" s="40"/>
      <c r="G957" s="40"/>
      <c r="H957" s="45"/>
      <c r="I957" s="276"/>
      <c r="J957" s="276"/>
      <c r="K957" s="38"/>
      <c r="L957" s="39"/>
      <c r="M957" s="39"/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7" ht="15.75" customHeight="1">
      <c r="A958" s="218" t="str">
        <f>IF(B958&lt;&gt;"",IF(AND(B958&gt;=_TM1,B958&lt;=_TM2,OR(TH!L958="1111",TH!M958="1111")),TH!D958,""),"")</f>
        <v/>
      </c>
      <c r="B958" s="36" t="str">
        <f t="shared" si="43"/>
        <v/>
      </c>
      <c r="C958" s="37"/>
      <c r="D958" s="37"/>
      <c r="E958" s="37"/>
      <c r="F958" s="40"/>
      <c r="G958" s="40"/>
      <c r="H958" s="45"/>
      <c r="I958" s="276"/>
      <c r="J958" s="276"/>
      <c r="K958" s="38"/>
      <c r="L958" s="39"/>
      <c r="M958" s="39"/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7" ht="15.75" customHeight="1">
      <c r="A959" s="218" t="str">
        <f>IF(B959&lt;&gt;"",IF(AND(B959&gt;=_TM1,B959&lt;=_TM2,OR(TH!L959="1111",TH!M959="1111")),TH!D959,""),"")</f>
        <v/>
      </c>
      <c r="B959" s="36" t="str">
        <f t="shared" si="43"/>
        <v/>
      </c>
      <c r="C959" s="37"/>
      <c r="D959" s="37"/>
      <c r="E959" s="37"/>
      <c r="F959" s="40"/>
      <c r="G959" s="40"/>
      <c r="H959" s="45"/>
      <c r="I959" s="276"/>
      <c r="J959" s="276"/>
      <c r="K959" s="38"/>
      <c r="L959" s="39"/>
      <c r="M959" s="39"/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7" ht="15.75" customHeight="1">
      <c r="A960" s="218" t="str">
        <f>IF(B960&lt;&gt;"",IF(AND(B960&gt;=_TM1,B960&lt;=_TM2,OR(TH!L960="1111",TH!M960="1111")),TH!D960,""),"")</f>
        <v/>
      </c>
      <c r="B960" s="36" t="str">
        <f t="shared" si="43"/>
        <v/>
      </c>
      <c r="C960" s="37"/>
      <c r="D960" s="37"/>
      <c r="E960" s="37"/>
      <c r="F960" s="40"/>
      <c r="G960" s="40"/>
      <c r="H960" s="45"/>
      <c r="I960" s="276"/>
      <c r="J960" s="276"/>
      <c r="K960" s="38"/>
      <c r="L960" s="39"/>
      <c r="M960" s="39"/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71" spans="11:11">
      <c r="K971" s="622">
        <f>SUBTOTAL(9,K10:K960)</f>
        <v>3389155660</v>
      </c>
    </row>
  </sheetData>
  <autoFilter ref="A9:AD960"/>
  <sortState ref="A256:AD402">
    <sortCondition ref="C256:C402"/>
  </sortState>
  <mergeCells count="20">
    <mergeCell ref="A7:A8"/>
    <mergeCell ref="B7:B8"/>
    <mergeCell ref="H7:H8"/>
    <mergeCell ref="V7:V8"/>
    <mergeCell ref="U7:U8"/>
    <mergeCell ref="O7:Q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3" style="828" customWidth="1"/>
    <col min="2" max="2" width="11.42578125" style="828" customWidth="1"/>
    <col min="3" max="3" width="13" style="828" customWidth="1"/>
    <col min="4" max="4" width="55.28515625" style="828" customWidth="1"/>
    <col min="5" max="5" width="6" style="828" customWidth="1"/>
    <col min="6" max="7" width="8.5703125" style="828" customWidth="1"/>
    <col min="8" max="9" width="16.85546875" style="828" customWidth="1"/>
    <col min="10" max="11" width="9.140625" style="828"/>
    <col min="12" max="12" width="3.5703125" style="828" customWidth="1"/>
    <col min="13" max="256" width="9.140625" style="828"/>
    <col min="257" max="257" width="13" style="828" customWidth="1"/>
    <col min="258" max="258" width="9.140625" style="828"/>
    <col min="259" max="259" width="13" style="828" customWidth="1"/>
    <col min="260" max="260" width="29.7109375" style="828" customWidth="1"/>
    <col min="261" max="261" width="7.7109375" style="828" customWidth="1"/>
    <col min="262" max="262" width="6" style="828" customWidth="1"/>
    <col min="263" max="263" width="11.5703125" style="828" customWidth="1"/>
    <col min="264" max="264" width="13.42578125" style="828" customWidth="1"/>
    <col min="265" max="265" width="13.85546875" style="828" customWidth="1"/>
    <col min="266" max="512" width="9.140625" style="828"/>
    <col min="513" max="513" width="13" style="828" customWidth="1"/>
    <col min="514" max="514" width="9.140625" style="828"/>
    <col min="515" max="515" width="13" style="828" customWidth="1"/>
    <col min="516" max="516" width="29.7109375" style="828" customWidth="1"/>
    <col min="517" max="517" width="7.7109375" style="828" customWidth="1"/>
    <col min="518" max="518" width="6" style="828" customWidth="1"/>
    <col min="519" max="519" width="11.5703125" style="828" customWidth="1"/>
    <col min="520" max="520" width="13.42578125" style="828" customWidth="1"/>
    <col min="521" max="521" width="13.85546875" style="828" customWidth="1"/>
    <col min="522" max="768" width="9.140625" style="828"/>
    <col min="769" max="769" width="13" style="828" customWidth="1"/>
    <col min="770" max="770" width="9.140625" style="828"/>
    <col min="771" max="771" width="13" style="828" customWidth="1"/>
    <col min="772" max="772" width="29.7109375" style="828" customWidth="1"/>
    <col min="773" max="773" width="7.7109375" style="828" customWidth="1"/>
    <col min="774" max="774" width="6" style="828" customWidth="1"/>
    <col min="775" max="775" width="11.5703125" style="828" customWidth="1"/>
    <col min="776" max="776" width="13.42578125" style="828" customWidth="1"/>
    <col min="777" max="777" width="13.85546875" style="828" customWidth="1"/>
    <col min="778" max="1024" width="9.140625" style="828"/>
    <col min="1025" max="1025" width="13" style="828" customWidth="1"/>
    <col min="1026" max="1026" width="9.140625" style="828"/>
    <col min="1027" max="1027" width="13" style="828" customWidth="1"/>
    <col min="1028" max="1028" width="29.7109375" style="828" customWidth="1"/>
    <col min="1029" max="1029" width="7.7109375" style="828" customWidth="1"/>
    <col min="1030" max="1030" width="6" style="828" customWidth="1"/>
    <col min="1031" max="1031" width="11.5703125" style="828" customWidth="1"/>
    <col min="1032" max="1032" width="13.42578125" style="828" customWidth="1"/>
    <col min="1033" max="1033" width="13.85546875" style="828" customWidth="1"/>
    <col min="1034" max="1280" width="9.140625" style="828"/>
    <col min="1281" max="1281" width="13" style="828" customWidth="1"/>
    <col min="1282" max="1282" width="9.140625" style="828"/>
    <col min="1283" max="1283" width="13" style="828" customWidth="1"/>
    <col min="1284" max="1284" width="29.7109375" style="828" customWidth="1"/>
    <col min="1285" max="1285" width="7.7109375" style="828" customWidth="1"/>
    <col min="1286" max="1286" width="6" style="828" customWidth="1"/>
    <col min="1287" max="1287" width="11.5703125" style="828" customWidth="1"/>
    <col min="1288" max="1288" width="13.42578125" style="828" customWidth="1"/>
    <col min="1289" max="1289" width="13.85546875" style="828" customWidth="1"/>
    <col min="1290" max="1536" width="9.140625" style="828"/>
    <col min="1537" max="1537" width="13" style="828" customWidth="1"/>
    <col min="1538" max="1538" width="9.140625" style="828"/>
    <col min="1539" max="1539" width="13" style="828" customWidth="1"/>
    <col min="1540" max="1540" width="29.7109375" style="828" customWidth="1"/>
    <col min="1541" max="1541" width="7.7109375" style="828" customWidth="1"/>
    <col min="1542" max="1542" width="6" style="828" customWidth="1"/>
    <col min="1543" max="1543" width="11.5703125" style="828" customWidth="1"/>
    <col min="1544" max="1544" width="13.42578125" style="828" customWidth="1"/>
    <col min="1545" max="1545" width="13.85546875" style="828" customWidth="1"/>
    <col min="1546" max="1792" width="9.140625" style="828"/>
    <col min="1793" max="1793" width="13" style="828" customWidth="1"/>
    <col min="1794" max="1794" width="9.140625" style="828"/>
    <col min="1795" max="1795" width="13" style="828" customWidth="1"/>
    <col min="1796" max="1796" width="29.7109375" style="828" customWidth="1"/>
    <col min="1797" max="1797" width="7.7109375" style="828" customWidth="1"/>
    <col min="1798" max="1798" width="6" style="828" customWidth="1"/>
    <col min="1799" max="1799" width="11.5703125" style="828" customWidth="1"/>
    <col min="1800" max="1800" width="13.42578125" style="828" customWidth="1"/>
    <col min="1801" max="1801" width="13.85546875" style="828" customWidth="1"/>
    <col min="1802" max="2048" width="9.140625" style="828"/>
    <col min="2049" max="2049" width="13" style="828" customWidth="1"/>
    <col min="2050" max="2050" width="9.140625" style="828"/>
    <col min="2051" max="2051" width="13" style="828" customWidth="1"/>
    <col min="2052" max="2052" width="29.7109375" style="828" customWidth="1"/>
    <col min="2053" max="2053" width="7.7109375" style="828" customWidth="1"/>
    <col min="2054" max="2054" width="6" style="828" customWidth="1"/>
    <col min="2055" max="2055" width="11.5703125" style="828" customWidth="1"/>
    <col min="2056" max="2056" width="13.42578125" style="828" customWidth="1"/>
    <col min="2057" max="2057" width="13.85546875" style="828" customWidth="1"/>
    <col min="2058" max="2304" width="9.140625" style="828"/>
    <col min="2305" max="2305" width="13" style="828" customWidth="1"/>
    <col min="2306" max="2306" width="9.140625" style="828"/>
    <col min="2307" max="2307" width="13" style="828" customWidth="1"/>
    <col min="2308" max="2308" width="29.7109375" style="828" customWidth="1"/>
    <col min="2309" max="2309" width="7.7109375" style="828" customWidth="1"/>
    <col min="2310" max="2310" width="6" style="828" customWidth="1"/>
    <col min="2311" max="2311" width="11.5703125" style="828" customWidth="1"/>
    <col min="2312" max="2312" width="13.42578125" style="828" customWidth="1"/>
    <col min="2313" max="2313" width="13.85546875" style="828" customWidth="1"/>
    <col min="2314" max="2560" width="9.140625" style="828"/>
    <col min="2561" max="2561" width="13" style="828" customWidth="1"/>
    <col min="2562" max="2562" width="9.140625" style="828"/>
    <col min="2563" max="2563" width="13" style="828" customWidth="1"/>
    <col min="2564" max="2564" width="29.7109375" style="828" customWidth="1"/>
    <col min="2565" max="2565" width="7.7109375" style="828" customWidth="1"/>
    <col min="2566" max="2566" width="6" style="828" customWidth="1"/>
    <col min="2567" max="2567" width="11.5703125" style="828" customWidth="1"/>
    <col min="2568" max="2568" width="13.42578125" style="828" customWidth="1"/>
    <col min="2569" max="2569" width="13.85546875" style="828" customWidth="1"/>
    <col min="2570" max="2816" width="9.140625" style="828"/>
    <col min="2817" max="2817" width="13" style="828" customWidth="1"/>
    <col min="2818" max="2818" width="9.140625" style="828"/>
    <col min="2819" max="2819" width="13" style="828" customWidth="1"/>
    <col min="2820" max="2820" width="29.7109375" style="828" customWidth="1"/>
    <col min="2821" max="2821" width="7.7109375" style="828" customWidth="1"/>
    <col min="2822" max="2822" width="6" style="828" customWidth="1"/>
    <col min="2823" max="2823" width="11.5703125" style="828" customWidth="1"/>
    <col min="2824" max="2824" width="13.42578125" style="828" customWidth="1"/>
    <col min="2825" max="2825" width="13.85546875" style="828" customWidth="1"/>
    <col min="2826" max="3072" width="9.140625" style="828"/>
    <col min="3073" max="3073" width="13" style="828" customWidth="1"/>
    <col min="3074" max="3074" width="9.140625" style="828"/>
    <col min="3075" max="3075" width="13" style="828" customWidth="1"/>
    <col min="3076" max="3076" width="29.7109375" style="828" customWidth="1"/>
    <col min="3077" max="3077" width="7.7109375" style="828" customWidth="1"/>
    <col min="3078" max="3078" width="6" style="828" customWidth="1"/>
    <col min="3079" max="3079" width="11.5703125" style="828" customWidth="1"/>
    <col min="3080" max="3080" width="13.42578125" style="828" customWidth="1"/>
    <col min="3081" max="3081" width="13.85546875" style="828" customWidth="1"/>
    <col min="3082" max="3328" width="9.140625" style="828"/>
    <col min="3329" max="3329" width="13" style="828" customWidth="1"/>
    <col min="3330" max="3330" width="9.140625" style="828"/>
    <col min="3331" max="3331" width="13" style="828" customWidth="1"/>
    <col min="3332" max="3332" width="29.7109375" style="828" customWidth="1"/>
    <col min="3333" max="3333" width="7.7109375" style="828" customWidth="1"/>
    <col min="3334" max="3334" width="6" style="828" customWidth="1"/>
    <col min="3335" max="3335" width="11.5703125" style="828" customWidth="1"/>
    <col min="3336" max="3336" width="13.42578125" style="828" customWidth="1"/>
    <col min="3337" max="3337" width="13.85546875" style="828" customWidth="1"/>
    <col min="3338" max="3584" width="9.140625" style="828"/>
    <col min="3585" max="3585" width="13" style="828" customWidth="1"/>
    <col min="3586" max="3586" width="9.140625" style="828"/>
    <col min="3587" max="3587" width="13" style="828" customWidth="1"/>
    <col min="3588" max="3588" width="29.7109375" style="828" customWidth="1"/>
    <col min="3589" max="3589" width="7.7109375" style="828" customWidth="1"/>
    <col min="3590" max="3590" width="6" style="828" customWidth="1"/>
    <col min="3591" max="3591" width="11.5703125" style="828" customWidth="1"/>
    <col min="3592" max="3592" width="13.42578125" style="828" customWidth="1"/>
    <col min="3593" max="3593" width="13.85546875" style="828" customWidth="1"/>
    <col min="3594" max="3840" width="9.140625" style="828"/>
    <col min="3841" max="3841" width="13" style="828" customWidth="1"/>
    <col min="3842" max="3842" width="9.140625" style="828"/>
    <col min="3843" max="3843" width="13" style="828" customWidth="1"/>
    <col min="3844" max="3844" width="29.7109375" style="828" customWidth="1"/>
    <col min="3845" max="3845" width="7.7109375" style="828" customWidth="1"/>
    <col min="3846" max="3846" width="6" style="828" customWidth="1"/>
    <col min="3847" max="3847" width="11.5703125" style="828" customWidth="1"/>
    <col min="3848" max="3848" width="13.42578125" style="828" customWidth="1"/>
    <col min="3849" max="3849" width="13.85546875" style="828" customWidth="1"/>
    <col min="3850" max="4096" width="9.140625" style="828"/>
    <col min="4097" max="4097" width="13" style="828" customWidth="1"/>
    <col min="4098" max="4098" width="9.140625" style="828"/>
    <col min="4099" max="4099" width="13" style="828" customWidth="1"/>
    <col min="4100" max="4100" width="29.7109375" style="828" customWidth="1"/>
    <col min="4101" max="4101" width="7.7109375" style="828" customWidth="1"/>
    <col min="4102" max="4102" width="6" style="828" customWidth="1"/>
    <col min="4103" max="4103" width="11.5703125" style="828" customWidth="1"/>
    <col min="4104" max="4104" width="13.42578125" style="828" customWidth="1"/>
    <col min="4105" max="4105" width="13.85546875" style="828" customWidth="1"/>
    <col min="4106" max="4352" width="9.140625" style="828"/>
    <col min="4353" max="4353" width="13" style="828" customWidth="1"/>
    <col min="4354" max="4354" width="9.140625" style="828"/>
    <col min="4355" max="4355" width="13" style="828" customWidth="1"/>
    <col min="4356" max="4356" width="29.7109375" style="828" customWidth="1"/>
    <col min="4357" max="4357" width="7.7109375" style="828" customWidth="1"/>
    <col min="4358" max="4358" width="6" style="828" customWidth="1"/>
    <col min="4359" max="4359" width="11.5703125" style="828" customWidth="1"/>
    <col min="4360" max="4360" width="13.42578125" style="828" customWidth="1"/>
    <col min="4361" max="4361" width="13.85546875" style="828" customWidth="1"/>
    <col min="4362" max="4608" width="9.140625" style="828"/>
    <col min="4609" max="4609" width="13" style="828" customWidth="1"/>
    <col min="4610" max="4610" width="9.140625" style="828"/>
    <col min="4611" max="4611" width="13" style="828" customWidth="1"/>
    <col min="4612" max="4612" width="29.7109375" style="828" customWidth="1"/>
    <col min="4613" max="4613" width="7.7109375" style="828" customWidth="1"/>
    <col min="4614" max="4614" width="6" style="828" customWidth="1"/>
    <col min="4615" max="4615" width="11.5703125" style="828" customWidth="1"/>
    <col min="4616" max="4616" width="13.42578125" style="828" customWidth="1"/>
    <col min="4617" max="4617" width="13.85546875" style="828" customWidth="1"/>
    <col min="4618" max="4864" width="9.140625" style="828"/>
    <col min="4865" max="4865" width="13" style="828" customWidth="1"/>
    <col min="4866" max="4866" width="9.140625" style="828"/>
    <col min="4867" max="4867" width="13" style="828" customWidth="1"/>
    <col min="4868" max="4868" width="29.7109375" style="828" customWidth="1"/>
    <col min="4869" max="4869" width="7.7109375" style="828" customWidth="1"/>
    <col min="4870" max="4870" width="6" style="828" customWidth="1"/>
    <col min="4871" max="4871" width="11.5703125" style="828" customWidth="1"/>
    <col min="4872" max="4872" width="13.42578125" style="828" customWidth="1"/>
    <col min="4873" max="4873" width="13.85546875" style="828" customWidth="1"/>
    <col min="4874" max="5120" width="9.140625" style="828"/>
    <col min="5121" max="5121" width="13" style="828" customWidth="1"/>
    <col min="5122" max="5122" width="9.140625" style="828"/>
    <col min="5123" max="5123" width="13" style="828" customWidth="1"/>
    <col min="5124" max="5124" width="29.7109375" style="828" customWidth="1"/>
    <col min="5125" max="5125" width="7.7109375" style="828" customWidth="1"/>
    <col min="5126" max="5126" width="6" style="828" customWidth="1"/>
    <col min="5127" max="5127" width="11.5703125" style="828" customWidth="1"/>
    <col min="5128" max="5128" width="13.42578125" style="828" customWidth="1"/>
    <col min="5129" max="5129" width="13.85546875" style="828" customWidth="1"/>
    <col min="5130" max="5376" width="9.140625" style="828"/>
    <col min="5377" max="5377" width="13" style="828" customWidth="1"/>
    <col min="5378" max="5378" width="9.140625" style="828"/>
    <col min="5379" max="5379" width="13" style="828" customWidth="1"/>
    <col min="5380" max="5380" width="29.7109375" style="828" customWidth="1"/>
    <col min="5381" max="5381" width="7.7109375" style="828" customWidth="1"/>
    <col min="5382" max="5382" width="6" style="828" customWidth="1"/>
    <col min="5383" max="5383" width="11.5703125" style="828" customWidth="1"/>
    <col min="5384" max="5384" width="13.42578125" style="828" customWidth="1"/>
    <col min="5385" max="5385" width="13.85546875" style="828" customWidth="1"/>
    <col min="5386" max="5632" width="9.140625" style="828"/>
    <col min="5633" max="5633" width="13" style="828" customWidth="1"/>
    <col min="5634" max="5634" width="9.140625" style="828"/>
    <col min="5635" max="5635" width="13" style="828" customWidth="1"/>
    <col min="5636" max="5636" width="29.7109375" style="828" customWidth="1"/>
    <col min="5637" max="5637" width="7.7109375" style="828" customWidth="1"/>
    <col min="5638" max="5638" width="6" style="828" customWidth="1"/>
    <col min="5639" max="5639" width="11.5703125" style="828" customWidth="1"/>
    <col min="5640" max="5640" width="13.42578125" style="828" customWidth="1"/>
    <col min="5641" max="5641" width="13.85546875" style="828" customWidth="1"/>
    <col min="5642" max="5888" width="9.140625" style="828"/>
    <col min="5889" max="5889" width="13" style="828" customWidth="1"/>
    <col min="5890" max="5890" width="9.140625" style="828"/>
    <col min="5891" max="5891" width="13" style="828" customWidth="1"/>
    <col min="5892" max="5892" width="29.7109375" style="828" customWidth="1"/>
    <col min="5893" max="5893" width="7.7109375" style="828" customWidth="1"/>
    <col min="5894" max="5894" width="6" style="828" customWidth="1"/>
    <col min="5895" max="5895" width="11.5703125" style="828" customWidth="1"/>
    <col min="5896" max="5896" width="13.42578125" style="828" customWidth="1"/>
    <col min="5897" max="5897" width="13.85546875" style="828" customWidth="1"/>
    <col min="5898" max="6144" width="9.140625" style="828"/>
    <col min="6145" max="6145" width="13" style="828" customWidth="1"/>
    <col min="6146" max="6146" width="9.140625" style="828"/>
    <col min="6147" max="6147" width="13" style="828" customWidth="1"/>
    <col min="6148" max="6148" width="29.7109375" style="828" customWidth="1"/>
    <col min="6149" max="6149" width="7.7109375" style="828" customWidth="1"/>
    <col min="6150" max="6150" width="6" style="828" customWidth="1"/>
    <col min="6151" max="6151" width="11.5703125" style="828" customWidth="1"/>
    <col min="6152" max="6152" width="13.42578125" style="828" customWidth="1"/>
    <col min="6153" max="6153" width="13.85546875" style="828" customWidth="1"/>
    <col min="6154" max="6400" width="9.140625" style="828"/>
    <col min="6401" max="6401" width="13" style="828" customWidth="1"/>
    <col min="6402" max="6402" width="9.140625" style="828"/>
    <col min="6403" max="6403" width="13" style="828" customWidth="1"/>
    <col min="6404" max="6404" width="29.7109375" style="828" customWidth="1"/>
    <col min="6405" max="6405" width="7.7109375" style="828" customWidth="1"/>
    <col min="6406" max="6406" width="6" style="828" customWidth="1"/>
    <col min="6407" max="6407" width="11.5703125" style="828" customWidth="1"/>
    <col min="6408" max="6408" width="13.42578125" style="828" customWidth="1"/>
    <col min="6409" max="6409" width="13.85546875" style="828" customWidth="1"/>
    <col min="6410" max="6656" width="9.140625" style="828"/>
    <col min="6657" max="6657" width="13" style="828" customWidth="1"/>
    <col min="6658" max="6658" width="9.140625" style="828"/>
    <col min="6659" max="6659" width="13" style="828" customWidth="1"/>
    <col min="6660" max="6660" width="29.7109375" style="828" customWidth="1"/>
    <col min="6661" max="6661" width="7.7109375" style="828" customWidth="1"/>
    <col min="6662" max="6662" width="6" style="828" customWidth="1"/>
    <col min="6663" max="6663" width="11.5703125" style="828" customWidth="1"/>
    <col min="6664" max="6664" width="13.42578125" style="828" customWidth="1"/>
    <col min="6665" max="6665" width="13.85546875" style="828" customWidth="1"/>
    <col min="6666" max="6912" width="9.140625" style="828"/>
    <col min="6913" max="6913" width="13" style="828" customWidth="1"/>
    <col min="6914" max="6914" width="9.140625" style="828"/>
    <col min="6915" max="6915" width="13" style="828" customWidth="1"/>
    <col min="6916" max="6916" width="29.7109375" style="828" customWidth="1"/>
    <col min="6917" max="6917" width="7.7109375" style="828" customWidth="1"/>
    <col min="6918" max="6918" width="6" style="828" customWidth="1"/>
    <col min="6919" max="6919" width="11.5703125" style="828" customWidth="1"/>
    <col min="6920" max="6920" width="13.42578125" style="828" customWidth="1"/>
    <col min="6921" max="6921" width="13.85546875" style="828" customWidth="1"/>
    <col min="6922" max="7168" width="9.140625" style="828"/>
    <col min="7169" max="7169" width="13" style="828" customWidth="1"/>
    <col min="7170" max="7170" width="9.140625" style="828"/>
    <col min="7171" max="7171" width="13" style="828" customWidth="1"/>
    <col min="7172" max="7172" width="29.7109375" style="828" customWidth="1"/>
    <col min="7173" max="7173" width="7.7109375" style="828" customWidth="1"/>
    <col min="7174" max="7174" width="6" style="828" customWidth="1"/>
    <col min="7175" max="7175" width="11.5703125" style="828" customWidth="1"/>
    <col min="7176" max="7176" width="13.42578125" style="828" customWidth="1"/>
    <col min="7177" max="7177" width="13.85546875" style="828" customWidth="1"/>
    <col min="7178" max="7424" width="9.140625" style="828"/>
    <col min="7425" max="7425" width="13" style="828" customWidth="1"/>
    <col min="7426" max="7426" width="9.140625" style="828"/>
    <col min="7427" max="7427" width="13" style="828" customWidth="1"/>
    <col min="7428" max="7428" width="29.7109375" style="828" customWidth="1"/>
    <col min="7429" max="7429" width="7.7109375" style="828" customWidth="1"/>
    <col min="7430" max="7430" width="6" style="828" customWidth="1"/>
    <col min="7431" max="7431" width="11.5703125" style="828" customWidth="1"/>
    <col min="7432" max="7432" width="13.42578125" style="828" customWidth="1"/>
    <col min="7433" max="7433" width="13.85546875" style="828" customWidth="1"/>
    <col min="7434" max="7680" width="9.140625" style="828"/>
    <col min="7681" max="7681" width="13" style="828" customWidth="1"/>
    <col min="7682" max="7682" width="9.140625" style="828"/>
    <col min="7683" max="7683" width="13" style="828" customWidth="1"/>
    <col min="7684" max="7684" width="29.7109375" style="828" customWidth="1"/>
    <col min="7685" max="7685" width="7.7109375" style="828" customWidth="1"/>
    <col min="7686" max="7686" width="6" style="828" customWidth="1"/>
    <col min="7687" max="7687" width="11.5703125" style="828" customWidth="1"/>
    <col min="7688" max="7688" width="13.42578125" style="828" customWidth="1"/>
    <col min="7689" max="7689" width="13.85546875" style="828" customWidth="1"/>
    <col min="7690" max="7936" width="9.140625" style="828"/>
    <col min="7937" max="7937" width="13" style="828" customWidth="1"/>
    <col min="7938" max="7938" width="9.140625" style="828"/>
    <col min="7939" max="7939" width="13" style="828" customWidth="1"/>
    <col min="7940" max="7940" width="29.7109375" style="828" customWidth="1"/>
    <col min="7941" max="7941" width="7.7109375" style="828" customWidth="1"/>
    <col min="7942" max="7942" width="6" style="828" customWidth="1"/>
    <col min="7943" max="7943" width="11.5703125" style="828" customWidth="1"/>
    <col min="7944" max="7944" width="13.42578125" style="828" customWidth="1"/>
    <col min="7945" max="7945" width="13.85546875" style="828" customWidth="1"/>
    <col min="7946" max="8192" width="9.140625" style="828"/>
    <col min="8193" max="8193" width="13" style="828" customWidth="1"/>
    <col min="8194" max="8194" width="9.140625" style="828"/>
    <col min="8195" max="8195" width="13" style="828" customWidth="1"/>
    <col min="8196" max="8196" width="29.7109375" style="828" customWidth="1"/>
    <col min="8197" max="8197" width="7.7109375" style="828" customWidth="1"/>
    <col min="8198" max="8198" width="6" style="828" customWidth="1"/>
    <col min="8199" max="8199" width="11.5703125" style="828" customWidth="1"/>
    <col min="8200" max="8200" width="13.42578125" style="828" customWidth="1"/>
    <col min="8201" max="8201" width="13.85546875" style="828" customWidth="1"/>
    <col min="8202" max="8448" width="9.140625" style="828"/>
    <col min="8449" max="8449" width="13" style="828" customWidth="1"/>
    <col min="8450" max="8450" width="9.140625" style="828"/>
    <col min="8451" max="8451" width="13" style="828" customWidth="1"/>
    <col min="8452" max="8452" width="29.7109375" style="828" customWidth="1"/>
    <col min="8453" max="8453" width="7.7109375" style="828" customWidth="1"/>
    <col min="8454" max="8454" width="6" style="828" customWidth="1"/>
    <col min="8455" max="8455" width="11.5703125" style="828" customWidth="1"/>
    <col min="8456" max="8456" width="13.42578125" style="828" customWidth="1"/>
    <col min="8457" max="8457" width="13.85546875" style="828" customWidth="1"/>
    <col min="8458" max="8704" width="9.140625" style="828"/>
    <col min="8705" max="8705" width="13" style="828" customWidth="1"/>
    <col min="8706" max="8706" width="9.140625" style="828"/>
    <col min="8707" max="8707" width="13" style="828" customWidth="1"/>
    <col min="8708" max="8708" width="29.7109375" style="828" customWidth="1"/>
    <col min="8709" max="8709" width="7.7109375" style="828" customWidth="1"/>
    <col min="8710" max="8710" width="6" style="828" customWidth="1"/>
    <col min="8711" max="8711" width="11.5703125" style="828" customWidth="1"/>
    <col min="8712" max="8712" width="13.42578125" style="828" customWidth="1"/>
    <col min="8713" max="8713" width="13.85546875" style="828" customWidth="1"/>
    <col min="8714" max="8960" width="9.140625" style="828"/>
    <col min="8961" max="8961" width="13" style="828" customWidth="1"/>
    <col min="8962" max="8962" width="9.140625" style="828"/>
    <col min="8963" max="8963" width="13" style="828" customWidth="1"/>
    <col min="8964" max="8964" width="29.7109375" style="828" customWidth="1"/>
    <col min="8965" max="8965" width="7.7109375" style="828" customWidth="1"/>
    <col min="8966" max="8966" width="6" style="828" customWidth="1"/>
    <col min="8967" max="8967" width="11.5703125" style="828" customWidth="1"/>
    <col min="8968" max="8968" width="13.42578125" style="828" customWidth="1"/>
    <col min="8969" max="8969" width="13.85546875" style="828" customWidth="1"/>
    <col min="8970" max="9216" width="9.140625" style="828"/>
    <col min="9217" max="9217" width="13" style="828" customWidth="1"/>
    <col min="9218" max="9218" width="9.140625" style="828"/>
    <col min="9219" max="9219" width="13" style="828" customWidth="1"/>
    <col min="9220" max="9220" width="29.7109375" style="828" customWidth="1"/>
    <col min="9221" max="9221" width="7.7109375" style="828" customWidth="1"/>
    <col min="9222" max="9222" width="6" style="828" customWidth="1"/>
    <col min="9223" max="9223" width="11.5703125" style="828" customWidth="1"/>
    <col min="9224" max="9224" width="13.42578125" style="828" customWidth="1"/>
    <col min="9225" max="9225" width="13.85546875" style="828" customWidth="1"/>
    <col min="9226" max="9472" width="9.140625" style="828"/>
    <col min="9473" max="9473" width="13" style="828" customWidth="1"/>
    <col min="9474" max="9474" width="9.140625" style="828"/>
    <col min="9475" max="9475" width="13" style="828" customWidth="1"/>
    <col min="9476" max="9476" width="29.7109375" style="828" customWidth="1"/>
    <col min="9477" max="9477" width="7.7109375" style="828" customWidth="1"/>
    <col min="9478" max="9478" width="6" style="828" customWidth="1"/>
    <col min="9479" max="9479" width="11.5703125" style="828" customWidth="1"/>
    <col min="9480" max="9480" width="13.42578125" style="828" customWidth="1"/>
    <col min="9481" max="9481" width="13.85546875" style="828" customWidth="1"/>
    <col min="9482" max="9728" width="9.140625" style="828"/>
    <col min="9729" max="9729" width="13" style="828" customWidth="1"/>
    <col min="9730" max="9730" width="9.140625" style="828"/>
    <col min="9731" max="9731" width="13" style="828" customWidth="1"/>
    <col min="9732" max="9732" width="29.7109375" style="828" customWidth="1"/>
    <col min="9733" max="9733" width="7.7109375" style="828" customWidth="1"/>
    <col min="9734" max="9734" width="6" style="828" customWidth="1"/>
    <col min="9735" max="9735" width="11.5703125" style="828" customWidth="1"/>
    <col min="9736" max="9736" width="13.42578125" style="828" customWidth="1"/>
    <col min="9737" max="9737" width="13.85546875" style="828" customWidth="1"/>
    <col min="9738" max="9984" width="9.140625" style="828"/>
    <col min="9985" max="9985" width="13" style="828" customWidth="1"/>
    <col min="9986" max="9986" width="9.140625" style="828"/>
    <col min="9987" max="9987" width="13" style="828" customWidth="1"/>
    <col min="9988" max="9988" width="29.7109375" style="828" customWidth="1"/>
    <col min="9989" max="9989" width="7.7109375" style="828" customWidth="1"/>
    <col min="9990" max="9990" width="6" style="828" customWidth="1"/>
    <col min="9991" max="9991" width="11.5703125" style="828" customWidth="1"/>
    <col min="9992" max="9992" width="13.42578125" style="828" customWidth="1"/>
    <col min="9993" max="9993" width="13.85546875" style="828" customWidth="1"/>
    <col min="9994" max="10240" width="9.140625" style="828"/>
    <col min="10241" max="10241" width="13" style="828" customWidth="1"/>
    <col min="10242" max="10242" width="9.140625" style="828"/>
    <col min="10243" max="10243" width="13" style="828" customWidth="1"/>
    <col min="10244" max="10244" width="29.7109375" style="828" customWidth="1"/>
    <col min="10245" max="10245" width="7.7109375" style="828" customWidth="1"/>
    <col min="10246" max="10246" width="6" style="828" customWidth="1"/>
    <col min="10247" max="10247" width="11.5703125" style="828" customWidth="1"/>
    <col min="10248" max="10248" width="13.42578125" style="828" customWidth="1"/>
    <col min="10249" max="10249" width="13.85546875" style="828" customWidth="1"/>
    <col min="10250" max="10496" width="9.140625" style="828"/>
    <col min="10497" max="10497" width="13" style="828" customWidth="1"/>
    <col min="10498" max="10498" width="9.140625" style="828"/>
    <col min="10499" max="10499" width="13" style="828" customWidth="1"/>
    <col min="10500" max="10500" width="29.7109375" style="828" customWidth="1"/>
    <col min="10501" max="10501" width="7.7109375" style="828" customWidth="1"/>
    <col min="10502" max="10502" width="6" style="828" customWidth="1"/>
    <col min="10503" max="10503" width="11.5703125" style="828" customWidth="1"/>
    <col min="10504" max="10504" width="13.42578125" style="828" customWidth="1"/>
    <col min="10505" max="10505" width="13.85546875" style="828" customWidth="1"/>
    <col min="10506" max="10752" width="9.140625" style="828"/>
    <col min="10753" max="10753" width="13" style="828" customWidth="1"/>
    <col min="10754" max="10754" width="9.140625" style="828"/>
    <col min="10755" max="10755" width="13" style="828" customWidth="1"/>
    <col min="10756" max="10756" width="29.7109375" style="828" customWidth="1"/>
    <col min="10757" max="10757" width="7.7109375" style="828" customWidth="1"/>
    <col min="10758" max="10758" width="6" style="828" customWidth="1"/>
    <col min="10759" max="10759" width="11.5703125" style="828" customWidth="1"/>
    <col min="10760" max="10760" width="13.42578125" style="828" customWidth="1"/>
    <col min="10761" max="10761" width="13.85546875" style="828" customWidth="1"/>
    <col min="10762" max="11008" width="9.140625" style="828"/>
    <col min="11009" max="11009" width="13" style="828" customWidth="1"/>
    <col min="11010" max="11010" width="9.140625" style="828"/>
    <col min="11011" max="11011" width="13" style="828" customWidth="1"/>
    <col min="11012" max="11012" width="29.7109375" style="828" customWidth="1"/>
    <col min="11013" max="11013" width="7.7109375" style="828" customWidth="1"/>
    <col min="11014" max="11014" width="6" style="828" customWidth="1"/>
    <col min="11015" max="11015" width="11.5703125" style="828" customWidth="1"/>
    <col min="11016" max="11016" width="13.42578125" style="828" customWidth="1"/>
    <col min="11017" max="11017" width="13.85546875" style="828" customWidth="1"/>
    <col min="11018" max="11264" width="9.140625" style="828"/>
    <col min="11265" max="11265" width="13" style="828" customWidth="1"/>
    <col min="11266" max="11266" width="9.140625" style="828"/>
    <col min="11267" max="11267" width="13" style="828" customWidth="1"/>
    <col min="11268" max="11268" width="29.7109375" style="828" customWidth="1"/>
    <col min="11269" max="11269" width="7.7109375" style="828" customWidth="1"/>
    <col min="11270" max="11270" width="6" style="828" customWidth="1"/>
    <col min="11271" max="11271" width="11.5703125" style="828" customWidth="1"/>
    <col min="11272" max="11272" width="13.42578125" style="828" customWidth="1"/>
    <col min="11273" max="11273" width="13.85546875" style="828" customWidth="1"/>
    <col min="11274" max="11520" width="9.140625" style="828"/>
    <col min="11521" max="11521" width="13" style="828" customWidth="1"/>
    <col min="11522" max="11522" width="9.140625" style="828"/>
    <col min="11523" max="11523" width="13" style="828" customWidth="1"/>
    <col min="11524" max="11524" width="29.7109375" style="828" customWidth="1"/>
    <col min="11525" max="11525" width="7.7109375" style="828" customWidth="1"/>
    <col min="11526" max="11526" width="6" style="828" customWidth="1"/>
    <col min="11527" max="11527" width="11.5703125" style="828" customWidth="1"/>
    <col min="11528" max="11528" width="13.42578125" style="828" customWidth="1"/>
    <col min="11529" max="11529" width="13.85546875" style="828" customWidth="1"/>
    <col min="11530" max="11776" width="9.140625" style="828"/>
    <col min="11777" max="11777" width="13" style="828" customWidth="1"/>
    <col min="11778" max="11778" width="9.140625" style="828"/>
    <col min="11779" max="11779" width="13" style="828" customWidth="1"/>
    <col min="11780" max="11780" width="29.7109375" style="828" customWidth="1"/>
    <col min="11781" max="11781" width="7.7109375" style="828" customWidth="1"/>
    <col min="11782" max="11782" width="6" style="828" customWidth="1"/>
    <col min="11783" max="11783" width="11.5703125" style="828" customWidth="1"/>
    <col min="11784" max="11784" width="13.42578125" style="828" customWidth="1"/>
    <col min="11785" max="11785" width="13.85546875" style="828" customWidth="1"/>
    <col min="11786" max="12032" width="9.140625" style="828"/>
    <col min="12033" max="12033" width="13" style="828" customWidth="1"/>
    <col min="12034" max="12034" width="9.140625" style="828"/>
    <col min="12035" max="12035" width="13" style="828" customWidth="1"/>
    <col min="12036" max="12036" width="29.7109375" style="828" customWidth="1"/>
    <col min="12037" max="12037" width="7.7109375" style="828" customWidth="1"/>
    <col min="12038" max="12038" width="6" style="828" customWidth="1"/>
    <col min="12039" max="12039" width="11.5703125" style="828" customWidth="1"/>
    <col min="12040" max="12040" width="13.42578125" style="828" customWidth="1"/>
    <col min="12041" max="12041" width="13.85546875" style="828" customWidth="1"/>
    <col min="12042" max="12288" width="9.140625" style="828"/>
    <col min="12289" max="12289" width="13" style="828" customWidth="1"/>
    <col min="12290" max="12290" width="9.140625" style="828"/>
    <col min="12291" max="12291" width="13" style="828" customWidth="1"/>
    <col min="12292" max="12292" width="29.7109375" style="828" customWidth="1"/>
    <col min="12293" max="12293" width="7.7109375" style="828" customWidth="1"/>
    <col min="12294" max="12294" width="6" style="828" customWidth="1"/>
    <col min="12295" max="12295" width="11.5703125" style="828" customWidth="1"/>
    <col min="12296" max="12296" width="13.42578125" style="828" customWidth="1"/>
    <col min="12297" max="12297" width="13.85546875" style="828" customWidth="1"/>
    <col min="12298" max="12544" width="9.140625" style="828"/>
    <col min="12545" max="12545" width="13" style="828" customWidth="1"/>
    <col min="12546" max="12546" width="9.140625" style="828"/>
    <col min="12547" max="12547" width="13" style="828" customWidth="1"/>
    <col min="12548" max="12548" width="29.7109375" style="828" customWidth="1"/>
    <col min="12549" max="12549" width="7.7109375" style="828" customWidth="1"/>
    <col min="12550" max="12550" width="6" style="828" customWidth="1"/>
    <col min="12551" max="12551" width="11.5703125" style="828" customWidth="1"/>
    <col min="12552" max="12552" width="13.42578125" style="828" customWidth="1"/>
    <col min="12553" max="12553" width="13.85546875" style="828" customWidth="1"/>
    <col min="12554" max="12800" width="9.140625" style="828"/>
    <col min="12801" max="12801" width="13" style="828" customWidth="1"/>
    <col min="12802" max="12802" width="9.140625" style="828"/>
    <col min="12803" max="12803" width="13" style="828" customWidth="1"/>
    <col min="12804" max="12804" width="29.7109375" style="828" customWidth="1"/>
    <col min="12805" max="12805" width="7.7109375" style="828" customWidth="1"/>
    <col min="12806" max="12806" width="6" style="828" customWidth="1"/>
    <col min="12807" max="12807" width="11.5703125" style="828" customWidth="1"/>
    <col min="12808" max="12808" width="13.42578125" style="828" customWidth="1"/>
    <col min="12809" max="12809" width="13.85546875" style="828" customWidth="1"/>
    <col min="12810" max="13056" width="9.140625" style="828"/>
    <col min="13057" max="13057" width="13" style="828" customWidth="1"/>
    <col min="13058" max="13058" width="9.140625" style="828"/>
    <col min="13059" max="13059" width="13" style="828" customWidth="1"/>
    <col min="13060" max="13060" width="29.7109375" style="828" customWidth="1"/>
    <col min="13061" max="13061" width="7.7109375" style="828" customWidth="1"/>
    <col min="13062" max="13062" width="6" style="828" customWidth="1"/>
    <col min="13063" max="13063" width="11.5703125" style="828" customWidth="1"/>
    <col min="13064" max="13064" width="13.42578125" style="828" customWidth="1"/>
    <col min="13065" max="13065" width="13.85546875" style="828" customWidth="1"/>
    <col min="13066" max="13312" width="9.140625" style="828"/>
    <col min="13313" max="13313" width="13" style="828" customWidth="1"/>
    <col min="13314" max="13314" width="9.140625" style="828"/>
    <col min="13315" max="13315" width="13" style="828" customWidth="1"/>
    <col min="13316" max="13316" width="29.7109375" style="828" customWidth="1"/>
    <col min="13317" max="13317" width="7.7109375" style="828" customWidth="1"/>
    <col min="13318" max="13318" width="6" style="828" customWidth="1"/>
    <col min="13319" max="13319" width="11.5703125" style="828" customWidth="1"/>
    <col min="13320" max="13320" width="13.42578125" style="828" customWidth="1"/>
    <col min="13321" max="13321" width="13.85546875" style="828" customWidth="1"/>
    <col min="13322" max="13568" width="9.140625" style="828"/>
    <col min="13569" max="13569" width="13" style="828" customWidth="1"/>
    <col min="13570" max="13570" width="9.140625" style="828"/>
    <col min="13571" max="13571" width="13" style="828" customWidth="1"/>
    <col min="13572" max="13572" width="29.7109375" style="828" customWidth="1"/>
    <col min="13573" max="13573" width="7.7109375" style="828" customWidth="1"/>
    <col min="13574" max="13574" width="6" style="828" customWidth="1"/>
    <col min="13575" max="13575" width="11.5703125" style="828" customWidth="1"/>
    <col min="13576" max="13576" width="13.42578125" style="828" customWidth="1"/>
    <col min="13577" max="13577" width="13.85546875" style="828" customWidth="1"/>
    <col min="13578" max="13824" width="9.140625" style="828"/>
    <col min="13825" max="13825" width="13" style="828" customWidth="1"/>
    <col min="13826" max="13826" width="9.140625" style="828"/>
    <col min="13827" max="13827" width="13" style="828" customWidth="1"/>
    <col min="13828" max="13828" width="29.7109375" style="828" customWidth="1"/>
    <col min="13829" max="13829" width="7.7109375" style="828" customWidth="1"/>
    <col min="13830" max="13830" width="6" style="828" customWidth="1"/>
    <col min="13831" max="13831" width="11.5703125" style="828" customWidth="1"/>
    <col min="13832" max="13832" width="13.42578125" style="828" customWidth="1"/>
    <col min="13833" max="13833" width="13.85546875" style="828" customWidth="1"/>
    <col min="13834" max="14080" width="9.140625" style="828"/>
    <col min="14081" max="14081" width="13" style="828" customWidth="1"/>
    <col min="14082" max="14082" width="9.140625" style="828"/>
    <col min="14083" max="14083" width="13" style="828" customWidth="1"/>
    <col min="14084" max="14084" width="29.7109375" style="828" customWidth="1"/>
    <col min="14085" max="14085" width="7.7109375" style="828" customWidth="1"/>
    <col min="14086" max="14086" width="6" style="828" customWidth="1"/>
    <col min="14087" max="14087" width="11.5703125" style="828" customWidth="1"/>
    <col min="14088" max="14088" width="13.42578125" style="828" customWidth="1"/>
    <col min="14089" max="14089" width="13.85546875" style="828" customWidth="1"/>
    <col min="14090" max="14336" width="9.140625" style="828"/>
    <col min="14337" max="14337" width="13" style="828" customWidth="1"/>
    <col min="14338" max="14338" width="9.140625" style="828"/>
    <col min="14339" max="14339" width="13" style="828" customWidth="1"/>
    <col min="14340" max="14340" width="29.7109375" style="828" customWidth="1"/>
    <col min="14341" max="14341" width="7.7109375" style="828" customWidth="1"/>
    <col min="14342" max="14342" width="6" style="828" customWidth="1"/>
    <col min="14343" max="14343" width="11.5703125" style="828" customWidth="1"/>
    <col min="14344" max="14344" width="13.42578125" style="828" customWidth="1"/>
    <col min="14345" max="14345" width="13.85546875" style="828" customWidth="1"/>
    <col min="14346" max="14592" width="9.140625" style="828"/>
    <col min="14593" max="14593" width="13" style="828" customWidth="1"/>
    <col min="14594" max="14594" width="9.140625" style="828"/>
    <col min="14595" max="14595" width="13" style="828" customWidth="1"/>
    <col min="14596" max="14596" width="29.7109375" style="828" customWidth="1"/>
    <col min="14597" max="14597" width="7.7109375" style="828" customWidth="1"/>
    <col min="14598" max="14598" width="6" style="828" customWidth="1"/>
    <col min="14599" max="14599" width="11.5703125" style="828" customWidth="1"/>
    <col min="14600" max="14600" width="13.42578125" style="828" customWidth="1"/>
    <col min="14601" max="14601" width="13.85546875" style="828" customWidth="1"/>
    <col min="14602" max="14848" width="9.140625" style="828"/>
    <col min="14849" max="14849" width="13" style="828" customWidth="1"/>
    <col min="14850" max="14850" width="9.140625" style="828"/>
    <col min="14851" max="14851" width="13" style="828" customWidth="1"/>
    <col min="14852" max="14852" width="29.7109375" style="828" customWidth="1"/>
    <col min="14853" max="14853" width="7.7109375" style="828" customWidth="1"/>
    <col min="14854" max="14854" width="6" style="828" customWidth="1"/>
    <col min="14855" max="14855" width="11.5703125" style="828" customWidth="1"/>
    <col min="14856" max="14856" width="13.42578125" style="828" customWidth="1"/>
    <col min="14857" max="14857" width="13.85546875" style="828" customWidth="1"/>
    <col min="14858" max="15104" width="9.140625" style="828"/>
    <col min="15105" max="15105" width="13" style="828" customWidth="1"/>
    <col min="15106" max="15106" width="9.140625" style="828"/>
    <col min="15107" max="15107" width="13" style="828" customWidth="1"/>
    <col min="15108" max="15108" width="29.7109375" style="828" customWidth="1"/>
    <col min="15109" max="15109" width="7.7109375" style="828" customWidth="1"/>
    <col min="15110" max="15110" width="6" style="828" customWidth="1"/>
    <col min="15111" max="15111" width="11.5703125" style="828" customWidth="1"/>
    <col min="15112" max="15112" width="13.42578125" style="828" customWidth="1"/>
    <col min="15113" max="15113" width="13.85546875" style="828" customWidth="1"/>
    <col min="15114" max="15360" width="9.140625" style="828"/>
    <col min="15361" max="15361" width="13" style="828" customWidth="1"/>
    <col min="15362" max="15362" width="9.140625" style="828"/>
    <col min="15363" max="15363" width="13" style="828" customWidth="1"/>
    <col min="15364" max="15364" width="29.7109375" style="828" customWidth="1"/>
    <col min="15365" max="15365" width="7.7109375" style="828" customWidth="1"/>
    <col min="15366" max="15366" width="6" style="828" customWidth="1"/>
    <col min="15367" max="15367" width="11.5703125" style="828" customWidth="1"/>
    <col min="15368" max="15368" width="13.42578125" style="828" customWidth="1"/>
    <col min="15369" max="15369" width="13.85546875" style="828" customWidth="1"/>
    <col min="15370" max="15616" width="9.140625" style="828"/>
    <col min="15617" max="15617" width="13" style="828" customWidth="1"/>
    <col min="15618" max="15618" width="9.140625" style="828"/>
    <col min="15619" max="15619" width="13" style="828" customWidth="1"/>
    <col min="15620" max="15620" width="29.7109375" style="828" customWidth="1"/>
    <col min="15621" max="15621" width="7.7109375" style="828" customWidth="1"/>
    <col min="15622" max="15622" width="6" style="828" customWidth="1"/>
    <col min="15623" max="15623" width="11.5703125" style="828" customWidth="1"/>
    <col min="15624" max="15624" width="13.42578125" style="828" customWidth="1"/>
    <col min="15625" max="15625" width="13.85546875" style="828" customWidth="1"/>
    <col min="15626" max="15872" width="9.140625" style="828"/>
    <col min="15873" max="15873" width="13" style="828" customWidth="1"/>
    <col min="15874" max="15874" width="9.140625" style="828"/>
    <col min="15875" max="15875" width="13" style="828" customWidth="1"/>
    <col min="15876" max="15876" width="29.7109375" style="828" customWidth="1"/>
    <col min="15877" max="15877" width="7.7109375" style="828" customWidth="1"/>
    <col min="15878" max="15878" width="6" style="828" customWidth="1"/>
    <col min="15879" max="15879" width="11.5703125" style="828" customWidth="1"/>
    <col min="15880" max="15880" width="13.42578125" style="828" customWidth="1"/>
    <col min="15881" max="15881" width="13.85546875" style="828" customWidth="1"/>
    <col min="15882" max="16128" width="9.140625" style="828"/>
    <col min="16129" max="16129" width="13" style="828" customWidth="1"/>
    <col min="16130" max="16130" width="9.140625" style="828"/>
    <col min="16131" max="16131" width="13" style="828" customWidth="1"/>
    <col min="16132" max="16132" width="29.7109375" style="828" customWidth="1"/>
    <col min="16133" max="16133" width="7.7109375" style="828" customWidth="1"/>
    <col min="16134" max="16134" width="6" style="828" customWidth="1"/>
    <col min="16135" max="16135" width="11.5703125" style="828" customWidth="1"/>
    <col min="16136" max="16136" width="13.42578125" style="828" customWidth="1"/>
    <col min="16137" max="16137" width="13.85546875" style="828" customWidth="1"/>
    <col min="16138" max="16384" width="9.140625" style="828"/>
  </cols>
  <sheetData>
    <row r="1" spans="1:14">
      <c r="A1" s="827" t="str">
        <f>TH!A1</f>
        <v>Đơn vị: CÔNG TY TNHH HẢI SẢN AN LẠC</v>
      </c>
      <c r="H1" s="829" t="s">
        <v>472</v>
      </c>
      <c r="I1" s="829"/>
    </row>
    <row r="2" spans="1:14">
      <c r="A2" s="828" t="str">
        <f>TH!A2</f>
        <v>Địa chỉ: Lô A14, Đường 4A, KCN Hải Sơn, Đức Hòa, Long An</v>
      </c>
      <c r="H2" s="830" t="s">
        <v>473</v>
      </c>
      <c r="I2" s="830"/>
    </row>
    <row r="3" spans="1:14">
      <c r="H3" s="830" t="s">
        <v>474</v>
      </c>
      <c r="I3" s="830"/>
    </row>
    <row r="4" spans="1:14">
      <c r="H4" s="830"/>
      <c r="I4" s="830"/>
    </row>
    <row r="5" spans="1:14" ht="26.25" customHeight="1">
      <c r="B5" s="831"/>
      <c r="C5" s="831"/>
      <c r="D5" s="832" t="s">
        <v>475</v>
      </c>
      <c r="E5" s="831"/>
      <c r="F5" s="831"/>
      <c r="G5" s="831"/>
      <c r="H5" s="831"/>
      <c r="I5" s="831"/>
      <c r="J5" s="831"/>
      <c r="K5" s="831"/>
    </row>
    <row r="6" spans="1:14">
      <c r="B6" s="833"/>
      <c r="C6" s="833"/>
      <c r="D6" s="834" t="str">
        <f ca="1">$K$9&amp;"   -   Năm:  " &amp;YEAR(A11)</f>
        <v>Quý II   -   Năm:  2013</v>
      </c>
      <c r="E6" s="833"/>
      <c r="F6" s="833"/>
      <c r="G6" s="833"/>
      <c r="H6" s="833"/>
      <c r="I6" s="833"/>
      <c r="J6" s="833"/>
      <c r="K6" s="833"/>
    </row>
    <row r="7" spans="1:14">
      <c r="A7" s="835"/>
      <c r="B7" s="835"/>
      <c r="C7" s="835"/>
      <c r="D7" s="835"/>
      <c r="E7" s="835"/>
      <c r="F7" s="835"/>
      <c r="G7" s="835"/>
      <c r="H7" s="972" t="s">
        <v>130</v>
      </c>
      <c r="I7" s="972"/>
      <c r="J7" s="835"/>
      <c r="K7" s="835"/>
      <c r="M7" s="940" t="s">
        <v>445</v>
      </c>
      <c r="N7" s="940"/>
    </row>
    <row r="8" spans="1:14" ht="23.25" customHeight="1" thickBot="1">
      <c r="A8" s="973" t="s">
        <v>476</v>
      </c>
      <c r="B8" s="975" t="s">
        <v>1</v>
      </c>
      <c r="C8" s="976"/>
      <c r="D8" s="977" t="s">
        <v>0</v>
      </c>
      <c r="E8" s="973" t="s">
        <v>477</v>
      </c>
      <c r="F8" s="971" t="s">
        <v>98</v>
      </c>
      <c r="G8" s="971"/>
      <c r="H8" s="975" t="s">
        <v>21</v>
      </c>
      <c r="I8" s="976"/>
      <c r="J8" s="835"/>
      <c r="K8" s="835"/>
      <c r="M8" s="849">
        <f>IF(K9="Quý I",1,IF(K9="Quý II",4,IF(K9="Quý III",7,IF(K9="Quý IV",10,""))))</f>
        <v>4</v>
      </c>
      <c r="N8" s="849">
        <f>IF(K9="Quý I",3,IF(K9="Quý II",6,IF(K9="Quý III",9,IF(K9="Quý IV",12,""))))</f>
        <v>6</v>
      </c>
    </row>
    <row r="9" spans="1:14" ht="28.5" customHeight="1" thickBot="1">
      <c r="A9" s="974"/>
      <c r="B9" s="826" t="s">
        <v>15</v>
      </c>
      <c r="C9" s="826" t="s">
        <v>32</v>
      </c>
      <c r="D9" s="978"/>
      <c r="E9" s="974"/>
      <c r="F9" s="847" t="s">
        <v>22</v>
      </c>
      <c r="G9" s="847" t="s">
        <v>23</v>
      </c>
      <c r="H9" s="826" t="s">
        <v>478</v>
      </c>
      <c r="I9" s="826" t="s">
        <v>23</v>
      </c>
      <c r="K9" s="184" t="s">
        <v>490</v>
      </c>
    </row>
    <row r="10" spans="1:14" ht="21.75" customHeight="1">
      <c r="A10" s="836"/>
      <c r="B10" s="836"/>
      <c r="C10" s="836"/>
      <c r="D10" s="837" t="s">
        <v>483</v>
      </c>
      <c r="E10" s="848"/>
      <c r="F10" s="836"/>
      <c r="G10" s="836"/>
      <c r="H10" s="844">
        <f>SUMIF(_M,"&lt;"&amp;$M$8,TH)</f>
        <v>631644162</v>
      </c>
      <c r="I10" s="844">
        <f>SUMIF(_M,"&lt;"&amp;$M$8,TH)</f>
        <v>631644162</v>
      </c>
    </row>
    <row r="11" spans="1:14" ht="21.75" customHeight="1">
      <c r="A11" s="890">
        <f ca="1">IF(ROWS($1:1)&gt;COUNT(Dong6),"",OFFSET(TH!C$1,SMALL(Dong6,ROWS($1:1)),))</f>
        <v>41455</v>
      </c>
      <c r="B11" s="889" t="str">
        <f ca="1">IF(ROWS($1:1)&gt;COUNT(Dong6),"",OFFSET(TH!D$1,SMALL(Dong6,ROWS($1:1)),))</f>
        <v>BTKC</v>
      </c>
      <c r="C11" s="890">
        <f ca="1">IF(ROWS($1:1)&gt;COUNT(Dong6),"",OFFSET(TH!E$1,SMALL(Dong6,ROWS($1:1)),))</f>
        <v>41455</v>
      </c>
      <c r="D11" s="891" t="str">
        <f ca="1">IF(ROWS($1:1)&gt;COUNT(Dong6),"",OFFSET(TH!F$1,SMALL(Dong6,ROWS($1:1)),))</f>
        <v>K/C lãi ( lỗ ) SXKD - Quý II</v>
      </c>
      <c r="E11" s="889">
        <f t="shared" ref="E11:E51" ca="1" si="0">IF(D11&lt;&gt;"",ROW()-10,"")</f>
        <v>1</v>
      </c>
      <c r="F11" s="892" t="str">
        <f ca="1">IF(ROWS($1:1)&gt;COUNT(Dong6),"",OFFSET(TH!L$1,SMALL(Dong6,ROWS($1:1)),))</f>
        <v>4212</v>
      </c>
      <c r="G11" s="892" t="str">
        <f ca="1">IF(ROWS($1:1)&gt;COUNT(Dong6),"",OFFSET(TH!M$1,SMALL(Dong6,ROWS($1:1)),))</f>
        <v>911</v>
      </c>
      <c r="H11" s="893">
        <f ca="1">IF(ROWS($1:1)&gt;COUNT(Dong6),"",OFFSET(TH!K$1,SMALL(Dong6,ROWS($1:1)),))</f>
        <v>0</v>
      </c>
      <c r="I11" s="893">
        <f ca="1">IF(ROWS($1:1)&gt;COUNT(Dong6),"",OFFSET(TH!K$1,SMALL(Dong6,ROWS($1:1)),))</f>
        <v>0</v>
      </c>
    </row>
    <row r="12" spans="1:14" ht="21.75" customHeight="1">
      <c r="A12" s="890">
        <f ca="1">IF(ROWS($1:2)&gt;COUNT(Dong6),"",OFFSET(TH!C$1,SMALL(Dong6,ROWS($1:2)),))</f>
        <v>41366</v>
      </c>
      <c r="B12" s="889">
        <f ca="1">IF(ROWS($1:2)&gt;COUNT(Dong6),"",OFFSET(TH!D$1,SMALL(Dong6,ROWS($1:2)),))</f>
        <v>0</v>
      </c>
      <c r="C12" s="890">
        <f ca="1">IF(ROWS($1:2)&gt;COUNT(Dong6),"",OFFSET(TH!E$1,SMALL(Dong6,ROWS($1:2)),))</f>
        <v>41366</v>
      </c>
      <c r="D12" s="891" t="str">
        <f ca="1">IF(ROWS($1:2)&gt;COUNT(Dong6),"",OFFSET(TH!F$1,SMALL(Dong6,ROWS($1:2)),))</f>
        <v>Thu tiền hàng</v>
      </c>
      <c r="E12" s="889">
        <f t="shared" ca="1" si="0"/>
        <v>2</v>
      </c>
      <c r="F12" s="892" t="str">
        <f ca="1">IF(ROWS($1:2)&gt;COUNT(Dong6),"",OFFSET(TH!L$1,SMALL(Dong6,ROWS($1:2)),))</f>
        <v>1121</v>
      </c>
      <c r="G12" s="892" t="str">
        <f ca="1">IF(ROWS($1:2)&gt;COUNT(Dong6),"",OFFSET(TH!M$1,SMALL(Dong6,ROWS($1:2)),))</f>
        <v>131</v>
      </c>
      <c r="H12" s="893">
        <f ca="1">IF(ROWS($1:2)&gt;COUNT(Dong6),"",OFFSET(TH!K$1,SMALL(Dong6,ROWS($1:2)),))</f>
        <v>30050350</v>
      </c>
      <c r="I12" s="893">
        <f ca="1">IF(ROWS($1:2)&gt;COUNT(Dong6),"",OFFSET(TH!K$1,SMALL(Dong6,ROWS($1:2)),))</f>
        <v>30050350</v>
      </c>
    </row>
    <row r="13" spans="1:14" ht="21.75" customHeight="1">
      <c r="A13" s="890">
        <f ca="1">IF(ROWS($1:3)&gt;COUNT(Dong6),"",OFFSET(TH!C$1,SMALL(Dong6,ROWS($1:3)),))</f>
        <v>41388</v>
      </c>
      <c r="B13" s="889">
        <f ca="1">IF(ROWS($1:3)&gt;COUNT(Dong6),"",OFFSET(TH!D$1,SMALL(Dong6,ROWS($1:3)),))</f>
        <v>0</v>
      </c>
      <c r="C13" s="890">
        <f ca="1">IF(ROWS($1:3)&gt;COUNT(Dong6),"",OFFSET(TH!E$1,SMALL(Dong6,ROWS($1:3)),))</f>
        <v>41388</v>
      </c>
      <c r="D13" s="891" t="str">
        <f ca="1">IF(ROWS($1:3)&gt;COUNT(Dong6),"",OFFSET(TH!F$1,SMALL(Dong6,ROWS($1:3)),))</f>
        <v>Thu tiền hàng</v>
      </c>
      <c r="E13" s="889">
        <f t="shared" ca="1" si="0"/>
        <v>3</v>
      </c>
      <c r="F13" s="892" t="str">
        <f ca="1">IF(ROWS($1:3)&gt;COUNT(Dong6),"",OFFSET(TH!L$1,SMALL(Dong6,ROWS($1:3)),))</f>
        <v>1121</v>
      </c>
      <c r="G13" s="892" t="str">
        <f ca="1">IF(ROWS($1:3)&gt;COUNT(Dong6),"",OFFSET(TH!M$1,SMALL(Dong6,ROWS($1:3)),))</f>
        <v>131</v>
      </c>
      <c r="H13" s="893">
        <f ca="1">IF(ROWS($1:3)&gt;COUNT(Dong6),"",OFFSET(TH!K$1,SMALL(Dong6,ROWS($1:3)),))</f>
        <v>17000000</v>
      </c>
      <c r="I13" s="893">
        <f ca="1">IF(ROWS($1:3)&gt;COUNT(Dong6),"",OFFSET(TH!K$1,SMALL(Dong6,ROWS($1:3)),))</f>
        <v>17000000</v>
      </c>
    </row>
    <row r="14" spans="1:14" ht="21.75" customHeight="1">
      <c r="A14" s="890">
        <f ca="1">IF(ROWS($1:4)&gt;COUNT(Dong6),"",OFFSET(TH!C$1,SMALL(Dong6,ROWS($1:4)),))</f>
        <v>41389</v>
      </c>
      <c r="B14" s="889">
        <f ca="1">IF(ROWS($1:4)&gt;COUNT(Dong6),"",OFFSET(TH!D$1,SMALL(Dong6,ROWS($1:4)),))</f>
        <v>0</v>
      </c>
      <c r="C14" s="890">
        <f ca="1">IF(ROWS($1:4)&gt;COUNT(Dong6),"",OFFSET(TH!E$1,SMALL(Dong6,ROWS($1:4)),))</f>
        <v>41389</v>
      </c>
      <c r="D14" s="891" t="str">
        <f ca="1">IF(ROWS($1:4)&gt;COUNT(Dong6),"",OFFSET(TH!F$1,SMALL(Dong6,ROWS($1:4)),))</f>
        <v>Lãi tiền gửi</v>
      </c>
      <c r="E14" s="889">
        <f t="shared" ca="1" si="0"/>
        <v>4</v>
      </c>
      <c r="F14" s="892" t="str">
        <f ca="1">IF(ROWS($1:4)&gt;COUNT(Dong6),"",OFFSET(TH!L$1,SMALL(Dong6,ROWS($1:4)),))</f>
        <v>1121</v>
      </c>
      <c r="G14" s="892" t="str">
        <f ca="1">IF(ROWS($1:4)&gt;COUNT(Dong6),"",OFFSET(TH!M$1,SMALL(Dong6,ROWS($1:4)),))</f>
        <v>515</v>
      </c>
      <c r="H14" s="893">
        <f ca="1">IF(ROWS($1:4)&gt;COUNT(Dong6),"",OFFSET(TH!K$1,SMALL(Dong6,ROWS($1:4)),))</f>
        <v>2630</v>
      </c>
      <c r="I14" s="893">
        <f ca="1">IF(ROWS($1:4)&gt;COUNT(Dong6),"",OFFSET(TH!K$1,SMALL(Dong6,ROWS($1:4)),))</f>
        <v>2630</v>
      </c>
    </row>
    <row r="15" spans="1:14" ht="21.75" customHeight="1">
      <c r="A15" s="890">
        <f ca="1">IF(ROWS($1:5)&gt;COUNT(Dong6),"",OFFSET(TH!C$1,SMALL(Dong6,ROWS($1:5)),))</f>
        <v>41391</v>
      </c>
      <c r="B15" s="889">
        <f ca="1">IF(ROWS($1:5)&gt;COUNT(Dong6),"",OFFSET(TH!D$1,SMALL(Dong6,ROWS($1:5)),))</f>
        <v>0</v>
      </c>
      <c r="C15" s="890">
        <f ca="1">IF(ROWS($1:5)&gt;COUNT(Dong6),"",OFFSET(TH!E$1,SMALL(Dong6,ROWS($1:5)),))</f>
        <v>41391</v>
      </c>
      <c r="D15" s="891" t="str">
        <f ca="1">IF(ROWS($1:5)&gt;COUNT(Dong6),"",OFFSET(TH!F$1,SMALL(Dong6,ROWS($1:5)),))</f>
        <v>Nộp tiền mặt vào tài khoản</v>
      </c>
      <c r="E15" s="889">
        <f t="shared" ca="1" si="0"/>
        <v>5</v>
      </c>
      <c r="F15" s="892" t="str">
        <f ca="1">IF(ROWS($1:5)&gt;COUNT(Dong6),"",OFFSET(TH!L$1,SMALL(Dong6,ROWS($1:5)),))</f>
        <v>1121</v>
      </c>
      <c r="G15" s="892" t="str">
        <f ca="1">IF(ROWS($1:5)&gt;COUNT(Dong6),"",OFFSET(TH!M$1,SMALL(Dong6,ROWS($1:5)),))</f>
        <v>1111</v>
      </c>
      <c r="H15" s="893">
        <f ca="1">IF(ROWS($1:5)&gt;COUNT(Dong6),"",OFFSET(TH!K$1,SMALL(Dong6,ROWS($1:5)),))</f>
        <v>20000000</v>
      </c>
      <c r="I15" s="893">
        <f ca="1">IF(ROWS($1:5)&gt;COUNT(Dong6),"",OFFSET(TH!K$1,SMALL(Dong6,ROWS($1:5)),))</f>
        <v>20000000</v>
      </c>
    </row>
    <row r="16" spans="1:14" ht="21.75" customHeight="1">
      <c r="A16" s="890">
        <f ca="1">IF(ROWS($1:6)&gt;COUNT(Dong6),"",OFFSET(TH!C$1,SMALL(Dong6,ROWS($1:6)),))</f>
        <v>41396</v>
      </c>
      <c r="B16" s="889">
        <f ca="1">IF(ROWS($1:6)&gt;COUNT(Dong6),"",OFFSET(TH!D$1,SMALL(Dong6,ROWS($1:6)),))</f>
        <v>0</v>
      </c>
      <c r="C16" s="890">
        <f ca="1">IF(ROWS($1:6)&gt;COUNT(Dong6),"",OFFSET(TH!E$1,SMALL(Dong6,ROWS($1:6)),))</f>
        <v>41396</v>
      </c>
      <c r="D16" s="891" t="str">
        <f ca="1">IF(ROWS($1:6)&gt;COUNT(Dong6),"",OFFSET(TH!F$1,SMALL(Dong6,ROWS($1:6)),))</f>
        <v>Thu tiền hàng</v>
      </c>
      <c r="E16" s="889">
        <f t="shared" ca="1" si="0"/>
        <v>6</v>
      </c>
      <c r="F16" s="892" t="str">
        <f ca="1">IF(ROWS($1:6)&gt;COUNT(Dong6),"",OFFSET(TH!L$1,SMALL(Dong6,ROWS($1:6)),))</f>
        <v>1121</v>
      </c>
      <c r="G16" s="892" t="str">
        <f ca="1">IF(ROWS($1:6)&gt;COUNT(Dong6),"",OFFSET(TH!M$1,SMALL(Dong6,ROWS($1:6)),))</f>
        <v>131</v>
      </c>
      <c r="H16" s="893">
        <f ca="1">IF(ROWS($1:6)&gt;COUNT(Dong6),"",OFFSET(TH!K$1,SMALL(Dong6,ROWS($1:6)),))</f>
        <v>8382000</v>
      </c>
      <c r="I16" s="893">
        <f ca="1">IF(ROWS($1:6)&gt;COUNT(Dong6),"",OFFSET(TH!K$1,SMALL(Dong6,ROWS($1:6)),))</f>
        <v>8382000</v>
      </c>
    </row>
    <row r="17" spans="1:9" ht="21.75" customHeight="1">
      <c r="A17" s="890">
        <f ca="1">IF(ROWS($1:7)&gt;COUNT(Dong6),"",OFFSET(TH!C$1,SMALL(Dong6,ROWS($1:7)),))</f>
        <v>41398</v>
      </c>
      <c r="B17" s="889">
        <f ca="1">IF(ROWS($1:7)&gt;COUNT(Dong6),"",OFFSET(TH!D$1,SMALL(Dong6,ROWS($1:7)),))</f>
        <v>0</v>
      </c>
      <c r="C17" s="890">
        <f ca="1">IF(ROWS($1:7)&gt;COUNT(Dong6),"",OFFSET(TH!E$1,SMALL(Dong6,ROWS($1:7)),))</f>
        <v>41398</v>
      </c>
      <c r="D17" s="891" t="str">
        <f ca="1">IF(ROWS($1:7)&gt;COUNT(Dong6),"",OFFSET(TH!F$1,SMALL(Dong6,ROWS($1:7)),))</f>
        <v>Thu tiền hàng</v>
      </c>
      <c r="E17" s="889">
        <f t="shared" ca="1" si="0"/>
        <v>7</v>
      </c>
      <c r="F17" s="892" t="str">
        <f ca="1">IF(ROWS($1:7)&gt;COUNT(Dong6),"",OFFSET(TH!L$1,SMALL(Dong6,ROWS($1:7)),))</f>
        <v>1121</v>
      </c>
      <c r="G17" s="892" t="str">
        <f ca="1">IF(ROWS($1:7)&gt;COUNT(Dong6),"",OFFSET(TH!M$1,SMALL(Dong6,ROWS($1:7)),))</f>
        <v>131</v>
      </c>
      <c r="H17" s="893">
        <f ca="1">IF(ROWS($1:7)&gt;COUNT(Dong6),"",OFFSET(TH!K$1,SMALL(Dong6,ROWS($1:7)),))</f>
        <v>42122355</v>
      </c>
      <c r="I17" s="893">
        <f ca="1">IF(ROWS($1:7)&gt;COUNT(Dong6),"",OFFSET(TH!K$1,SMALL(Dong6,ROWS($1:7)),))</f>
        <v>42122355</v>
      </c>
    </row>
    <row r="18" spans="1:9" ht="21.75" customHeight="1">
      <c r="A18" s="890">
        <f ca="1">IF(ROWS($1:8)&gt;COUNT(Dong6),"",OFFSET(TH!C$1,SMALL(Dong6,ROWS($1:8)),))</f>
        <v>41410</v>
      </c>
      <c r="B18" s="889">
        <f ca="1">IF(ROWS($1:8)&gt;COUNT(Dong6),"",OFFSET(TH!D$1,SMALL(Dong6,ROWS($1:8)),))</f>
        <v>0</v>
      </c>
      <c r="C18" s="890">
        <f ca="1">IF(ROWS($1:8)&gt;COUNT(Dong6),"",OFFSET(TH!E$1,SMALL(Dong6,ROWS($1:8)),))</f>
        <v>41410</v>
      </c>
      <c r="D18" s="891" t="str">
        <f ca="1">IF(ROWS($1:8)&gt;COUNT(Dong6),"",OFFSET(TH!F$1,SMALL(Dong6,ROWS($1:8)),))</f>
        <v>Thu tiền hàng</v>
      </c>
      <c r="E18" s="889">
        <f t="shared" ca="1" si="0"/>
        <v>8</v>
      </c>
      <c r="F18" s="892" t="str">
        <f ca="1">IF(ROWS($1:8)&gt;COUNT(Dong6),"",OFFSET(TH!L$1,SMALL(Dong6,ROWS($1:8)),))</f>
        <v>1121</v>
      </c>
      <c r="G18" s="892" t="str">
        <f ca="1">IF(ROWS($1:8)&gt;COUNT(Dong6),"",OFFSET(TH!M$1,SMALL(Dong6,ROWS($1:8)),))</f>
        <v>131</v>
      </c>
      <c r="H18" s="893">
        <f ca="1">IF(ROWS($1:8)&gt;COUNT(Dong6),"",OFFSET(TH!K$1,SMALL(Dong6,ROWS($1:8)),))</f>
        <v>27451050</v>
      </c>
      <c r="I18" s="893">
        <f ca="1">IF(ROWS($1:8)&gt;COUNT(Dong6),"",OFFSET(TH!K$1,SMALL(Dong6,ROWS($1:8)),))</f>
        <v>27451050</v>
      </c>
    </row>
    <row r="19" spans="1:9" ht="21.75" customHeight="1">
      <c r="A19" s="890">
        <f ca="1">IF(ROWS($1:9)&gt;COUNT(Dong6),"",OFFSET(TH!C$1,SMALL(Dong6,ROWS($1:9)),))</f>
        <v>41414</v>
      </c>
      <c r="B19" s="889">
        <f ca="1">IF(ROWS($1:9)&gt;COUNT(Dong6),"",OFFSET(TH!D$1,SMALL(Dong6,ROWS($1:9)),))</f>
        <v>0</v>
      </c>
      <c r="C19" s="890">
        <f ca="1">IF(ROWS($1:9)&gt;COUNT(Dong6),"",OFFSET(TH!E$1,SMALL(Dong6,ROWS($1:9)),))</f>
        <v>41414</v>
      </c>
      <c r="D19" s="891" t="str">
        <f ca="1">IF(ROWS($1:9)&gt;COUNT(Dong6),"",OFFSET(TH!F$1,SMALL(Dong6,ROWS($1:9)),))</f>
        <v>Thu tiền hàng</v>
      </c>
      <c r="E19" s="889">
        <f t="shared" ca="1" si="0"/>
        <v>9</v>
      </c>
      <c r="F19" s="892" t="str">
        <f ca="1">IF(ROWS($1:9)&gt;COUNT(Dong6),"",OFFSET(TH!L$1,SMALL(Dong6,ROWS($1:9)),))</f>
        <v>1121</v>
      </c>
      <c r="G19" s="892" t="str">
        <f ca="1">IF(ROWS($1:9)&gt;COUNT(Dong6),"",OFFSET(TH!M$1,SMALL(Dong6,ROWS($1:9)),))</f>
        <v>131</v>
      </c>
      <c r="H19" s="893">
        <f ca="1">IF(ROWS($1:9)&gt;COUNT(Dong6),"",OFFSET(TH!K$1,SMALL(Dong6,ROWS($1:9)),))</f>
        <v>10000000</v>
      </c>
      <c r="I19" s="893">
        <f ca="1">IF(ROWS($1:9)&gt;COUNT(Dong6),"",OFFSET(TH!K$1,SMALL(Dong6,ROWS($1:9)),))</f>
        <v>10000000</v>
      </c>
    </row>
    <row r="20" spans="1:9" ht="21.75" customHeight="1">
      <c r="A20" s="890">
        <f ca="1">IF(ROWS($1:10)&gt;COUNT(Dong6),"",OFFSET(TH!C$1,SMALL(Dong6,ROWS($1:10)),))</f>
        <v>41414</v>
      </c>
      <c r="B20" s="889">
        <f ca="1">IF(ROWS($1:10)&gt;COUNT(Dong6),"",OFFSET(TH!D$1,SMALL(Dong6,ROWS($1:10)),))</f>
        <v>0</v>
      </c>
      <c r="C20" s="890">
        <f ca="1">IF(ROWS($1:10)&gt;COUNT(Dong6),"",OFFSET(TH!E$1,SMALL(Dong6,ROWS($1:10)),))</f>
        <v>41414</v>
      </c>
      <c r="D20" s="891" t="str">
        <f ca="1">IF(ROWS($1:10)&gt;COUNT(Dong6),"",OFFSET(TH!F$1,SMALL(Dong6,ROWS($1:10)),))</f>
        <v>Thu tiền hàng</v>
      </c>
      <c r="E20" s="889">
        <f t="shared" ca="1" si="0"/>
        <v>10</v>
      </c>
      <c r="F20" s="892" t="str">
        <f ca="1">IF(ROWS($1:10)&gt;COUNT(Dong6),"",OFFSET(TH!L$1,SMALL(Dong6,ROWS($1:10)),))</f>
        <v>1121</v>
      </c>
      <c r="G20" s="892" t="str">
        <f ca="1">IF(ROWS($1:10)&gt;COUNT(Dong6),"",OFFSET(TH!M$1,SMALL(Dong6,ROWS($1:10)),))</f>
        <v>131</v>
      </c>
      <c r="H20" s="893">
        <f ca="1">IF(ROWS($1:10)&gt;COUNT(Dong6),"",OFFSET(TH!K$1,SMALL(Dong6,ROWS($1:10)),))</f>
        <v>9950490</v>
      </c>
      <c r="I20" s="893">
        <f ca="1">IF(ROWS($1:10)&gt;COUNT(Dong6),"",OFFSET(TH!K$1,SMALL(Dong6,ROWS($1:10)),))</f>
        <v>9950490</v>
      </c>
    </row>
    <row r="21" spans="1:9" ht="21.75" customHeight="1">
      <c r="A21" s="890">
        <f ca="1">IF(ROWS($1:11)&gt;COUNT(Dong6),"",OFFSET(TH!C$1,SMALL(Dong6,ROWS($1:11)),))</f>
        <v>41419</v>
      </c>
      <c r="B21" s="889">
        <f ca="1">IF(ROWS($1:11)&gt;COUNT(Dong6),"",OFFSET(TH!D$1,SMALL(Dong6,ROWS($1:11)),))</f>
        <v>0</v>
      </c>
      <c r="C21" s="890">
        <f ca="1">IF(ROWS($1:11)&gt;COUNT(Dong6),"",OFFSET(TH!E$1,SMALL(Dong6,ROWS($1:11)),))</f>
        <v>41419</v>
      </c>
      <c r="D21" s="891" t="str">
        <f ca="1">IF(ROWS($1:11)&gt;COUNT(Dong6),"",OFFSET(TH!F$1,SMALL(Dong6,ROWS($1:11)),))</f>
        <v>Lãi tiền gửi</v>
      </c>
      <c r="E21" s="889">
        <f t="shared" ca="1" si="0"/>
        <v>11</v>
      </c>
      <c r="F21" s="892" t="str">
        <f ca="1">IF(ROWS($1:11)&gt;COUNT(Dong6),"",OFFSET(TH!L$1,SMALL(Dong6,ROWS($1:11)),))</f>
        <v>1121</v>
      </c>
      <c r="G21" s="892" t="str">
        <f ca="1">IF(ROWS($1:11)&gt;COUNT(Dong6),"",OFFSET(TH!M$1,SMALL(Dong6,ROWS($1:11)),))</f>
        <v>515</v>
      </c>
      <c r="H21" s="893">
        <f ca="1">IF(ROWS($1:11)&gt;COUNT(Dong6),"",OFFSET(TH!K$1,SMALL(Dong6,ROWS($1:11)),))</f>
        <v>13612</v>
      </c>
      <c r="I21" s="893">
        <f ca="1">IF(ROWS($1:11)&gt;COUNT(Dong6),"",OFFSET(TH!K$1,SMALL(Dong6,ROWS($1:11)),))</f>
        <v>13612</v>
      </c>
    </row>
    <row r="22" spans="1:9" ht="21.75" customHeight="1">
      <c r="A22" s="890">
        <f ca="1">IF(ROWS($1:12)&gt;COUNT(Dong6),"",OFFSET(TH!C$1,SMALL(Dong6,ROWS($1:12)),))</f>
        <v>41421</v>
      </c>
      <c r="B22" s="889">
        <f ca="1">IF(ROWS($1:12)&gt;COUNT(Dong6),"",OFFSET(TH!D$1,SMALL(Dong6,ROWS($1:12)),))</f>
        <v>0</v>
      </c>
      <c r="C22" s="890">
        <f ca="1">IF(ROWS($1:12)&gt;COUNT(Dong6),"",OFFSET(TH!E$1,SMALL(Dong6,ROWS($1:12)),))</f>
        <v>41421</v>
      </c>
      <c r="D22" s="891" t="str">
        <f ca="1">IF(ROWS($1:12)&gt;COUNT(Dong6),"",OFFSET(TH!F$1,SMALL(Dong6,ROWS($1:12)),))</f>
        <v>Thu tiền hàng</v>
      </c>
      <c r="E22" s="889">
        <f t="shared" ca="1" si="0"/>
        <v>12</v>
      </c>
      <c r="F22" s="892" t="str">
        <f ca="1">IF(ROWS($1:12)&gt;COUNT(Dong6),"",OFFSET(TH!L$1,SMALL(Dong6,ROWS($1:12)),))</f>
        <v>1121</v>
      </c>
      <c r="G22" s="892" t="str">
        <f ca="1">IF(ROWS($1:12)&gt;COUNT(Dong6),"",OFFSET(TH!M$1,SMALL(Dong6,ROWS($1:12)),))</f>
        <v>131</v>
      </c>
      <c r="H22" s="893">
        <f ca="1">IF(ROWS($1:12)&gt;COUNT(Dong6),"",OFFSET(TH!K$1,SMALL(Dong6,ROWS($1:12)),))</f>
        <v>28498800</v>
      </c>
      <c r="I22" s="893">
        <f ca="1">IF(ROWS($1:12)&gt;COUNT(Dong6),"",OFFSET(TH!K$1,SMALL(Dong6,ROWS($1:12)),))</f>
        <v>28498800</v>
      </c>
    </row>
    <row r="23" spans="1:9" ht="21.75" customHeight="1">
      <c r="A23" s="890">
        <f ca="1">IF(ROWS($1:13)&gt;COUNT(Dong6),"",OFFSET(TH!C$1,SMALL(Dong6,ROWS($1:13)),))</f>
        <v>41425</v>
      </c>
      <c r="B23" s="889">
        <f ca="1">IF(ROWS($1:13)&gt;COUNT(Dong6),"",OFFSET(TH!D$1,SMALL(Dong6,ROWS($1:13)),))</f>
        <v>0</v>
      </c>
      <c r="C23" s="890">
        <f ca="1">IF(ROWS($1:13)&gt;COUNT(Dong6),"",OFFSET(TH!E$1,SMALL(Dong6,ROWS($1:13)),))</f>
        <v>41425</v>
      </c>
      <c r="D23" s="891" t="str">
        <f ca="1">IF(ROWS($1:13)&gt;COUNT(Dong6),"",OFFSET(TH!F$1,SMALL(Dong6,ROWS($1:13)),))</f>
        <v>Thu tiền hàng</v>
      </c>
      <c r="E23" s="889">
        <f t="shared" ca="1" si="0"/>
        <v>13</v>
      </c>
      <c r="F23" s="892" t="str">
        <f ca="1">IF(ROWS($1:13)&gt;COUNT(Dong6),"",OFFSET(TH!L$1,SMALL(Dong6,ROWS($1:13)),))</f>
        <v>1121</v>
      </c>
      <c r="G23" s="892" t="str">
        <f ca="1">IF(ROWS($1:13)&gt;COUNT(Dong6),"",OFFSET(TH!M$1,SMALL(Dong6,ROWS($1:13)),))</f>
        <v>131</v>
      </c>
      <c r="H23" s="893">
        <f ca="1">IF(ROWS($1:13)&gt;COUNT(Dong6),"",OFFSET(TH!K$1,SMALL(Dong6,ROWS($1:13)),))</f>
        <v>20000000</v>
      </c>
      <c r="I23" s="893">
        <f ca="1">IF(ROWS($1:13)&gt;COUNT(Dong6),"",OFFSET(TH!K$1,SMALL(Dong6,ROWS($1:13)),))</f>
        <v>20000000</v>
      </c>
    </row>
    <row r="24" spans="1:9" ht="21.75" customHeight="1">
      <c r="A24" s="890">
        <f ca="1">IF(ROWS($1:14)&gt;COUNT(Dong6),"",OFFSET(TH!C$1,SMALL(Dong6,ROWS($1:14)),))</f>
        <v>41446</v>
      </c>
      <c r="B24" s="889">
        <f ca="1">IF(ROWS($1:14)&gt;COUNT(Dong6),"",OFFSET(TH!D$1,SMALL(Dong6,ROWS($1:14)),))</f>
        <v>0</v>
      </c>
      <c r="C24" s="890">
        <f ca="1">IF(ROWS($1:14)&gt;COUNT(Dong6),"",OFFSET(TH!E$1,SMALL(Dong6,ROWS($1:14)),))</f>
        <v>41446</v>
      </c>
      <c r="D24" s="891" t="str">
        <f ca="1">IF(ROWS($1:14)&gt;COUNT(Dong6),"",OFFSET(TH!F$1,SMALL(Dong6,ROWS($1:14)),))</f>
        <v>Thu tiền hàng</v>
      </c>
      <c r="E24" s="889">
        <f t="shared" ca="1" si="0"/>
        <v>14</v>
      </c>
      <c r="F24" s="892" t="str">
        <f ca="1">IF(ROWS($1:14)&gt;COUNT(Dong6),"",OFFSET(TH!L$1,SMALL(Dong6,ROWS($1:14)),))</f>
        <v>1121</v>
      </c>
      <c r="G24" s="892" t="str">
        <f ca="1">IF(ROWS($1:14)&gt;COUNT(Dong6),"",OFFSET(TH!M$1,SMALL(Dong6,ROWS($1:14)),))</f>
        <v>131</v>
      </c>
      <c r="H24" s="893">
        <f ca="1">IF(ROWS($1:14)&gt;COUNT(Dong6),"",OFFSET(TH!K$1,SMALL(Dong6,ROWS($1:14)),))</f>
        <v>23721250</v>
      </c>
      <c r="I24" s="893">
        <f ca="1">IF(ROWS($1:14)&gt;COUNT(Dong6),"",OFFSET(TH!K$1,SMALL(Dong6,ROWS($1:14)),))</f>
        <v>23721250</v>
      </c>
    </row>
    <row r="25" spans="1:9" ht="21.75" customHeight="1">
      <c r="A25" s="890">
        <f ca="1">IF(ROWS($1:15)&gt;COUNT(Dong6),"",OFFSET(TH!C$1,SMALL(Dong6,ROWS($1:15)),))</f>
        <v>41450</v>
      </c>
      <c r="B25" s="889">
        <f ca="1">IF(ROWS($1:15)&gt;COUNT(Dong6),"",OFFSET(TH!D$1,SMALL(Dong6,ROWS($1:15)),))</f>
        <v>0</v>
      </c>
      <c r="C25" s="890">
        <f ca="1">IF(ROWS($1:15)&gt;COUNT(Dong6),"",OFFSET(TH!E$1,SMALL(Dong6,ROWS($1:15)),))</f>
        <v>41450</v>
      </c>
      <c r="D25" s="891" t="str">
        <f ca="1">IF(ROWS($1:15)&gt;COUNT(Dong6),"",OFFSET(TH!F$1,SMALL(Dong6,ROWS($1:15)),))</f>
        <v>Thu tiền hàng</v>
      </c>
      <c r="E25" s="889">
        <f t="shared" ca="1" si="0"/>
        <v>15</v>
      </c>
      <c r="F25" s="892" t="str">
        <f ca="1">IF(ROWS($1:15)&gt;COUNT(Dong6),"",OFFSET(TH!L$1,SMALL(Dong6,ROWS($1:15)),))</f>
        <v>1121</v>
      </c>
      <c r="G25" s="892" t="str">
        <f ca="1">IF(ROWS($1:15)&gt;COUNT(Dong6),"",OFFSET(TH!M$1,SMALL(Dong6,ROWS($1:15)),))</f>
        <v>131</v>
      </c>
      <c r="H25" s="893">
        <f ca="1">IF(ROWS($1:15)&gt;COUNT(Dong6),"",OFFSET(TH!K$1,SMALL(Dong6,ROWS($1:15)),))</f>
        <v>37813270</v>
      </c>
      <c r="I25" s="893">
        <f ca="1">IF(ROWS($1:15)&gt;COUNT(Dong6),"",OFFSET(TH!K$1,SMALL(Dong6,ROWS($1:15)),))</f>
        <v>37813270</v>
      </c>
    </row>
    <row r="26" spans="1:9" ht="21.75" customHeight="1">
      <c r="A26" s="890">
        <f ca="1">IF(ROWS($1:16)&gt;COUNT(Dong6),"",OFFSET(TH!C$1,SMALL(Dong6,ROWS($1:16)),))</f>
        <v>41450</v>
      </c>
      <c r="B26" s="889">
        <f ca="1">IF(ROWS($1:16)&gt;COUNT(Dong6),"",OFFSET(TH!D$1,SMALL(Dong6,ROWS($1:16)),))</f>
        <v>0</v>
      </c>
      <c r="C26" s="890">
        <f ca="1">IF(ROWS($1:16)&gt;COUNT(Dong6),"",OFFSET(TH!E$1,SMALL(Dong6,ROWS($1:16)),))</f>
        <v>41450</v>
      </c>
      <c r="D26" s="891" t="str">
        <f ca="1">IF(ROWS($1:16)&gt;COUNT(Dong6),"",OFFSET(TH!F$1,SMALL(Dong6,ROWS($1:16)),))</f>
        <v>Lãi tiền gửi</v>
      </c>
      <c r="E26" s="889">
        <f t="shared" ca="1" si="0"/>
        <v>16</v>
      </c>
      <c r="F26" s="892" t="str">
        <f ca="1">IF(ROWS($1:16)&gt;COUNT(Dong6),"",OFFSET(TH!L$1,SMALL(Dong6,ROWS($1:16)),))</f>
        <v>1121</v>
      </c>
      <c r="G26" s="892" t="str">
        <f ca="1">IF(ROWS($1:16)&gt;COUNT(Dong6),"",OFFSET(TH!M$1,SMALL(Dong6,ROWS($1:16)),))</f>
        <v>515</v>
      </c>
      <c r="H26" s="893">
        <f ca="1">IF(ROWS($1:16)&gt;COUNT(Dong6),"",OFFSET(TH!K$1,SMALL(Dong6,ROWS($1:16)),))</f>
        <v>17760</v>
      </c>
      <c r="I26" s="893">
        <f ca="1">IF(ROWS($1:16)&gt;COUNT(Dong6),"",OFFSET(TH!K$1,SMALL(Dong6,ROWS($1:16)),))</f>
        <v>17760</v>
      </c>
    </row>
    <row r="27" spans="1:9" ht="21.75" customHeight="1">
      <c r="A27" s="890">
        <f ca="1">IF(ROWS($1:17)&gt;COUNT(Dong6),"",OFFSET(TH!C$1,SMALL(Dong6,ROWS($1:17)),))</f>
        <v>41365</v>
      </c>
      <c r="B27" s="889">
        <f ca="1">IF(ROWS($1:17)&gt;COUNT(Dong6),"",OFFSET(TH!D$1,SMALL(Dong6,ROWS($1:17)),))</f>
        <v>0</v>
      </c>
      <c r="C27" s="890">
        <f ca="1">IF(ROWS($1:17)&gt;COUNT(Dong6),"",OFFSET(TH!E$1,SMALL(Dong6,ROWS($1:17)),))</f>
        <v>41365</v>
      </c>
      <c r="D27" s="891" t="str">
        <f ca="1">IF(ROWS($1:17)&gt;COUNT(Dong6),"",OFFSET(TH!F$1,SMALL(Dong6,ROWS($1:17)),))</f>
        <v>Thu phí duy trì tài khoản</v>
      </c>
      <c r="E27" s="889">
        <f t="shared" ca="1" si="0"/>
        <v>17</v>
      </c>
      <c r="F27" s="892" t="str">
        <f ca="1">IF(ROWS($1:17)&gt;COUNT(Dong6),"",OFFSET(TH!L$1,SMALL(Dong6,ROWS($1:17)),))</f>
        <v>642</v>
      </c>
      <c r="G27" s="892" t="str">
        <f ca="1">IF(ROWS($1:17)&gt;COUNT(Dong6),"",OFFSET(TH!M$1,SMALL(Dong6,ROWS($1:17)),))</f>
        <v>1121</v>
      </c>
      <c r="H27" s="893">
        <f ca="1">IF(ROWS($1:17)&gt;COUNT(Dong6),"",OFFSET(TH!K$1,SMALL(Dong6,ROWS($1:17)),))</f>
        <v>30000</v>
      </c>
      <c r="I27" s="893">
        <f ca="1">IF(ROWS($1:17)&gt;COUNT(Dong6),"",OFFSET(TH!K$1,SMALL(Dong6,ROWS($1:17)),))</f>
        <v>30000</v>
      </c>
    </row>
    <row r="28" spans="1:9" ht="21.75" customHeight="1">
      <c r="A28" s="890">
        <f ca="1">IF(ROWS($1:18)&gt;COUNT(Dong6),"",OFFSET(TH!C$1,SMALL(Dong6,ROWS($1:18)),))</f>
        <v>41367</v>
      </c>
      <c r="B28" s="889">
        <f ca="1">IF(ROWS($1:18)&gt;COUNT(Dong6),"",OFFSET(TH!D$1,SMALL(Dong6,ROWS($1:18)),))</f>
        <v>0</v>
      </c>
      <c r="C28" s="890">
        <f ca="1">IF(ROWS($1:18)&gt;COUNT(Dong6),"",OFFSET(TH!E$1,SMALL(Dong6,ROWS($1:18)),))</f>
        <v>41367</v>
      </c>
      <c r="D28" s="891" t="str">
        <f ca="1">IF(ROWS($1:18)&gt;COUNT(Dong6),"",OFFSET(TH!F$1,SMALL(Dong6,ROWS($1:18)),))</f>
        <v>Chi sec nhập quỹ tiền mặt</v>
      </c>
      <c r="E28" s="889">
        <f t="shared" ca="1" si="0"/>
        <v>18</v>
      </c>
      <c r="F28" s="892" t="str">
        <f ca="1">IF(ROWS($1:18)&gt;COUNT(Dong6),"",OFFSET(TH!L$1,SMALL(Dong6,ROWS($1:18)),))</f>
        <v>1111</v>
      </c>
      <c r="G28" s="892" t="str">
        <f ca="1">IF(ROWS($1:18)&gt;COUNT(Dong6),"",OFFSET(TH!M$1,SMALL(Dong6,ROWS($1:18)),))</f>
        <v>1121</v>
      </c>
      <c r="H28" s="893">
        <f ca="1">IF(ROWS($1:18)&gt;COUNT(Dong6),"",OFFSET(TH!K$1,SMALL(Dong6,ROWS($1:18)),))</f>
        <v>30000000</v>
      </c>
      <c r="I28" s="893">
        <f ca="1">IF(ROWS($1:18)&gt;COUNT(Dong6),"",OFFSET(TH!K$1,SMALL(Dong6,ROWS($1:18)),))</f>
        <v>30000000</v>
      </c>
    </row>
    <row r="29" spans="1:9" ht="21.75" customHeight="1">
      <c r="A29" s="890">
        <f ca="1">IF(ROWS($1:19)&gt;COUNT(Dong6),"",OFFSET(TH!C$1,SMALL(Dong6,ROWS($1:19)),))</f>
        <v>41389</v>
      </c>
      <c r="B29" s="889">
        <f ca="1">IF(ROWS($1:19)&gt;COUNT(Dong6),"",OFFSET(TH!D$1,SMALL(Dong6,ROWS($1:19)),))</f>
        <v>0</v>
      </c>
      <c r="C29" s="890">
        <f ca="1">IF(ROWS($1:19)&gt;COUNT(Dong6),"",OFFSET(TH!E$1,SMALL(Dong6,ROWS($1:19)),))</f>
        <v>41389</v>
      </c>
      <c r="D29" s="891" t="str">
        <f ca="1">IF(ROWS($1:19)&gt;COUNT(Dong6),"",OFFSET(TH!F$1,SMALL(Dong6,ROWS($1:19)),))</f>
        <v>Chi sec nhập quỹ tiền mặt</v>
      </c>
      <c r="E29" s="889">
        <f t="shared" ca="1" si="0"/>
        <v>19</v>
      </c>
      <c r="F29" s="892" t="str">
        <f ca="1">IF(ROWS($1:19)&gt;COUNT(Dong6),"",OFFSET(TH!L$1,SMALL(Dong6,ROWS($1:19)),))</f>
        <v>1111</v>
      </c>
      <c r="G29" s="892" t="str">
        <f ca="1">IF(ROWS($1:19)&gt;COUNT(Dong6),"",OFFSET(TH!M$1,SMALL(Dong6,ROWS($1:19)),))</f>
        <v>1121</v>
      </c>
      <c r="H29" s="893">
        <f ca="1">IF(ROWS($1:19)&gt;COUNT(Dong6),"",OFFSET(TH!K$1,SMALL(Dong6,ROWS($1:19)),))</f>
        <v>17000000</v>
      </c>
      <c r="I29" s="893">
        <f ca="1">IF(ROWS($1:19)&gt;COUNT(Dong6),"",OFFSET(TH!K$1,SMALL(Dong6,ROWS($1:19)),))</f>
        <v>17000000</v>
      </c>
    </row>
    <row r="30" spans="1:9" ht="21.75" customHeight="1">
      <c r="A30" s="890">
        <f ca="1">IF(ROWS($1:20)&gt;COUNT(Dong6),"",OFFSET(TH!C$1,SMALL(Dong6,ROWS($1:20)),))</f>
        <v>41391</v>
      </c>
      <c r="B30" s="889">
        <f ca="1">IF(ROWS($1:20)&gt;COUNT(Dong6),"",OFFSET(TH!D$1,SMALL(Dong6,ROWS($1:20)),))</f>
        <v>0</v>
      </c>
      <c r="C30" s="890">
        <f ca="1">IF(ROWS($1:20)&gt;COUNT(Dong6),"",OFFSET(TH!E$1,SMALL(Dong6,ROWS($1:20)),))</f>
        <v>41391</v>
      </c>
      <c r="D30" s="891" t="str">
        <f ca="1">IF(ROWS($1:20)&gt;COUNT(Dong6),"",OFFSET(TH!F$1,SMALL(Dong6,ROWS($1:20)),))</f>
        <v>Thanh toán tiền hàng</v>
      </c>
      <c r="E30" s="889">
        <f t="shared" ca="1" si="0"/>
        <v>20</v>
      </c>
      <c r="F30" s="892" t="str">
        <f ca="1">IF(ROWS($1:20)&gt;COUNT(Dong6),"",OFFSET(TH!L$1,SMALL(Dong6,ROWS($1:20)),))</f>
        <v>331</v>
      </c>
      <c r="G30" s="892" t="str">
        <f ca="1">IF(ROWS($1:20)&gt;COUNT(Dong6),"",OFFSET(TH!M$1,SMALL(Dong6,ROWS($1:20)),))</f>
        <v>1121</v>
      </c>
      <c r="H30" s="893">
        <f ca="1">IF(ROWS($1:20)&gt;COUNT(Dong6),"",OFFSET(TH!K$1,SMALL(Dong6,ROWS($1:20)),))</f>
        <v>20000000</v>
      </c>
      <c r="I30" s="893">
        <f ca="1">IF(ROWS($1:20)&gt;COUNT(Dong6),"",OFFSET(TH!K$1,SMALL(Dong6,ROWS($1:20)),))</f>
        <v>20000000</v>
      </c>
    </row>
    <row r="31" spans="1:9" ht="21.75" customHeight="1">
      <c r="A31" s="890">
        <f ca="1">IF(ROWS($1:21)&gt;COUNT(Dong6),"",OFFSET(TH!C$1,SMALL(Dong6,ROWS($1:21)),))</f>
        <v>41391</v>
      </c>
      <c r="B31" s="889">
        <f ca="1">IF(ROWS($1:21)&gt;COUNT(Dong6),"",OFFSET(TH!D$1,SMALL(Dong6,ROWS($1:21)),))</f>
        <v>0</v>
      </c>
      <c r="C31" s="890">
        <f ca="1">IF(ROWS($1:21)&gt;COUNT(Dong6),"",OFFSET(TH!E$1,SMALL(Dong6,ROWS($1:21)),))</f>
        <v>41391</v>
      </c>
      <c r="D31" s="891" t="str">
        <f ca="1">IF(ROWS($1:21)&gt;COUNT(Dong6),"",OFFSET(TH!F$1,SMALL(Dong6,ROWS($1:21)),))</f>
        <v>Phí chuyển tiền</v>
      </c>
      <c r="E31" s="889">
        <f t="shared" ca="1" si="0"/>
        <v>21</v>
      </c>
      <c r="F31" s="892" t="str">
        <f ca="1">IF(ROWS($1:21)&gt;COUNT(Dong6),"",OFFSET(TH!L$1,SMALL(Dong6,ROWS($1:21)),))</f>
        <v>642</v>
      </c>
      <c r="G31" s="892" t="str">
        <f ca="1">IF(ROWS($1:21)&gt;COUNT(Dong6),"",OFFSET(TH!M$1,SMALL(Dong6,ROWS($1:21)),))</f>
        <v>1121</v>
      </c>
      <c r="H31" s="893">
        <f ca="1">IF(ROWS($1:21)&gt;COUNT(Dong6),"",OFFSET(TH!K$1,SMALL(Dong6,ROWS($1:21)),))</f>
        <v>20000</v>
      </c>
      <c r="I31" s="893">
        <f ca="1">IF(ROWS($1:21)&gt;COUNT(Dong6),"",OFFSET(TH!K$1,SMALL(Dong6,ROWS($1:21)),))</f>
        <v>20000</v>
      </c>
    </row>
    <row r="32" spans="1:9" ht="21.75" customHeight="1">
      <c r="A32" s="890">
        <f ca="1">IF(ROWS($1:22)&gt;COUNT(Dong6),"",OFFSET(TH!C$1,SMALL(Dong6,ROWS($1:22)),))</f>
        <v>41391</v>
      </c>
      <c r="B32" s="889">
        <f ca="1">IF(ROWS($1:22)&gt;COUNT(Dong6),"",OFFSET(TH!D$1,SMALL(Dong6,ROWS($1:22)),))</f>
        <v>0</v>
      </c>
      <c r="C32" s="890">
        <f ca="1">IF(ROWS($1:22)&gt;COUNT(Dong6),"",OFFSET(TH!E$1,SMALL(Dong6,ROWS($1:22)),))</f>
        <v>41391</v>
      </c>
      <c r="D32" s="891" t="str">
        <f ca="1">IF(ROWS($1:22)&gt;COUNT(Dong6),"",OFFSET(TH!F$1,SMALL(Dong6,ROWS($1:22)),))</f>
        <v>Phí kiểm đếm</v>
      </c>
      <c r="E32" s="889">
        <f t="shared" ca="1" si="0"/>
        <v>22</v>
      </c>
      <c r="F32" s="892" t="str">
        <f ca="1">IF(ROWS($1:22)&gt;COUNT(Dong6),"",OFFSET(TH!L$1,SMALL(Dong6,ROWS($1:22)),))</f>
        <v>642</v>
      </c>
      <c r="G32" s="892" t="str">
        <f ca="1">IF(ROWS($1:22)&gt;COUNT(Dong6),"",OFFSET(TH!M$1,SMALL(Dong6,ROWS($1:22)),))</f>
        <v>1121</v>
      </c>
      <c r="H32" s="893">
        <f ca="1">IF(ROWS($1:22)&gt;COUNT(Dong6),"",OFFSET(TH!K$1,SMALL(Dong6,ROWS($1:22)),))</f>
        <v>15000</v>
      </c>
      <c r="I32" s="893">
        <f ca="1">IF(ROWS($1:22)&gt;COUNT(Dong6),"",OFFSET(TH!K$1,SMALL(Dong6,ROWS($1:22)),))</f>
        <v>15000</v>
      </c>
    </row>
    <row r="33" spans="1:9" ht="21.75" customHeight="1">
      <c r="A33" s="890">
        <f ca="1">IF(ROWS($1:23)&gt;COUNT(Dong6),"",OFFSET(TH!C$1,SMALL(Dong6,ROWS($1:23)),))</f>
        <v>41397</v>
      </c>
      <c r="B33" s="889">
        <f ca="1">IF(ROWS($1:23)&gt;COUNT(Dong6),"",OFFSET(TH!D$1,SMALL(Dong6,ROWS($1:23)),))</f>
        <v>0</v>
      </c>
      <c r="C33" s="890">
        <f ca="1">IF(ROWS($1:23)&gt;COUNT(Dong6),"",OFFSET(TH!E$1,SMALL(Dong6,ROWS($1:23)),))</f>
        <v>41397</v>
      </c>
      <c r="D33" s="891" t="str">
        <f ca="1">IF(ROWS($1:23)&gt;COUNT(Dong6),"",OFFSET(TH!F$1,SMALL(Dong6,ROWS($1:23)),))</f>
        <v>Chi sec nhập quỹ tiền mặt</v>
      </c>
      <c r="E33" s="889">
        <f t="shared" ca="1" si="0"/>
        <v>23</v>
      </c>
      <c r="F33" s="892" t="str">
        <f ca="1">IF(ROWS($1:23)&gt;COUNT(Dong6),"",OFFSET(TH!L$1,SMALL(Dong6,ROWS($1:23)),))</f>
        <v>1111</v>
      </c>
      <c r="G33" s="892" t="str">
        <f ca="1">IF(ROWS($1:23)&gt;COUNT(Dong6),"",OFFSET(TH!M$1,SMALL(Dong6,ROWS($1:23)),))</f>
        <v>1121</v>
      </c>
      <c r="H33" s="893">
        <f ca="1">IF(ROWS($1:23)&gt;COUNT(Dong6),"",OFFSET(TH!K$1,SMALL(Dong6,ROWS($1:23)),))</f>
        <v>8000000</v>
      </c>
      <c r="I33" s="893">
        <f ca="1">IF(ROWS($1:23)&gt;COUNT(Dong6),"",OFFSET(TH!K$1,SMALL(Dong6,ROWS($1:23)),))</f>
        <v>8000000</v>
      </c>
    </row>
    <row r="34" spans="1:9" ht="21.75" customHeight="1">
      <c r="A34" s="890">
        <f ca="1">IF(ROWS($1:24)&gt;COUNT(Dong6),"",OFFSET(TH!C$1,SMALL(Dong6,ROWS($1:24)),))</f>
        <v>41400</v>
      </c>
      <c r="B34" s="889">
        <f ca="1">IF(ROWS($1:24)&gt;COUNT(Dong6),"",OFFSET(TH!D$1,SMALL(Dong6,ROWS($1:24)),))</f>
        <v>0</v>
      </c>
      <c r="C34" s="890">
        <f ca="1">IF(ROWS($1:24)&gt;COUNT(Dong6),"",OFFSET(TH!E$1,SMALL(Dong6,ROWS($1:24)),))</f>
        <v>41400</v>
      </c>
      <c r="D34" s="891" t="str">
        <f ca="1">IF(ROWS($1:24)&gt;COUNT(Dong6),"",OFFSET(TH!F$1,SMALL(Dong6,ROWS($1:24)),))</f>
        <v>Chi sec nhập quỹ tiền mặt</v>
      </c>
      <c r="E34" s="889">
        <f t="shared" ca="1" si="0"/>
        <v>24</v>
      </c>
      <c r="F34" s="892" t="str">
        <f ca="1">IF(ROWS($1:24)&gt;COUNT(Dong6),"",OFFSET(TH!L$1,SMALL(Dong6,ROWS($1:24)),))</f>
        <v>1111</v>
      </c>
      <c r="G34" s="892" t="str">
        <f ca="1">IF(ROWS($1:24)&gt;COUNT(Dong6),"",OFFSET(TH!M$1,SMALL(Dong6,ROWS($1:24)),))</f>
        <v>1121</v>
      </c>
      <c r="H34" s="893">
        <f ca="1">IF(ROWS($1:24)&gt;COUNT(Dong6),"",OFFSET(TH!K$1,SMALL(Dong6,ROWS($1:24)),))</f>
        <v>42000000</v>
      </c>
      <c r="I34" s="893">
        <f ca="1">IF(ROWS($1:24)&gt;COUNT(Dong6),"",OFFSET(TH!K$1,SMALL(Dong6,ROWS($1:24)),))</f>
        <v>42000000</v>
      </c>
    </row>
    <row r="35" spans="1:9" ht="21.75" customHeight="1">
      <c r="A35" s="890">
        <f ca="1">IF(ROWS($1:25)&gt;COUNT(Dong6),"",OFFSET(TH!C$1,SMALL(Dong6,ROWS($1:25)),))</f>
        <v>41411</v>
      </c>
      <c r="B35" s="889">
        <f ca="1">IF(ROWS($1:25)&gt;COUNT(Dong6),"",OFFSET(TH!D$1,SMALL(Dong6,ROWS($1:25)),))</f>
        <v>0</v>
      </c>
      <c r="C35" s="890">
        <f ca="1">IF(ROWS($1:25)&gt;COUNT(Dong6),"",OFFSET(TH!E$1,SMALL(Dong6,ROWS($1:25)),))</f>
        <v>41411</v>
      </c>
      <c r="D35" s="891" t="str">
        <f ca="1">IF(ROWS($1:25)&gt;COUNT(Dong6),"",OFFSET(TH!F$1,SMALL(Dong6,ROWS($1:25)),))</f>
        <v>Thanh toán tiền hàng</v>
      </c>
      <c r="E35" s="889">
        <f t="shared" ca="1" si="0"/>
        <v>25</v>
      </c>
      <c r="F35" s="892" t="str">
        <f ca="1">IF(ROWS($1:25)&gt;COUNT(Dong6),"",OFFSET(TH!L$1,SMALL(Dong6,ROWS($1:25)),))</f>
        <v>331</v>
      </c>
      <c r="G35" s="892" t="str">
        <f ca="1">IF(ROWS($1:25)&gt;COUNT(Dong6),"",OFFSET(TH!M$1,SMALL(Dong6,ROWS($1:25)),))</f>
        <v>1121</v>
      </c>
      <c r="H35" s="893">
        <f ca="1">IF(ROWS($1:25)&gt;COUNT(Dong6),"",OFFSET(TH!K$1,SMALL(Dong6,ROWS($1:25)),))</f>
        <v>10000000</v>
      </c>
      <c r="I35" s="893">
        <f ca="1">IF(ROWS($1:25)&gt;COUNT(Dong6),"",OFFSET(TH!K$1,SMALL(Dong6,ROWS($1:25)),))</f>
        <v>10000000</v>
      </c>
    </row>
    <row r="36" spans="1:9" ht="21.75" customHeight="1">
      <c r="A36" s="890">
        <f ca="1">IF(ROWS($1:26)&gt;COUNT(Dong6),"",OFFSET(TH!C$1,SMALL(Dong6,ROWS($1:26)),))</f>
        <v>41411</v>
      </c>
      <c r="B36" s="889">
        <f ca="1">IF(ROWS($1:26)&gt;COUNT(Dong6),"",OFFSET(TH!D$1,SMALL(Dong6,ROWS($1:26)),))</f>
        <v>0</v>
      </c>
      <c r="C36" s="890">
        <f ca="1">IF(ROWS($1:26)&gt;COUNT(Dong6),"",OFFSET(TH!E$1,SMALL(Dong6,ROWS($1:26)),))</f>
        <v>41411</v>
      </c>
      <c r="D36" s="891" t="str">
        <f ca="1">IF(ROWS($1:26)&gt;COUNT(Dong6),"",OFFSET(TH!F$1,SMALL(Dong6,ROWS($1:26)),))</f>
        <v>Phí chuyển tiền</v>
      </c>
      <c r="E36" s="889">
        <f t="shared" ca="1" si="0"/>
        <v>26</v>
      </c>
      <c r="F36" s="892" t="str">
        <f ca="1">IF(ROWS($1:26)&gt;COUNT(Dong6),"",OFFSET(TH!L$1,SMALL(Dong6,ROWS($1:26)),))</f>
        <v>642</v>
      </c>
      <c r="G36" s="892" t="str">
        <f ca="1">IF(ROWS($1:26)&gt;COUNT(Dong6),"",OFFSET(TH!M$1,SMALL(Dong6,ROWS($1:26)),))</f>
        <v>1121</v>
      </c>
      <c r="H36" s="893">
        <f ca="1">IF(ROWS($1:26)&gt;COUNT(Dong6),"",OFFSET(TH!K$1,SMALL(Dong6,ROWS($1:26)),))</f>
        <v>20000</v>
      </c>
      <c r="I36" s="893">
        <f ca="1">IF(ROWS($1:26)&gt;COUNT(Dong6),"",OFFSET(TH!K$1,SMALL(Dong6,ROWS($1:26)),))</f>
        <v>20000</v>
      </c>
    </row>
    <row r="37" spans="1:9" ht="21.75" customHeight="1">
      <c r="A37" s="890">
        <f ca="1">IF(ROWS($1:27)&gt;COUNT(Dong6),"",OFFSET(TH!C$1,SMALL(Dong6,ROWS($1:27)),))</f>
        <v>41411</v>
      </c>
      <c r="B37" s="889">
        <f ca="1">IF(ROWS($1:27)&gt;COUNT(Dong6),"",OFFSET(TH!D$1,SMALL(Dong6,ROWS($1:27)),))</f>
        <v>0</v>
      </c>
      <c r="C37" s="890">
        <f ca="1">IF(ROWS($1:27)&gt;COUNT(Dong6),"",OFFSET(TH!E$1,SMALL(Dong6,ROWS($1:27)),))</f>
        <v>41411</v>
      </c>
      <c r="D37" s="891" t="str">
        <f ca="1">IF(ROWS($1:27)&gt;COUNT(Dong6),"",OFFSET(TH!F$1,SMALL(Dong6,ROWS($1:27)),))</f>
        <v>Chi sec nhập quỹ tiền mặt</v>
      </c>
      <c r="E37" s="889">
        <f t="shared" ca="1" si="0"/>
        <v>27</v>
      </c>
      <c r="F37" s="892" t="str">
        <f ca="1">IF(ROWS($1:27)&gt;COUNT(Dong6),"",OFFSET(TH!L$1,SMALL(Dong6,ROWS($1:27)),))</f>
        <v>1111</v>
      </c>
      <c r="G37" s="892" t="str">
        <f ca="1">IF(ROWS($1:27)&gt;COUNT(Dong6),"",OFFSET(TH!M$1,SMALL(Dong6,ROWS($1:27)),))</f>
        <v>1121</v>
      </c>
      <c r="H37" s="893">
        <f ca="1">IF(ROWS($1:27)&gt;COUNT(Dong6),"",OFFSET(TH!K$1,SMALL(Dong6,ROWS($1:27)),))</f>
        <v>17500000</v>
      </c>
      <c r="I37" s="893">
        <f ca="1">IF(ROWS($1:27)&gt;COUNT(Dong6),"",OFFSET(TH!K$1,SMALL(Dong6,ROWS($1:27)),))</f>
        <v>17500000</v>
      </c>
    </row>
    <row r="38" spans="1:9" ht="21.75" customHeight="1">
      <c r="A38" s="890">
        <f ca="1">IF(ROWS($1:28)&gt;COUNT(Dong6),"",OFFSET(TH!C$1,SMALL(Dong6,ROWS($1:28)),))</f>
        <v>41411</v>
      </c>
      <c r="B38" s="889">
        <f ca="1">IF(ROWS($1:28)&gt;COUNT(Dong6),"",OFFSET(TH!D$1,SMALL(Dong6,ROWS($1:28)),))</f>
        <v>0</v>
      </c>
      <c r="C38" s="890">
        <f ca="1">IF(ROWS($1:28)&gt;COUNT(Dong6),"",OFFSET(TH!E$1,SMALL(Dong6,ROWS($1:28)),))</f>
        <v>41411</v>
      </c>
      <c r="D38" s="891" t="str">
        <f ca="1">IF(ROWS($1:28)&gt;COUNT(Dong6),"",OFFSET(TH!F$1,SMALL(Dong6,ROWS($1:28)),))</f>
        <v>Phí bán 3 cuốn sec</v>
      </c>
      <c r="E38" s="889">
        <f t="shared" ca="1" si="0"/>
        <v>28</v>
      </c>
      <c r="F38" s="892" t="str">
        <f ca="1">IF(ROWS($1:28)&gt;COUNT(Dong6),"",OFFSET(TH!L$1,SMALL(Dong6,ROWS($1:28)),))</f>
        <v>642</v>
      </c>
      <c r="G38" s="892" t="str">
        <f ca="1">IF(ROWS($1:28)&gt;COUNT(Dong6),"",OFFSET(TH!M$1,SMALL(Dong6,ROWS($1:28)),))</f>
        <v>1121</v>
      </c>
      <c r="H38" s="893">
        <f ca="1">IF(ROWS($1:28)&gt;COUNT(Dong6),"",OFFSET(TH!K$1,SMALL(Dong6,ROWS($1:28)),))</f>
        <v>15000</v>
      </c>
      <c r="I38" s="893">
        <f ca="1">IF(ROWS($1:28)&gt;COUNT(Dong6),"",OFFSET(TH!K$1,SMALL(Dong6,ROWS($1:28)),))</f>
        <v>15000</v>
      </c>
    </row>
    <row r="39" spans="1:9" ht="21.75" customHeight="1">
      <c r="A39" s="890">
        <f ca="1">IF(ROWS($1:29)&gt;COUNT(Dong6),"",OFFSET(TH!C$1,SMALL(Dong6,ROWS($1:29)),))</f>
        <v>41425</v>
      </c>
      <c r="B39" s="889">
        <f ca="1">IF(ROWS($1:29)&gt;COUNT(Dong6),"",OFFSET(TH!D$1,SMALL(Dong6,ROWS($1:29)),))</f>
        <v>0</v>
      </c>
      <c r="C39" s="890">
        <f ca="1">IF(ROWS($1:29)&gt;COUNT(Dong6),"",OFFSET(TH!E$1,SMALL(Dong6,ROWS($1:29)),))</f>
        <v>41425</v>
      </c>
      <c r="D39" s="891" t="str">
        <f ca="1">IF(ROWS($1:29)&gt;COUNT(Dong6),"",OFFSET(TH!F$1,SMALL(Dong6,ROWS($1:29)),))</f>
        <v>Chi sec nhập quỹ tiền mặt</v>
      </c>
      <c r="E39" s="889">
        <f t="shared" ca="1" si="0"/>
        <v>29</v>
      </c>
      <c r="F39" s="892" t="str">
        <f ca="1">IF(ROWS($1:29)&gt;COUNT(Dong6),"",OFFSET(TH!L$1,SMALL(Dong6,ROWS($1:29)),))</f>
        <v>1111</v>
      </c>
      <c r="G39" s="892" t="str">
        <f ca="1">IF(ROWS($1:29)&gt;COUNT(Dong6),"",OFFSET(TH!M$1,SMALL(Dong6,ROWS($1:29)),))</f>
        <v>1121</v>
      </c>
      <c r="H39" s="893">
        <f ca="1">IF(ROWS($1:29)&gt;COUNT(Dong6),"",OFFSET(TH!K$1,SMALL(Dong6,ROWS($1:29)),))</f>
        <v>68000000</v>
      </c>
      <c r="I39" s="893">
        <f ca="1">IF(ROWS($1:29)&gt;COUNT(Dong6),"",OFFSET(TH!K$1,SMALL(Dong6,ROWS($1:29)),))</f>
        <v>68000000</v>
      </c>
    </row>
    <row r="40" spans="1:9" ht="21.75" customHeight="1">
      <c r="A40" s="890">
        <f ca="1">IF(ROWS($1:30)&gt;COUNT(Dong6),"",OFFSET(TH!C$1,SMALL(Dong6,ROWS($1:30)),))</f>
        <v>41447</v>
      </c>
      <c r="B40" s="889">
        <f ca="1">IF(ROWS($1:30)&gt;COUNT(Dong6),"",OFFSET(TH!D$1,SMALL(Dong6,ROWS($1:30)),))</f>
        <v>0</v>
      </c>
      <c r="C40" s="890">
        <f ca="1">IF(ROWS($1:30)&gt;COUNT(Dong6),"",OFFSET(TH!E$1,SMALL(Dong6,ROWS($1:30)),))</f>
        <v>41447</v>
      </c>
      <c r="D40" s="891" t="str">
        <f ca="1">IF(ROWS($1:30)&gt;COUNT(Dong6),"",OFFSET(TH!F$1,SMALL(Dong6,ROWS($1:30)),))</f>
        <v>Thanh toán tiền hàng</v>
      </c>
      <c r="E40" s="889">
        <f t="shared" ca="1" si="0"/>
        <v>30</v>
      </c>
      <c r="F40" s="892" t="str">
        <f ca="1">IF(ROWS($1:30)&gt;COUNT(Dong6),"",OFFSET(TH!L$1,SMALL(Dong6,ROWS($1:30)),))</f>
        <v>331</v>
      </c>
      <c r="G40" s="892" t="str">
        <f ca="1">IF(ROWS($1:30)&gt;COUNT(Dong6),"",OFFSET(TH!M$1,SMALL(Dong6,ROWS($1:30)),))</f>
        <v>1121</v>
      </c>
      <c r="H40" s="893">
        <f ca="1">IF(ROWS($1:30)&gt;COUNT(Dong6),"",OFFSET(TH!K$1,SMALL(Dong6,ROWS($1:30)),))</f>
        <v>20000000</v>
      </c>
      <c r="I40" s="893">
        <f ca="1">IF(ROWS($1:30)&gt;COUNT(Dong6),"",OFFSET(TH!K$1,SMALL(Dong6,ROWS($1:30)),))</f>
        <v>20000000</v>
      </c>
    </row>
    <row r="41" spans="1:9" ht="21.75" customHeight="1">
      <c r="A41" s="890">
        <f ca="1">IF(ROWS($1:31)&gt;COUNT(Dong6),"",OFFSET(TH!C$1,SMALL(Dong6,ROWS($1:31)),))</f>
        <v>41447</v>
      </c>
      <c r="B41" s="889">
        <f ca="1">IF(ROWS($1:31)&gt;COUNT(Dong6),"",OFFSET(TH!D$1,SMALL(Dong6,ROWS($1:31)),))</f>
        <v>0</v>
      </c>
      <c r="C41" s="890">
        <f ca="1">IF(ROWS($1:31)&gt;COUNT(Dong6),"",OFFSET(TH!E$1,SMALL(Dong6,ROWS($1:31)),))</f>
        <v>41447</v>
      </c>
      <c r="D41" s="891" t="str">
        <f ca="1">IF(ROWS($1:31)&gt;COUNT(Dong6),"",OFFSET(TH!F$1,SMALL(Dong6,ROWS($1:31)),))</f>
        <v>Phí chuyển tiền</v>
      </c>
      <c r="E41" s="889">
        <f t="shared" ca="1" si="0"/>
        <v>31</v>
      </c>
      <c r="F41" s="892" t="str">
        <f ca="1">IF(ROWS($1:31)&gt;COUNT(Dong6),"",OFFSET(TH!L$1,SMALL(Dong6,ROWS($1:31)),))</f>
        <v>642</v>
      </c>
      <c r="G41" s="892" t="str">
        <f ca="1">IF(ROWS($1:31)&gt;COUNT(Dong6),"",OFFSET(TH!M$1,SMALL(Dong6,ROWS($1:31)),))</f>
        <v>1121</v>
      </c>
      <c r="H41" s="893">
        <f ca="1">IF(ROWS($1:31)&gt;COUNT(Dong6),"",OFFSET(TH!K$1,SMALL(Dong6,ROWS($1:31)),))</f>
        <v>20000</v>
      </c>
      <c r="I41" s="893">
        <f ca="1">IF(ROWS($1:31)&gt;COUNT(Dong6),"",OFFSET(TH!K$1,SMALL(Dong6,ROWS($1:31)),))</f>
        <v>20000</v>
      </c>
    </row>
    <row r="42" spans="1:9" ht="21.75" customHeight="1">
      <c r="A42" s="890">
        <f ca="1">IF(ROWS($1:32)&gt;COUNT(Dong6),"",OFFSET(TH!C$1,SMALL(Dong6,ROWS($1:32)),))</f>
        <v>41451</v>
      </c>
      <c r="B42" s="889">
        <f ca="1">IF(ROWS($1:32)&gt;COUNT(Dong6),"",OFFSET(TH!D$1,SMALL(Dong6,ROWS($1:32)),))</f>
        <v>0</v>
      </c>
      <c r="C42" s="890">
        <f ca="1">IF(ROWS($1:32)&gt;COUNT(Dong6),"",OFFSET(TH!E$1,SMALL(Dong6,ROWS($1:32)),))</f>
        <v>41451</v>
      </c>
      <c r="D42" s="891" t="str">
        <f ca="1">IF(ROWS($1:32)&gt;COUNT(Dong6),"",OFFSET(TH!F$1,SMALL(Dong6,ROWS($1:32)),))</f>
        <v>Chi sec nhập quỹ tiền mặt</v>
      </c>
      <c r="E42" s="889">
        <f t="shared" ca="1" si="0"/>
        <v>32</v>
      </c>
      <c r="F42" s="892" t="str">
        <f ca="1">IF(ROWS($1:32)&gt;COUNT(Dong6),"",OFFSET(TH!L$1,SMALL(Dong6,ROWS($1:32)),))</f>
        <v>1111</v>
      </c>
      <c r="G42" s="892" t="str">
        <f ca="1">IF(ROWS($1:32)&gt;COUNT(Dong6),"",OFFSET(TH!M$1,SMALL(Dong6,ROWS($1:32)),))</f>
        <v>1121</v>
      </c>
      <c r="H42" s="893">
        <f ca="1">IF(ROWS($1:32)&gt;COUNT(Dong6),"",OFFSET(TH!K$1,SMALL(Dong6,ROWS($1:32)),))</f>
        <v>22000000</v>
      </c>
      <c r="I42" s="893">
        <f ca="1">IF(ROWS($1:32)&gt;COUNT(Dong6),"",OFFSET(TH!K$1,SMALL(Dong6,ROWS($1:32)),))</f>
        <v>22000000</v>
      </c>
    </row>
    <row r="43" spans="1:9" ht="21.75" customHeight="1">
      <c r="A43" s="890">
        <f ca="1">IF(ROWS($1:33)&gt;COUNT(Dong6),"",OFFSET(TH!C$1,SMALL(Dong6,ROWS($1:33)),))</f>
        <v>41451</v>
      </c>
      <c r="B43" s="889">
        <f ca="1">IF(ROWS($1:33)&gt;COUNT(Dong6),"",OFFSET(TH!D$1,SMALL(Dong6,ROWS($1:33)),))</f>
        <v>0</v>
      </c>
      <c r="C43" s="890">
        <f ca="1">IF(ROWS($1:33)&gt;COUNT(Dong6),"",OFFSET(TH!E$1,SMALL(Dong6,ROWS($1:33)),))</f>
        <v>41451</v>
      </c>
      <c r="D43" s="891" t="str">
        <f ca="1">IF(ROWS($1:33)&gt;COUNT(Dong6),"",OFFSET(TH!F$1,SMALL(Dong6,ROWS($1:33)),))</f>
        <v>Thanh toán tiền hàng</v>
      </c>
      <c r="E43" s="889">
        <f t="shared" ca="1" si="0"/>
        <v>33</v>
      </c>
      <c r="F43" s="892" t="str">
        <f ca="1">IF(ROWS($1:33)&gt;COUNT(Dong6),"",OFFSET(TH!L$1,SMALL(Dong6,ROWS($1:33)),))</f>
        <v>331</v>
      </c>
      <c r="G43" s="892" t="str">
        <f ca="1">IF(ROWS($1:33)&gt;COUNT(Dong6),"",OFFSET(TH!M$1,SMALL(Dong6,ROWS($1:33)),))</f>
        <v>1121</v>
      </c>
      <c r="H43" s="893">
        <f ca="1">IF(ROWS($1:33)&gt;COUNT(Dong6),"",OFFSET(TH!K$1,SMALL(Dong6,ROWS($1:33)),))</f>
        <v>20000000</v>
      </c>
      <c r="I43" s="893">
        <f ca="1">IF(ROWS($1:33)&gt;COUNT(Dong6),"",OFFSET(TH!K$1,SMALL(Dong6,ROWS($1:33)),))</f>
        <v>20000000</v>
      </c>
    </row>
    <row r="44" spans="1:9" ht="21.75" customHeight="1">
      <c r="A44" s="890">
        <f ca="1">IF(ROWS($1:34)&gt;COUNT(Dong6),"",OFFSET(TH!C$1,SMALL(Dong6,ROWS($1:34)),))</f>
        <v>41443</v>
      </c>
      <c r="B44" s="889">
        <f ca="1">IF(ROWS($1:34)&gt;COUNT(Dong6),"",OFFSET(TH!D$1,SMALL(Dong6,ROWS($1:34)),))</f>
        <v>0</v>
      </c>
      <c r="C44" s="890">
        <f ca="1">IF(ROWS($1:34)&gt;COUNT(Dong6),"",OFFSET(TH!E$1,SMALL(Dong6,ROWS($1:34)),))</f>
        <v>41443</v>
      </c>
      <c r="D44" s="891" t="str">
        <f ca="1">IF(ROWS($1:34)&gt;COUNT(Dong6),"",OFFSET(TH!F$1,SMALL(Dong6,ROWS($1:34)),))</f>
        <v>Tiền điện</v>
      </c>
      <c r="E44" s="889">
        <f t="shared" ca="1" si="0"/>
        <v>34</v>
      </c>
      <c r="F44" s="892" t="str">
        <f ca="1">IF(ROWS($1:34)&gt;COUNT(Dong6),"",OFFSET(TH!L$1,SMALL(Dong6,ROWS($1:34)),))</f>
        <v>642</v>
      </c>
      <c r="G44" s="892" t="str">
        <f ca="1">IF(ROWS($1:34)&gt;COUNT(Dong6),"",OFFSET(TH!M$1,SMALL(Dong6,ROWS($1:34)),))</f>
        <v>1111</v>
      </c>
      <c r="H44" s="893">
        <f ca="1">IF(ROWS($1:34)&gt;COUNT(Dong6),"",OFFSET(TH!K$1,SMALL(Dong6,ROWS($1:34)),))</f>
        <v>543634</v>
      </c>
      <c r="I44" s="893">
        <f ca="1">IF(ROWS($1:34)&gt;COUNT(Dong6),"",OFFSET(TH!K$1,SMALL(Dong6,ROWS($1:34)),))</f>
        <v>543634</v>
      </c>
    </row>
    <row r="45" spans="1:9" ht="21.75" customHeight="1">
      <c r="A45" s="890">
        <f ca="1">IF(ROWS($1:35)&gt;COUNT(Dong6),"",OFFSET(TH!C$1,SMALL(Dong6,ROWS($1:35)),))</f>
        <v>41443</v>
      </c>
      <c r="B45" s="889">
        <f ca="1">IF(ROWS($1:35)&gt;COUNT(Dong6),"",OFFSET(TH!D$1,SMALL(Dong6,ROWS($1:35)),))</f>
        <v>0</v>
      </c>
      <c r="C45" s="890">
        <f ca="1">IF(ROWS($1:35)&gt;COUNT(Dong6),"",OFFSET(TH!E$1,SMALL(Dong6,ROWS($1:35)),))</f>
        <v>41443</v>
      </c>
      <c r="D45" s="891" t="str">
        <f ca="1">IF(ROWS($1:35)&gt;COUNT(Dong6),"",OFFSET(TH!F$1,SMALL(Dong6,ROWS($1:35)),))</f>
        <v>VAT Tiền điện</v>
      </c>
      <c r="E45" s="889">
        <f t="shared" ca="1" si="0"/>
        <v>35</v>
      </c>
      <c r="F45" s="892" t="str">
        <f ca="1">IF(ROWS($1:35)&gt;COUNT(Dong6),"",OFFSET(TH!L$1,SMALL(Dong6,ROWS($1:35)),))</f>
        <v>1331</v>
      </c>
      <c r="G45" s="892" t="str">
        <f ca="1">IF(ROWS($1:35)&gt;COUNT(Dong6),"",OFFSET(TH!M$1,SMALL(Dong6,ROWS($1:35)),))</f>
        <v>1111</v>
      </c>
      <c r="H45" s="893">
        <f ca="1">IF(ROWS($1:35)&gt;COUNT(Dong6),"",OFFSET(TH!K$1,SMALL(Dong6,ROWS($1:35)),))</f>
        <v>54363</v>
      </c>
      <c r="I45" s="893">
        <f ca="1">IF(ROWS($1:35)&gt;COUNT(Dong6),"",OFFSET(TH!K$1,SMALL(Dong6,ROWS($1:35)),))</f>
        <v>54363</v>
      </c>
    </row>
    <row r="46" spans="1:9" ht="21.75" customHeight="1">
      <c r="A46" s="890">
        <f ca="1">IF(ROWS($1:36)&gt;COUNT(Dong6),"",OFFSET(TH!C$1,SMALL(Dong6,ROWS($1:36)),))</f>
        <v>41429</v>
      </c>
      <c r="B46" s="889">
        <f ca="1">IF(ROWS($1:36)&gt;COUNT(Dong6),"",OFFSET(TH!D$1,SMALL(Dong6,ROWS($1:36)),))</f>
        <v>0</v>
      </c>
      <c r="C46" s="890">
        <f ca="1">IF(ROWS($1:36)&gt;COUNT(Dong6),"",OFFSET(TH!E$1,SMALL(Dong6,ROWS($1:36)),))</f>
        <v>41429</v>
      </c>
      <c r="D46" s="891" t="str">
        <f ca="1">IF(ROWS($1:36)&gt;COUNT(Dong6),"",OFFSET(TH!F$1,SMALL(Dong6,ROWS($1:36)),))</f>
        <v>Nộp thuế thu nhập doanh nghiệp 2011</v>
      </c>
      <c r="E46" s="889">
        <f t="shared" ca="1" si="0"/>
        <v>36</v>
      </c>
      <c r="F46" s="892" t="str">
        <f ca="1">IF(ROWS($1:36)&gt;COUNT(Dong6),"",OFFSET(TH!L$1,SMALL(Dong6,ROWS($1:36)),))</f>
        <v>3334</v>
      </c>
      <c r="G46" s="892" t="str">
        <f ca="1">IF(ROWS($1:36)&gt;COUNT(Dong6),"",OFFSET(TH!M$1,SMALL(Dong6,ROWS($1:36)),))</f>
        <v>1111</v>
      </c>
      <c r="H46" s="893">
        <f ca="1">IF(ROWS($1:36)&gt;COUNT(Dong6),"",OFFSET(TH!K$1,SMALL(Dong6,ROWS($1:36)),))</f>
        <v>22244468</v>
      </c>
      <c r="I46" s="893">
        <f ca="1">IF(ROWS($1:36)&gt;COUNT(Dong6),"",OFFSET(TH!K$1,SMALL(Dong6,ROWS($1:36)),))</f>
        <v>22244468</v>
      </c>
    </row>
    <row r="47" spans="1:9" ht="21.75" customHeight="1">
      <c r="A47" s="890">
        <f ca="1">IF(ROWS($1:37)&gt;COUNT(Dong6),"",OFFSET(TH!C$1,SMALL(Dong6,ROWS($1:37)),))</f>
        <v>41403</v>
      </c>
      <c r="B47" s="889">
        <f ca="1">IF(ROWS($1:37)&gt;COUNT(Dong6),"",OFFSET(TH!D$1,SMALL(Dong6,ROWS($1:37)),))</f>
        <v>0</v>
      </c>
      <c r="C47" s="890">
        <f ca="1">IF(ROWS($1:37)&gt;COUNT(Dong6),"",OFFSET(TH!E$1,SMALL(Dong6,ROWS($1:37)),))</f>
        <v>41403</v>
      </c>
      <c r="D47" s="891" t="str">
        <f ca="1">IF(ROWS($1:37)&gt;COUNT(Dong6),"",OFFSET(TH!F$1,SMALL(Dong6,ROWS($1:37)),))</f>
        <v>Văn phòng phẩm</v>
      </c>
      <c r="E47" s="889">
        <f t="shared" ca="1" si="0"/>
        <v>37</v>
      </c>
      <c r="F47" s="892" t="str">
        <f ca="1">IF(ROWS($1:37)&gt;COUNT(Dong6),"",OFFSET(TH!L$1,SMALL(Dong6,ROWS($1:37)),))</f>
        <v>642</v>
      </c>
      <c r="G47" s="892" t="str">
        <f ca="1">IF(ROWS($1:37)&gt;COUNT(Dong6),"",OFFSET(TH!M$1,SMALL(Dong6,ROWS($1:37)),))</f>
        <v>1111</v>
      </c>
      <c r="H47" s="893">
        <f ca="1">IF(ROWS($1:37)&gt;COUNT(Dong6),"",OFFSET(TH!K$1,SMALL(Dong6,ROWS($1:37)),))</f>
        <v>556300</v>
      </c>
      <c r="I47" s="893">
        <f ca="1">IF(ROWS($1:37)&gt;COUNT(Dong6),"",OFFSET(TH!K$1,SMALL(Dong6,ROWS($1:37)),))</f>
        <v>556300</v>
      </c>
    </row>
    <row r="48" spans="1:9" ht="21.75" customHeight="1">
      <c r="A48" s="890">
        <f ca="1">IF(ROWS($1:38)&gt;COUNT(Dong6),"",OFFSET(TH!C$1,SMALL(Dong6,ROWS($1:38)),))</f>
        <v>41445</v>
      </c>
      <c r="B48" s="889">
        <f ca="1">IF(ROWS($1:38)&gt;COUNT(Dong6),"",OFFSET(TH!D$1,SMALL(Dong6,ROWS($1:38)),))</f>
        <v>0</v>
      </c>
      <c r="C48" s="890">
        <f ca="1">IF(ROWS($1:38)&gt;COUNT(Dong6),"",OFFSET(TH!E$1,SMALL(Dong6,ROWS($1:38)),))</f>
        <v>41445</v>
      </c>
      <c r="D48" s="891" t="str">
        <f ca="1">IF(ROWS($1:38)&gt;COUNT(Dong6),"",OFFSET(TH!F$1,SMALL(Dong6,ROWS($1:38)),))</f>
        <v>Văn phòng phẩm</v>
      </c>
      <c r="E48" s="889">
        <f t="shared" ca="1" si="0"/>
        <v>38</v>
      </c>
      <c r="F48" s="892" t="str">
        <f ca="1">IF(ROWS($1:38)&gt;COUNT(Dong6),"",OFFSET(TH!L$1,SMALL(Dong6,ROWS($1:38)),))</f>
        <v>642</v>
      </c>
      <c r="G48" s="892" t="str">
        <f ca="1">IF(ROWS($1:38)&gt;COUNT(Dong6),"",OFFSET(TH!M$1,SMALL(Dong6,ROWS($1:38)),))</f>
        <v>1111</v>
      </c>
      <c r="H48" s="893">
        <f ca="1">IF(ROWS($1:38)&gt;COUNT(Dong6),"",OFFSET(TH!K$1,SMALL(Dong6,ROWS($1:38)),))</f>
        <v>400000</v>
      </c>
      <c r="I48" s="893">
        <f ca="1">IF(ROWS($1:38)&gt;COUNT(Dong6),"",OFFSET(TH!K$1,SMALL(Dong6,ROWS($1:38)),))</f>
        <v>400000</v>
      </c>
    </row>
    <row r="49" spans="1:10" ht="21.75" customHeight="1">
      <c r="A49" s="890">
        <f ca="1">IF(ROWS($1:39)&gt;COUNT(Dong6),"",OFFSET(TH!C$1,SMALL(Dong6,ROWS($1:39)),))</f>
        <v>41401</v>
      </c>
      <c r="B49" s="889">
        <f ca="1">IF(ROWS($1:39)&gt;COUNT(Dong6),"",OFFSET(TH!D$1,SMALL(Dong6,ROWS($1:39)),))</f>
        <v>0</v>
      </c>
      <c r="C49" s="890">
        <f ca="1">IF(ROWS($1:39)&gt;COUNT(Dong6),"",OFFSET(TH!E$1,SMALL(Dong6,ROWS($1:39)),))</f>
        <v>41401</v>
      </c>
      <c r="D49" s="891" t="str">
        <f ca="1">IF(ROWS($1:39)&gt;COUNT(Dong6),"",OFFSET(TH!F$1,SMALL(Dong6,ROWS($1:39)),))</f>
        <v>Mực in</v>
      </c>
      <c r="E49" s="889">
        <f t="shared" ca="1" si="0"/>
        <v>39</v>
      </c>
      <c r="F49" s="892" t="str">
        <f ca="1">IF(ROWS($1:39)&gt;COUNT(Dong6),"",OFFSET(TH!L$1,SMALL(Dong6,ROWS($1:39)),))</f>
        <v>154</v>
      </c>
      <c r="G49" s="892" t="str">
        <f ca="1">IF(ROWS($1:39)&gt;COUNT(Dong6),"",OFFSET(TH!M$1,SMALL(Dong6,ROWS($1:39)),))</f>
        <v>1111</v>
      </c>
      <c r="H49" s="893">
        <f ca="1">IF(ROWS($1:39)&gt;COUNT(Dong6),"",OFFSET(TH!K$1,SMALL(Dong6,ROWS($1:39)),))</f>
        <v>3380000</v>
      </c>
      <c r="I49" s="893">
        <f ca="1">IF(ROWS($1:39)&gt;COUNT(Dong6),"",OFFSET(TH!K$1,SMALL(Dong6,ROWS($1:39)),))</f>
        <v>3380000</v>
      </c>
    </row>
    <row r="50" spans="1:10" ht="21.75" customHeight="1">
      <c r="A50" s="890">
        <f ca="1">IF(ROWS($1:40)&gt;COUNT(Dong6),"",OFFSET(TH!C$1,SMALL(Dong6,ROWS($1:40)),))</f>
        <v>41401</v>
      </c>
      <c r="B50" s="889">
        <f ca="1">IF(ROWS($1:40)&gt;COUNT(Dong6),"",OFFSET(TH!D$1,SMALL(Dong6,ROWS($1:40)),))</f>
        <v>0</v>
      </c>
      <c r="C50" s="890">
        <f ca="1">IF(ROWS($1:40)&gt;COUNT(Dong6),"",OFFSET(TH!E$1,SMALL(Dong6,ROWS($1:40)),))</f>
        <v>41401</v>
      </c>
      <c r="D50" s="891" t="str">
        <f ca="1">IF(ROWS($1:40)&gt;COUNT(Dong6),"",OFFSET(TH!F$1,SMALL(Dong6,ROWS($1:40)),))</f>
        <v>VAT Mực in</v>
      </c>
      <c r="E50" s="889">
        <f t="shared" ca="1" si="0"/>
        <v>40</v>
      </c>
      <c r="F50" s="892" t="str">
        <f ca="1">IF(ROWS($1:40)&gt;COUNT(Dong6),"",OFFSET(TH!L$1,SMALL(Dong6,ROWS($1:40)),))</f>
        <v>1331</v>
      </c>
      <c r="G50" s="892" t="str">
        <f ca="1">IF(ROWS($1:40)&gt;COUNT(Dong6),"",OFFSET(TH!M$1,SMALL(Dong6,ROWS($1:40)),))</f>
        <v>1111</v>
      </c>
      <c r="H50" s="893">
        <f ca="1">IF(ROWS($1:40)&gt;COUNT(Dong6),"",OFFSET(TH!K$1,SMALL(Dong6,ROWS($1:40)),))</f>
        <v>338000</v>
      </c>
      <c r="I50" s="893">
        <f ca="1">IF(ROWS($1:40)&gt;COUNT(Dong6),"",OFFSET(TH!K$1,SMALL(Dong6,ROWS($1:40)),))</f>
        <v>338000</v>
      </c>
    </row>
    <row r="51" spans="1:10" ht="21.75" customHeight="1">
      <c r="A51" s="839"/>
      <c r="B51" s="839"/>
      <c r="C51" s="839"/>
      <c r="D51" s="839"/>
      <c r="E51" s="838" t="str">
        <f t="shared" si="0"/>
        <v/>
      </c>
      <c r="F51" s="839"/>
      <c r="G51" s="839"/>
      <c r="H51" s="845"/>
      <c r="I51" s="845"/>
    </row>
    <row r="52" spans="1:10" ht="21.75" customHeight="1">
      <c r="A52" s="840"/>
      <c r="B52" s="840"/>
      <c r="C52" s="840"/>
      <c r="D52" s="841" t="s">
        <v>484</v>
      </c>
      <c r="E52" s="842" t="s">
        <v>19</v>
      </c>
      <c r="F52" s="842"/>
      <c r="G52" s="842" t="s">
        <v>19</v>
      </c>
      <c r="H52" s="846">
        <f ca="1">SUBTOTAL(9,$H$10:$H$51)</f>
        <v>1208804494</v>
      </c>
      <c r="I52" s="846">
        <f ca="1">SUBTOTAL(9,I10:I51)</f>
        <v>1208804494</v>
      </c>
    </row>
    <row r="53" spans="1:10">
      <c r="A53" s="843" t="s">
        <v>479</v>
      </c>
    </row>
    <row r="54" spans="1:10">
      <c r="A54" s="843" t="str">
        <f ca="1">"- Ngày mở sổ: "&amp;DAY($A$11)&amp;"/"&amp;MONTH($A$11)&amp;"/ " &amp;YEAR($A$11)</f>
        <v>- Ngày mở sổ: 30/6/ 2013</v>
      </c>
    </row>
    <row r="56" spans="1:10">
      <c r="H56" s="830" t="s">
        <v>480</v>
      </c>
      <c r="I56" s="830"/>
      <c r="J56" s="830"/>
    </row>
    <row r="57" spans="1:10">
      <c r="B57" s="830" t="s">
        <v>481</v>
      </c>
      <c r="D57" s="830" t="s">
        <v>12</v>
      </c>
      <c r="H57" s="830" t="s">
        <v>482</v>
      </c>
      <c r="I57" s="830"/>
      <c r="J57" s="830"/>
    </row>
    <row r="58" spans="1:10">
      <c r="B58" s="830" t="s">
        <v>13</v>
      </c>
      <c r="D58" s="830" t="s">
        <v>13</v>
      </c>
      <c r="H58" s="830" t="s">
        <v>143</v>
      </c>
      <c r="I58" s="830"/>
      <c r="J58" s="830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5" customWidth="1"/>
    <col min="2" max="2" width="6.28515625" style="185" customWidth="1"/>
    <col min="3" max="3" width="7.42578125" style="185" customWidth="1"/>
    <col min="4" max="4" width="34.5703125" style="5" customWidth="1"/>
    <col min="5" max="5" width="6.28515625" style="18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3" t="s">
        <v>161</v>
      </c>
      <c r="H2" s="983"/>
      <c r="I2" s="983"/>
    </row>
    <row r="3" spans="1:9" ht="15.75" customHeight="1">
      <c r="A3" s="1" t="str">
        <f>TH!A2</f>
        <v>Địa chỉ: Lô A14, Đường 4A, KCN Hải Sơn, Đức Hòa, Long An</v>
      </c>
      <c r="G3" s="984" t="s">
        <v>126</v>
      </c>
      <c r="H3" s="984"/>
      <c r="I3" s="984"/>
    </row>
    <row r="4" spans="1:9">
      <c r="F4" s="17"/>
      <c r="G4" s="984"/>
      <c r="H4" s="984"/>
      <c r="I4" s="984"/>
    </row>
    <row r="5" spans="1:9" ht="17.25" customHeight="1">
      <c r="A5" s="985" t="s">
        <v>163</v>
      </c>
      <c r="B5" s="985"/>
      <c r="C5" s="985"/>
      <c r="D5" s="985"/>
      <c r="E5" s="985"/>
      <c r="F5" s="985"/>
      <c r="G5" s="985"/>
      <c r="H5" s="985"/>
      <c r="I5" s="985"/>
    </row>
    <row r="6" spans="1:9">
      <c r="A6" s="986" t="s">
        <v>164</v>
      </c>
      <c r="B6" s="987"/>
      <c r="C6" s="987"/>
      <c r="D6" s="987"/>
      <c r="E6" s="987"/>
      <c r="F6" s="987"/>
      <c r="G6" s="987"/>
      <c r="H6" s="987"/>
      <c r="I6" s="987"/>
    </row>
    <row r="7" spans="1:9">
      <c r="B7" s="5"/>
      <c r="C7" s="5"/>
      <c r="D7" s="198" t="s">
        <v>165</v>
      </c>
      <c r="E7" s="199" t="s">
        <v>58</v>
      </c>
    </row>
    <row r="8" spans="1:9">
      <c r="B8" s="5"/>
      <c r="C8" s="5"/>
      <c r="D8" s="198" t="s">
        <v>166</v>
      </c>
      <c r="E8" s="5" t="str">
        <f>VLOOKUP($E$7,DSTK,2,0)</f>
        <v xml:space="preserve"> Phải Thu Khác </v>
      </c>
    </row>
    <row r="9" spans="1:9">
      <c r="A9" s="987" t="s">
        <v>29</v>
      </c>
      <c r="B9" s="988"/>
      <c r="C9" s="988"/>
      <c r="D9" s="988"/>
      <c r="E9" s="988"/>
      <c r="F9" s="988"/>
      <c r="G9" s="988"/>
      <c r="H9" s="988"/>
      <c r="I9" s="988"/>
    </row>
    <row r="10" spans="1:9" ht="9.75" customHeight="1">
      <c r="C10" s="989"/>
      <c r="D10" s="990"/>
      <c r="E10" s="990"/>
      <c r="F10" s="990"/>
      <c r="G10" s="990"/>
      <c r="H10" s="990"/>
      <c r="I10" s="990"/>
    </row>
    <row r="11" spans="1:9" s="18" customFormat="1" ht="19.5" customHeight="1">
      <c r="A11" s="991" t="s">
        <v>20</v>
      </c>
      <c r="B11" s="981" t="s">
        <v>1</v>
      </c>
      <c r="C11" s="992"/>
      <c r="D11" s="991" t="s">
        <v>0</v>
      </c>
      <c r="E11" s="991" t="s">
        <v>14</v>
      </c>
      <c r="F11" s="981" t="s">
        <v>21</v>
      </c>
      <c r="G11" s="992"/>
      <c r="H11" s="981" t="s">
        <v>31</v>
      </c>
      <c r="I11" s="982"/>
    </row>
    <row r="12" spans="1:9" s="18" customFormat="1" ht="32.25" customHeight="1">
      <c r="A12" s="991"/>
      <c r="B12" s="258" t="s">
        <v>15</v>
      </c>
      <c r="C12" s="258" t="s">
        <v>32</v>
      </c>
      <c r="D12" s="991"/>
      <c r="E12" s="991"/>
      <c r="F12" s="258" t="s">
        <v>22</v>
      </c>
      <c r="G12" s="258" t="s">
        <v>23</v>
      </c>
      <c r="H12" s="258" t="s">
        <v>22</v>
      </c>
      <c r="I12" s="258" t="s">
        <v>23</v>
      </c>
    </row>
    <row r="13" spans="1:9" s="228" customFormat="1" ht="11.25" customHeight="1">
      <c r="A13" s="229" t="s">
        <v>2</v>
      </c>
      <c r="B13" s="230" t="s">
        <v>3</v>
      </c>
      <c r="C13" s="229" t="s">
        <v>4</v>
      </c>
      <c r="D13" s="229" t="s">
        <v>5</v>
      </c>
      <c r="E13" s="229" t="s">
        <v>6</v>
      </c>
      <c r="F13" s="229">
        <v>1</v>
      </c>
      <c r="G13" s="229">
        <v>2</v>
      </c>
      <c r="H13" s="229">
        <v>3</v>
      </c>
      <c r="I13" s="229">
        <v>4</v>
      </c>
    </row>
    <row r="14" spans="1:9" s="18" customFormat="1" ht="18" customHeight="1">
      <c r="A14" s="259"/>
      <c r="B14" s="254"/>
      <c r="C14" s="259"/>
      <c r="D14" s="253" t="s">
        <v>7</v>
      </c>
      <c r="E14" s="254"/>
      <c r="F14" s="260"/>
      <c r="G14" s="260"/>
      <c r="H14" s="260">
        <f>VLOOKUP($E$7,DSTK,3,0)</f>
        <v>0</v>
      </c>
      <c r="I14" s="260">
        <f>VLOOKUP($E$7,DSTK,4,0)</f>
        <v>0</v>
      </c>
    </row>
    <row r="15" spans="1:9" s="18" customFormat="1" ht="18" customHeight="1">
      <c r="A15" s="212" t="str">
        <f ca="1">IF(ROWS($1:1)&gt;COUNT(Dong5),"",OFFSET(TH!C$1,SMALL(Dong5,ROWS($1:1)),))</f>
        <v/>
      </c>
      <c r="B15" s="212" t="str">
        <f ca="1">IF(ROWS($1:1)&gt;COUNT(Dong5),"",OFFSET(TH!D$1,SMALL(Dong5,ROWS($1:1)),))</f>
        <v/>
      </c>
      <c r="C15" s="212" t="str">
        <f ca="1">IF(ROWS($1:1)&gt;COUNT(Dong5),"",OFFSET(TH!E$1,SMALL(Dong5,ROWS($1:1)),))</f>
        <v/>
      </c>
      <c r="D15" s="261" t="str">
        <f ca="1">IF(ROWS($1:1)&gt;COUNT(Dong5),"",OFFSET(TH!F$1,SMALL(Dong5,ROWS($1:1)),))</f>
        <v/>
      </c>
      <c r="E15" s="212" t="str">
        <f ca="1">IF(ROWS($1:1)&gt;COUNT(Dong5),"",IF(OFFSET(TH!L$1,SMALL(Dong5,ROWS($1:1)),)=$E$7,OFFSET(TH!M$1,SMALL(Dong5,ROWS($1:1)),),OFFSET(TH!L$1,SMALL(Dong5,ROWS($1:1)),)))</f>
        <v/>
      </c>
      <c r="F15" s="262">
        <f ca="1">IF(ROWS($1:1)&gt;COUNT(Dong5),0,IF(OFFSET(TH!L$1,SMALL(Dong5,ROWS($1:1)),)=$E$7,OFFSET(TH!K$1,SMALL(Dong5,ROWS($1:1)),),0))</f>
        <v>0</v>
      </c>
      <c r="G15" s="260">
        <f ca="1">IF(ROWS($1:1)&gt;COUNT(Dong5),0,IF(OFFSET(TH!M$1,SMALL(Dong5,ROWS($1:1)),)=$E$7,OFFSET(TH!K$1,SMALL(Dong5,ROWS($1:1)),),0))</f>
        <v>0</v>
      </c>
      <c r="H15" s="263">
        <f ca="1">IF(D15&lt;&gt;"",MAX(H14+F15-G15-I14,0),0)</f>
        <v>0</v>
      </c>
      <c r="I15" s="263">
        <f ca="1">IF(D15&lt;&gt;"",MAX(I14+G15-H14-F15,0),0)</f>
        <v>0</v>
      </c>
    </row>
    <row r="16" spans="1:9" s="18" customFormat="1" ht="18" customHeight="1">
      <c r="A16" s="212" t="str">
        <f ca="1">IF(ROWS($1:2)&gt;COUNT(Dong5),"",OFFSET(TH!C$1,SMALL(Dong5,ROWS($1:2)),))</f>
        <v/>
      </c>
      <c r="B16" s="212" t="str">
        <f ca="1">IF(ROWS($1:2)&gt;COUNT(Dong5),"",OFFSET(TH!D$1,SMALL(Dong5,ROWS($1:2)),))</f>
        <v/>
      </c>
      <c r="C16" s="212" t="str">
        <f ca="1">IF(ROWS($1:2)&gt;COUNT(Dong5),"",OFFSET(TH!E$1,SMALL(Dong5,ROWS($1:2)),))</f>
        <v/>
      </c>
      <c r="D16" s="261" t="str">
        <f ca="1">IF(ROWS($1:2)&gt;COUNT(Dong5),"",OFFSET(TH!F$1,SMALL(Dong5,ROWS($1:2)),))</f>
        <v/>
      </c>
      <c r="E16" s="212" t="str">
        <f ca="1">IF(ROWS($1:2)&gt;COUNT(Dong5),"",IF(OFFSET(TH!L$1,SMALL(Dong5,ROWS($1:2)),)=$E$7,OFFSET(TH!M$1,SMALL(Dong5,ROWS($1:2)),),OFFSET(TH!L$1,SMALL(Dong5,ROWS($1:2)),)))</f>
        <v/>
      </c>
      <c r="F16" s="262">
        <f ca="1">IF(ROWS($1:2)&gt;COUNT(Dong5),0,IF(OFFSET(TH!L$1,SMALL(Dong5,ROWS($1:2)),)=$E$7,OFFSET(TH!K$1,SMALL(Dong5,ROWS($1:2)),),0))</f>
        <v>0</v>
      </c>
      <c r="G16" s="260">
        <f ca="1">IF(ROWS($1:2)&gt;COUNT(Dong5),0,IF(OFFSET(TH!M$1,SMALL(Dong5,ROWS($1:2)),)=$E$7,OFFSET(TH!K$1,SMALL(Dong5,ROWS($1:2)),),0))</f>
        <v>0</v>
      </c>
      <c r="H16" s="263">
        <f t="shared" ref="H16:H20" ca="1" si="0">IF(D16&lt;&gt;"",MAX(H15+F16-G16-I15,0),0)</f>
        <v>0</v>
      </c>
      <c r="I16" s="263">
        <f t="shared" ref="I16:I20" ca="1" si="1">IF(D16&lt;&gt;"",MAX(I15+G16-H15-F16,0),0)</f>
        <v>0</v>
      </c>
    </row>
    <row r="17" spans="1:9" s="18" customFormat="1" ht="18" customHeight="1">
      <c r="A17" s="212" t="str">
        <f ca="1">IF(ROWS($1:3)&gt;COUNT(Dong5),"",OFFSET(TH!C$1,SMALL(Dong5,ROWS($1:3)),))</f>
        <v/>
      </c>
      <c r="B17" s="212" t="str">
        <f ca="1">IF(ROWS($1:3)&gt;COUNT(Dong5),"",OFFSET(TH!D$1,SMALL(Dong5,ROWS($1:3)),))</f>
        <v/>
      </c>
      <c r="C17" s="212" t="str">
        <f ca="1">IF(ROWS($1:3)&gt;COUNT(Dong5),"",OFFSET(TH!E$1,SMALL(Dong5,ROWS($1:3)),))</f>
        <v/>
      </c>
      <c r="D17" s="261" t="str">
        <f ca="1">IF(ROWS($1:3)&gt;COUNT(Dong5),"",OFFSET(TH!F$1,SMALL(Dong5,ROWS($1:3)),))</f>
        <v/>
      </c>
      <c r="E17" s="212" t="str">
        <f ca="1">IF(ROWS($1:3)&gt;COUNT(Dong5),"",IF(OFFSET(TH!L$1,SMALL(Dong5,ROWS($1:3)),)=$E$7,OFFSET(TH!M$1,SMALL(Dong5,ROWS($1:3)),),OFFSET(TH!L$1,SMALL(Dong5,ROWS($1:3)),)))</f>
        <v/>
      </c>
      <c r="F17" s="262">
        <f ca="1">IF(ROWS($1:3)&gt;COUNT(Dong5),0,IF(OFFSET(TH!L$1,SMALL(Dong5,ROWS($1:3)),)=$E$7,OFFSET(TH!K$1,SMALL(Dong5,ROWS($1:3)),),0))</f>
        <v>0</v>
      </c>
      <c r="G17" s="260">
        <f ca="1">IF(ROWS($1:3)&gt;COUNT(Dong5),0,IF(OFFSET(TH!M$1,SMALL(Dong5,ROWS($1:3)),)=$E$7,OFFSET(TH!K$1,SMALL(Dong5,ROWS($1:3)),),0))</f>
        <v>0</v>
      </c>
      <c r="H17" s="263">
        <f t="shared" ca="1" si="0"/>
        <v>0</v>
      </c>
      <c r="I17" s="263">
        <f t="shared" ca="1" si="1"/>
        <v>0</v>
      </c>
    </row>
    <row r="18" spans="1:9" s="18" customFormat="1" ht="18" customHeight="1">
      <c r="A18" s="212" t="str">
        <f ca="1">IF(ROWS($1:4)&gt;COUNT(Dong5),"",OFFSET(TH!C$1,SMALL(Dong5,ROWS($1:4)),))</f>
        <v/>
      </c>
      <c r="B18" s="212" t="str">
        <f ca="1">IF(ROWS($1:4)&gt;COUNT(Dong5),"",OFFSET(TH!D$1,SMALL(Dong5,ROWS($1:4)),))</f>
        <v/>
      </c>
      <c r="C18" s="212" t="str">
        <f ca="1">IF(ROWS($1:4)&gt;COUNT(Dong5),"",OFFSET(TH!E$1,SMALL(Dong5,ROWS($1:4)),))</f>
        <v/>
      </c>
      <c r="D18" s="261" t="str">
        <f ca="1">IF(ROWS($1:4)&gt;COUNT(Dong5),"",OFFSET(TH!F$1,SMALL(Dong5,ROWS($1:4)),))</f>
        <v/>
      </c>
      <c r="E18" s="212" t="str">
        <f ca="1">IF(ROWS($1:4)&gt;COUNT(Dong5),"",IF(OFFSET(TH!L$1,SMALL(Dong5,ROWS($1:4)),)=$E$7,OFFSET(TH!M$1,SMALL(Dong5,ROWS($1:4)),),OFFSET(TH!L$1,SMALL(Dong5,ROWS($1:4)),)))</f>
        <v/>
      </c>
      <c r="F18" s="262">
        <f ca="1">IF(ROWS($1:4)&gt;COUNT(Dong5),0,IF(OFFSET(TH!L$1,SMALL(Dong5,ROWS($1:4)),)=$E$7,OFFSET(TH!K$1,SMALL(Dong5,ROWS($1:4)),),0))</f>
        <v>0</v>
      </c>
      <c r="G18" s="260">
        <f ca="1">IF(ROWS($1:4)&gt;COUNT(Dong5),0,IF(OFFSET(TH!M$1,SMALL(Dong5,ROWS($1:4)),)=$E$7,OFFSET(TH!K$1,SMALL(Dong5,ROWS($1:4)),),0))</f>
        <v>0</v>
      </c>
      <c r="H18" s="263">
        <f t="shared" ca="1" si="0"/>
        <v>0</v>
      </c>
      <c r="I18" s="263">
        <f t="shared" ca="1" si="1"/>
        <v>0</v>
      </c>
    </row>
    <row r="19" spans="1:9" s="18" customFormat="1" ht="18" customHeight="1">
      <c r="A19" s="212" t="str">
        <f ca="1">IF(ROWS($1:5)&gt;COUNT(Dong5),"",OFFSET(TH!C$1,SMALL(Dong5,ROWS($1:5)),))</f>
        <v/>
      </c>
      <c r="B19" s="212" t="str">
        <f ca="1">IF(ROWS($1:5)&gt;COUNT(Dong5),"",OFFSET(TH!D$1,SMALL(Dong5,ROWS($1:5)),))</f>
        <v/>
      </c>
      <c r="C19" s="212" t="str">
        <f ca="1">IF(ROWS($1:5)&gt;COUNT(Dong5),"",OFFSET(TH!E$1,SMALL(Dong5,ROWS($1:5)),))</f>
        <v/>
      </c>
      <c r="D19" s="261" t="str">
        <f ca="1">IF(ROWS($1:5)&gt;COUNT(Dong5),"",OFFSET(TH!F$1,SMALL(Dong5,ROWS($1:5)),))</f>
        <v/>
      </c>
      <c r="E19" s="212" t="str">
        <f ca="1">IF(ROWS($1:5)&gt;COUNT(Dong5),"",IF(OFFSET(TH!L$1,SMALL(Dong5,ROWS($1:5)),)=$E$7,OFFSET(TH!M$1,SMALL(Dong5,ROWS($1:5)),),OFFSET(TH!L$1,SMALL(Dong5,ROWS($1:5)),)))</f>
        <v/>
      </c>
      <c r="F19" s="262">
        <f ca="1">IF(ROWS($1:5)&gt;COUNT(Dong5),0,IF(OFFSET(TH!L$1,SMALL(Dong5,ROWS($1:5)),)=$E$7,OFFSET(TH!K$1,SMALL(Dong5,ROWS($1:5)),),0))</f>
        <v>0</v>
      </c>
      <c r="G19" s="260">
        <f ca="1">IF(ROWS($1:5)&gt;COUNT(Dong5),0,IF(OFFSET(TH!M$1,SMALL(Dong5,ROWS($1:5)),)=$E$7,OFFSET(TH!K$1,SMALL(Dong5,ROWS($1:5)),),0))</f>
        <v>0</v>
      </c>
      <c r="H19" s="263">
        <f t="shared" ca="1" si="0"/>
        <v>0</v>
      </c>
      <c r="I19" s="263">
        <f t="shared" ca="1" si="1"/>
        <v>0</v>
      </c>
    </row>
    <row r="20" spans="1:9" s="18" customFormat="1" ht="18" customHeight="1">
      <c r="A20" s="212" t="str">
        <f ca="1">IF(ROWS($1:6)&gt;COUNT(Dong5),"",OFFSET(TH!C$1,SMALL(Dong5,ROWS($1:6)),))</f>
        <v/>
      </c>
      <c r="B20" s="212" t="str">
        <f ca="1">IF(ROWS($1:6)&gt;COUNT(Dong5),"",OFFSET(TH!D$1,SMALL(Dong5,ROWS($1:6)),))</f>
        <v/>
      </c>
      <c r="C20" s="212" t="str">
        <f ca="1">IF(ROWS($1:6)&gt;COUNT(Dong5),"",OFFSET(TH!E$1,SMALL(Dong5,ROWS($1:6)),))</f>
        <v/>
      </c>
      <c r="D20" s="261" t="str">
        <f ca="1">IF(ROWS($1:6)&gt;COUNT(Dong5),"",OFFSET(TH!F$1,SMALL(Dong5,ROWS($1:6)),))</f>
        <v/>
      </c>
      <c r="E20" s="212" t="str">
        <f ca="1">IF(ROWS($1:6)&gt;COUNT(Dong5),"",IF(OFFSET(TH!L$1,SMALL(Dong5,ROWS($1:6)),)=$E$7,OFFSET(TH!M$1,SMALL(Dong5,ROWS($1:6)),),OFFSET(TH!L$1,SMALL(Dong5,ROWS($1:6)),)))</f>
        <v/>
      </c>
      <c r="F20" s="262">
        <f ca="1">IF(ROWS($1:6)&gt;COUNT(Dong5),0,IF(OFFSET(TH!L$1,SMALL(Dong5,ROWS($1:6)),)=$E$7,OFFSET(TH!K$1,SMALL(Dong5,ROWS($1:6)),),0))</f>
        <v>0</v>
      </c>
      <c r="G20" s="260">
        <f ca="1">IF(ROWS($1:6)&gt;COUNT(Dong5),0,IF(OFFSET(TH!M$1,SMALL(Dong5,ROWS($1:6)),)=$E$7,OFFSET(TH!K$1,SMALL(Dong5,ROWS($1:6)),),0))</f>
        <v>0</v>
      </c>
      <c r="H20" s="263">
        <f t="shared" ca="1" si="0"/>
        <v>0</v>
      </c>
      <c r="I20" s="263">
        <f t="shared" ca="1" si="1"/>
        <v>0</v>
      </c>
    </row>
    <row r="21" spans="1:9" s="18" customFormat="1" ht="18" customHeight="1">
      <c r="A21" s="212"/>
      <c r="B21" s="212"/>
      <c r="C21" s="212"/>
      <c r="D21" s="261"/>
      <c r="E21" s="212"/>
      <c r="F21" s="262"/>
      <c r="G21" s="260"/>
      <c r="H21" s="263"/>
      <c r="I21" s="263"/>
    </row>
    <row r="22" spans="1:9" s="18" customFormat="1" ht="18" customHeight="1">
      <c r="A22" s="212"/>
      <c r="B22" s="213"/>
      <c r="C22" s="212"/>
      <c r="D22" s="255" t="s">
        <v>140</v>
      </c>
      <c r="E22" s="213" t="s">
        <v>19</v>
      </c>
      <c r="F22" s="264">
        <f ca="1">SUM(F15:F21)</f>
        <v>0</v>
      </c>
      <c r="G22" s="264">
        <f ca="1">SUM(G15:G21)</f>
        <v>0</v>
      </c>
      <c r="H22" s="264" t="s">
        <v>19</v>
      </c>
      <c r="I22" s="264" t="s">
        <v>19</v>
      </c>
    </row>
    <row r="23" spans="1:9" s="18" customFormat="1" ht="18" customHeight="1">
      <c r="A23" s="265"/>
      <c r="B23" s="257"/>
      <c r="C23" s="265"/>
      <c r="D23" s="256" t="s">
        <v>10</v>
      </c>
      <c r="E23" s="257" t="s">
        <v>19</v>
      </c>
      <c r="F23" s="266" t="s">
        <v>19</v>
      </c>
      <c r="G23" s="266" t="s">
        <v>19</v>
      </c>
      <c r="H23" s="267">
        <f ca="1">MAX(H14+F22-G22-I14,0)</f>
        <v>0</v>
      </c>
      <c r="I23" s="267">
        <f ca="1">MAX(I14+G22-F22-H14,0)</f>
        <v>0</v>
      </c>
    </row>
    <row r="24" spans="1:9" s="18" customFormat="1" ht="9.75" customHeight="1">
      <c r="A24" s="228"/>
      <c r="B24" s="228"/>
      <c r="C24" s="228"/>
      <c r="E24" s="228"/>
    </row>
    <row r="25" spans="1:9" s="18" customFormat="1" ht="12.75">
      <c r="A25" s="228"/>
      <c r="B25" s="228"/>
      <c r="C25" s="268" t="s">
        <v>178</v>
      </c>
      <c r="E25" s="228"/>
    </row>
    <row r="26" spans="1:9" s="18" customFormat="1" ht="12.75">
      <c r="A26" s="228"/>
      <c r="B26" s="228"/>
      <c r="C26" s="28" t="s">
        <v>167</v>
      </c>
      <c r="E26" s="228"/>
    </row>
    <row r="27" spans="1:9" s="18" customFormat="1" ht="13.5" customHeight="1">
      <c r="A27" s="228"/>
      <c r="B27" s="228"/>
      <c r="C27" s="228"/>
      <c r="E27" s="979" t="s">
        <v>168</v>
      </c>
      <c r="F27" s="979"/>
      <c r="G27" s="979"/>
      <c r="H27" s="979"/>
      <c r="I27" s="979"/>
    </row>
    <row r="28" spans="1:9" s="18" customFormat="1" ht="12.75">
      <c r="A28" s="979" t="s">
        <v>11</v>
      </c>
      <c r="B28" s="979"/>
      <c r="C28" s="979"/>
      <c r="D28" s="979"/>
      <c r="E28" s="979" t="s">
        <v>12</v>
      </c>
      <c r="F28" s="979"/>
      <c r="G28" s="979"/>
      <c r="H28" s="979"/>
      <c r="I28" s="979"/>
    </row>
    <row r="29" spans="1:9" s="18" customFormat="1" ht="12.75">
      <c r="A29" s="979" t="s">
        <v>13</v>
      </c>
      <c r="B29" s="979"/>
      <c r="C29" s="979"/>
      <c r="D29" s="979"/>
      <c r="E29" s="979" t="s">
        <v>13</v>
      </c>
      <c r="F29" s="979"/>
      <c r="G29" s="979"/>
      <c r="H29" s="979"/>
      <c r="I29" s="979"/>
    </row>
    <row r="30" spans="1:9" s="18" customFormat="1" ht="12.75">
      <c r="A30" s="228"/>
      <c r="B30" s="228"/>
      <c r="C30" s="228"/>
      <c r="E30" s="228"/>
    </row>
    <row r="31" spans="1:9">
      <c r="D31" s="200"/>
      <c r="F31" s="201"/>
    </row>
    <row r="36" spans="1:4">
      <c r="A36" s="980" t="s">
        <v>172</v>
      </c>
      <c r="B36" s="980"/>
      <c r="C36" s="980"/>
      <c r="D36" s="980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14" activePane="bottomLeft" state="frozen"/>
      <selection activeCell="A10" sqref="A10"/>
      <selection pane="bottomLeft" activeCell="D26" sqref="D26"/>
    </sheetView>
  </sheetViews>
  <sheetFormatPr defaultRowHeight="15"/>
  <cols>
    <col min="1" max="2" width="8.7109375" style="115" customWidth="1"/>
    <col min="3" max="4" width="6.5703125" style="115" customWidth="1"/>
    <col min="5" max="5" width="34.5703125" style="115" customWidth="1"/>
    <col min="6" max="6" width="6.28515625" style="115" customWidth="1"/>
    <col min="7" max="8" width="14.42578125" style="115" customWidth="1"/>
    <col min="9" max="9" width="15.7109375" style="115" customWidth="1"/>
    <col min="10" max="10" width="6.28515625" style="115" customWidth="1"/>
    <col min="11" max="11" width="2.140625" style="115" customWidth="1"/>
    <col min="12" max="12" width="10" style="115" customWidth="1"/>
    <col min="13" max="13" width="3.28515625" style="115" customWidth="1"/>
    <col min="14" max="15" width="6.140625" style="115" customWidth="1"/>
    <col min="16" max="16384" width="9.140625" style="115"/>
  </cols>
  <sheetData>
    <row r="1" spans="1:15" s="3" customFormat="1" ht="16.5" customHeight="1">
      <c r="A1" s="141" t="str">
        <f>TH!A1</f>
        <v>Đơn vị: CÔNG TY TNHH HẢI SẢN AN LẠC</v>
      </c>
      <c r="B1" s="2"/>
      <c r="C1" s="2"/>
      <c r="D1" s="2"/>
      <c r="E1" s="2"/>
      <c r="G1" s="983" t="s">
        <v>125</v>
      </c>
      <c r="H1" s="983"/>
      <c r="I1" s="983"/>
      <c r="J1" s="983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4" t="s">
        <v>126</v>
      </c>
      <c r="H2" s="984"/>
      <c r="I2" s="984"/>
      <c r="J2" s="984"/>
    </row>
    <row r="3" spans="1:15" s="3" customFormat="1" ht="16.5" customHeight="1">
      <c r="A3" s="4"/>
      <c r="B3" s="16"/>
      <c r="C3" s="113"/>
      <c r="D3" s="113"/>
      <c r="E3" s="16"/>
      <c r="G3" s="984"/>
      <c r="H3" s="984"/>
      <c r="I3" s="984"/>
      <c r="J3" s="984"/>
    </row>
    <row r="4" spans="1:15" s="3" customFormat="1" ht="6.75" customHeight="1">
      <c r="A4" s="16"/>
      <c r="B4" s="16"/>
      <c r="C4" s="16"/>
      <c r="D4" s="16"/>
      <c r="E4" s="16"/>
      <c r="G4" s="114"/>
      <c r="H4" s="114"/>
      <c r="I4" s="114"/>
      <c r="J4" s="114"/>
    </row>
    <row r="5" spans="1:15" ht="24.75" customHeight="1">
      <c r="A5" s="993" t="s">
        <v>127</v>
      </c>
      <c r="B5" s="993"/>
      <c r="C5" s="993"/>
      <c r="D5" s="993"/>
      <c r="E5" s="993"/>
      <c r="F5" s="993"/>
      <c r="G5" s="993"/>
      <c r="H5" s="993"/>
      <c r="I5" s="993"/>
      <c r="J5" s="993"/>
    </row>
    <row r="6" spans="1:15" ht="14.25" customHeight="1">
      <c r="A6" s="995" t="str">
        <f>$L$11&amp;" / 2015"</f>
        <v>Quý IV / 2015</v>
      </c>
      <c r="B6" s="995"/>
      <c r="C6" s="995"/>
      <c r="D6" s="995"/>
      <c r="E6" s="995"/>
      <c r="F6" s="995"/>
      <c r="G6" s="995"/>
      <c r="H6" s="995"/>
      <c r="I6" s="995"/>
      <c r="J6" s="995"/>
    </row>
    <row r="7" spans="1:15">
      <c r="A7" s="994" t="s">
        <v>128</v>
      </c>
      <c r="B7" s="994"/>
      <c r="C7" s="994"/>
      <c r="D7" s="994"/>
      <c r="E7" s="994"/>
      <c r="F7" s="994"/>
      <c r="G7" s="994"/>
      <c r="H7" s="994"/>
      <c r="I7" s="994"/>
      <c r="J7" s="994"/>
    </row>
    <row r="8" spans="1:15">
      <c r="A8" s="994" t="s">
        <v>129</v>
      </c>
      <c r="B8" s="994"/>
      <c r="C8" s="994"/>
      <c r="D8" s="994"/>
      <c r="E8" s="994"/>
      <c r="F8" s="994"/>
      <c r="G8" s="994"/>
      <c r="H8" s="994"/>
      <c r="I8" s="994"/>
      <c r="J8" s="994"/>
    </row>
    <row r="9" spans="1:15">
      <c r="A9" s="116"/>
      <c r="I9" s="116" t="s">
        <v>130</v>
      </c>
    </row>
    <row r="10" spans="1:15" ht="33" customHeight="1" thickBot="1">
      <c r="A10" s="997" t="s">
        <v>20</v>
      </c>
      <c r="B10" s="997" t="s">
        <v>131</v>
      </c>
      <c r="C10" s="996" t="s">
        <v>132</v>
      </c>
      <c r="D10" s="996"/>
      <c r="E10" s="996" t="s">
        <v>0</v>
      </c>
      <c r="F10" s="997" t="s">
        <v>14</v>
      </c>
      <c r="G10" s="996" t="s">
        <v>21</v>
      </c>
      <c r="H10" s="996"/>
      <c r="I10" s="996" t="s">
        <v>133</v>
      </c>
      <c r="J10" s="996" t="s">
        <v>134</v>
      </c>
      <c r="L10" s="758"/>
      <c r="N10" s="940" t="s">
        <v>445</v>
      </c>
      <c r="O10" s="940"/>
    </row>
    <row r="11" spans="1:15" ht="24" customHeight="1" thickBot="1">
      <c r="A11" s="998"/>
      <c r="B11" s="998"/>
      <c r="C11" s="117" t="s">
        <v>135</v>
      </c>
      <c r="D11" s="117" t="s">
        <v>136</v>
      </c>
      <c r="E11" s="996"/>
      <c r="F11" s="998"/>
      <c r="G11" s="117" t="s">
        <v>22</v>
      </c>
      <c r="H11" s="117" t="s">
        <v>23</v>
      </c>
      <c r="I11" s="996"/>
      <c r="J11" s="996"/>
      <c r="L11" s="184" t="s">
        <v>500</v>
      </c>
      <c r="N11" s="849">
        <f>IF(L11="Quý I",1,IF(L11="Quý II",4,IF(L11="Quý III",7,IF(L11="Quý IV",10,""))))</f>
        <v>10</v>
      </c>
      <c r="O11" s="849">
        <f>IF(L11="Quý I",3,IF(L11="Quý II",6,IF(L11="Quý III",9,IF(L11="Quý IV",12,""))))</f>
        <v>12</v>
      </c>
    </row>
    <row r="12" spans="1:15" s="118" customFormat="1" ht="11.25" customHeight="1">
      <c r="A12" s="119" t="s">
        <v>2</v>
      </c>
      <c r="B12" s="119" t="s">
        <v>3</v>
      </c>
      <c r="C12" s="119" t="s">
        <v>4</v>
      </c>
      <c r="D12" s="119" t="s">
        <v>5</v>
      </c>
      <c r="E12" s="119" t="s">
        <v>6</v>
      </c>
      <c r="F12" s="119" t="s">
        <v>137</v>
      </c>
      <c r="G12" s="119">
        <v>1</v>
      </c>
      <c r="H12" s="119">
        <v>2</v>
      </c>
      <c r="I12" s="119">
        <v>3</v>
      </c>
      <c r="J12" s="119" t="s">
        <v>138</v>
      </c>
      <c r="N12" s="850"/>
      <c r="O12" s="850"/>
    </row>
    <row r="13" spans="1:15" s="120" customFormat="1" ht="19.5" customHeight="1">
      <c r="A13" s="121"/>
      <c r="B13" s="121"/>
      <c r="C13" s="121"/>
      <c r="D13" s="121"/>
      <c r="E13" s="121" t="s">
        <v>139</v>
      </c>
      <c r="F13" s="122"/>
      <c r="G13" s="123"/>
      <c r="H13" s="121"/>
      <c r="I13" s="143">
        <f>IF($L$11="All",CDPS!$C$10,CDPS!$C$10+SUMIF(_N111,"x",TH)-SUMIF(_C111,"x",TH))</f>
        <v>2000626128</v>
      </c>
      <c r="J13" s="121"/>
      <c r="N13" s="851"/>
      <c r="O13" s="851"/>
    </row>
    <row r="14" spans="1:15" ht="19.5" customHeight="1">
      <c r="A14" s="124">
        <f ca="1">IF(ROWS($1:1)&gt;COUNT(Dong1),"",OFFSET(TH!C$1,SMALL(Dong1,ROWS($1:1)),))</f>
        <v>41552</v>
      </c>
      <c r="B14" s="124">
        <f ca="1">IF(ROWS($1:1)&gt;COUNT(Dong1),"",OFFSET(TH!E$1,SMALL(Dong1,ROWS($1:1)),))</f>
        <v>41552</v>
      </c>
      <c r="C14" s="125">
        <f ca="1">IF(ROWS($1:1)&gt;COUNT(Dong1),"",IF(OFFSET(TH!L$1,SMALL(Dong1,ROWS($1:1)),)="1111",OFFSET(TH!D$1,SMALL(Dong1,ROWS($1:1)),),""))</f>
        <v>0</v>
      </c>
      <c r="D14" s="126" t="str">
        <f ca="1">IF(ROWS($1:1)&gt;COUNT(Dong1),"",IF(OFFSET(TH!M$1,SMALL(Dong1,ROWS($1:1)),)="1111",OFFSET(TH!D$1,SMALL(Dong1,ROWS($1:1)),),""))</f>
        <v/>
      </c>
      <c r="E14" s="243" t="str">
        <f ca="1">IF(ROWS($1:1)&gt;COUNT(Dong1),"",OFFSET(TH!F$1,SMALL(Dong1,ROWS($1:1)),))</f>
        <v>Chi sec nhập quỹ tiền mặt</v>
      </c>
      <c r="F14" s="128" t="str">
        <f ca="1">IF(ROWS($1:1)&gt;COUNT(Dong1),"",IF(OFFSET(TH!M$1,SMALL(Dong1,ROWS($1:1)),)="1111",OFFSET(TH!L$1,SMALL(Dong1,ROWS($1:1)),),OFFSET(TH!M$1,SMALL(Dong1,ROWS($1:1)),)))</f>
        <v>1121</v>
      </c>
      <c r="G14" s="129">
        <f ca="1">IF(ROWS($1:1)&gt;COUNT(Dong1),"",IF(OFFSET(TH!L$1,SMALL(Dong1,ROWS($1:1)),)="1111",OFFSET(TH!K$1,SMALL(Dong1,ROWS($1:1)),),0))</f>
        <v>14800000</v>
      </c>
      <c r="H14" s="127">
        <f ca="1">IF(ROWS($1:1)&gt;COUNT(Dong1),"",IF(OFFSET(TH!M$1,SMALL(Dong1,ROWS($1:1)),)="1111",OFFSET(TH!K$1,SMALL(Dong1,ROWS($1:1)),),0))</f>
        <v>0</v>
      </c>
      <c r="I14" s="125">
        <f ca="1">IF(E14&lt;&gt;"",I13+G14-H14,0)</f>
        <v>2015426128</v>
      </c>
      <c r="J14" s="130"/>
      <c r="N14" s="852"/>
      <c r="O14" s="852"/>
    </row>
    <row r="15" spans="1:15" ht="19.5" customHeight="1">
      <c r="A15" s="124">
        <f ca="1">IF(ROWS($1:2)&gt;COUNT(Dong1),"",OFFSET(TH!C$1,SMALL(Dong1,ROWS($1:2)),))</f>
        <v>41554</v>
      </c>
      <c r="B15" s="124">
        <f ca="1">IF(ROWS($1:2)&gt;COUNT(Dong1),"",OFFSET(TH!E$1,SMALL(Dong1,ROWS($1:2)),))</f>
        <v>41554</v>
      </c>
      <c r="C15" s="125">
        <f ca="1">IF(ROWS($1:2)&gt;COUNT(Dong1),"",IF(OFFSET(TH!L$1,SMALL(Dong1,ROWS($1:2)),)="1111",OFFSET(TH!D$1,SMALL(Dong1,ROWS($1:2)),),""))</f>
        <v>0</v>
      </c>
      <c r="D15" s="126" t="str">
        <f ca="1">IF(ROWS($1:2)&gt;COUNT(Dong1),"",IF(OFFSET(TH!M$1,SMALL(Dong1,ROWS($1:2)),)="1111",OFFSET(TH!D$1,SMALL(Dong1,ROWS($1:2)),),""))</f>
        <v/>
      </c>
      <c r="E15" s="243" t="str">
        <f ca="1">IF(ROWS($1:2)&gt;COUNT(Dong1),"",OFFSET(TH!F$1,SMALL(Dong1,ROWS($1:2)),))</f>
        <v>Chi sec nhập quỹ tiền mặt</v>
      </c>
      <c r="F15" s="128" t="str">
        <f ca="1">IF(ROWS($1:2)&gt;COUNT(Dong1),"",IF(OFFSET(TH!M$1,SMALL(Dong1,ROWS($1:2)),)="1111",OFFSET(TH!L$1,SMALL(Dong1,ROWS($1:2)),),OFFSET(TH!M$1,SMALL(Dong1,ROWS($1:2)),)))</f>
        <v>1121</v>
      </c>
      <c r="G15" s="129">
        <f ca="1">IF(ROWS($1:2)&gt;COUNT(Dong1),"",IF(OFFSET(TH!L$1,SMALL(Dong1,ROWS($1:2)),)="1111",OFFSET(TH!K$1,SMALL(Dong1,ROWS($1:2)),),0))</f>
        <v>33700000</v>
      </c>
      <c r="H15" s="127">
        <f ca="1">IF(ROWS($1:2)&gt;COUNT(Dong1),"",IF(OFFSET(TH!M$1,SMALL(Dong1,ROWS($1:2)),)="1111",OFFSET(TH!K$1,SMALL(Dong1,ROWS($1:2)),),0))</f>
        <v>0</v>
      </c>
      <c r="I15" s="125">
        <f t="shared" ref="I15:I58" ca="1" si="0">IF(E15&lt;&gt;"",I14+G15-H15,0)</f>
        <v>2049126128</v>
      </c>
      <c r="J15" s="130"/>
      <c r="N15" s="852"/>
      <c r="O15" s="852"/>
    </row>
    <row r="16" spans="1:15" ht="19.5" customHeight="1">
      <c r="A16" s="124">
        <f ca="1">IF(ROWS($1:3)&gt;COUNT(Dong1),"",OFFSET(TH!C$1,SMALL(Dong1,ROWS($1:3)),))</f>
        <v>41556</v>
      </c>
      <c r="B16" s="124">
        <f ca="1">IF(ROWS($1:3)&gt;COUNT(Dong1),"",OFFSET(TH!E$1,SMALL(Dong1,ROWS($1:3)),))</f>
        <v>41556</v>
      </c>
      <c r="C16" s="125">
        <f ca="1">IF(ROWS($1:3)&gt;COUNT(Dong1),"",IF(OFFSET(TH!L$1,SMALL(Dong1,ROWS($1:3)),)="1111",OFFSET(TH!D$1,SMALL(Dong1,ROWS($1:3)),),""))</f>
        <v>0</v>
      </c>
      <c r="D16" s="126" t="str">
        <f ca="1">IF(ROWS($1:3)&gt;COUNT(Dong1),"",IF(OFFSET(TH!M$1,SMALL(Dong1,ROWS($1:3)),)="1111",OFFSET(TH!D$1,SMALL(Dong1,ROWS($1:3)),),""))</f>
        <v/>
      </c>
      <c r="E16" s="243" t="str">
        <f ca="1">IF(ROWS($1:3)&gt;COUNT(Dong1),"",OFFSET(TH!F$1,SMALL(Dong1,ROWS($1:3)),))</f>
        <v>Chi sec nhập quỹ tiền mặt</v>
      </c>
      <c r="F16" s="128" t="str">
        <f ca="1">IF(ROWS($1:3)&gt;COUNT(Dong1),"",IF(OFFSET(TH!M$1,SMALL(Dong1,ROWS($1:3)),)="1111",OFFSET(TH!L$1,SMALL(Dong1,ROWS($1:3)),),OFFSET(TH!M$1,SMALL(Dong1,ROWS($1:3)),)))</f>
        <v>1121</v>
      </c>
      <c r="G16" s="129">
        <f ca="1">IF(ROWS($1:3)&gt;COUNT(Dong1),"",IF(OFFSET(TH!L$1,SMALL(Dong1,ROWS($1:3)),)="1111",OFFSET(TH!K$1,SMALL(Dong1,ROWS($1:3)),),0))</f>
        <v>18500000</v>
      </c>
      <c r="H16" s="127">
        <f ca="1">IF(ROWS($1:3)&gt;COUNT(Dong1),"",IF(OFFSET(TH!M$1,SMALL(Dong1,ROWS($1:3)),)="1111",OFFSET(TH!K$1,SMALL(Dong1,ROWS($1:3)),),0))</f>
        <v>0</v>
      </c>
      <c r="I16" s="125">
        <f t="shared" ca="1" si="0"/>
        <v>2067626128</v>
      </c>
      <c r="J16" s="130"/>
      <c r="N16" s="852"/>
      <c r="O16" s="852"/>
    </row>
    <row r="17" spans="1:15" ht="19.5" customHeight="1">
      <c r="A17" s="124">
        <f ca="1">IF(ROWS($1:4)&gt;COUNT(Dong1),"",OFFSET(TH!C$1,SMALL(Dong1,ROWS($1:4)),))</f>
        <v>41562</v>
      </c>
      <c r="B17" s="124">
        <f ca="1">IF(ROWS($1:4)&gt;COUNT(Dong1),"",OFFSET(TH!E$1,SMALL(Dong1,ROWS($1:4)),))</f>
        <v>41562</v>
      </c>
      <c r="C17" s="125">
        <f ca="1">IF(ROWS($1:4)&gt;COUNT(Dong1),"",IF(OFFSET(TH!L$1,SMALL(Dong1,ROWS($1:4)),)="1111",OFFSET(TH!D$1,SMALL(Dong1,ROWS($1:4)),),""))</f>
        <v>0</v>
      </c>
      <c r="D17" s="126" t="str">
        <f ca="1">IF(ROWS($1:4)&gt;COUNT(Dong1),"",IF(OFFSET(TH!M$1,SMALL(Dong1,ROWS($1:4)),)="1111",OFFSET(TH!D$1,SMALL(Dong1,ROWS($1:4)),),""))</f>
        <v/>
      </c>
      <c r="E17" s="243" t="str">
        <f ca="1">IF(ROWS($1:4)&gt;COUNT(Dong1),"",OFFSET(TH!F$1,SMALL(Dong1,ROWS($1:4)),))</f>
        <v>Chi sec nhập quỹ tiền mặt</v>
      </c>
      <c r="F17" s="128" t="str">
        <f ca="1">IF(ROWS($1:4)&gt;COUNT(Dong1),"",IF(OFFSET(TH!M$1,SMALL(Dong1,ROWS($1:4)),)="1111",OFFSET(TH!L$1,SMALL(Dong1,ROWS($1:4)),),OFFSET(TH!M$1,SMALL(Dong1,ROWS($1:4)),)))</f>
        <v>1121</v>
      </c>
      <c r="G17" s="129">
        <f ca="1">IF(ROWS($1:4)&gt;COUNT(Dong1),"",IF(OFFSET(TH!L$1,SMALL(Dong1,ROWS($1:4)),)="1111",OFFSET(TH!K$1,SMALL(Dong1,ROWS($1:4)),),0))</f>
        <v>30800000</v>
      </c>
      <c r="H17" s="127">
        <f ca="1">IF(ROWS($1:4)&gt;COUNT(Dong1),"",IF(OFFSET(TH!M$1,SMALL(Dong1,ROWS($1:4)),)="1111",OFFSET(TH!K$1,SMALL(Dong1,ROWS($1:4)),),0))</f>
        <v>0</v>
      </c>
      <c r="I17" s="125">
        <f t="shared" ca="1" si="0"/>
        <v>2098426128</v>
      </c>
      <c r="J17" s="130"/>
      <c r="N17" s="852"/>
      <c r="O17" s="852"/>
    </row>
    <row r="18" spans="1:15" ht="19.5" customHeight="1">
      <c r="A18" s="124">
        <f ca="1">IF(ROWS($1:5)&gt;COUNT(Dong1),"",OFFSET(TH!C$1,SMALL(Dong1,ROWS($1:5)),))</f>
        <v>41576</v>
      </c>
      <c r="B18" s="124">
        <f ca="1">IF(ROWS($1:5)&gt;COUNT(Dong1),"",OFFSET(TH!E$1,SMALL(Dong1,ROWS($1:5)),))</f>
        <v>41576</v>
      </c>
      <c r="C18" s="125">
        <f ca="1">IF(ROWS($1:5)&gt;COUNT(Dong1),"",IF(OFFSET(TH!L$1,SMALL(Dong1,ROWS($1:5)),)="1111",OFFSET(TH!D$1,SMALL(Dong1,ROWS($1:5)),),""))</f>
        <v>0</v>
      </c>
      <c r="D18" s="126" t="str">
        <f ca="1">IF(ROWS($1:5)&gt;COUNT(Dong1),"",IF(OFFSET(TH!M$1,SMALL(Dong1,ROWS($1:5)),)="1111",OFFSET(TH!D$1,SMALL(Dong1,ROWS($1:5)),),""))</f>
        <v/>
      </c>
      <c r="E18" s="243" t="str">
        <f ca="1">IF(ROWS($1:5)&gt;COUNT(Dong1),"",OFFSET(TH!F$1,SMALL(Dong1,ROWS($1:5)),))</f>
        <v>Chi sec nhập quỹ tiền mặt</v>
      </c>
      <c r="F18" s="128" t="str">
        <f ca="1">IF(ROWS($1:5)&gt;COUNT(Dong1),"",IF(OFFSET(TH!M$1,SMALL(Dong1,ROWS($1:5)),)="1111",OFFSET(TH!L$1,SMALL(Dong1,ROWS($1:5)),),OFFSET(TH!M$1,SMALL(Dong1,ROWS($1:5)),)))</f>
        <v>1121</v>
      </c>
      <c r="G18" s="129">
        <f ca="1">IF(ROWS($1:5)&gt;COUNT(Dong1),"",IF(OFFSET(TH!L$1,SMALL(Dong1,ROWS($1:5)),)="1111",OFFSET(TH!K$1,SMALL(Dong1,ROWS($1:5)),),0))</f>
        <v>45200000</v>
      </c>
      <c r="H18" s="127">
        <f ca="1">IF(ROWS($1:5)&gt;COUNT(Dong1),"",IF(OFFSET(TH!M$1,SMALL(Dong1,ROWS($1:5)),)="1111",OFFSET(TH!K$1,SMALL(Dong1,ROWS($1:5)),),0))</f>
        <v>0</v>
      </c>
      <c r="I18" s="125">
        <f t="shared" ca="1" si="0"/>
        <v>2143626128</v>
      </c>
      <c r="J18" s="130"/>
      <c r="N18" s="852"/>
      <c r="O18" s="852"/>
    </row>
    <row r="19" spans="1:15" ht="19.5" customHeight="1">
      <c r="A19" s="124">
        <f ca="1">IF(ROWS($1:6)&gt;COUNT(Dong1),"",OFFSET(TH!C$1,SMALL(Dong1,ROWS($1:6)),))</f>
        <v>41580</v>
      </c>
      <c r="B19" s="124">
        <f ca="1">IF(ROWS($1:6)&gt;COUNT(Dong1),"",OFFSET(TH!E$1,SMALL(Dong1,ROWS($1:6)),))</f>
        <v>41580</v>
      </c>
      <c r="C19" s="125">
        <f ca="1">IF(ROWS($1:6)&gt;COUNT(Dong1),"",IF(OFFSET(TH!L$1,SMALL(Dong1,ROWS($1:6)),)="1111",OFFSET(TH!D$1,SMALL(Dong1,ROWS($1:6)),),""))</f>
        <v>0</v>
      </c>
      <c r="D19" s="126" t="str">
        <f ca="1">IF(ROWS($1:6)&gt;COUNT(Dong1),"",IF(OFFSET(TH!M$1,SMALL(Dong1,ROWS($1:6)),)="1111",OFFSET(TH!D$1,SMALL(Dong1,ROWS($1:6)),),""))</f>
        <v/>
      </c>
      <c r="E19" s="243" t="str">
        <f ca="1">IF(ROWS($1:6)&gt;COUNT(Dong1),"",OFFSET(TH!F$1,SMALL(Dong1,ROWS($1:6)),))</f>
        <v>Chi sec nhập quỹ tiền mặt</v>
      </c>
      <c r="F19" s="128" t="str">
        <f ca="1">IF(ROWS($1:6)&gt;COUNT(Dong1),"",IF(OFFSET(TH!M$1,SMALL(Dong1,ROWS($1:6)),)="1111",OFFSET(TH!L$1,SMALL(Dong1,ROWS($1:6)),),OFFSET(TH!M$1,SMALL(Dong1,ROWS($1:6)),)))</f>
        <v>1121</v>
      </c>
      <c r="G19" s="129">
        <f ca="1">IF(ROWS($1:6)&gt;COUNT(Dong1),"",IF(OFFSET(TH!L$1,SMALL(Dong1,ROWS($1:6)),)="1111",OFFSET(TH!K$1,SMALL(Dong1,ROWS($1:6)),),0))</f>
        <v>49000000</v>
      </c>
      <c r="H19" s="127">
        <f ca="1">IF(ROWS($1:6)&gt;COUNT(Dong1),"",IF(OFFSET(TH!M$1,SMALL(Dong1,ROWS($1:6)),)="1111",OFFSET(TH!K$1,SMALL(Dong1,ROWS($1:6)),),0))</f>
        <v>0</v>
      </c>
      <c r="I19" s="125">
        <f t="shared" ca="1" si="0"/>
        <v>2192626128</v>
      </c>
      <c r="J19" s="130"/>
      <c r="N19" s="852"/>
      <c r="O19" s="852"/>
    </row>
    <row r="20" spans="1:15" ht="19.5" customHeight="1">
      <c r="A20" s="124">
        <f ca="1">IF(ROWS($1:7)&gt;COUNT(Dong1),"",OFFSET(TH!C$1,SMALL(Dong1,ROWS($1:7)),))</f>
        <v>41583</v>
      </c>
      <c r="B20" s="124">
        <f ca="1">IF(ROWS($1:7)&gt;COUNT(Dong1),"",OFFSET(TH!E$1,SMALL(Dong1,ROWS($1:7)),))</f>
        <v>41583</v>
      </c>
      <c r="C20" s="125">
        <f ca="1">IF(ROWS($1:7)&gt;COUNT(Dong1),"",IF(OFFSET(TH!L$1,SMALL(Dong1,ROWS($1:7)),)="1111",OFFSET(TH!D$1,SMALL(Dong1,ROWS($1:7)),),""))</f>
        <v>0</v>
      </c>
      <c r="D20" s="126" t="str">
        <f ca="1">IF(ROWS($1:7)&gt;COUNT(Dong1),"",IF(OFFSET(TH!M$1,SMALL(Dong1,ROWS($1:7)),)="1111",OFFSET(TH!D$1,SMALL(Dong1,ROWS($1:7)),),""))</f>
        <v/>
      </c>
      <c r="E20" s="243" t="str">
        <f ca="1">IF(ROWS($1:7)&gt;COUNT(Dong1),"",OFFSET(TH!F$1,SMALL(Dong1,ROWS($1:7)),))</f>
        <v>Chi sec nhập quỹ tiền mặt</v>
      </c>
      <c r="F20" s="128" t="str">
        <f ca="1">IF(ROWS($1:7)&gt;COUNT(Dong1),"",IF(OFFSET(TH!M$1,SMALL(Dong1,ROWS($1:7)),)="1111",OFFSET(TH!L$1,SMALL(Dong1,ROWS($1:7)),),OFFSET(TH!M$1,SMALL(Dong1,ROWS($1:7)),)))</f>
        <v>1121</v>
      </c>
      <c r="G20" s="129">
        <f ca="1">IF(ROWS($1:7)&gt;COUNT(Dong1),"",IF(OFFSET(TH!L$1,SMALL(Dong1,ROWS($1:7)),)="1111",OFFSET(TH!K$1,SMALL(Dong1,ROWS($1:7)),),0))</f>
        <v>27500000</v>
      </c>
      <c r="H20" s="127">
        <f ca="1">IF(ROWS($1:7)&gt;COUNT(Dong1),"",IF(OFFSET(TH!M$1,SMALL(Dong1,ROWS($1:7)),)="1111",OFFSET(TH!K$1,SMALL(Dong1,ROWS($1:7)),),0))</f>
        <v>0</v>
      </c>
      <c r="I20" s="125">
        <f t="shared" ca="1" si="0"/>
        <v>2220126128</v>
      </c>
      <c r="J20" s="130"/>
      <c r="N20" s="852"/>
      <c r="O20" s="852"/>
    </row>
    <row r="21" spans="1:15" ht="19.5" customHeight="1">
      <c r="A21" s="124">
        <f ca="1">IF(ROWS($1:8)&gt;COUNT(Dong1),"",OFFSET(TH!C$1,SMALL(Dong1,ROWS($1:8)),))</f>
        <v>41586</v>
      </c>
      <c r="B21" s="124">
        <f ca="1">IF(ROWS($1:8)&gt;COUNT(Dong1),"",OFFSET(TH!E$1,SMALL(Dong1,ROWS($1:8)),))</f>
        <v>41586</v>
      </c>
      <c r="C21" s="125">
        <f ca="1">IF(ROWS($1:8)&gt;COUNT(Dong1),"",IF(OFFSET(TH!L$1,SMALL(Dong1,ROWS($1:8)),)="1111",OFFSET(TH!D$1,SMALL(Dong1,ROWS($1:8)),),""))</f>
        <v>0</v>
      </c>
      <c r="D21" s="126" t="str">
        <f ca="1">IF(ROWS($1:8)&gt;COUNT(Dong1),"",IF(OFFSET(TH!M$1,SMALL(Dong1,ROWS($1:8)),)="1111",OFFSET(TH!D$1,SMALL(Dong1,ROWS($1:8)),),""))</f>
        <v/>
      </c>
      <c r="E21" s="243" t="str">
        <f ca="1">IF(ROWS($1:8)&gt;COUNT(Dong1),"",OFFSET(TH!F$1,SMALL(Dong1,ROWS($1:8)),))</f>
        <v>Chi sec nhập quỹ tiền mặt</v>
      </c>
      <c r="F21" s="128" t="str">
        <f ca="1">IF(ROWS($1:8)&gt;COUNT(Dong1),"",IF(OFFSET(TH!M$1,SMALL(Dong1,ROWS($1:8)),)="1111",OFFSET(TH!L$1,SMALL(Dong1,ROWS($1:8)),),OFFSET(TH!M$1,SMALL(Dong1,ROWS($1:8)),)))</f>
        <v>1121</v>
      </c>
      <c r="G21" s="129">
        <f ca="1">IF(ROWS($1:8)&gt;COUNT(Dong1),"",IF(OFFSET(TH!L$1,SMALL(Dong1,ROWS($1:8)),)="1111",OFFSET(TH!K$1,SMALL(Dong1,ROWS($1:8)),),0))</f>
        <v>58400000</v>
      </c>
      <c r="H21" s="127">
        <f ca="1">IF(ROWS($1:8)&gt;COUNT(Dong1),"",IF(OFFSET(TH!M$1,SMALL(Dong1,ROWS($1:8)),)="1111",OFFSET(TH!K$1,SMALL(Dong1,ROWS($1:8)),),0))</f>
        <v>0</v>
      </c>
      <c r="I21" s="125">
        <f t="shared" ca="1" si="0"/>
        <v>2278526128</v>
      </c>
      <c r="J21" s="130"/>
      <c r="N21" s="852"/>
      <c r="O21" s="852"/>
    </row>
    <row r="22" spans="1:15" ht="19.5" customHeight="1">
      <c r="A22" s="124">
        <f ca="1">IF(ROWS($1:9)&gt;COUNT(Dong1),"",OFFSET(TH!C$1,SMALL(Dong1,ROWS($1:9)),))</f>
        <v>41598</v>
      </c>
      <c r="B22" s="124">
        <f ca="1">IF(ROWS($1:9)&gt;COUNT(Dong1),"",OFFSET(TH!E$1,SMALL(Dong1,ROWS($1:9)),))</f>
        <v>41598</v>
      </c>
      <c r="C22" s="125">
        <f ca="1">IF(ROWS($1:9)&gt;COUNT(Dong1),"",IF(OFFSET(TH!L$1,SMALL(Dong1,ROWS($1:9)),)="1111",OFFSET(TH!D$1,SMALL(Dong1,ROWS($1:9)),),""))</f>
        <v>0</v>
      </c>
      <c r="D22" s="126" t="str">
        <f ca="1">IF(ROWS($1:9)&gt;COUNT(Dong1),"",IF(OFFSET(TH!M$1,SMALL(Dong1,ROWS($1:9)),)="1111",OFFSET(TH!D$1,SMALL(Dong1,ROWS($1:9)),),""))</f>
        <v/>
      </c>
      <c r="E22" s="243" t="str">
        <f ca="1">IF(ROWS($1:9)&gt;COUNT(Dong1),"",OFFSET(TH!F$1,SMALL(Dong1,ROWS($1:9)),))</f>
        <v>Chi sec nhập quỹ tiền mặt</v>
      </c>
      <c r="F22" s="128" t="str">
        <f ca="1">IF(ROWS($1:9)&gt;COUNT(Dong1),"",IF(OFFSET(TH!M$1,SMALL(Dong1,ROWS($1:9)),)="1111",OFFSET(TH!L$1,SMALL(Dong1,ROWS($1:9)),),OFFSET(TH!M$1,SMALL(Dong1,ROWS($1:9)),)))</f>
        <v>1121</v>
      </c>
      <c r="G22" s="129">
        <f ca="1">IF(ROWS($1:9)&gt;COUNT(Dong1),"",IF(OFFSET(TH!L$1,SMALL(Dong1,ROWS($1:9)),)="1111",OFFSET(TH!K$1,SMALL(Dong1,ROWS($1:9)),),0))</f>
        <v>14200000</v>
      </c>
      <c r="H22" s="127">
        <f ca="1">IF(ROWS($1:9)&gt;COUNT(Dong1),"",IF(OFFSET(TH!M$1,SMALL(Dong1,ROWS($1:9)),)="1111",OFFSET(TH!K$1,SMALL(Dong1,ROWS($1:9)),),0))</f>
        <v>0</v>
      </c>
      <c r="I22" s="125">
        <f t="shared" ca="1" si="0"/>
        <v>2292726128</v>
      </c>
      <c r="J22" s="130"/>
      <c r="N22" s="852"/>
      <c r="O22" s="852"/>
    </row>
    <row r="23" spans="1:15" ht="19.5" customHeight="1">
      <c r="A23" s="124">
        <f ca="1">IF(ROWS($1:10)&gt;COUNT(Dong1),"",OFFSET(TH!C$1,SMALL(Dong1,ROWS($1:10)),))</f>
        <v>41607</v>
      </c>
      <c r="B23" s="124">
        <f ca="1">IF(ROWS($1:10)&gt;COUNT(Dong1),"",OFFSET(TH!E$1,SMALL(Dong1,ROWS($1:10)),))</f>
        <v>41607</v>
      </c>
      <c r="C23" s="125">
        <f ca="1">IF(ROWS($1:10)&gt;COUNT(Dong1),"",IF(OFFSET(TH!L$1,SMALL(Dong1,ROWS($1:10)),)="1111",OFFSET(TH!D$1,SMALL(Dong1,ROWS($1:10)),),""))</f>
        <v>0</v>
      </c>
      <c r="D23" s="126" t="str">
        <f ca="1">IF(ROWS($1:10)&gt;COUNT(Dong1),"",IF(OFFSET(TH!M$1,SMALL(Dong1,ROWS($1:10)),)="1111",OFFSET(TH!D$1,SMALL(Dong1,ROWS($1:10)),),""))</f>
        <v/>
      </c>
      <c r="E23" s="243" t="str">
        <f ca="1">IF(ROWS($1:10)&gt;COUNT(Dong1),"",OFFSET(TH!F$1,SMALL(Dong1,ROWS($1:10)),))</f>
        <v>Chi sec nhập quỹ tiền mặt</v>
      </c>
      <c r="F23" s="128" t="str">
        <f ca="1">IF(ROWS($1:10)&gt;COUNT(Dong1),"",IF(OFFSET(TH!M$1,SMALL(Dong1,ROWS($1:10)),)="1111",OFFSET(TH!L$1,SMALL(Dong1,ROWS($1:10)),),OFFSET(TH!M$1,SMALL(Dong1,ROWS($1:10)),)))</f>
        <v>1121</v>
      </c>
      <c r="G23" s="129">
        <f ca="1">IF(ROWS($1:10)&gt;COUNT(Dong1),"",IF(OFFSET(TH!L$1,SMALL(Dong1,ROWS($1:10)),)="1111",OFFSET(TH!K$1,SMALL(Dong1,ROWS($1:10)),),0))</f>
        <v>39000000</v>
      </c>
      <c r="H23" s="127">
        <f ca="1">IF(ROWS($1:10)&gt;COUNT(Dong1),"",IF(OFFSET(TH!M$1,SMALL(Dong1,ROWS($1:10)),)="1111",OFFSET(TH!K$1,SMALL(Dong1,ROWS($1:10)),),0))</f>
        <v>0</v>
      </c>
      <c r="I23" s="125">
        <f t="shared" ca="1" si="0"/>
        <v>2331726128</v>
      </c>
      <c r="J23" s="130"/>
      <c r="N23" s="852"/>
      <c r="O23" s="852"/>
    </row>
    <row r="24" spans="1:15" ht="19.5" customHeight="1">
      <c r="A24" s="124">
        <f ca="1">IF(ROWS($1:11)&gt;COUNT(Dong1),"",OFFSET(TH!C$1,SMALL(Dong1,ROWS($1:11)),))</f>
        <v>41618</v>
      </c>
      <c r="B24" s="124">
        <f ca="1">IF(ROWS($1:11)&gt;COUNT(Dong1),"",OFFSET(TH!E$1,SMALL(Dong1,ROWS($1:11)),))</f>
        <v>41618</v>
      </c>
      <c r="C24" s="125">
        <f ca="1">IF(ROWS($1:11)&gt;COUNT(Dong1),"",IF(OFFSET(TH!L$1,SMALL(Dong1,ROWS($1:11)),)="1111",OFFSET(TH!D$1,SMALL(Dong1,ROWS($1:11)),),""))</f>
        <v>0</v>
      </c>
      <c r="D24" s="126" t="str">
        <f ca="1">IF(ROWS($1:11)&gt;COUNT(Dong1),"",IF(OFFSET(TH!M$1,SMALL(Dong1,ROWS($1:11)),)="1111",OFFSET(TH!D$1,SMALL(Dong1,ROWS($1:11)),),""))</f>
        <v/>
      </c>
      <c r="E24" s="243" t="str">
        <f ca="1">IF(ROWS($1:11)&gt;COUNT(Dong1),"",OFFSET(TH!F$1,SMALL(Dong1,ROWS($1:11)),))</f>
        <v>Chi sec nhập quỹ tiền mặt</v>
      </c>
      <c r="F24" s="128" t="str">
        <f ca="1">IF(ROWS($1:11)&gt;COUNT(Dong1),"",IF(OFFSET(TH!M$1,SMALL(Dong1,ROWS($1:11)),)="1111",OFFSET(TH!L$1,SMALL(Dong1,ROWS($1:11)),),OFFSET(TH!M$1,SMALL(Dong1,ROWS($1:11)),)))</f>
        <v>1121</v>
      </c>
      <c r="G24" s="129">
        <f ca="1">IF(ROWS($1:11)&gt;COUNT(Dong1),"",IF(OFFSET(TH!L$1,SMALL(Dong1,ROWS($1:11)),)="1111",OFFSET(TH!K$1,SMALL(Dong1,ROWS($1:11)),),0))</f>
        <v>65800000</v>
      </c>
      <c r="H24" s="127">
        <f ca="1">IF(ROWS($1:11)&gt;COUNT(Dong1),"",IF(OFFSET(TH!M$1,SMALL(Dong1,ROWS($1:11)),)="1111",OFFSET(TH!K$1,SMALL(Dong1,ROWS($1:11)),),0))</f>
        <v>0</v>
      </c>
      <c r="I24" s="125">
        <f t="shared" ca="1" si="0"/>
        <v>2397526128</v>
      </c>
      <c r="J24" s="130"/>
      <c r="N24" s="852"/>
      <c r="O24" s="852"/>
    </row>
    <row r="25" spans="1:15" ht="19.5" customHeight="1">
      <c r="A25" s="124">
        <f ca="1">IF(ROWS($1:12)&gt;COUNT(Dong1),"",OFFSET(TH!C$1,SMALL(Dong1,ROWS($1:12)),))</f>
        <v>41625</v>
      </c>
      <c r="B25" s="124">
        <f ca="1">IF(ROWS($1:12)&gt;COUNT(Dong1),"",OFFSET(TH!E$1,SMALL(Dong1,ROWS($1:12)),))</f>
        <v>41625</v>
      </c>
      <c r="C25" s="125">
        <f ca="1">IF(ROWS($1:12)&gt;COUNT(Dong1),"",IF(OFFSET(TH!L$1,SMALL(Dong1,ROWS($1:12)),)="1111",OFFSET(TH!D$1,SMALL(Dong1,ROWS($1:12)),),""))</f>
        <v>0</v>
      </c>
      <c r="D25" s="126" t="str">
        <f ca="1">IF(ROWS($1:12)&gt;COUNT(Dong1),"",IF(OFFSET(TH!M$1,SMALL(Dong1,ROWS($1:12)),)="1111",OFFSET(TH!D$1,SMALL(Dong1,ROWS($1:12)),),""))</f>
        <v/>
      </c>
      <c r="E25" s="243" t="str">
        <f ca="1">IF(ROWS($1:12)&gt;COUNT(Dong1),"",OFFSET(TH!F$1,SMALL(Dong1,ROWS($1:12)),))</f>
        <v>Chi sec nhập quỹ tiền mặt</v>
      </c>
      <c r="F25" s="128" t="str">
        <f ca="1">IF(ROWS($1:12)&gt;COUNT(Dong1),"",IF(OFFSET(TH!M$1,SMALL(Dong1,ROWS($1:12)),)="1111",OFFSET(TH!L$1,SMALL(Dong1,ROWS($1:12)),),OFFSET(TH!M$1,SMALL(Dong1,ROWS($1:12)),)))</f>
        <v>1121</v>
      </c>
      <c r="G25" s="129">
        <f ca="1">IF(ROWS($1:12)&gt;COUNT(Dong1),"",IF(OFFSET(TH!L$1,SMALL(Dong1,ROWS($1:12)),)="1111",OFFSET(TH!K$1,SMALL(Dong1,ROWS($1:12)),),0))</f>
        <v>42000000</v>
      </c>
      <c r="H25" s="127">
        <f ca="1">IF(ROWS($1:12)&gt;COUNT(Dong1),"",IF(OFFSET(TH!M$1,SMALL(Dong1,ROWS($1:12)),)="1111",OFFSET(TH!K$1,SMALL(Dong1,ROWS($1:12)),),0))</f>
        <v>0</v>
      </c>
      <c r="I25" s="125">
        <f t="shared" ca="1" si="0"/>
        <v>2439526128</v>
      </c>
      <c r="J25" s="130"/>
      <c r="N25" s="852"/>
      <c r="O25" s="852"/>
    </row>
    <row r="26" spans="1:15" ht="19.5" customHeight="1">
      <c r="A26" s="124">
        <f ca="1">IF(ROWS($1:13)&gt;COUNT(Dong1),"",OFFSET(TH!C$1,SMALL(Dong1,ROWS($1:13)),))</f>
        <v>41639</v>
      </c>
      <c r="B26" s="124">
        <f ca="1">IF(ROWS($1:13)&gt;COUNT(Dong1),"",OFFSET(TH!E$1,SMALL(Dong1,ROWS($1:13)),))</f>
        <v>41639</v>
      </c>
      <c r="C26" s="125">
        <f ca="1">IF(ROWS($1:13)&gt;COUNT(Dong1),"",IF(OFFSET(TH!L$1,SMALL(Dong1,ROWS($1:13)),)="1111",OFFSET(TH!D$1,SMALL(Dong1,ROWS($1:13)),),""))</f>
        <v>0</v>
      </c>
      <c r="D26" s="126" t="str">
        <f ca="1">IF(ROWS($1:13)&gt;COUNT(Dong1),"",IF(OFFSET(TH!M$1,SMALL(Dong1,ROWS($1:13)),)="1111",OFFSET(TH!D$1,SMALL(Dong1,ROWS($1:13)),),""))</f>
        <v/>
      </c>
      <c r="E26" s="243" t="str">
        <f ca="1">IF(ROWS($1:13)&gt;COUNT(Dong1),"",OFFSET(TH!F$1,SMALL(Dong1,ROWS($1:13)),))</f>
        <v>Chi sec nhập quỹ tiền mặt</v>
      </c>
      <c r="F26" s="128" t="str">
        <f ca="1">IF(ROWS($1:13)&gt;COUNT(Dong1),"",IF(OFFSET(TH!M$1,SMALL(Dong1,ROWS($1:13)),)="1111",OFFSET(TH!L$1,SMALL(Dong1,ROWS($1:13)),),OFFSET(TH!M$1,SMALL(Dong1,ROWS($1:13)),)))</f>
        <v>1121</v>
      </c>
      <c r="G26" s="129">
        <f ca="1">IF(ROWS($1:13)&gt;COUNT(Dong1),"",IF(OFFSET(TH!L$1,SMALL(Dong1,ROWS($1:13)),)="1111",OFFSET(TH!K$1,SMALL(Dong1,ROWS($1:13)),),0))</f>
        <v>32900000</v>
      </c>
      <c r="H26" s="127">
        <f ca="1">IF(ROWS($1:13)&gt;COUNT(Dong1),"",IF(OFFSET(TH!M$1,SMALL(Dong1,ROWS($1:13)),)="1111",OFFSET(TH!K$1,SMALL(Dong1,ROWS($1:13)),),0))</f>
        <v>0</v>
      </c>
      <c r="I26" s="125">
        <f t="shared" ca="1" si="0"/>
        <v>2472426128</v>
      </c>
      <c r="J26" s="130"/>
      <c r="N26" s="852"/>
      <c r="O26" s="852"/>
    </row>
    <row r="27" spans="1:15" ht="19.5" customHeight="1">
      <c r="A27" s="124">
        <f ca="1">IF(ROWS($1:14)&gt;COUNT(Dong1),"",OFFSET(TH!C$1,SMALL(Dong1,ROWS($1:14)),))</f>
        <v>41581</v>
      </c>
      <c r="B27" s="124">
        <f ca="1">IF(ROWS($1:14)&gt;COUNT(Dong1),"",OFFSET(TH!E$1,SMALL(Dong1,ROWS($1:14)),))</f>
        <v>41581</v>
      </c>
      <c r="C27" s="125" t="str">
        <f ca="1">IF(ROWS($1:14)&gt;COUNT(Dong1),"",IF(OFFSET(TH!L$1,SMALL(Dong1,ROWS($1:14)),)="1111",OFFSET(TH!D$1,SMALL(Dong1,ROWS($1:14)),),""))</f>
        <v/>
      </c>
      <c r="D27" s="126">
        <f ca="1">IF(ROWS($1:14)&gt;COUNT(Dong1),"",IF(OFFSET(TH!M$1,SMALL(Dong1,ROWS($1:14)),)="1111",OFFSET(TH!D$1,SMALL(Dong1,ROWS($1:14)),),""))</f>
        <v>0</v>
      </c>
      <c r="E27" s="243" t="str">
        <f ca="1">IF(ROWS($1:14)&gt;COUNT(Dong1),"",OFFSET(TH!F$1,SMALL(Dong1,ROWS($1:14)),))</f>
        <v>Ipad 4 Retina Wifi</v>
      </c>
      <c r="F27" s="128" t="str">
        <f ca="1">IF(ROWS($1:14)&gt;COUNT(Dong1),"",IF(OFFSET(TH!M$1,SMALL(Dong1,ROWS($1:14)),)="1111",OFFSET(TH!L$1,SMALL(Dong1,ROWS($1:14)),),OFFSET(TH!M$1,SMALL(Dong1,ROWS($1:14)),)))</f>
        <v>642</v>
      </c>
      <c r="G27" s="129">
        <f ca="1">IF(ROWS($1:14)&gt;COUNT(Dong1),"",IF(OFFSET(TH!L$1,SMALL(Dong1,ROWS($1:14)),)="1111",OFFSET(TH!K$1,SMALL(Dong1,ROWS($1:14)),),0))</f>
        <v>0</v>
      </c>
      <c r="H27" s="127">
        <f ca="1">IF(ROWS($1:14)&gt;COUNT(Dong1),"",IF(OFFSET(TH!M$1,SMALL(Dong1,ROWS($1:14)),)="1111",OFFSET(TH!K$1,SMALL(Dong1,ROWS($1:14)),),0))</f>
        <v>15445455</v>
      </c>
      <c r="I27" s="125">
        <f t="shared" ca="1" si="0"/>
        <v>2456980673</v>
      </c>
      <c r="J27" s="130"/>
      <c r="N27" s="852"/>
      <c r="O27" s="852"/>
    </row>
    <row r="28" spans="1:15" ht="19.5" customHeight="1">
      <c r="A28" s="124">
        <f ca="1">IF(ROWS($1:15)&gt;COUNT(Dong1),"",OFFSET(TH!C$1,SMALL(Dong1,ROWS($1:15)),))</f>
        <v>41581</v>
      </c>
      <c r="B28" s="124">
        <f ca="1">IF(ROWS($1:15)&gt;COUNT(Dong1),"",OFFSET(TH!E$1,SMALL(Dong1,ROWS($1:15)),))</f>
        <v>41581</v>
      </c>
      <c r="C28" s="125" t="str">
        <f ca="1">IF(ROWS($1:15)&gt;COUNT(Dong1),"",IF(OFFSET(TH!L$1,SMALL(Dong1,ROWS($1:15)),)="1111",OFFSET(TH!D$1,SMALL(Dong1,ROWS($1:15)),),""))</f>
        <v/>
      </c>
      <c r="D28" s="126">
        <f ca="1">IF(ROWS($1:15)&gt;COUNT(Dong1),"",IF(OFFSET(TH!M$1,SMALL(Dong1,ROWS($1:15)),)="1111",OFFSET(TH!D$1,SMALL(Dong1,ROWS($1:15)),),""))</f>
        <v>0</v>
      </c>
      <c r="E28" s="243" t="str">
        <f ca="1">IF(ROWS($1:15)&gt;COUNT(Dong1),"",OFFSET(TH!F$1,SMALL(Dong1,ROWS($1:15)),))</f>
        <v>VAT Ipad 4 Retina Wifi</v>
      </c>
      <c r="F28" s="128" t="str">
        <f ca="1">IF(ROWS($1:15)&gt;COUNT(Dong1),"",IF(OFFSET(TH!M$1,SMALL(Dong1,ROWS($1:15)),)="1111",OFFSET(TH!L$1,SMALL(Dong1,ROWS($1:15)),),OFFSET(TH!M$1,SMALL(Dong1,ROWS($1:15)),)))</f>
        <v>1331</v>
      </c>
      <c r="G28" s="129">
        <f ca="1">IF(ROWS($1:15)&gt;COUNT(Dong1),"",IF(OFFSET(TH!L$1,SMALL(Dong1,ROWS($1:15)),)="1111",OFFSET(TH!K$1,SMALL(Dong1,ROWS($1:15)),),0))</f>
        <v>0</v>
      </c>
      <c r="H28" s="127">
        <f ca="1">IF(ROWS($1:15)&gt;COUNT(Dong1),"",IF(OFFSET(TH!M$1,SMALL(Dong1,ROWS($1:15)),)="1111",OFFSET(TH!K$1,SMALL(Dong1,ROWS($1:15)),),0))</f>
        <v>1544545</v>
      </c>
      <c r="I28" s="125">
        <f t="shared" ca="1" si="0"/>
        <v>2455436128</v>
      </c>
      <c r="J28" s="130"/>
      <c r="N28" s="852"/>
      <c r="O28" s="852"/>
    </row>
    <row r="29" spans="1:15" ht="19.5" customHeight="1">
      <c r="A29" s="124">
        <f ca="1">IF(ROWS($1:16)&gt;COUNT(Dong1),"",OFFSET(TH!C$1,SMALL(Dong1,ROWS($1:16)),))</f>
        <v>41607</v>
      </c>
      <c r="B29" s="124">
        <f ca="1">IF(ROWS($1:16)&gt;COUNT(Dong1),"",OFFSET(TH!E$1,SMALL(Dong1,ROWS($1:16)),))</f>
        <v>41607</v>
      </c>
      <c r="C29" s="125" t="str">
        <f ca="1">IF(ROWS($1:16)&gt;COUNT(Dong1),"",IF(OFFSET(TH!L$1,SMALL(Dong1,ROWS($1:16)),)="1111",OFFSET(TH!D$1,SMALL(Dong1,ROWS($1:16)),),""))</f>
        <v/>
      </c>
      <c r="D29" s="126">
        <f ca="1">IF(ROWS($1:16)&gt;COUNT(Dong1),"",IF(OFFSET(TH!M$1,SMALL(Dong1,ROWS($1:16)),)="1111",OFFSET(TH!D$1,SMALL(Dong1,ROWS($1:16)),),""))</f>
        <v>0</v>
      </c>
      <c r="E29" s="243" t="str">
        <f ca="1">IF(ROWS($1:16)&gt;COUNT(Dong1),"",OFFSET(TH!F$1,SMALL(Dong1,ROWS($1:16)),))</f>
        <v>Tiền điện</v>
      </c>
      <c r="F29" s="128" t="str">
        <f ca="1">IF(ROWS($1:16)&gt;COUNT(Dong1),"",IF(OFFSET(TH!M$1,SMALL(Dong1,ROWS($1:16)),)="1111",OFFSET(TH!L$1,SMALL(Dong1,ROWS($1:16)),),OFFSET(TH!M$1,SMALL(Dong1,ROWS($1:16)),)))</f>
        <v>642</v>
      </c>
      <c r="G29" s="129">
        <f ca="1">IF(ROWS($1:16)&gt;COUNT(Dong1),"",IF(OFFSET(TH!L$1,SMALL(Dong1,ROWS($1:16)),)="1111",OFFSET(TH!K$1,SMALL(Dong1,ROWS($1:16)),),0))</f>
        <v>0</v>
      </c>
      <c r="H29" s="127">
        <f ca="1">IF(ROWS($1:16)&gt;COUNT(Dong1),"",IF(OFFSET(TH!M$1,SMALL(Dong1,ROWS($1:16)),)="1111",OFFSET(TH!K$1,SMALL(Dong1,ROWS($1:16)),),0))</f>
        <v>1131830</v>
      </c>
      <c r="I29" s="125">
        <f t="shared" ca="1" si="0"/>
        <v>2454304298</v>
      </c>
      <c r="J29" s="130"/>
      <c r="N29" s="852"/>
      <c r="O29" s="852"/>
    </row>
    <row r="30" spans="1:15" ht="19.5" customHeight="1">
      <c r="A30" s="124">
        <f ca="1">IF(ROWS($1:17)&gt;COUNT(Dong1),"",OFFSET(TH!C$1,SMALL(Dong1,ROWS($1:17)),))</f>
        <v>41607</v>
      </c>
      <c r="B30" s="124">
        <f ca="1">IF(ROWS($1:17)&gt;COUNT(Dong1),"",OFFSET(TH!E$1,SMALL(Dong1,ROWS($1:17)),))</f>
        <v>41607</v>
      </c>
      <c r="C30" s="125" t="str">
        <f ca="1">IF(ROWS($1:17)&gt;COUNT(Dong1),"",IF(OFFSET(TH!L$1,SMALL(Dong1,ROWS($1:17)),)="1111",OFFSET(TH!D$1,SMALL(Dong1,ROWS($1:17)),),""))</f>
        <v/>
      </c>
      <c r="D30" s="126">
        <f ca="1">IF(ROWS($1:17)&gt;COUNT(Dong1),"",IF(OFFSET(TH!M$1,SMALL(Dong1,ROWS($1:17)),)="1111",OFFSET(TH!D$1,SMALL(Dong1,ROWS($1:17)),),""))</f>
        <v>0</v>
      </c>
      <c r="E30" s="243" t="str">
        <f ca="1">IF(ROWS($1:17)&gt;COUNT(Dong1),"",OFFSET(TH!F$1,SMALL(Dong1,ROWS($1:17)),))</f>
        <v>VAT Tiền điện</v>
      </c>
      <c r="F30" s="128" t="str">
        <f ca="1">IF(ROWS($1:17)&gt;COUNT(Dong1),"",IF(OFFSET(TH!M$1,SMALL(Dong1,ROWS($1:17)),)="1111",OFFSET(TH!L$1,SMALL(Dong1,ROWS($1:17)),),OFFSET(TH!M$1,SMALL(Dong1,ROWS($1:17)),)))</f>
        <v>1331</v>
      </c>
      <c r="G30" s="129">
        <f ca="1">IF(ROWS($1:17)&gt;COUNT(Dong1),"",IF(OFFSET(TH!L$1,SMALL(Dong1,ROWS($1:17)),)="1111",OFFSET(TH!K$1,SMALL(Dong1,ROWS($1:17)),),0))</f>
        <v>0</v>
      </c>
      <c r="H30" s="127">
        <f ca="1">IF(ROWS($1:17)&gt;COUNT(Dong1),"",IF(OFFSET(TH!M$1,SMALL(Dong1,ROWS($1:17)),)="1111",OFFSET(TH!K$1,SMALL(Dong1,ROWS($1:17)),),0))</f>
        <v>113183</v>
      </c>
      <c r="I30" s="125">
        <f t="shared" ca="1" si="0"/>
        <v>2454191115</v>
      </c>
      <c r="J30" s="130"/>
      <c r="N30" s="852"/>
      <c r="O30" s="852"/>
    </row>
    <row r="31" spans="1:15" ht="19.5" customHeight="1">
      <c r="A31" s="124">
        <f ca="1">IF(ROWS($1:18)&gt;COUNT(Dong1),"",OFFSET(TH!C$1,SMALL(Dong1,ROWS($1:18)),))</f>
        <v>41591</v>
      </c>
      <c r="B31" s="124">
        <f ca="1">IF(ROWS($1:18)&gt;COUNT(Dong1),"",OFFSET(TH!E$1,SMALL(Dong1,ROWS($1:18)),))</f>
        <v>41591</v>
      </c>
      <c r="C31" s="125" t="str">
        <f ca="1">IF(ROWS($1:18)&gt;COUNT(Dong1),"",IF(OFFSET(TH!L$1,SMALL(Dong1,ROWS($1:18)),)="1111",OFFSET(TH!D$1,SMALL(Dong1,ROWS($1:18)),),""))</f>
        <v/>
      </c>
      <c r="D31" s="126">
        <f ca="1">IF(ROWS($1:18)&gt;COUNT(Dong1),"",IF(OFFSET(TH!M$1,SMALL(Dong1,ROWS($1:18)),)="1111",OFFSET(TH!D$1,SMALL(Dong1,ROWS($1:18)),),""))</f>
        <v>0</v>
      </c>
      <c r="E31" s="243" t="str">
        <f ca="1">IF(ROWS($1:18)&gt;COUNT(Dong1),"",OFFSET(TH!F$1,SMALL(Dong1,ROWS($1:18)),))</f>
        <v>Cước dịch vụ viễn thông</v>
      </c>
      <c r="F31" s="128" t="str">
        <f ca="1">IF(ROWS($1:18)&gt;COUNT(Dong1),"",IF(OFFSET(TH!M$1,SMALL(Dong1,ROWS($1:18)),)="1111",OFFSET(TH!L$1,SMALL(Dong1,ROWS($1:18)),),OFFSET(TH!M$1,SMALL(Dong1,ROWS($1:18)),)))</f>
        <v>642</v>
      </c>
      <c r="G31" s="129">
        <f ca="1">IF(ROWS($1:18)&gt;COUNT(Dong1),"",IF(OFFSET(TH!L$1,SMALL(Dong1,ROWS($1:18)),)="1111",OFFSET(TH!K$1,SMALL(Dong1,ROWS($1:18)),),0))</f>
        <v>0</v>
      </c>
      <c r="H31" s="127">
        <f ca="1">IF(ROWS($1:18)&gt;COUNT(Dong1),"",IF(OFFSET(TH!M$1,SMALL(Dong1,ROWS($1:18)),)="1111",OFFSET(TH!K$1,SMALL(Dong1,ROWS($1:18)),),0))</f>
        <v>1681380</v>
      </c>
      <c r="I31" s="125">
        <f t="shared" ca="1" si="0"/>
        <v>2452509735</v>
      </c>
      <c r="J31" s="130"/>
      <c r="N31" s="852"/>
      <c r="O31" s="852"/>
    </row>
    <row r="32" spans="1:15" ht="19.5" customHeight="1">
      <c r="A32" s="124">
        <f ca="1">IF(ROWS($1:19)&gt;COUNT(Dong1),"",OFFSET(TH!C$1,SMALL(Dong1,ROWS($1:19)),))</f>
        <v>41591</v>
      </c>
      <c r="B32" s="124">
        <f ca="1">IF(ROWS($1:19)&gt;COUNT(Dong1),"",OFFSET(TH!E$1,SMALL(Dong1,ROWS($1:19)),))</f>
        <v>41591</v>
      </c>
      <c r="C32" s="125" t="str">
        <f ca="1">IF(ROWS($1:19)&gt;COUNT(Dong1),"",IF(OFFSET(TH!L$1,SMALL(Dong1,ROWS($1:19)),)="1111",OFFSET(TH!D$1,SMALL(Dong1,ROWS($1:19)),),""))</f>
        <v/>
      </c>
      <c r="D32" s="126">
        <f ca="1">IF(ROWS($1:19)&gt;COUNT(Dong1),"",IF(OFFSET(TH!M$1,SMALL(Dong1,ROWS($1:19)),)="1111",OFFSET(TH!D$1,SMALL(Dong1,ROWS($1:19)),),""))</f>
        <v>0</v>
      </c>
      <c r="E32" s="243" t="str">
        <f ca="1">IF(ROWS($1:19)&gt;COUNT(Dong1),"",OFFSET(TH!F$1,SMALL(Dong1,ROWS($1:19)),))</f>
        <v>VAT Cước dịch vụ viễn thông</v>
      </c>
      <c r="F32" s="128" t="str">
        <f ca="1">IF(ROWS($1:19)&gt;COUNT(Dong1),"",IF(OFFSET(TH!M$1,SMALL(Dong1,ROWS($1:19)),)="1111",OFFSET(TH!L$1,SMALL(Dong1,ROWS($1:19)),),OFFSET(TH!M$1,SMALL(Dong1,ROWS($1:19)),)))</f>
        <v>1331</v>
      </c>
      <c r="G32" s="129">
        <f ca="1">IF(ROWS($1:19)&gt;COUNT(Dong1),"",IF(OFFSET(TH!L$1,SMALL(Dong1,ROWS($1:19)),)="1111",OFFSET(TH!K$1,SMALL(Dong1,ROWS($1:19)),),0))</f>
        <v>0</v>
      </c>
      <c r="H32" s="127">
        <f ca="1">IF(ROWS($1:19)&gt;COUNT(Dong1),"",IF(OFFSET(TH!M$1,SMALL(Dong1,ROWS($1:19)),)="1111",OFFSET(TH!K$1,SMALL(Dong1,ROWS($1:19)),),0))</f>
        <v>168136</v>
      </c>
      <c r="I32" s="125">
        <f t="shared" ca="1" si="0"/>
        <v>2452341599</v>
      </c>
      <c r="J32" s="130"/>
      <c r="N32" s="852"/>
      <c r="O32" s="852"/>
    </row>
    <row r="33" spans="1:15" ht="19.5" customHeight="1">
      <c r="A33" s="124">
        <f ca="1">IF(ROWS($1:20)&gt;COUNT(Dong1),"",OFFSET(TH!C$1,SMALL(Dong1,ROWS($1:20)),))</f>
        <v>41549</v>
      </c>
      <c r="B33" s="124">
        <f ca="1">IF(ROWS($1:20)&gt;COUNT(Dong1),"",OFFSET(TH!E$1,SMALL(Dong1,ROWS($1:20)),))</f>
        <v>41549</v>
      </c>
      <c r="C33" s="125" t="str">
        <f ca="1">IF(ROWS($1:20)&gt;COUNT(Dong1),"",IF(OFFSET(TH!L$1,SMALL(Dong1,ROWS($1:20)),)="1111",OFFSET(TH!D$1,SMALL(Dong1,ROWS($1:20)),),""))</f>
        <v/>
      </c>
      <c r="D33" s="126">
        <f ca="1">IF(ROWS($1:20)&gt;COUNT(Dong1),"",IF(OFFSET(TH!M$1,SMALL(Dong1,ROWS($1:20)),)="1111",OFFSET(TH!D$1,SMALL(Dong1,ROWS($1:20)),),""))</f>
        <v>0</v>
      </c>
      <c r="E33" s="243" t="str">
        <f ca="1">IF(ROWS($1:20)&gt;COUNT(Dong1),"",OFFSET(TH!F$1,SMALL(Dong1,ROWS($1:20)),))</f>
        <v>Cước dịch vụ viễn thông</v>
      </c>
      <c r="F33" s="128" t="str">
        <f ca="1">IF(ROWS($1:20)&gt;COUNT(Dong1),"",IF(OFFSET(TH!M$1,SMALL(Dong1,ROWS($1:20)),)="1111",OFFSET(TH!L$1,SMALL(Dong1,ROWS($1:20)),),OFFSET(TH!M$1,SMALL(Dong1,ROWS($1:20)),)))</f>
        <v>642</v>
      </c>
      <c r="G33" s="129">
        <f ca="1">IF(ROWS($1:20)&gt;COUNT(Dong1),"",IF(OFFSET(TH!L$1,SMALL(Dong1,ROWS($1:20)),)="1111",OFFSET(TH!K$1,SMALL(Dong1,ROWS($1:20)),),0))</f>
        <v>0</v>
      </c>
      <c r="H33" s="127">
        <f ca="1">IF(ROWS($1:20)&gt;COUNT(Dong1),"",IF(OFFSET(TH!M$1,SMALL(Dong1,ROWS($1:20)),)="1111",OFFSET(TH!K$1,SMALL(Dong1,ROWS($1:20)),),0))</f>
        <v>741835</v>
      </c>
      <c r="I33" s="125">
        <f t="shared" ca="1" si="0"/>
        <v>2451599764</v>
      </c>
      <c r="J33" s="130"/>
      <c r="N33" s="852"/>
      <c r="O33" s="852"/>
    </row>
    <row r="34" spans="1:15" ht="19.5" customHeight="1">
      <c r="A34" s="124">
        <f ca="1">IF(ROWS($1:21)&gt;COUNT(Dong1),"",OFFSET(TH!C$1,SMALL(Dong1,ROWS($1:21)),))</f>
        <v>41549</v>
      </c>
      <c r="B34" s="124">
        <f ca="1">IF(ROWS($1:21)&gt;COUNT(Dong1),"",OFFSET(TH!E$1,SMALL(Dong1,ROWS($1:21)),))</f>
        <v>41549</v>
      </c>
      <c r="C34" s="125" t="str">
        <f ca="1">IF(ROWS($1:21)&gt;COUNT(Dong1),"",IF(OFFSET(TH!L$1,SMALL(Dong1,ROWS($1:21)),)="1111",OFFSET(TH!D$1,SMALL(Dong1,ROWS($1:21)),),""))</f>
        <v/>
      </c>
      <c r="D34" s="126">
        <f ca="1">IF(ROWS($1:21)&gt;COUNT(Dong1),"",IF(OFFSET(TH!M$1,SMALL(Dong1,ROWS($1:21)),)="1111",OFFSET(TH!D$1,SMALL(Dong1,ROWS($1:21)),),""))</f>
        <v>0</v>
      </c>
      <c r="E34" s="243" t="str">
        <f ca="1">IF(ROWS($1:21)&gt;COUNT(Dong1),"",OFFSET(TH!F$1,SMALL(Dong1,ROWS($1:21)),))</f>
        <v>VAT Cước dịch vụ viễn thông</v>
      </c>
      <c r="F34" s="128" t="str">
        <f ca="1">IF(ROWS($1:21)&gt;COUNT(Dong1),"",IF(OFFSET(TH!M$1,SMALL(Dong1,ROWS($1:21)),)="1111",OFFSET(TH!L$1,SMALL(Dong1,ROWS($1:21)),),OFFSET(TH!M$1,SMALL(Dong1,ROWS($1:21)),)))</f>
        <v>1331</v>
      </c>
      <c r="G34" s="129">
        <f ca="1">IF(ROWS($1:21)&gt;COUNT(Dong1),"",IF(OFFSET(TH!L$1,SMALL(Dong1,ROWS($1:21)),)="1111",OFFSET(TH!K$1,SMALL(Dong1,ROWS($1:21)),),0))</f>
        <v>0</v>
      </c>
      <c r="H34" s="127">
        <f ca="1">IF(ROWS($1:21)&gt;COUNT(Dong1),"",IF(OFFSET(TH!M$1,SMALL(Dong1,ROWS($1:21)),)="1111",OFFSET(TH!K$1,SMALL(Dong1,ROWS($1:21)),),0))</f>
        <v>74182</v>
      </c>
      <c r="I34" s="125">
        <f t="shared" ca="1" si="0"/>
        <v>2451525582</v>
      </c>
      <c r="J34" s="130"/>
      <c r="N34" s="852"/>
      <c r="O34" s="852"/>
    </row>
    <row r="35" spans="1:15" ht="19.5" customHeight="1">
      <c r="A35" s="124">
        <f ca="1">IF(ROWS($1:22)&gt;COUNT(Dong1),"",OFFSET(TH!C$1,SMALL(Dong1,ROWS($1:22)),))</f>
        <v>41577</v>
      </c>
      <c r="B35" s="124">
        <f ca="1">IF(ROWS($1:22)&gt;COUNT(Dong1),"",OFFSET(TH!E$1,SMALL(Dong1,ROWS($1:22)),))</f>
        <v>41577</v>
      </c>
      <c r="C35" s="125" t="str">
        <f ca="1">IF(ROWS($1:22)&gt;COUNT(Dong1),"",IF(OFFSET(TH!L$1,SMALL(Dong1,ROWS($1:22)),)="1111",OFFSET(TH!D$1,SMALL(Dong1,ROWS($1:22)),),""))</f>
        <v/>
      </c>
      <c r="D35" s="126">
        <f ca="1">IF(ROWS($1:22)&gt;COUNT(Dong1),"",IF(OFFSET(TH!M$1,SMALL(Dong1,ROWS($1:22)),)="1111",OFFSET(TH!D$1,SMALL(Dong1,ROWS($1:22)),),""))</f>
        <v>0</v>
      </c>
      <c r="E35" s="243" t="str">
        <f ca="1">IF(ROWS($1:22)&gt;COUNT(Dong1),"",OFFSET(TH!F$1,SMALL(Dong1,ROWS($1:22)),))</f>
        <v>Tiền điện</v>
      </c>
      <c r="F35" s="128" t="str">
        <f ca="1">IF(ROWS($1:22)&gt;COUNT(Dong1),"",IF(OFFSET(TH!M$1,SMALL(Dong1,ROWS($1:22)),)="1111",OFFSET(TH!L$1,SMALL(Dong1,ROWS($1:22)),),OFFSET(TH!M$1,SMALL(Dong1,ROWS($1:22)),)))</f>
        <v>642</v>
      </c>
      <c r="G35" s="129">
        <f ca="1">IF(ROWS($1:22)&gt;COUNT(Dong1),"",IF(OFFSET(TH!L$1,SMALL(Dong1,ROWS($1:22)),)="1111",OFFSET(TH!K$1,SMALL(Dong1,ROWS($1:22)),),0))</f>
        <v>0</v>
      </c>
      <c r="H35" s="127">
        <f ca="1">IF(ROWS($1:22)&gt;COUNT(Dong1),"",IF(OFFSET(TH!M$1,SMALL(Dong1,ROWS($1:22)),)="1111",OFFSET(TH!K$1,SMALL(Dong1,ROWS($1:22)),),0))</f>
        <v>1616900</v>
      </c>
      <c r="I35" s="125">
        <f t="shared" ca="1" si="0"/>
        <v>2449908682</v>
      </c>
      <c r="J35" s="130"/>
      <c r="N35" s="852"/>
      <c r="O35" s="852"/>
    </row>
    <row r="36" spans="1:15" ht="19.5" customHeight="1">
      <c r="A36" s="124">
        <f ca="1">IF(ROWS($1:23)&gt;COUNT(Dong1),"",OFFSET(TH!C$1,SMALL(Dong1,ROWS($1:23)),))</f>
        <v>41577</v>
      </c>
      <c r="B36" s="124">
        <f ca="1">IF(ROWS($1:23)&gt;COUNT(Dong1),"",OFFSET(TH!E$1,SMALL(Dong1,ROWS($1:23)),))</f>
        <v>41577</v>
      </c>
      <c r="C36" s="125" t="str">
        <f ca="1">IF(ROWS($1:23)&gt;COUNT(Dong1),"",IF(OFFSET(TH!L$1,SMALL(Dong1,ROWS($1:23)),)="1111",OFFSET(TH!D$1,SMALL(Dong1,ROWS($1:23)),),""))</f>
        <v/>
      </c>
      <c r="D36" s="126">
        <f ca="1">IF(ROWS($1:23)&gt;COUNT(Dong1),"",IF(OFFSET(TH!M$1,SMALL(Dong1,ROWS($1:23)),)="1111",OFFSET(TH!D$1,SMALL(Dong1,ROWS($1:23)),),""))</f>
        <v>0</v>
      </c>
      <c r="E36" s="243" t="str">
        <f ca="1">IF(ROWS($1:23)&gt;COUNT(Dong1),"",OFFSET(TH!F$1,SMALL(Dong1,ROWS($1:23)),))</f>
        <v>VAT Tiền điện</v>
      </c>
      <c r="F36" s="128" t="str">
        <f ca="1">IF(ROWS($1:23)&gt;COUNT(Dong1),"",IF(OFFSET(TH!M$1,SMALL(Dong1,ROWS($1:23)),)="1111",OFFSET(TH!L$1,SMALL(Dong1,ROWS($1:23)),),OFFSET(TH!M$1,SMALL(Dong1,ROWS($1:23)),)))</f>
        <v>1331</v>
      </c>
      <c r="G36" s="129">
        <f ca="1">IF(ROWS($1:23)&gt;COUNT(Dong1),"",IF(OFFSET(TH!L$1,SMALL(Dong1,ROWS($1:23)),)="1111",OFFSET(TH!K$1,SMALL(Dong1,ROWS($1:23)),),0))</f>
        <v>0</v>
      </c>
      <c r="H36" s="127">
        <f ca="1">IF(ROWS($1:23)&gt;COUNT(Dong1),"",IF(OFFSET(TH!M$1,SMALL(Dong1,ROWS($1:23)),)="1111",OFFSET(TH!K$1,SMALL(Dong1,ROWS($1:23)),),0))</f>
        <v>161690</v>
      </c>
      <c r="I36" s="125">
        <f t="shared" ca="1" si="0"/>
        <v>2449746992</v>
      </c>
      <c r="J36" s="130"/>
      <c r="N36" s="852"/>
      <c r="O36" s="852"/>
    </row>
    <row r="37" spans="1:15" ht="19.5" customHeight="1">
      <c r="A37" s="124">
        <f ca="1">IF(ROWS($1:24)&gt;COUNT(Dong1),"",OFFSET(TH!C$1,SMALL(Dong1,ROWS($1:24)),))</f>
        <v>41639</v>
      </c>
      <c r="B37" s="124">
        <f ca="1">IF(ROWS($1:24)&gt;COUNT(Dong1),"",OFFSET(TH!E$1,SMALL(Dong1,ROWS($1:24)),))</f>
        <v>41639</v>
      </c>
      <c r="C37" s="125" t="str">
        <f ca="1">IF(ROWS($1:24)&gt;COUNT(Dong1),"",IF(OFFSET(TH!L$1,SMALL(Dong1,ROWS($1:24)),)="1111",OFFSET(TH!D$1,SMALL(Dong1,ROWS($1:24)),),""))</f>
        <v/>
      </c>
      <c r="D37" s="126">
        <f ca="1">IF(ROWS($1:24)&gt;COUNT(Dong1),"",IF(OFFSET(TH!M$1,SMALL(Dong1,ROWS($1:24)),)="1111",OFFSET(TH!D$1,SMALL(Dong1,ROWS($1:24)),),""))</f>
        <v>0</v>
      </c>
      <c r="E37" s="243" t="str">
        <f ca="1">IF(ROWS($1:24)&gt;COUNT(Dong1),"",OFFSET(TH!F$1,SMALL(Dong1,ROWS($1:24)),))</f>
        <v>Tiền điện</v>
      </c>
      <c r="F37" s="128" t="str">
        <f ca="1">IF(ROWS($1:24)&gt;COUNT(Dong1),"",IF(OFFSET(TH!M$1,SMALL(Dong1,ROWS($1:24)),)="1111",OFFSET(TH!L$1,SMALL(Dong1,ROWS($1:24)),),OFFSET(TH!M$1,SMALL(Dong1,ROWS($1:24)),)))</f>
        <v>642</v>
      </c>
      <c r="G37" s="129">
        <f ca="1">IF(ROWS($1:24)&gt;COUNT(Dong1),"",IF(OFFSET(TH!L$1,SMALL(Dong1,ROWS($1:24)),)="1111",OFFSET(TH!K$1,SMALL(Dong1,ROWS($1:24)),),0))</f>
        <v>0</v>
      </c>
      <c r="H37" s="127">
        <f ca="1">IF(ROWS($1:24)&gt;COUNT(Dong1),"",IF(OFFSET(TH!M$1,SMALL(Dong1,ROWS($1:24)),)="1111",OFFSET(TH!K$1,SMALL(Dong1,ROWS($1:24)),),0))</f>
        <v>1136048</v>
      </c>
      <c r="I37" s="125">
        <f t="shared" ca="1" si="0"/>
        <v>2448610944</v>
      </c>
      <c r="J37" s="130"/>
      <c r="N37" s="852"/>
      <c r="O37" s="852"/>
    </row>
    <row r="38" spans="1:15" ht="19.5" customHeight="1">
      <c r="A38" s="124">
        <f ca="1">IF(ROWS($1:25)&gt;COUNT(Dong1),"",OFFSET(TH!C$1,SMALL(Dong1,ROWS($1:25)),))</f>
        <v>41639</v>
      </c>
      <c r="B38" s="124">
        <f ca="1">IF(ROWS($1:25)&gt;COUNT(Dong1),"",OFFSET(TH!E$1,SMALL(Dong1,ROWS($1:25)),))</f>
        <v>41639</v>
      </c>
      <c r="C38" s="125" t="str">
        <f ca="1">IF(ROWS($1:25)&gt;COUNT(Dong1),"",IF(OFFSET(TH!L$1,SMALL(Dong1,ROWS($1:25)),)="1111",OFFSET(TH!D$1,SMALL(Dong1,ROWS($1:25)),),""))</f>
        <v/>
      </c>
      <c r="D38" s="126">
        <f ca="1">IF(ROWS($1:25)&gt;COUNT(Dong1),"",IF(OFFSET(TH!M$1,SMALL(Dong1,ROWS($1:25)),)="1111",OFFSET(TH!D$1,SMALL(Dong1,ROWS($1:25)),),""))</f>
        <v>0</v>
      </c>
      <c r="E38" s="243" t="str">
        <f ca="1">IF(ROWS($1:25)&gt;COUNT(Dong1),"",OFFSET(TH!F$1,SMALL(Dong1,ROWS($1:25)),))</f>
        <v>VAT Tiền điện</v>
      </c>
      <c r="F38" s="128" t="str">
        <f ca="1">IF(ROWS($1:25)&gt;COUNT(Dong1),"",IF(OFFSET(TH!M$1,SMALL(Dong1,ROWS($1:25)),)="1111",OFFSET(TH!L$1,SMALL(Dong1,ROWS($1:25)),),OFFSET(TH!M$1,SMALL(Dong1,ROWS($1:25)),)))</f>
        <v>1331</v>
      </c>
      <c r="G38" s="129">
        <f ca="1">IF(ROWS($1:25)&gt;COUNT(Dong1),"",IF(OFFSET(TH!L$1,SMALL(Dong1,ROWS($1:25)),)="1111",OFFSET(TH!K$1,SMALL(Dong1,ROWS($1:25)),),0))</f>
        <v>0</v>
      </c>
      <c r="H38" s="127">
        <f ca="1">IF(ROWS($1:25)&gt;COUNT(Dong1),"",IF(OFFSET(TH!M$1,SMALL(Dong1,ROWS($1:25)),)="1111",OFFSET(TH!K$1,SMALL(Dong1,ROWS($1:25)),),0))</f>
        <v>113605</v>
      </c>
      <c r="I38" s="125">
        <f t="shared" ca="1" si="0"/>
        <v>2448497339</v>
      </c>
      <c r="J38" s="130"/>
      <c r="N38" s="852"/>
      <c r="O38" s="852"/>
    </row>
    <row r="39" spans="1:15" ht="19.5" customHeight="1">
      <c r="A39" s="124">
        <f ca="1">IF(ROWS($1:26)&gt;COUNT(Dong1),"",OFFSET(TH!C$1,SMALL(Dong1,ROWS($1:26)),))</f>
        <v>41600</v>
      </c>
      <c r="B39" s="124">
        <f ca="1">IF(ROWS($1:26)&gt;COUNT(Dong1),"",OFFSET(TH!E$1,SMALL(Dong1,ROWS($1:26)),))</f>
        <v>41600</v>
      </c>
      <c r="C39" s="125" t="str">
        <f ca="1">IF(ROWS($1:26)&gt;COUNT(Dong1),"",IF(OFFSET(TH!L$1,SMALL(Dong1,ROWS($1:26)),)="1111",OFFSET(TH!D$1,SMALL(Dong1,ROWS($1:26)),),""))</f>
        <v/>
      </c>
      <c r="D39" s="126">
        <f ca="1">IF(ROWS($1:26)&gt;COUNT(Dong1),"",IF(OFFSET(TH!M$1,SMALL(Dong1,ROWS($1:26)),)="1111",OFFSET(TH!D$1,SMALL(Dong1,ROWS($1:26)),),""))</f>
        <v>0</v>
      </c>
      <c r="E39" s="243" t="str">
        <f ca="1">IF(ROWS($1:26)&gt;COUNT(Dong1),"",OFFSET(TH!F$1,SMALL(Dong1,ROWS($1:26)),))</f>
        <v>Chi phí tiếp khách</v>
      </c>
      <c r="F39" s="128" t="str">
        <f ca="1">IF(ROWS($1:26)&gt;COUNT(Dong1),"",IF(OFFSET(TH!M$1,SMALL(Dong1,ROWS($1:26)),)="1111",OFFSET(TH!L$1,SMALL(Dong1,ROWS($1:26)),),OFFSET(TH!M$1,SMALL(Dong1,ROWS($1:26)),)))</f>
        <v>642</v>
      </c>
      <c r="G39" s="129">
        <f ca="1">IF(ROWS($1:26)&gt;COUNT(Dong1),"",IF(OFFSET(TH!L$1,SMALL(Dong1,ROWS($1:26)),)="1111",OFFSET(TH!K$1,SMALL(Dong1,ROWS($1:26)),),0))</f>
        <v>0</v>
      </c>
      <c r="H39" s="127">
        <f ca="1">IF(ROWS($1:26)&gt;COUNT(Dong1),"",IF(OFFSET(TH!M$1,SMALL(Dong1,ROWS($1:26)),)="1111",OFFSET(TH!K$1,SMALL(Dong1,ROWS($1:26)),),0))</f>
        <v>1027273</v>
      </c>
      <c r="I39" s="125">
        <f t="shared" ca="1" si="0"/>
        <v>2447470066</v>
      </c>
      <c r="J39" s="130"/>
      <c r="N39" s="852"/>
      <c r="O39" s="852"/>
    </row>
    <row r="40" spans="1:15" ht="19.5" customHeight="1">
      <c r="A40" s="124">
        <f ca="1">IF(ROWS($1:27)&gt;COUNT(Dong1),"",OFFSET(TH!C$1,SMALL(Dong1,ROWS($1:27)),))</f>
        <v>41600</v>
      </c>
      <c r="B40" s="124">
        <f ca="1">IF(ROWS($1:27)&gt;COUNT(Dong1),"",OFFSET(TH!E$1,SMALL(Dong1,ROWS($1:27)),))</f>
        <v>41600</v>
      </c>
      <c r="C40" s="125" t="str">
        <f ca="1">IF(ROWS($1:27)&gt;COUNT(Dong1),"",IF(OFFSET(TH!L$1,SMALL(Dong1,ROWS($1:27)),)="1111",OFFSET(TH!D$1,SMALL(Dong1,ROWS($1:27)),),""))</f>
        <v/>
      </c>
      <c r="D40" s="126">
        <f ca="1">IF(ROWS($1:27)&gt;COUNT(Dong1),"",IF(OFFSET(TH!M$1,SMALL(Dong1,ROWS($1:27)),)="1111",OFFSET(TH!D$1,SMALL(Dong1,ROWS($1:27)),),""))</f>
        <v>0</v>
      </c>
      <c r="E40" s="243" t="str">
        <f ca="1">IF(ROWS($1:27)&gt;COUNT(Dong1),"",OFFSET(TH!F$1,SMALL(Dong1,ROWS($1:27)),))</f>
        <v>VAT Chi phí tiếp khách</v>
      </c>
      <c r="F40" s="128" t="str">
        <f ca="1">IF(ROWS($1:27)&gt;COUNT(Dong1),"",IF(OFFSET(TH!M$1,SMALL(Dong1,ROWS($1:27)),)="1111",OFFSET(TH!L$1,SMALL(Dong1,ROWS($1:27)),),OFFSET(TH!M$1,SMALL(Dong1,ROWS($1:27)),)))</f>
        <v>1331</v>
      </c>
      <c r="G40" s="129">
        <f ca="1">IF(ROWS($1:27)&gt;COUNT(Dong1),"",IF(OFFSET(TH!L$1,SMALL(Dong1,ROWS($1:27)),)="1111",OFFSET(TH!K$1,SMALL(Dong1,ROWS($1:27)),),0))</f>
        <v>0</v>
      </c>
      <c r="H40" s="127">
        <f ca="1">IF(ROWS($1:27)&gt;COUNT(Dong1),"",IF(OFFSET(TH!M$1,SMALL(Dong1,ROWS($1:27)),)="1111",OFFSET(TH!K$1,SMALL(Dong1,ROWS($1:27)),),0))</f>
        <v>102727</v>
      </c>
      <c r="I40" s="125">
        <f t="shared" ca="1" si="0"/>
        <v>2447367339</v>
      </c>
      <c r="J40" s="130"/>
      <c r="N40" s="852"/>
      <c r="O40" s="852"/>
    </row>
    <row r="41" spans="1:15" ht="19.5" customHeight="1">
      <c r="A41" s="124">
        <f ca="1">IF(ROWS($1:28)&gt;COUNT(Dong1),"",OFFSET(TH!C$1,SMALL(Dong1,ROWS($1:28)),))</f>
        <v>41607</v>
      </c>
      <c r="B41" s="124">
        <f ca="1">IF(ROWS($1:28)&gt;COUNT(Dong1),"",OFFSET(TH!E$1,SMALL(Dong1,ROWS($1:28)),))</f>
        <v>41607</v>
      </c>
      <c r="C41" s="125" t="str">
        <f ca="1">IF(ROWS($1:28)&gt;COUNT(Dong1),"",IF(OFFSET(TH!L$1,SMALL(Dong1,ROWS($1:28)),)="1111",OFFSET(TH!D$1,SMALL(Dong1,ROWS($1:28)),),""))</f>
        <v/>
      </c>
      <c r="D41" s="126">
        <f ca="1">IF(ROWS($1:28)&gt;COUNT(Dong1),"",IF(OFFSET(TH!M$1,SMALL(Dong1,ROWS($1:28)),)="1111",OFFSET(TH!D$1,SMALL(Dong1,ROWS($1:28)),),""))</f>
        <v>0</v>
      </c>
      <c r="E41" s="243" t="str">
        <f ca="1">IF(ROWS($1:28)&gt;COUNT(Dong1),"",OFFSET(TH!F$1,SMALL(Dong1,ROWS($1:28)),))</f>
        <v>Băng keo</v>
      </c>
      <c r="F41" s="128" t="str">
        <f ca="1">IF(ROWS($1:28)&gt;COUNT(Dong1),"",IF(OFFSET(TH!M$1,SMALL(Dong1,ROWS($1:28)),)="1111",OFFSET(TH!L$1,SMALL(Dong1,ROWS($1:28)),),OFFSET(TH!M$1,SMALL(Dong1,ROWS($1:28)),)))</f>
        <v>154</v>
      </c>
      <c r="G41" s="129">
        <f ca="1">IF(ROWS($1:28)&gt;COUNT(Dong1),"",IF(OFFSET(TH!L$1,SMALL(Dong1,ROWS($1:28)),)="1111",OFFSET(TH!K$1,SMALL(Dong1,ROWS($1:28)),),0))</f>
        <v>0</v>
      </c>
      <c r="H41" s="127">
        <f ca="1">IF(ROWS($1:28)&gt;COUNT(Dong1),"",IF(OFFSET(TH!M$1,SMALL(Dong1,ROWS($1:28)),)="1111",OFFSET(TH!K$1,SMALL(Dong1,ROWS($1:28)),),0))</f>
        <v>1454400</v>
      </c>
      <c r="I41" s="125">
        <f t="shared" ca="1" si="0"/>
        <v>2445912939</v>
      </c>
      <c r="J41" s="130"/>
      <c r="N41" s="852"/>
      <c r="O41" s="852"/>
    </row>
    <row r="42" spans="1:15" ht="19.5" customHeight="1">
      <c r="A42" s="124">
        <f ca="1">IF(ROWS($1:29)&gt;COUNT(Dong1),"",OFFSET(TH!C$1,SMALL(Dong1,ROWS($1:29)),))</f>
        <v>41607</v>
      </c>
      <c r="B42" s="124">
        <f ca="1">IF(ROWS($1:29)&gt;COUNT(Dong1),"",OFFSET(TH!E$1,SMALL(Dong1,ROWS($1:29)),))</f>
        <v>41607</v>
      </c>
      <c r="C42" s="125" t="str">
        <f ca="1">IF(ROWS($1:29)&gt;COUNT(Dong1),"",IF(OFFSET(TH!L$1,SMALL(Dong1,ROWS($1:29)),)="1111",OFFSET(TH!D$1,SMALL(Dong1,ROWS($1:29)),),""))</f>
        <v/>
      </c>
      <c r="D42" s="126">
        <f ca="1">IF(ROWS($1:29)&gt;COUNT(Dong1),"",IF(OFFSET(TH!M$1,SMALL(Dong1,ROWS($1:29)),)="1111",OFFSET(TH!D$1,SMALL(Dong1,ROWS($1:29)),),""))</f>
        <v>0</v>
      </c>
      <c r="E42" s="243" t="str">
        <f ca="1">IF(ROWS($1:29)&gt;COUNT(Dong1),"",OFFSET(TH!F$1,SMALL(Dong1,ROWS($1:29)),))</f>
        <v>VAT Băng keo</v>
      </c>
      <c r="F42" s="128" t="str">
        <f ca="1">IF(ROWS($1:29)&gt;COUNT(Dong1),"",IF(OFFSET(TH!M$1,SMALL(Dong1,ROWS($1:29)),)="1111",OFFSET(TH!L$1,SMALL(Dong1,ROWS($1:29)),),OFFSET(TH!M$1,SMALL(Dong1,ROWS($1:29)),)))</f>
        <v>1331</v>
      </c>
      <c r="G42" s="129">
        <f ca="1">IF(ROWS($1:29)&gt;COUNT(Dong1),"",IF(OFFSET(TH!L$1,SMALL(Dong1,ROWS($1:29)),)="1111",OFFSET(TH!K$1,SMALL(Dong1,ROWS($1:29)),),0))</f>
        <v>0</v>
      </c>
      <c r="H42" s="127">
        <f ca="1">IF(ROWS($1:29)&gt;COUNT(Dong1),"",IF(OFFSET(TH!M$1,SMALL(Dong1,ROWS($1:29)),)="1111",OFFSET(TH!K$1,SMALL(Dong1,ROWS($1:29)),),0))</f>
        <v>145440</v>
      </c>
      <c r="I42" s="125">
        <f t="shared" ca="1" si="0"/>
        <v>2445767499</v>
      </c>
      <c r="J42" s="130"/>
      <c r="N42" s="852"/>
      <c r="O42" s="852"/>
    </row>
    <row r="43" spans="1:15" ht="19.5" customHeight="1">
      <c r="A43" s="124">
        <f ca="1">IF(ROWS($1:30)&gt;COUNT(Dong1),"",OFFSET(TH!C$1,SMALL(Dong1,ROWS($1:30)),))</f>
        <v>41625</v>
      </c>
      <c r="B43" s="124">
        <f ca="1">IF(ROWS($1:30)&gt;COUNT(Dong1),"",OFFSET(TH!E$1,SMALL(Dong1,ROWS($1:30)),))</f>
        <v>41625</v>
      </c>
      <c r="C43" s="125" t="str">
        <f ca="1">IF(ROWS($1:30)&gt;COUNT(Dong1),"",IF(OFFSET(TH!L$1,SMALL(Dong1,ROWS($1:30)),)="1111",OFFSET(TH!D$1,SMALL(Dong1,ROWS($1:30)),),""))</f>
        <v/>
      </c>
      <c r="D43" s="126">
        <f ca="1">IF(ROWS($1:30)&gt;COUNT(Dong1),"",IF(OFFSET(TH!M$1,SMALL(Dong1,ROWS($1:30)),)="1111",OFFSET(TH!D$1,SMALL(Dong1,ROWS($1:30)),),""))</f>
        <v>0</v>
      </c>
      <c r="E43" s="243" t="str">
        <f ca="1">IF(ROWS($1:30)&gt;COUNT(Dong1),"",OFFSET(TH!F$1,SMALL(Dong1,ROWS($1:30)),))</f>
        <v>Keo sữa Polymul</v>
      </c>
      <c r="F43" s="128" t="str">
        <f ca="1">IF(ROWS($1:30)&gt;COUNT(Dong1),"",IF(OFFSET(TH!M$1,SMALL(Dong1,ROWS($1:30)),)="1111",OFFSET(TH!L$1,SMALL(Dong1,ROWS($1:30)),),OFFSET(TH!M$1,SMALL(Dong1,ROWS($1:30)),)))</f>
        <v>154</v>
      </c>
      <c r="G43" s="129">
        <f ca="1">IF(ROWS($1:30)&gt;COUNT(Dong1),"",IF(OFFSET(TH!L$1,SMALL(Dong1,ROWS($1:30)),)="1111",OFFSET(TH!K$1,SMALL(Dong1,ROWS($1:30)),),0))</f>
        <v>0</v>
      </c>
      <c r="H43" s="127">
        <f ca="1">IF(ROWS($1:30)&gt;COUNT(Dong1),"",IF(OFFSET(TH!M$1,SMALL(Dong1,ROWS($1:30)),)="1111",OFFSET(TH!K$1,SMALL(Dong1,ROWS($1:30)),),0))</f>
        <v>1750000</v>
      </c>
      <c r="I43" s="125">
        <f t="shared" ca="1" si="0"/>
        <v>2444017499</v>
      </c>
      <c r="J43" s="130"/>
      <c r="N43" s="852"/>
      <c r="O43" s="852"/>
    </row>
    <row r="44" spans="1:15" ht="19.5" customHeight="1">
      <c r="A44" s="124">
        <f ca="1">IF(ROWS($1:31)&gt;COUNT(Dong1),"",OFFSET(TH!C$1,SMALL(Dong1,ROWS($1:31)),))</f>
        <v>41625</v>
      </c>
      <c r="B44" s="124">
        <f ca="1">IF(ROWS($1:31)&gt;COUNT(Dong1),"",OFFSET(TH!E$1,SMALL(Dong1,ROWS($1:31)),))</f>
        <v>41625</v>
      </c>
      <c r="C44" s="125" t="str">
        <f ca="1">IF(ROWS($1:31)&gt;COUNT(Dong1),"",IF(OFFSET(TH!L$1,SMALL(Dong1,ROWS($1:31)),)="1111",OFFSET(TH!D$1,SMALL(Dong1,ROWS($1:31)),),""))</f>
        <v/>
      </c>
      <c r="D44" s="126">
        <f ca="1">IF(ROWS($1:31)&gt;COUNT(Dong1),"",IF(OFFSET(TH!M$1,SMALL(Dong1,ROWS($1:31)),)="1111",OFFSET(TH!D$1,SMALL(Dong1,ROWS($1:31)),),""))</f>
        <v>0</v>
      </c>
      <c r="E44" s="243" t="str">
        <f ca="1">IF(ROWS($1:31)&gt;COUNT(Dong1),"",OFFSET(TH!F$1,SMALL(Dong1,ROWS($1:31)),))</f>
        <v>VAT Keo sữa Polymul</v>
      </c>
      <c r="F44" s="128" t="str">
        <f ca="1">IF(ROWS($1:31)&gt;COUNT(Dong1),"",IF(OFFSET(TH!M$1,SMALL(Dong1,ROWS($1:31)),)="1111",OFFSET(TH!L$1,SMALL(Dong1,ROWS($1:31)),),OFFSET(TH!M$1,SMALL(Dong1,ROWS($1:31)),)))</f>
        <v>1331</v>
      </c>
      <c r="G44" s="129">
        <f ca="1">IF(ROWS($1:31)&gt;COUNT(Dong1),"",IF(OFFSET(TH!L$1,SMALL(Dong1,ROWS($1:31)),)="1111",OFFSET(TH!K$1,SMALL(Dong1,ROWS($1:31)),),0))</f>
        <v>0</v>
      </c>
      <c r="H44" s="127">
        <f ca="1">IF(ROWS($1:31)&gt;COUNT(Dong1),"",IF(OFFSET(TH!M$1,SMALL(Dong1,ROWS($1:31)),)="1111",OFFSET(TH!K$1,SMALL(Dong1,ROWS($1:31)),),0))</f>
        <v>175000</v>
      </c>
      <c r="I44" s="125">
        <f t="shared" ca="1" si="0"/>
        <v>2443842499</v>
      </c>
      <c r="J44" s="130"/>
      <c r="N44" s="852"/>
      <c r="O44" s="852"/>
    </row>
    <row r="45" spans="1:15" ht="19.5" customHeight="1">
      <c r="A45" s="124">
        <f ca="1">IF(ROWS($1:32)&gt;COUNT(Dong1),"",OFFSET(TH!C$1,SMALL(Dong1,ROWS($1:32)),))</f>
        <v>41613</v>
      </c>
      <c r="B45" s="124">
        <f ca="1">IF(ROWS($1:32)&gt;COUNT(Dong1),"",OFFSET(TH!E$1,SMALL(Dong1,ROWS($1:32)),))</f>
        <v>41613</v>
      </c>
      <c r="C45" s="125" t="str">
        <f ca="1">IF(ROWS($1:32)&gt;COUNT(Dong1),"",IF(OFFSET(TH!L$1,SMALL(Dong1,ROWS($1:32)),)="1111",OFFSET(TH!D$1,SMALL(Dong1,ROWS($1:32)),),""))</f>
        <v/>
      </c>
      <c r="D45" s="126">
        <f ca="1">IF(ROWS($1:32)&gt;COUNT(Dong1),"",IF(OFFSET(TH!M$1,SMALL(Dong1,ROWS($1:32)),)="1111",OFFSET(TH!D$1,SMALL(Dong1,ROWS($1:32)),),""))</f>
        <v>0</v>
      </c>
      <c r="E45" s="243" t="str">
        <f ca="1">IF(ROWS($1:32)&gt;COUNT(Dong1),"",OFFSET(TH!F$1,SMALL(Dong1,ROWS($1:32)),))</f>
        <v>Thanh toán tiền hàng</v>
      </c>
      <c r="F45" s="128" t="str">
        <f ca="1">IF(ROWS($1:32)&gt;COUNT(Dong1),"",IF(OFFSET(TH!M$1,SMALL(Dong1,ROWS($1:32)),)="1111",OFFSET(TH!L$1,SMALL(Dong1,ROWS($1:32)),),OFFSET(TH!M$1,SMALL(Dong1,ROWS($1:32)),)))</f>
        <v>331</v>
      </c>
      <c r="G45" s="129">
        <f ca="1">IF(ROWS($1:32)&gt;COUNT(Dong1),"",IF(OFFSET(TH!L$1,SMALL(Dong1,ROWS($1:32)),)="1111",OFFSET(TH!K$1,SMALL(Dong1,ROWS($1:32)),),0))</f>
        <v>0</v>
      </c>
      <c r="H45" s="127">
        <f ca="1">IF(ROWS($1:32)&gt;COUNT(Dong1),"",IF(OFFSET(TH!M$1,SMALL(Dong1,ROWS($1:32)),)="1111",OFFSET(TH!K$1,SMALL(Dong1,ROWS($1:32)),),0))</f>
        <v>2323200</v>
      </c>
      <c r="I45" s="125">
        <f t="shared" ca="1" si="0"/>
        <v>2441519299</v>
      </c>
      <c r="J45" s="130"/>
      <c r="N45" s="852"/>
      <c r="O45" s="852"/>
    </row>
    <row r="46" spans="1:15" ht="19.5" customHeight="1">
      <c r="A46" s="124">
        <f ca="1">IF(ROWS($1:33)&gt;COUNT(Dong1),"",OFFSET(TH!C$1,SMALL(Dong1,ROWS($1:33)),))</f>
        <v>41616</v>
      </c>
      <c r="B46" s="124">
        <f ca="1">IF(ROWS($1:33)&gt;COUNT(Dong1),"",OFFSET(TH!E$1,SMALL(Dong1,ROWS($1:33)),))</f>
        <v>41616</v>
      </c>
      <c r="C46" s="125" t="str">
        <f ca="1">IF(ROWS($1:33)&gt;COUNT(Dong1),"",IF(OFFSET(TH!L$1,SMALL(Dong1,ROWS($1:33)),)="1111",OFFSET(TH!D$1,SMALL(Dong1,ROWS($1:33)),),""))</f>
        <v/>
      </c>
      <c r="D46" s="126">
        <f ca="1">IF(ROWS($1:33)&gt;COUNT(Dong1),"",IF(OFFSET(TH!M$1,SMALL(Dong1,ROWS($1:33)),)="1111",OFFSET(TH!D$1,SMALL(Dong1,ROWS($1:33)),),""))</f>
        <v>0</v>
      </c>
      <c r="E46" s="243" t="str">
        <f ca="1">IF(ROWS($1:33)&gt;COUNT(Dong1),"",OFFSET(TH!F$1,SMALL(Dong1,ROWS($1:33)),))</f>
        <v>Chi phí tiếp khách</v>
      </c>
      <c r="F46" s="128" t="str">
        <f ca="1">IF(ROWS($1:33)&gt;COUNT(Dong1),"",IF(OFFSET(TH!M$1,SMALL(Dong1,ROWS($1:33)),)="1111",OFFSET(TH!L$1,SMALL(Dong1,ROWS($1:33)),),OFFSET(TH!M$1,SMALL(Dong1,ROWS($1:33)),)))</f>
        <v>642</v>
      </c>
      <c r="G46" s="129">
        <f ca="1">IF(ROWS($1:33)&gt;COUNT(Dong1),"",IF(OFFSET(TH!L$1,SMALL(Dong1,ROWS($1:33)),)="1111",OFFSET(TH!K$1,SMALL(Dong1,ROWS($1:33)),),0))</f>
        <v>0</v>
      </c>
      <c r="H46" s="127">
        <f ca="1">IF(ROWS($1:33)&gt;COUNT(Dong1),"",IF(OFFSET(TH!M$1,SMALL(Dong1,ROWS($1:33)),)="1111",OFFSET(TH!K$1,SMALL(Dong1,ROWS($1:33)),),0))</f>
        <v>1413637</v>
      </c>
      <c r="I46" s="125">
        <f t="shared" ca="1" si="0"/>
        <v>2440105662</v>
      </c>
      <c r="J46" s="130"/>
      <c r="N46" s="852"/>
      <c r="O46" s="852"/>
    </row>
    <row r="47" spans="1:15" ht="19.5" customHeight="1">
      <c r="A47" s="124">
        <f ca="1">IF(ROWS($1:34)&gt;COUNT(Dong1),"",OFFSET(TH!C$1,SMALL(Dong1,ROWS($1:34)),))</f>
        <v>41616</v>
      </c>
      <c r="B47" s="124">
        <f ca="1">IF(ROWS($1:34)&gt;COUNT(Dong1),"",OFFSET(TH!E$1,SMALL(Dong1,ROWS($1:34)),))</f>
        <v>41616</v>
      </c>
      <c r="C47" s="125" t="str">
        <f ca="1">IF(ROWS($1:34)&gt;COUNT(Dong1),"",IF(OFFSET(TH!L$1,SMALL(Dong1,ROWS($1:34)),)="1111",OFFSET(TH!D$1,SMALL(Dong1,ROWS($1:34)),),""))</f>
        <v/>
      </c>
      <c r="D47" s="126">
        <f ca="1">IF(ROWS($1:34)&gt;COUNT(Dong1),"",IF(OFFSET(TH!M$1,SMALL(Dong1,ROWS($1:34)),)="1111",OFFSET(TH!D$1,SMALL(Dong1,ROWS($1:34)),),""))</f>
        <v>0</v>
      </c>
      <c r="E47" s="243" t="str">
        <f ca="1">IF(ROWS($1:34)&gt;COUNT(Dong1),"",OFFSET(TH!F$1,SMALL(Dong1,ROWS($1:34)),))</f>
        <v>VAT Chi phí tiếp khách</v>
      </c>
      <c r="F47" s="128" t="str">
        <f ca="1">IF(ROWS($1:34)&gt;COUNT(Dong1),"",IF(OFFSET(TH!M$1,SMALL(Dong1,ROWS($1:34)),)="1111",OFFSET(TH!L$1,SMALL(Dong1,ROWS($1:34)),),OFFSET(TH!M$1,SMALL(Dong1,ROWS($1:34)),)))</f>
        <v>1331</v>
      </c>
      <c r="G47" s="129">
        <f ca="1">IF(ROWS($1:34)&gt;COUNT(Dong1),"",IF(OFFSET(TH!L$1,SMALL(Dong1,ROWS($1:34)),)="1111",OFFSET(TH!K$1,SMALL(Dong1,ROWS($1:34)),),0))</f>
        <v>0</v>
      </c>
      <c r="H47" s="127">
        <f ca="1">IF(ROWS($1:34)&gt;COUNT(Dong1),"",IF(OFFSET(TH!M$1,SMALL(Dong1,ROWS($1:34)),)="1111",OFFSET(TH!K$1,SMALL(Dong1,ROWS($1:34)),),0))</f>
        <v>141363</v>
      </c>
      <c r="I47" s="125">
        <f t="shared" ca="1" si="0"/>
        <v>2439964299</v>
      </c>
      <c r="J47" s="130"/>
      <c r="N47" s="852"/>
      <c r="O47" s="852"/>
    </row>
    <row r="48" spans="1:15" ht="19.5" customHeight="1">
      <c r="A48" s="124">
        <f ca="1">IF(ROWS($1:35)&gt;COUNT(Dong1),"",OFFSET(TH!C$1,SMALL(Dong1,ROWS($1:35)),))</f>
        <v>41589</v>
      </c>
      <c r="B48" s="124">
        <f ca="1">IF(ROWS($1:35)&gt;COUNT(Dong1),"",OFFSET(TH!E$1,SMALL(Dong1,ROWS($1:35)),))</f>
        <v>41589</v>
      </c>
      <c r="C48" s="125" t="str">
        <f ca="1">IF(ROWS($1:35)&gt;COUNT(Dong1),"",IF(OFFSET(TH!L$1,SMALL(Dong1,ROWS($1:35)),)="1111",OFFSET(TH!D$1,SMALL(Dong1,ROWS($1:35)),),""))</f>
        <v/>
      </c>
      <c r="D48" s="126">
        <f ca="1">IF(ROWS($1:35)&gt;COUNT(Dong1),"",IF(OFFSET(TH!M$1,SMALL(Dong1,ROWS($1:35)),)="1111",OFFSET(TH!D$1,SMALL(Dong1,ROWS($1:35)),),""))</f>
        <v>0</v>
      </c>
      <c r="E48" s="243" t="str">
        <f ca="1">IF(ROWS($1:35)&gt;COUNT(Dong1),"",OFFSET(TH!F$1,SMALL(Dong1,ROWS($1:35)),))</f>
        <v>Văn phòng phẩm</v>
      </c>
      <c r="F48" s="128" t="str">
        <f ca="1">IF(ROWS($1:35)&gt;COUNT(Dong1),"",IF(OFFSET(TH!M$1,SMALL(Dong1,ROWS($1:35)),)="1111",OFFSET(TH!L$1,SMALL(Dong1,ROWS($1:35)),),OFFSET(TH!M$1,SMALL(Dong1,ROWS($1:35)),)))</f>
        <v>642</v>
      </c>
      <c r="G48" s="129">
        <f ca="1">IF(ROWS($1:35)&gt;COUNT(Dong1),"",IF(OFFSET(TH!L$1,SMALL(Dong1,ROWS($1:35)),)="1111",OFFSET(TH!K$1,SMALL(Dong1,ROWS($1:35)),),0))</f>
        <v>0</v>
      </c>
      <c r="H48" s="127">
        <f ca="1">IF(ROWS($1:35)&gt;COUNT(Dong1),"",IF(OFFSET(TH!M$1,SMALL(Dong1,ROWS($1:35)),)="1111",OFFSET(TH!K$1,SMALL(Dong1,ROWS($1:35)),),0))</f>
        <v>293364</v>
      </c>
      <c r="I48" s="125">
        <f t="shared" ca="1" si="0"/>
        <v>2439670935</v>
      </c>
      <c r="J48" s="130"/>
      <c r="N48" s="852"/>
      <c r="O48" s="852"/>
    </row>
    <row r="49" spans="1:15" ht="19.5" customHeight="1">
      <c r="A49" s="124">
        <f ca="1">IF(ROWS($1:36)&gt;COUNT(Dong1),"",OFFSET(TH!C$1,SMALL(Dong1,ROWS($1:36)),))</f>
        <v>41589</v>
      </c>
      <c r="B49" s="124">
        <f ca="1">IF(ROWS($1:36)&gt;COUNT(Dong1),"",OFFSET(TH!E$1,SMALL(Dong1,ROWS($1:36)),))</f>
        <v>41589</v>
      </c>
      <c r="C49" s="125" t="str">
        <f ca="1">IF(ROWS($1:36)&gt;COUNT(Dong1),"",IF(OFFSET(TH!L$1,SMALL(Dong1,ROWS($1:36)),)="1111",OFFSET(TH!D$1,SMALL(Dong1,ROWS($1:36)),),""))</f>
        <v/>
      </c>
      <c r="D49" s="126">
        <f ca="1">IF(ROWS($1:36)&gt;COUNT(Dong1),"",IF(OFFSET(TH!M$1,SMALL(Dong1,ROWS($1:36)),)="1111",OFFSET(TH!D$1,SMALL(Dong1,ROWS($1:36)),),""))</f>
        <v>0</v>
      </c>
      <c r="E49" s="243" t="str">
        <f ca="1">IF(ROWS($1:36)&gt;COUNT(Dong1),"",OFFSET(TH!F$1,SMALL(Dong1,ROWS($1:36)),))</f>
        <v>VAT Văn phòng phẩm</v>
      </c>
      <c r="F49" s="128" t="str">
        <f ca="1">IF(ROWS($1:36)&gt;COUNT(Dong1),"",IF(OFFSET(TH!M$1,SMALL(Dong1,ROWS($1:36)),)="1111",OFFSET(TH!L$1,SMALL(Dong1,ROWS($1:36)),),OFFSET(TH!M$1,SMALL(Dong1,ROWS($1:36)),)))</f>
        <v>1331</v>
      </c>
      <c r="G49" s="129">
        <f ca="1">IF(ROWS($1:36)&gt;COUNT(Dong1),"",IF(OFFSET(TH!L$1,SMALL(Dong1,ROWS($1:36)),)="1111",OFFSET(TH!K$1,SMALL(Dong1,ROWS($1:36)),),0))</f>
        <v>0</v>
      </c>
      <c r="H49" s="127">
        <f ca="1">IF(ROWS($1:36)&gt;COUNT(Dong1),"",IF(OFFSET(TH!M$1,SMALL(Dong1,ROWS($1:36)),)="1111",OFFSET(TH!K$1,SMALL(Dong1,ROWS($1:36)),),0))</f>
        <v>29336</v>
      </c>
      <c r="I49" s="125">
        <f t="shared" ca="1" si="0"/>
        <v>2439641599</v>
      </c>
      <c r="J49" s="130"/>
      <c r="N49" s="852"/>
      <c r="O49" s="852"/>
    </row>
    <row r="50" spans="1:15" ht="19.5" customHeight="1">
      <c r="A50" s="124">
        <f ca="1">IF(ROWS($1:37)&gt;COUNT(Dong1),"",OFFSET(TH!C$1,SMALL(Dong1,ROWS($1:37)),))</f>
        <v>41604</v>
      </c>
      <c r="B50" s="124">
        <f ca="1">IF(ROWS($1:37)&gt;COUNT(Dong1),"",OFFSET(TH!E$1,SMALL(Dong1,ROWS($1:37)),))</f>
        <v>41604</v>
      </c>
      <c r="C50" s="125" t="str">
        <f ca="1">IF(ROWS($1:37)&gt;COUNT(Dong1),"",IF(OFFSET(TH!L$1,SMALL(Dong1,ROWS($1:37)),)="1111",OFFSET(TH!D$1,SMALL(Dong1,ROWS($1:37)),),""))</f>
        <v/>
      </c>
      <c r="D50" s="126">
        <f ca="1">IF(ROWS($1:37)&gt;COUNT(Dong1),"",IF(OFFSET(TH!M$1,SMALL(Dong1,ROWS($1:37)),)="1111",OFFSET(TH!D$1,SMALL(Dong1,ROWS($1:37)),),""))</f>
        <v>0</v>
      </c>
      <c r="E50" s="243" t="str">
        <f ca="1">IF(ROWS($1:37)&gt;COUNT(Dong1),"",OFFSET(TH!F$1,SMALL(Dong1,ROWS($1:37)),))</f>
        <v>Mực in</v>
      </c>
      <c r="F50" s="128" t="str">
        <f ca="1">IF(ROWS($1:37)&gt;COUNT(Dong1),"",IF(OFFSET(TH!M$1,SMALL(Dong1,ROWS($1:37)),)="1111",OFFSET(TH!L$1,SMALL(Dong1,ROWS($1:37)),),OFFSET(TH!M$1,SMALL(Dong1,ROWS($1:37)),)))</f>
        <v>154</v>
      </c>
      <c r="G50" s="129">
        <f ca="1">IF(ROWS($1:37)&gt;COUNT(Dong1),"",IF(OFFSET(TH!L$1,SMALL(Dong1,ROWS($1:37)),)="1111",OFFSET(TH!K$1,SMALL(Dong1,ROWS($1:37)),),0))</f>
        <v>0</v>
      </c>
      <c r="H50" s="127">
        <f ca="1">IF(ROWS($1:37)&gt;COUNT(Dong1),"",IF(OFFSET(TH!M$1,SMALL(Dong1,ROWS($1:37)),)="1111",OFFSET(TH!K$1,SMALL(Dong1,ROWS($1:37)),),0))</f>
        <v>4025000</v>
      </c>
      <c r="I50" s="125">
        <f t="shared" ca="1" si="0"/>
        <v>2435616599</v>
      </c>
      <c r="J50" s="130"/>
    </row>
    <row r="51" spans="1:15" ht="19.5" customHeight="1">
      <c r="A51" s="124">
        <f ca="1">IF(ROWS($1:38)&gt;COUNT(Dong1),"",OFFSET(TH!C$1,SMALL(Dong1,ROWS($1:38)),))</f>
        <v>41604</v>
      </c>
      <c r="B51" s="124">
        <f ca="1">IF(ROWS($1:38)&gt;COUNT(Dong1),"",OFFSET(TH!E$1,SMALL(Dong1,ROWS($1:38)),))</f>
        <v>41604</v>
      </c>
      <c r="C51" s="125" t="str">
        <f ca="1">IF(ROWS($1:38)&gt;COUNT(Dong1),"",IF(OFFSET(TH!L$1,SMALL(Dong1,ROWS($1:38)),)="1111",OFFSET(TH!D$1,SMALL(Dong1,ROWS($1:38)),),""))</f>
        <v/>
      </c>
      <c r="D51" s="126">
        <f ca="1">IF(ROWS($1:38)&gt;COUNT(Dong1),"",IF(OFFSET(TH!M$1,SMALL(Dong1,ROWS($1:38)),)="1111",OFFSET(TH!D$1,SMALL(Dong1,ROWS($1:38)),),""))</f>
        <v>0</v>
      </c>
      <c r="E51" s="243" t="str">
        <f ca="1">IF(ROWS($1:38)&gt;COUNT(Dong1),"",OFFSET(TH!F$1,SMALL(Dong1,ROWS($1:38)),))</f>
        <v>VAT Mực in</v>
      </c>
      <c r="F51" s="128" t="str">
        <f ca="1">IF(ROWS($1:38)&gt;COUNT(Dong1),"",IF(OFFSET(TH!M$1,SMALL(Dong1,ROWS($1:38)),)="1111",OFFSET(TH!L$1,SMALL(Dong1,ROWS($1:38)),),OFFSET(TH!M$1,SMALL(Dong1,ROWS($1:38)),)))</f>
        <v>1331</v>
      </c>
      <c r="G51" s="129">
        <f ca="1">IF(ROWS($1:38)&gt;COUNT(Dong1),"",IF(OFFSET(TH!L$1,SMALL(Dong1,ROWS($1:38)),)="1111",OFFSET(TH!K$1,SMALL(Dong1,ROWS($1:38)),),0))</f>
        <v>0</v>
      </c>
      <c r="H51" s="127">
        <f ca="1">IF(ROWS($1:38)&gt;COUNT(Dong1),"",IF(OFFSET(TH!M$1,SMALL(Dong1,ROWS($1:38)),)="1111",OFFSET(TH!K$1,SMALL(Dong1,ROWS($1:38)),),0))</f>
        <v>402500</v>
      </c>
      <c r="I51" s="125">
        <f t="shared" ca="1" si="0"/>
        <v>2435214099</v>
      </c>
      <c r="J51" s="130"/>
    </row>
    <row r="52" spans="1:15" ht="19.5" customHeight="1">
      <c r="A52" s="124">
        <f ca="1">IF(ROWS($1:39)&gt;COUNT(Dong1),"",OFFSET(TH!C$1,SMALL(Dong1,ROWS($1:39)),))</f>
        <v>41615</v>
      </c>
      <c r="B52" s="124">
        <f ca="1">IF(ROWS($1:39)&gt;COUNT(Dong1),"",OFFSET(TH!E$1,SMALL(Dong1,ROWS($1:39)),))</f>
        <v>41615</v>
      </c>
      <c r="C52" s="125" t="str">
        <f ca="1">IF(ROWS($1:39)&gt;COUNT(Dong1),"",IF(OFFSET(TH!L$1,SMALL(Dong1,ROWS($1:39)),)="1111",OFFSET(TH!D$1,SMALL(Dong1,ROWS($1:39)),),""))</f>
        <v/>
      </c>
      <c r="D52" s="126">
        <f ca="1">IF(ROWS($1:39)&gt;COUNT(Dong1),"",IF(OFFSET(TH!M$1,SMALL(Dong1,ROWS($1:39)),)="1111",OFFSET(TH!D$1,SMALL(Dong1,ROWS($1:39)),),""))</f>
        <v>0</v>
      </c>
      <c r="E52" s="243" t="str">
        <f ca="1">IF(ROWS($1:39)&gt;COUNT(Dong1),"",OFFSET(TH!F$1,SMALL(Dong1,ROWS($1:39)),))</f>
        <v>Mực in</v>
      </c>
      <c r="F52" s="128" t="str">
        <f ca="1">IF(ROWS($1:39)&gt;COUNT(Dong1),"",IF(OFFSET(TH!M$1,SMALL(Dong1,ROWS($1:39)),)="1111",OFFSET(TH!L$1,SMALL(Dong1,ROWS($1:39)),),OFFSET(TH!M$1,SMALL(Dong1,ROWS($1:39)),)))</f>
        <v>154</v>
      </c>
      <c r="G52" s="129">
        <f ca="1">IF(ROWS($1:39)&gt;COUNT(Dong1),"",IF(OFFSET(TH!L$1,SMALL(Dong1,ROWS($1:39)),)="1111",OFFSET(TH!K$1,SMALL(Dong1,ROWS($1:39)),),0))</f>
        <v>0</v>
      </c>
      <c r="H52" s="127">
        <f ca="1">IF(ROWS($1:39)&gt;COUNT(Dong1),"",IF(OFFSET(TH!M$1,SMALL(Dong1,ROWS($1:39)),)="1111",OFFSET(TH!K$1,SMALL(Dong1,ROWS($1:39)),),0))</f>
        <v>2120000</v>
      </c>
      <c r="I52" s="125">
        <f t="shared" ca="1" si="0"/>
        <v>2433094099</v>
      </c>
      <c r="J52" s="130"/>
    </row>
    <row r="53" spans="1:15" ht="19.5" customHeight="1">
      <c r="A53" s="124">
        <f ca="1">IF(ROWS($1:40)&gt;COUNT(Dong1),"",OFFSET(TH!C$1,SMALL(Dong1,ROWS($1:40)),))</f>
        <v>41615</v>
      </c>
      <c r="B53" s="124">
        <f ca="1">IF(ROWS($1:40)&gt;COUNT(Dong1),"",OFFSET(TH!E$1,SMALL(Dong1,ROWS($1:40)),))</f>
        <v>41615</v>
      </c>
      <c r="C53" s="125" t="str">
        <f ca="1">IF(ROWS($1:40)&gt;COUNT(Dong1),"",IF(OFFSET(TH!L$1,SMALL(Dong1,ROWS($1:40)),)="1111",OFFSET(TH!D$1,SMALL(Dong1,ROWS($1:40)),),""))</f>
        <v/>
      </c>
      <c r="D53" s="126">
        <f ca="1">IF(ROWS($1:40)&gt;COUNT(Dong1),"",IF(OFFSET(TH!M$1,SMALL(Dong1,ROWS($1:40)),)="1111",OFFSET(TH!D$1,SMALL(Dong1,ROWS($1:40)),),""))</f>
        <v>0</v>
      </c>
      <c r="E53" s="243" t="str">
        <f ca="1">IF(ROWS($1:40)&gt;COUNT(Dong1),"",OFFSET(TH!F$1,SMALL(Dong1,ROWS($1:40)),))</f>
        <v>VAT Mực in</v>
      </c>
      <c r="F53" s="128" t="str">
        <f ca="1">IF(ROWS($1:40)&gt;COUNT(Dong1),"",IF(OFFSET(TH!M$1,SMALL(Dong1,ROWS($1:40)),)="1111",OFFSET(TH!L$1,SMALL(Dong1,ROWS($1:40)),),OFFSET(TH!M$1,SMALL(Dong1,ROWS($1:40)),)))</f>
        <v>1331</v>
      </c>
      <c r="G53" s="129">
        <f ca="1">IF(ROWS($1:40)&gt;COUNT(Dong1),"",IF(OFFSET(TH!L$1,SMALL(Dong1,ROWS($1:40)),)="1111",OFFSET(TH!K$1,SMALL(Dong1,ROWS($1:40)),),0))</f>
        <v>0</v>
      </c>
      <c r="H53" s="127">
        <f ca="1">IF(ROWS($1:40)&gt;COUNT(Dong1),"",IF(OFFSET(TH!M$1,SMALL(Dong1,ROWS($1:40)),)="1111",OFFSET(TH!K$1,SMALL(Dong1,ROWS($1:40)),),0))</f>
        <v>212000</v>
      </c>
      <c r="I53" s="125">
        <f t="shared" ca="1" si="0"/>
        <v>2432882099</v>
      </c>
      <c r="J53" s="130"/>
    </row>
    <row r="54" spans="1:15" ht="19.5" customHeight="1">
      <c r="A54" s="124">
        <f ca="1">IF(ROWS($1:41)&gt;COUNT(Dong1),"",OFFSET(TH!C$1,SMALL(Dong1,ROWS($1:41)),))</f>
        <v>41625</v>
      </c>
      <c r="B54" s="124">
        <f ca="1">IF(ROWS($1:41)&gt;COUNT(Dong1),"",OFFSET(TH!E$1,SMALL(Dong1,ROWS($1:41)),))</f>
        <v>41625</v>
      </c>
      <c r="C54" s="125" t="str">
        <f ca="1">IF(ROWS($1:41)&gt;COUNT(Dong1),"",IF(OFFSET(TH!L$1,SMALL(Dong1,ROWS($1:41)),)="1111",OFFSET(TH!D$1,SMALL(Dong1,ROWS($1:41)),),""))</f>
        <v/>
      </c>
      <c r="D54" s="126">
        <f ca="1">IF(ROWS($1:41)&gt;COUNT(Dong1),"",IF(OFFSET(TH!M$1,SMALL(Dong1,ROWS($1:41)),)="1111",OFFSET(TH!D$1,SMALL(Dong1,ROWS($1:41)),),""))</f>
        <v>0</v>
      </c>
      <c r="E54" s="243" t="str">
        <f ca="1">IF(ROWS($1:41)&gt;COUNT(Dong1),"",OFFSET(TH!F$1,SMALL(Dong1,ROWS($1:41)),))</f>
        <v>Mực in</v>
      </c>
      <c r="F54" s="128" t="str">
        <f ca="1">IF(ROWS($1:41)&gt;COUNT(Dong1),"",IF(OFFSET(TH!M$1,SMALL(Dong1,ROWS($1:41)),)="1111",OFFSET(TH!L$1,SMALL(Dong1,ROWS($1:41)),),OFFSET(TH!M$1,SMALL(Dong1,ROWS($1:41)),)))</f>
        <v>154</v>
      </c>
      <c r="G54" s="129">
        <f ca="1">IF(ROWS($1:41)&gt;COUNT(Dong1),"",IF(OFFSET(TH!L$1,SMALL(Dong1,ROWS($1:41)),)="1111",OFFSET(TH!K$1,SMALL(Dong1,ROWS($1:41)),),0))</f>
        <v>0</v>
      </c>
      <c r="H54" s="127">
        <f ca="1">IF(ROWS($1:41)&gt;COUNT(Dong1),"",IF(OFFSET(TH!M$1,SMALL(Dong1,ROWS($1:41)),)="1111",OFFSET(TH!K$1,SMALL(Dong1,ROWS($1:41)),),0))</f>
        <v>2850000</v>
      </c>
      <c r="I54" s="125">
        <f t="shared" ca="1" si="0"/>
        <v>2430032099</v>
      </c>
      <c r="J54" s="130"/>
    </row>
    <row r="55" spans="1:15" ht="19.5" customHeight="1">
      <c r="A55" s="124">
        <f ca="1">IF(ROWS($1:42)&gt;COUNT(Dong1),"",OFFSET(TH!C$1,SMALL(Dong1,ROWS($1:42)),))</f>
        <v>41625</v>
      </c>
      <c r="B55" s="124">
        <f ca="1">IF(ROWS($1:42)&gt;COUNT(Dong1),"",OFFSET(TH!E$1,SMALL(Dong1,ROWS($1:42)),))</f>
        <v>41625</v>
      </c>
      <c r="C55" s="125" t="str">
        <f ca="1">IF(ROWS($1:42)&gt;COUNT(Dong1),"",IF(OFFSET(TH!L$1,SMALL(Dong1,ROWS($1:42)),)="1111",OFFSET(TH!D$1,SMALL(Dong1,ROWS($1:42)),),""))</f>
        <v/>
      </c>
      <c r="D55" s="126">
        <f ca="1">IF(ROWS($1:42)&gt;COUNT(Dong1),"",IF(OFFSET(TH!M$1,SMALL(Dong1,ROWS($1:42)),)="1111",OFFSET(TH!D$1,SMALL(Dong1,ROWS($1:42)),),""))</f>
        <v>0</v>
      </c>
      <c r="E55" s="243" t="str">
        <f ca="1">IF(ROWS($1:42)&gt;COUNT(Dong1),"",OFFSET(TH!F$1,SMALL(Dong1,ROWS($1:42)),))</f>
        <v>VAT Mực in</v>
      </c>
      <c r="F55" s="128" t="str">
        <f ca="1">IF(ROWS($1:42)&gt;COUNT(Dong1),"",IF(OFFSET(TH!M$1,SMALL(Dong1,ROWS($1:42)),)="1111",OFFSET(TH!L$1,SMALL(Dong1,ROWS($1:42)),),OFFSET(TH!M$1,SMALL(Dong1,ROWS($1:42)),)))</f>
        <v>1331</v>
      </c>
      <c r="G55" s="129">
        <f ca="1">IF(ROWS($1:42)&gt;COUNT(Dong1),"",IF(OFFSET(TH!L$1,SMALL(Dong1,ROWS($1:42)),)="1111",OFFSET(TH!K$1,SMALL(Dong1,ROWS($1:42)),),0))</f>
        <v>0</v>
      </c>
      <c r="H55" s="127">
        <f ca="1">IF(ROWS($1:42)&gt;COUNT(Dong1),"",IF(OFFSET(TH!M$1,SMALL(Dong1,ROWS($1:42)),)="1111",OFFSET(TH!K$1,SMALL(Dong1,ROWS($1:42)),),0))</f>
        <v>285000</v>
      </c>
      <c r="I55" s="125">
        <f t="shared" ca="1" si="0"/>
        <v>2429747099</v>
      </c>
      <c r="J55" s="130"/>
    </row>
    <row r="56" spans="1:15" ht="19.5" customHeight="1">
      <c r="A56" s="124">
        <f ca="1">IF(ROWS($1:43)&gt;COUNT(Dong1),"",OFFSET(TH!C$1,SMALL(Dong1,ROWS($1:43)),))</f>
        <v>41577</v>
      </c>
      <c r="B56" s="124">
        <f ca="1">IF(ROWS($1:43)&gt;COUNT(Dong1),"",OFFSET(TH!E$1,SMALL(Dong1,ROWS($1:43)),))</f>
        <v>41577</v>
      </c>
      <c r="C56" s="125" t="str">
        <f ca="1">IF(ROWS($1:43)&gt;COUNT(Dong1),"",IF(OFFSET(TH!L$1,SMALL(Dong1,ROWS($1:43)),)="1111",OFFSET(TH!D$1,SMALL(Dong1,ROWS($1:43)),),""))</f>
        <v/>
      </c>
      <c r="D56" s="126">
        <f ca="1">IF(ROWS($1:43)&gt;COUNT(Dong1),"",IF(OFFSET(TH!M$1,SMALL(Dong1,ROWS($1:43)),)="1111",OFFSET(TH!D$1,SMALL(Dong1,ROWS($1:43)),),""))</f>
        <v>0</v>
      </c>
      <c r="E56" s="243" t="str">
        <f ca="1">IF(ROWS($1:43)&gt;COUNT(Dong1),"",OFFSET(TH!F$1,SMALL(Dong1,ROWS($1:43)),))</f>
        <v>Mực in</v>
      </c>
      <c r="F56" s="128" t="str">
        <f ca="1">IF(ROWS($1:43)&gt;COUNT(Dong1),"",IF(OFFSET(TH!M$1,SMALL(Dong1,ROWS($1:43)),)="1111",OFFSET(TH!L$1,SMALL(Dong1,ROWS($1:43)),),OFFSET(TH!M$1,SMALL(Dong1,ROWS($1:43)),)))</f>
        <v>154</v>
      </c>
      <c r="G56" s="129">
        <f ca="1">IF(ROWS($1:43)&gt;COUNT(Dong1),"",IF(OFFSET(TH!L$1,SMALL(Dong1,ROWS($1:43)),)="1111",OFFSET(TH!K$1,SMALL(Dong1,ROWS($1:43)),),0))</f>
        <v>0</v>
      </c>
      <c r="H56" s="127">
        <f ca="1">IF(ROWS($1:43)&gt;COUNT(Dong1),"",IF(OFFSET(TH!M$1,SMALL(Dong1,ROWS($1:43)),)="1111",OFFSET(TH!K$1,SMALL(Dong1,ROWS($1:43)),),0))</f>
        <v>11940000</v>
      </c>
      <c r="I56" s="125">
        <f t="shared" ca="1" si="0"/>
        <v>2417807099</v>
      </c>
      <c r="J56" s="130"/>
    </row>
    <row r="57" spans="1:15" ht="19.5" customHeight="1">
      <c r="A57" s="124">
        <f ca="1">IF(ROWS($1:44)&gt;COUNT(Dong1),"",OFFSET(TH!C$1,SMALL(Dong1,ROWS($1:44)),))</f>
        <v>41577</v>
      </c>
      <c r="B57" s="124">
        <f ca="1">IF(ROWS($1:44)&gt;COUNT(Dong1),"",OFFSET(TH!E$1,SMALL(Dong1,ROWS($1:44)),))</f>
        <v>41577</v>
      </c>
      <c r="C57" s="125" t="str">
        <f ca="1">IF(ROWS($1:44)&gt;COUNT(Dong1),"",IF(OFFSET(TH!L$1,SMALL(Dong1,ROWS($1:44)),)="1111",OFFSET(TH!D$1,SMALL(Dong1,ROWS($1:44)),),""))</f>
        <v/>
      </c>
      <c r="D57" s="126">
        <f ca="1">IF(ROWS($1:44)&gt;COUNT(Dong1),"",IF(OFFSET(TH!M$1,SMALL(Dong1,ROWS($1:44)),)="1111",OFFSET(TH!D$1,SMALL(Dong1,ROWS($1:44)),),""))</f>
        <v>0</v>
      </c>
      <c r="E57" s="243" t="str">
        <f ca="1">IF(ROWS($1:44)&gt;COUNT(Dong1),"",OFFSET(TH!F$1,SMALL(Dong1,ROWS($1:44)),))</f>
        <v>VAT Mực in</v>
      </c>
      <c r="F57" s="128" t="str">
        <f ca="1">IF(ROWS($1:44)&gt;COUNT(Dong1),"",IF(OFFSET(TH!M$1,SMALL(Dong1,ROWS($1:44)),)="1111",OFFSET(TH!L$1,SMALL(Dong1,ROWS($1:44)),),OFFSET(TH!M$1,SMALL(Dong1,ROWS($1:44)),)))</f>
        <v>1331</v>
      </c>
      <c r="G57" s="129">
        <f ca="1">IF(ROWS($1:44)&gt;COUNT(Dong1),"",IF(OFFSET(TH!L$1,SMALL(Dong1,ROWS($1:44)),)="1111",OFFSET(TH!K$1,SMALL(Dong1,ROWS($1:44)),),0))</f>
        <v>0</v>
      </c>
      <c r="H57" s="127">
        <f ca="1">IF(ROWS($1:44)&gt;COUNT(Dong1),"",IF(OFFSET(TH!M$1,SMALL(Dong1,ROWS($1:44)),)="1111",OFFSET(TH!K$1,SMALL(Dong1,ROWS($1:44)),),0))</f>
        <v>1194000</v>
      </c>
      <c r="I57" s="125">
        <f t="shared" ca="1" si="0"/>
        <v>2416613099</v>
      </c>
      <c r="J57" s="130"/>
    </row>
    <row r="58" spans="1:15" ht="19.5" customHeight="1">
      <c r="A58" s="124">
        <f ca="1">IF(ROWS($1:45)&gt;COUNT(Dong1),"",OFFSET(TH!C$1,SMALL(Dong1,ROWS($1:45)),))</f>
        <v>41591</v>
      </c>
      <c r="B58" s="124">
        <f ca="1">IF(ROWS($1:45)&gt;COUNT(Dong1),"",OFFSET(TH!E$1,SMALL(Dong1,ROWS($1:45)),))</f>
        <v>41591</v>
      </c>
      <c r="C58" s="125" t="str">
        <f ca="1">IF(ROWS($1:45)&gt;COUNT(Dong1),"",IF(OFFSET(TH!L$1,SMALL(Dong1,ROWS($1:45)),)="1111",OFFSET(TH!D$1,SMALL(Dong1,ROWS($1:45)),),""))</f>
        <v/>
      </c>
      <c r="D58" s="126">
        <f ca="1">IF(ROWS($1:45)&gt;COUNT(Dong1),"",IF(OFFSET(TH!M$1,SMALL(Dong1,ROWS($1:45)),)="1111",OFFSET(TH!D$1,SMALL(Dong1,ROWS($1:45)),),""))</f>
        <v>0</v>
      </c>
      <c r="E58" s="243" t="str">
        <f ca="1">IF(ROWS($1:45)&gt;COUNT(Dong1),"",OFFSET(TH!F$1,SMALL(Dong1,ROWS($1:45)),))</f>
        <v>Mực in</v>
      </c>
      <c r="F58" s="128" t="str">
        <f ca="1">IF(ROWS($1:45)&gt;COUNT(Dong1),"",IF(OFFSET(TH!M$1,SMALL(Dong1,ROWS($1:45)),)="1111",OFFSET(TH!L$1,SMALL(Dong1,ROWS($1:45)),),OFFSET(TH!M$1,SMALL(Dong1,ROWS($1:45)),)))</f>
        <v>154</v>
      </c>
      <c r="G58" s="129">
        <f ca="1">IF(ROWS($1:45)&gt;COUNT(Dong1),"",IF(OFFSET(TH!L$1,SMALL(Dong1,ROWS($1:45)),)="1111",OFFSET(TH!K$1,SMALL(Dong1,ROWS($1:45)),),0))</f>
        <v>0</v>
      </c>
      <c r="H58" s="127">
        <f ca="1">IF(ROWS($1:45)&gt;COUNT(Dong1),"",IF(OFFSET(TH!M$1,SMALL(Dong1,ROWS($1:45)),)="1111",OFFSET(TH!K$1,SMALL(Dong1,ROWS($1:45)),),0))</f>
        <v>1360000</v>
      </c>
      <c r="I58" s="125">
        <f t="shared" ca="1" si="0"/>
        <v>2415253099</v>
      </c>
      <c r="J58" s="130"/>
    </row>
    <row r="59" spans="1:15" ht="19.5" customHeight="1">
      <c r="A59" s="131"/>
      <c r="B59" s="130"/>
      <c r="C59" s="130"/>
      <c r="D59" s="130"/>
      <c r="E59" s="244"/>
      <c r="F59" s="132"/>
      <c r="G59" s="130"/>
      <c r="H59" s="130"/>
      <c r="I59" s="125"/>
      <c r="J59" s="130"/>
    </row>
    <row r="60" spans="1:15" s="120" customFormat="1" ht="19.5" customHeight="1">
      <c r="A60" s="133"/>
      <c r="B60" s="133"/>
      <c r="C60" s="133"/>
      <c r="D60" s="133"/>
      <c r="E60" s="133" t="s">
        <v>140</v>
      </c>
      <c r="F60" s="134" t="s">
        <v>19</v>
      </c>
      <c r="G60" s="133">
        <f ca="1">SUM(G14:G59)</f>
        <v>471800000</v>
      </c>
      <c r="H60" s="133">
        <f ca="1">SUM(H14:H59)</f>
        <v>57173029</v>
      </c>
      <c r="I60" s="134" t="s">
        <v>19</v>
      </c>
      <c r="J60" s="134" t="s">
        <v>19</v>
      </c>
    </row>
    <row r="61" spans="1:15" s="120" customFormat="1" ht="19.5" customHeight="1">
      <c r="A61" s="135"/>
      <c r="B61" s="135"/>
      <c r="C61" s="135"/>
      <c r="D61" s="135"/>
      <c r="E61" s="135" t="s">
        <v>141</v>
      </c>
      <c r="F61" s="136" t="s">
        <v>19</v>
      </c>
      <c r="G61" s="136" t="s">
        <v>19</v>
      </c>
      <c r="H61" s="136" t="s">
        <v>19</v>
      </c>
      <c r="I61" s="137">
        <f ca="1">I13+G60-H60</f>
        <v>2415253099</v>
      </c>
      <c r="J61" s="136" t="s">
        <v>19</v>
      </c>
    </row>
    <row r="62" spans="1:15">
      <c r="L62" s="268" t="s">
        <v>178</v>
      </c>
    </row>
    <row r="63" spans="1:15">
      <c r="A63" s="138" t="s">
        <v>174</v>
      </c>
      <c r="L63" s="268" t="s">
        <v>179</v>
      </c>
    </row>
    <row r="64" spans="1:15">
      <c r="A64" s="186" t="str">
        <f ca="1">"- Ngày mở sổ: "&amp;DAY($A$14)&amp;"/"&amp;MONTH($A$14)&amp;"/ " &amp;YEAR($A$14)</f>
        <v>- Ngày mở sổ: 5/10/ 2013</v>
      </c>
      <c r="L64" s="268" t="s">
        <v>142</v>
      </c>
    </row>
    <row r="65" spans="1:12">
      <c r="I65" s="203" t="str">
        <f>"Ngày "&amp;IF(OR($L$11=4,$L$11=6,$L$11=9,$L$11=11),"30",IF($L$11=2,"28","31"))&amp;" tháng "&amp;$L$11&amp;"  năm  2016 "</f>
        <v xml:space="preserve">Ngày 31 tháng Quý IV  năm  2016 </v>
      </c>
      <c r="L65" s="268" t="s">
        <v>174</v>
      </c>
    </row>
    <row r="66" spans="1:12" s="139" customFormat="1" ht="14.25">
      <c r="C66" s="139" t="s">
        <v>11</v>
      </c>
      <c r="E66" s="139" t="s">
        <v>12</v>
      </c>
      <c r="I66" s="139" t="s">
        <v>113</v>
      </c>
    </row>
    <row r="67" spans="1:12" s="140" customFormat="1">
      <c r="C67" s="140" t="s">
        <v>13</v>
      </c>
      <c r="E67" s="140" t="s">
        <v>13</v>
      </c>
      <c r="I67" s="140" t="s">
        <v>143</v>
      </c>
    </row>
    <row r="68" spans="1:12" s="140" customFormat="1"/>
    <row r="69" spans="1:12" s="140" customFormat="1"/>
    <row r="70" spans="1:12" s="140" customFormat="1"/>
    <row r="71" spans="1:12" s="140" customFormat="1"/>
    <row r="74" spans="1:12" ht="15.75">
      <c r="C74" s="241" t="s">
        <v>172</v>
      </c>
      <c r="I74" s="242" t="s">
        <v>107</v>
      </c>
    </row>
    <row r="75" spans="1:12">
      <c r="E75" s="115">
        <f ca="1">SUMIF($D$14:$D$36,#REF!,H14:H36)</f>
        <v>0</v>
      </c>
    </row>
    <row r="78" spans="1:12">
      <c r="A78" s="115">
        <v>2</v>
      </c>
      <c r="B78" s="115">
        <v>3</v>
      </c>
      <c r="C78" s="115">
        <v>4</v>
      </c>
      <c r="D78" s="115">
        <v>5</v>
      </c>
      <c r="E78" s="115">
        <v>6</v>
      </c>
      <c r="F78" s="115">
        <v>9</v>
      </c>
      <c r="G78" s="115">
        <v>10</v>
      </c>
      <c r="H78" s="115">
        <v>11</v>
      </c>
      <c r="I78" s="115">
        <v>12</v>
      </c>
      <c r="J78" s="115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29"/>
      <c r="R3" s="208"/>
      <c r="S3" s="209" t="s">
        <v>457</v>
      </c>
      <c r="T3" s="208"/>
      <c r="U3" s="209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0"/>
      <c r="R4" s="84"/>
      <c r="S4" s="770">
        <v>1</v>
      </c>
      <c r="T4" s="84"/>
      <c r="U4" s="631" t="s">
        <v>4</v>
      </c>
      <c r="V4" s="110"/>
      <c r="W4" s="632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/>
      </c>
      <c r="J5" s="80"/>
      <c r="K5" s="82"/>
      <c r="M5" s="82"/>
      <c r="N5" s="82"/>
      <c r="O5" s="82"/>
      <c r="P5" s="83"/>
      <c r="Q5" s="629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01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str">
        <f>IF($U$4="T","1111",IF($U$4="C",IF(ISNA(VLOOKUP($M$7,TM,15,0)),"",VLOOKUP($M$7,TM,14,0)),""))</f>
        <v/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 xml:space="preserve">Lý do chi : 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2" t="str">
        <f>H5</f>
        <v/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7"/>
      <c r="H24" s="227"/>
      <c r="J24" s="227" t="s">
        <v>172</v>
      </c>
      <c r="M24" s="227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1" customWidth="1"/>
    <col min="2" max="2" width="6" style="182" customWidth="1"/>
    <col min="3" max="3" width="7.7109375" style="181" customWidth="1"/>
    <col min="4" max="4" width="40.7109375" style="180" customWidth="1"/>
    <col min="5" max="5" width="7.5703125" style="180" customWidth="1"/>
    <col min="6" max="6" width="14.28515625" style="180" customWidth="1"/>
    <col min="7" max="7" width="14.5703125" style="180" customWidth="1"/>
    <col min="8" max="8" width="14.7109375" style="480" customWidth="1"/>
    <col min="9" max="9" width="6.5703125" style="180" customWidth="1"/>
    <col min="10" max="10" width="2.85546875" style="180" customWidth="1"/>
    <col min="11" max="11" width="9.140625" style="180" customWidth="1"/>
    <col min="12" max="12" width="3.28515625" style="180" customWidth="1"/>
    <col min="13" max="13" width="8" style="180" customWidth="1"/>
    <col min="14" max="15" width="3.85546875" style="180" hidden="1" customWidth="1"/>
    <col min="16" max="16" width="1.7109375" style="180" customWidth="1"/>
    <col min="17" max="17" width="12.85546875" style="180" bestFit="1" customWidth="1"/>
    <col min="18" max="18" width="12.7109375" style="180" customWidth="1"/>
    <col min="19" max="19" width="15.140625" style="180" customWidth="1"/>
    <col min="20" max="20" width="12" style="180" bestFit="1" customWidth="1"/>
    <col min="21" max="16384" width="9.140625" style="180"/>
  </cols>
  <sheetData>
    <row r="1" spans="1:20" s="144" customFormat="1" ht="16.5" customHeight="1">
      <c r="A1" s="94" t="str">
        <f>TH!A1</f>
        <v>Đơn vị: CÔNG TY TNHH HẢI SẢN AN LẠC</v>
      </c>
      <c r="B1" s="145"/>
      <c r="C1" s="146"/>
      <c r="F1" s="245"/>
      <c r="G1" s="247" t="s">
        <v>175</v>
      </c>
      <c r="H1" s="741"/>
      <c r="I1" s="245"/>
      <c r="K1" s="147"/>
      <c r="L1" s="147"/>
    </row>
    <row r="2" spans="1:20" s="144" customFormat="1" ht="16.5" customHeight="1">
      <c r="A2" s="249" t="str">
        <f>TH!A2</f>
        <v>Địa chỉ: Lô A14, Đường 4A, KCN Hải Sơn, Đức Hòa, Long An</v>
      </c>
      <c r="B2" s="183"/>
      <c r="C2" s="183"/>
      <c r="D2" s="183"/>
      <c r="F2" s="246"/>
      <c r="G2" s="248" t="s">
        <v>176</v>
      </c>
      <c r="H2" s="742"/>
      <c r="I2" s="246"/>
      <c r="K2" s="148"/>
      <c r="L2" s="148"/>
    </row>
    <row r="3" spans="1:20" s="144" customFormat="1" ht="16.5" customHeight="1">
      <c r="A3" s="183"/>
      <c r="B3" s="183"/>
      <c r="C3" s="183"/>
      <c r="D3" s="183"/>
      <c r="F3" s="246"/>
      <c r="G3" s="248" t="s">
        <v>177</v>
      </c>
      <c r="H3" s="742"/>
      <c r="I3" s="246"/>
    </row>
    <row r="4" spans="1:20" s="144" customFormat="1" ht="19.5" customHeight="1">
      <c r="A4" s="1001" t="s">
        <v>147</v>
      </c>
      <c r="B4" s="1001"/>
      <c r="C4" s="1001"/>
      <c r="D4" s="1001"/>
      <c r="E4" s="1001"/>
      <c r="F4" s="1001"/>
      <c r="G4" s="1001"/>
      <c r="H4" s="1001"/>
      <c r="I4" s="1001"/>
    </row>
    <row r="5" spans="1:20" s="144" customFormat="1" ht="15">
      <c r="A5" s="1002" t="str">
        <f>"Nơi mở tài khoản giao dịch:  "&amp;IF($M$9="ACB"," Ngân Hàng ACB"," Ngân Hàng Eximbank - Chi Nhánh Chợ Lớn")</f>
        <v>Nơi mở tài khoản giao dịch:   Ngân Hàng ACB</v>
      </c>
      <c r="B5" s="1002"/>
      <c r="C5" s="1002"/>
      <c r="D5" s="1002"/>
      <c r="E5" s="1002"/>
      <c r="F5" s="1002"/>
      <c r="G5" s="1002"/>
      <c r="H5" s="1002"/>
      <c r="I5" s="1002"/>
    </row>
    <row r="6" spans="1:20" s="144" customFormat="1" ht="15">
      <c r="D6" s="280" t="s">
        <v>190</v>
      </c>
      <c r="E6" s="1002" t="str">
        <f>IF($M$9="ACB","100983119","1004 148 5104 6511")</f>
        <v>100983119</v>
      </c>
      <c r="F6" s="1002"/>
      <c r="G6" s="1002"/>
      <c r="H6" s="743" t="s">
        <v>112</v>
      </c>
      <c r="I6" s="281" t="str">
        <f>IF(H6="VNĐ","1121",IF(H6="USD","1122",""))</f>
        <v>1121</v>
      </c>
      <c r="N6" s="994" t="s">
        <v>445</v>
      </c>
      <c r="O6" s="994"/>
      <c r="Q6" s="999" t="s">
        <v>378</v>
      </c>
      <c r="R6" s="999" t="s">
        <v>447</v>
      </c>
      <c r="S6" s="999" t="s">
        <v>448</v>
      </c>
    </row>
    <row r="7" spans="1:20" s="144" customFormat="1" ht="8.25" customHeight="1" thickBot="1">
      <c r="A7" s="149"/>
      <c r="B7" s="150"/>
      <c r="C7" s="149"/>
      <c r="D7" s="150"/>
      <c r="E7" s="150"/>
      <c r="F7" s="150"/>
      <c r="G7" s="150"/>
      <c r="H7" s="744"/>
      <c r="I7" s="150"/>
      <c r="Q7" s="1000"/>
      <c r="R7" s="1000"/>
      <c r="S7" s="1000"/>
    </row>
    <row r="8" spans="1:20" s="151" customFormat="1" ht="22.5" customHeight="1" thickBot="1">
      <c r="A8" s="1005" t="s">
        <v>148</v>
      </c>
      <c r="B8" s="1007" t="s">
        <v>1</v>
      </c>
      <c r="C8" s="1008"/>
      <c r="D8" s="1003" t="s">
        <v>0</v>
      </c>
      <c r="E8" s="1009" t="s">
        <v>14</v>
      </c>
      <c r="F8" s="1011" t="s">
        <v>149</v>
      </c>
      <c r="G8" s="1011"/>
      <c r="H8" s="1008"/>
      <c r="I8" s="1003" t="s">
        <v>134</v>
      </c>
      <c r="K8" s="142"/>
      <c r="L8" s="144"/>
      <c r="N8" s="752">
        <f>IF(K9="Quý I",1,IF(K9="Quý II",4,IF(K9="Quý III",7,IF(K9="Quý IV",10,""))))</f>
        <v>7</v>
      </c>
      <c r="O8" s="753">
        <f>IF(K9="Quý I",3,IF(K9="Quý II",6,IF(K9="Quý III",9,IF(K9="Quý IV",12,""))))</f>
        <v>9</v>
      </c>
      <c r="Q8" s="606" t="s">
        <v>379</v>
      </c>
      <c r="R8" s="607">
        <v>20452439</v>
      </c>
      <c r="S8" s="607"/>
      <c r="T8" s="608">
        <f>SUM(R8:S8)</f>
        <v>20452439</v>
      </c>
    </row>
    <row r="9" spans="1:20" s="151" customFormat="1" ht="22.5" customHeight="1" thickBot="1">
      <c r="A9" s="1006"/>
      <c r="B9" s="152" t="s">
        <v>15</v>
      </c>
      <c r="C9" s="153" t="s">
        <v>150</v>
      </c>
      <c r="D9" s="1004"/>
      <c r="E9" s="1010"/>
      <c r="F9" s="273" t="s">
        <v>151</v>
      </c>
      <c r="G9" s="154" t="s">
        <v>152</v>
      </c>
      <c r="H9" s="745" t="s">
        <v>153</v>
      </c>
      <c r="I9" s="1004"/>
      <c r="K9" s="184" t="s">
        <v>510</v>
      </c>
      <c r="L9" s="144"/>
      <c r="M9" s="605" t="s">
        <v>447</v>
      </c>
      <c r="Q9" s="157"/>
      <c r="R9" s="157"/>
      <c r="S9" s="157"/>
      <c r="T9" s="157"/>
    </row>
    <row r="10" spans="1:20" s="157" customFormat="1" ht="15">
      <c r="A10" s="155" t="s">
        <v>2</v>
      </c>
      <c r="B10" s="156" t="s">
        <v>3</v>
      </c>
      <c r="C10" s="155" t="s">
        <v>4</v>
      </c>
      <c r="D10" s="156" t="s">
        <v>5</v>
      </c>
      <c r="E10" s="156" t="s">
        <v>6</v>
      </c>
      <c r="F10" s="156">
        <v>1</v>
      </c>
      <c r="G10" s="156">
        <v>2</v>
      </c>
      <c r="H10" s="156">
        <v>3</v>
      </c>
      <c r="I10" s="156" t="s">
        <v>137</v>
      </c>
      <c r="L10" s="144"/>
      <c r="Q10" s="161"/>
      <c r="R10" s="161"/>
      <c r="S10" s="161"/>
      <c r="T10" s="161"/>
    </row>
    <row r="11" spans="1:20" s="161" customFormat="1" ht="20.25" customHeight="1">
      <c r="A11" s="158"/>
      <c r="B11" s="159"/>
      <c r="C11" s="158"/>
      <c r="D11" s="160" t="s">
        <v>7</v>
      </c>
      <c r="E11" s="160"/>
      <c r="F11" s="612"/>
      <c r="G11" s="612"/>
      <c r="H11" s="612">
        <f>IF($M$9="ACB",$R$8,$S$8)+SUMIF(_N112,"x",TH)-SUMIF(_C112,"x",TH)</f>
        <v>20677380</v>
      </c>
      <c r="I11" s="609"/>
      <c r="L11" s="144"/>
      <c r="Q11" s="151"/>
      <c r="R11" s="151"/>
      <c r="S11" s="151"/>
      <c r="T11" s="151"/>
    </row>
    <row r="12" spans="1:20" s="151" customFormat="1" ht="20.25" customHeight="1">
      <c r="A12" s="162">
        <f ca="1">IF(ROWS($1:1)&gt;COUNT(Dong2),"",OFFSET(TH!C$1,SMALL(Dong2,ROWS($1:1)),))</f>
        <v>41478</v>
      </c>
      <c r="B12" s="162">
        <f ca="1">IF(ROWS($1:1)&gt;COUNT(Dong2),"",OFFSET(TH!D$1,SMALL(Dong2,ROWS($1:1)),))</f>
        <v>0</v>
      </c>
      <c r="C12" s="162">
        <f ca="1">IF(ROWS($1:1)&gt;COUNT(Dong2),"",OFFSET(TH!E$1,SMALL(Dong2,ROWS($1:1)),))</f>
        <v>41478</v>
      </c>
      <c r="D12" s="250" t="str">
        <f ca="1">IF(ROWS($1:1)&gt;COUNT(Dong2),"",OFFSET(TH!F$1,SMALL(Dong2,ROWS($1:1)),))</f>
        <v>Thu tiền hàng</v>
      </c>
      <c r="E12" s="162" t="str">
        <f ca="1">IF(ROWS($1:1)&gt;COUNT(Dong2),"",IF(OFFSET(TH!M$1,SMALL(Dong2,ROWS($1:1)),)=$I$6,OFFSET(TH!L$1,SMALL(Dong2,ROWS($1:1)),),OFFSET(TH!M$1,SMALL(Dong2,ROWS($1:1)),)))</f>
        <v>131</v>
      </c>
      <c r="F12" s="613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9873578</v>
      </c>
      <c r="G12" s="613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54">
        <f ca="1">IF(A12&lt;&gt;"",H11+F12-G12,0)</f>
        <v>30550958</v>
      </c>
      <c r="I12" s="610"/>
      <c r="L12" s="144"/>
    </row>
    <row r="13" spans="1:20" s="151" customFormat="1" ht="20.25" customHeight="1">
      <c r="A13" s="162">
        <f ca="1">IF(ROWS($1:2)&gt;COUNT(Dong2),"",OFFSET(TH!C$1,SMALL(Dong2,ROWS($1:2)),))</f>
        <v>41480</v>
      </c>
      <c r="B13" s="162">
        <f ca="1">IF(ROWS($1:2)&gt;COUNT(Dong2),"",OFFSET(TH!D$1,SMALL(Dong2,ROWS($1:2)),))</f>
        <v>0</v>
      </c>
      <c r="C13" s="162">
        <f ca="1">IF(ROWS($1:2)&gt;COUNT(Dong2),"",OFFSET(TH!E$1,SMALL(Dong2,ROWS($1:2)),))</f>
        <v>41480</v>
      </c>
      <c r="D13" s="250" t="str">
        <f ca="1">IF(ROWS($1:2)&gt;COUNT(Dong2),"",OFFSET(TH!F$1,SMALL(Dong2,ROWS($1:2)),))</f>
        <v>Thu tiền hàng</v>
      </c>
      <c r="E13" s="162" t="str">
        <f ca="1">IF(ROWS($1:2)&gt;COUNT(Dong2),"",IF(OFFSET(TH!M$1,SMALL(Dong2,ROWS($1:2)),)=$I$6,OFFSET(TH!L$1,SMALL(Dong2,ROWS($1:2)),),OFFSET(TH!M$1,SMALL(Dong2,ROWS($1:2)),)))</f>
        <v>131</v>
      </c>
      <c r="F13" s="613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20754363</v>
      </c>
      <c r="G13" s="613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54">
        <f t="shared" ref="H13:H40" ca="1" si="0">IF(A13&lt;&gt;"",H12+F13-G13,0)</f>
        <v>51305321</v>
      </c>
      <c r="I13" s="610"/>
      <c r="L13" s="144"/>
    </row>
    <row r="14" spans="1:20" s="151" customFormat="1" ht="20.25" customHeight="1">
      <c r="A14" s="162">
        <f ca="1">IF(ROWS($1:3)&gt;COUNT(Dong2),"",OFFSET(TH!C$1,SMALL(Dong2,ROWS($1:3)),))</f>
        <v>41480</v>
      </c>
      <c r="B14" s="162">
        <f ca="1">IF(ROWS($1:3)&gt;COUNT(Dong2),"",OFFSET(TH!D$1,SMALL(Dong2,ROWS($1:3)),))</f>
        <v>0</v>
      </c>
      <c r="C14" s="162">
        <f ca="1">IF(ROWS($1:3)&gt;COUNT(Dong2),"",OFFSET(TH!E$1,SMALL(Dong2,ROWS($1:3)),))</f>
        <v>41480</v>
      </c>
      <c r="D14" s="250" t="str">
        <f ca="1">IF(ROWS($1:3)&gt;COUNT(Dong2),"",OFFSET(TH!F$1,SMALL(Dong2,ROWS($1:3)),))</f>
        <v>Lãi tiền gửi</v>
      </c>
      <c r="E14" s="162" t="str">
        <f ca="1">IF(ROWS($1:3)&gt;COUNT(Dong2),"",IF(OFFSET(TH!M$1,SMALL(Dong2,ROWS($1:3)),)=$I$6,OFFSET(TH!L$1,SMALL(Dong2,ROWS($1:3)),),OFFSET(TH!M$1,SMALL(Dong2,ROWS($1:3)),)))</f>
        <v>515</v>
      </c>
      <c r="F14" s="613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1736</v>
      </c>
      <c r="G14" s="613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54">
        <f t="shared" ca="1" si="0"/>
        <v>51307057</v>
      </c>
      <c r="I14" s="610"/>
      <c r="L14" s="144"/>
    </row>
    <row r="15" spans="1:20" s="151" customFormat="1" ht="20.25" customHeight="1">
      <c r="A15" s="162">
        <f ca="1">IF(ROWS($1:4)&gt;COUNT(Dong2),"",OFFSET(TH!C$1,SMALL(Dong2,ROWS($1:4)),))</f>
        <v>41481</v>
      </c>
      <c r="B15" s="162">
        <f ca="1">IF(ROWS($1:4)&gt;COUNT(Dong2),"",OFFSET(TH!D$1,SMALL(Dong2,ROWS($1:4)),))</f>
        <v>0</v>
      </c>
      <c r="C15" s="162">
        <f ca="1">IF(ROWS($1:4)&gt;COUNT(Dong2),"",OFFSET(TH!E$1,SMALL(Dong2,ROWS($1:4)),))</f>
        <v>41481</v>
      </c>
      <c r="D15" s="250" t="str">
        <f ca="1">IF(ROWS($1:4)&gt;COUNT(Dong2),"",OFFSET(TH!F$1,SMALL(Dong2,ROWS($1:4)),))</f>
        <v>Thu tiền hàng</v>
      </c>
      <c r="E15" s="162" t="str">
        <f ca="1">IF(ROWS($1:4)&gt;COUNT(Dong2),"",IF(OFFSET(TH!M$1,SMALL(Dong2,ROWS($1:4)),)=$I$6,OFFSET(TH!L$1,SMALL(Dong2,ROWS($1:4)),),OFFSET(TH!M$1,SMALL(Dong2,ROWS($1:4)),)))</f>
        <v>131</v>
      </c>
      <c r="F15" s="613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19948170</v>
      </c>
      <c r="G15" s="613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54">
        <f t="shared" ca="1" si="0"/>
        <v>71255227</v>
      </c>
      <c r="I15" s="610"/>
      <c r="L15" s="144"/>
    </row>
    <row r="16" spans="1:20" s="151" customFormat="1" ht="20.25" customHeight="1">
      <c r="A16" s="162">
        <f ca="1">IF(ROWS($1:5)&gt;COUNT(Dong2),"",OFFSET(TH!C$1,SMALL(Dong2,ROWS($1:5)),))</f>
        <v>41492</v>
      </c>
      <c r="B16" s="162">
        <f ca="1">IF(ROWS($1:5)&gt;COUNT(Dong2),"",OFFSET(TH!D$1,SMALL(Dong2,ROWS($1:5)),))</f>
        <v>0</v>
      </c>
      <c r="C16" s="162">
        <f ca="1">IF(ROWS($1:5)&gt;COUNT(Dong2),"",OFFSET(TH!E$1,SMALL(Dong2,ROWS($1:5)),))</f>
        <v>41492</v>
      </c>
      <c r="D16" s="250" t="str">
        <f ca="1">IF(ROWS($1:5)&gt;COUNT(Dong2),"",OFFSET(TH!F$1,SMALL(Dong2,ROWS($1:5)),))</f>
        <v>Thu tiền hàng</v>
      </c>
      <c r="E16" s="162" t="str">
        <f ca="1">IF(ROWS($1:5)&gt;COUNT(Dong2),"",IF(OFFSET(TH!M$1,SMALL(Dong2,ROWS($1:5)),)=$I$6,OFFSET(TH!L$1,SMALL(Dong2,ROWS($1:5)),),OFFSET(TH!M$1,SMALL(Dong2,ROWS($1:5)),)))</f>
        <v>131</v>
      </c>
      <c r="F16" s="613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31257600</v>
      </c>
      <c r="G16" s="613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4">
        <f t="shared" ca="1" si="0"/>
        <v>102512827</v>
      </c>
      <c r="I16" s="610"/>
      <c r="L16" s="144"/>
    </row>
    <row r="17" spans="1:17" s="151" customFormat="1" ht="20.25" customHeight="1">
      <c r="A17" s="162">
        <f ca="1">IF(ROWS($1:6)&gt;COUNT(Dong2),"",OFFSET(TH!C$1,SMALL(Dong2,ROWS($1:6)),))</f>
        <v>41493</v>
      </c>
      <c r="B17" s="162">
        <f ca="1">IF(ROWS($1:6)&gt;COUNT(Dong2),"",OFFSET(TH!D$1,SMALL(Dong2,ROWS($1:6)),))</f>
        <v>0</v>
      </c>
      <c r="C17" s="162">
        <f ca="1">IF(ROWS($1:6)&gt;COUNT(Dong2),"",OFFSET(TH!E$1,SMALL(Dong2,ROWS($1:6)),))</f>
        <v>41493</v>
      </c>
      <c r="D17" s="250" t="str">
        <f ca="1">IF(ROWS($1:6)&gt;COUNT(Dong2),"",OFFSET(TH!F$1,SMALL(Dong2,ROWS($1:6)),))</f>
        <v>Thu tiền hàng</v>
      </c>
      <c r="E17" s="162" t="str">
        <f ca="1">IF(ROWS($1:6)&gt;COUNT(Dong2),"",IF(OFFSET(TH!M$1,SMALL(Dong2,ROWS($1:6)),)=$I$6,OFFSET(TH!L$1,SMALL(Dong2,ROWS($1:6)),),OFFSET(TH!M$1,SMALL(Dong2,ROWS($1:6)),)))</f>
        <v>131</v>
      </c>
      <c r="F17" s="613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7668870</v>
      </c>
      <c r="G17" s="613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4">
        <f t="shared" ca="1" si="0"/>
        <v>110181697</v>
      </c>
      <c r="I17" s="610"/>
      <c r="L17" s="144"/>
    </row>
    <row r="18" spans="1:17" s="151" customFormat="1" ht="20.25" customHeight="1">
      <c r="A18" s="162">
        <f ca="1">IF(ROWS($1:7)&gt;COUNT(Dong2),"",OFFSET(TH!C$1,SMALL(Dong2,ROWS($1:7)),))</f>
        <v>41498</v>
      </c>
      <c r="B18" s="162">
        <f ca="1">IF(ROWS($1:7)&gt;COUNT(Dong2),"",OFFSET(TH!D$1,SMALL(Dong2,ROWS($1:7)),))</f>
        <v>0</v>
      </c>
      <c r="C18" s="162">
        <f ca="1">IF(ROWS($1:7)&gt;COUNT(Dong2),"",OFFSET(TH!E$1,SMALL(Dong2,ROWS($1:7)),))</f>
        <v>41498</v>
      </c>
      <c r="D18" s="250" t="str">
        <f ca="1">IF(ROWS($1:7)&gt;COUNT(Dong2),"",OFFSET(TH!F$1,SMALL(Dong2,ROWS($1:7)),))</f>
        <v>Thu tiền hàng</v>
      </c>
      <c r="E18" s="162" t="str">
        <f ca="1">IF(ROWS($1:7)&gt;COUNT(Dong2),"",IF(OFFSET(TH!M$1,SMALL(Dong2,ROWS($1:7)),)=$I$6,OFFSET(TH!L$1,SMALL(Dong2,ROWS($1:7)),),OFFSET(TH!M$1,SMALL(Dong2,ROWS($1:7)),)))</f>
        <v>131</v>
      </c>
      <c r="F18" s="613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13769635</v>
      </c>
      <c r="G18" s="613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4">
        <f t="shared" ca="1" si="0"/>
        <v>123951332</v>
      </c>
      <c r="I18" s="610"/>
      <c r="L18" s="144"/>
    </row>
    <row r="19" spans="1:17" s="151" customFormat="1" ht="20.25" customHeight="1">
      <c r="A19" s="162">
        <f ca="1">IF(ROWS($1:8)&gt;COUNT(Dong2),"",OFFSET(TH!C$1,SMALL(Dong2,ROWS($1:8)),))</f>
        <v>41500</v>
      </c>
      <c r="B19" s="162">
        <f ca="1">IF(ROWS($1:8)&gt;COUNT(Dong2),"",OFFSET(TH!D$1,SMALL(Dong2,ROWS($1:8)),))</f>
        <v>0</v>
      </c>
      <c r="C19" s="162">
        <f ca="1">IF(ROWS($1:8)&gt;COUNT(Dong2),"",OFFSET(TH!E$1,SMALL(Dong2,ROWS($1:8)),))</f>
        <v>41500</v>
      </c>
      <c r="D19" s="250" t="str">
        <f ca="1">IF(ROWS($1:8)&gt;COUNT(Dong2),"",OFFSET(TH!F$1,SMALL(Dong2,ROWS($1:8)),))</f>
        <v>Thu tiền hàng</v>
      </c>
      <c r="E19" s="162" t="str">
        <f ca="1">IF(ROWS($1:8)&gt;COUNT(Dong2),"",IF(OFFSET(TH!M$1,SMALL(Dong2,ROWS($1:8)),)=$I$6,OFFSET(TH!L$1,SMALL(Dong2,ROWS($1:8)),),OFFSET(TH!M$1,SMALL(Dong2,ROWS($1:8)),)))</f>
        <v>131</v>
      </c>
      <c r="F19" s="613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13730475</v>
      </c>
      <c r="G19" s="613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754">
        <f t="shared" ca="1" si="0"/>
        <v>137681807</v>
      </c>
      <c r="I19" s="610"/>
      <c r="L19" s="144"/>
    </row>
    <row r="20" spans="1:17" s="151" customFormat="1" ht="20.25" customHeight="1">
      <c r="A20" s="162">
        <f ca="1">IF(ROWS($1:9)&gt;COUNT(Dong2),"",OFFSET(TH!C$1,SMALL(Dong2,ROWS($1:9)),))</f>
        <v>41500</v>
      </c>
      <c r="B20" s="162">
        <f ca="1">IF(ROWS($1:9)&gt;COUNT(Dong2),"",OFFSET(TH!D$1,SMALL(Dong2,ROWS($1:9)),))</f>
        <v>0</v>
      </c>
      <c r="C20" s="162">
        <f ca="1">IF(ROWS($1:9)&gt;COUNT(Dong2),"",OFFSET(TH!E$1,SMALL(Dong2,ROWS($1:9)),))</f>
        <v>41500</v>
      </c>
      <c r="D20" s="250" t="str">
        <f ca="1">IF(ROWS($1:9)&gt;COUNT(Dong2),"",OFFSET(TH!F$1,SMALL(Dong2,ROWS($1:9)),))</f>
        <v>Thu tiền hàng</v>
      </c>
      <c r="E20" s="162" t="str">
        <f ca="1">IF(ROWS($1:9)&gt;COUNT(Dong2),"",IF(OFFSET(TH!M$1,SMALL(Dong2,ROWS($1:9)),)=$I$6,OFFSET(TH!L$1,SMALL(Dong2,ROWS($1:9)),),OFFSET(TH!M$1,SMALL(Dong2,ROWS($1:9)),)))</f>
        <v>131</v>
      </c>
      <c r="F20" s="613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9614000</v>
      </c>
      <c r="G20" s="613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54">
        <f t="shared" ca="1" si="0"/>
        <v>147295807</v>
      </c>
      <c r="I20" s="610"/>
      <c r="L20" s="144"/>
    </row>
    <row r="21" spans="1:17" s="151" customFormat="1" ht="20.25" customHeight="1">
      <c r="A21" s="162">
        <f ca="1">IF(ROWS($1:10)&gt;COUNT(Dong2),"",OFFSET(TH!C$1,SMALL(Dong2,ROWS($1:10)),))</f>
        <v>41501</v>
      </c>
      <c r="B21" s="162">
        <f ca="1">IF(ROWS($1:10)&gt;COUNT(Dong2),"",OFFSET(TH!D$1,SMALL(Dong2,ROWS($1:10)),))</f>
        <v>0</v>
      </c>
      <c r="C21" s="162">
        <f ca="1">IF(ROWS($1:10)&gt;COUNT(Dong2),"",OFFSET(TH!E$1,SMALL(Dong2,ROWS($1:10)),))</f>
        <v>41501</v>
      </c>
      <c r="D21" s="250" t="str">
        <f ca="1">IF(ROWS($1:10)&gt;COUNT(Dong2),"",OFFSET(TH!F$1,SMALL(Dong2,ROWS($1:10)),))</f>
        <v>Thu tiền hàng</v>
      </c>
      <c r="E21" s="162" t="str">
        <f ca="1">IF(ROWS($1:10)&gt;COUNT(Dong2),"",IF(OFFSET(TH!M$1,SMALL(Dong2,ROWS($1:10)),)=$I$6,OFFSET(TH!L$1,SMALL(Dong2,ROWS($1:10)),),OFFSET(TH!M$1,SMALL(Dong2,ROWS($1:10)),)))</f>
        <v>131</v>
      </c>
      <c r="F21" s="613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14048210</v>
      </c>
      <c r="G21" s="613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754">
        <f t="shared" ca="1" si="0"/>
        <v>161344017</v>
      </c>
      <c r="I21" s="610"/>
      <c r="L21" s="144"/>
      <c r="Q21" s="608"/>
    </row>
    <row r="22" spans="1:17" s="151" customFormat="1" ht="20.25" customHeight="1">
      <c r="A22" s="162">
        <f ca="1">IF(ROWS($1:11)&gt;COUNT(Dong2),"",OFFSET(TH!C$1,SMALL(Dong2,ROWS($1:11)),))</f>
        <v>41505</v>
      </c>
      <c r="B22" s="162">
        <f ca="1">IF(ROWS($1:11)&gt;COUNT(Dong2),"",OFFSET(TH!D$1,SMALL(Dong2,ROWS($1:11)),))</f>
        <v>0</v>
      </c>
      <c r="C22" s="162">
        <f ca="1">IF(ROWS($1:11)&gt;COUNT(Dong2),"",OFFSET(TH!E$1,SMALL(Dong2,ROWS($1:11)),))</f>
        <v>41505</v>
      </c>
      <c r="D22" s="250" t="str">
        <f ca="1">IF(ROWS($1:11)&gt;COUNT(Dong2),"",OFFSET(TH!F$1,SMALL(Dong2,ROWS($1:11)),))</f>
        <v>Thu tiền hàng</v>
      </c>
      <c r="E22" s="162" t="str">
        <f ca="1">IF(ROWS($1:11)&gt;COUNT(Dong2),"",IF(OFFSET(TH!M$1,SMALL(Dong2,ROWS($1:11)),)=$I$6,OFFSET(TH!L$1,SMALL(Dong2,ROWS($1:11)),),OFFSET(TH!M$1,SMALL(Dong2,ROWS($1:11)),)))</f>
        <v>131</v>
      </c>
      <c r="F22" s="613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21154375</v>
      </c>
      <c r="G22" s="613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54">
        <f t="shared" ca="1" si="0"/>
        <v>182498392</v>
      </c>
      <c r="I22" s="610"/>
      <c r="L22" s="144"/>
    </row>
    <row r="23" spans="1:17" s="151" customFormat="1" ht="20.25" customHeight="1">
      <c r="A23" s="162">
        <f ca="1">IF(ROWS($1:12)&gt;COUNT(Dong2),"",OFFSET(TH!C$1,SMALL(Dong2,ROWS($1:12)),))</f>
        <v>41507</v>
      </c>
      <c r="B23" s="162">
        <f ca="1">IF(ROWS($1:12)&gt;COUNT(Dong2),"",OFFSET(TH!D$1,SMALL(Dong2,ROWS($1:12)),))</f>
        <v>0</v>
      </c>
      <c r="C23" s="162">
        <f ca="1">IF(ROWS($1:12)&gt;COUNT(Dong2),"",OFFSET(TH!E$1,SMALL(Dong2,ROWS($1:12)),))</f>
        <v>41507</v>
      </c>
      <c r="D23" s="250" t="str">
        <f ca="1">IF(ROWS($1:12)&gt;COUNT(Dong2),"",OFFSET(TH!F$1,SMALL(Dong2,ROWS($1:12)),))</f>
        <v>Thu tiền hàng</v>
      </c>
      <c r="E23" s="162" t="str">
        <f ca="1">IF(ROWS($1:12)&gt;COUNT(Dong2),"",IF(OFFSET(TH!M$1,SMALL(Dong2,ROWS($1:12)),)=$I$6,OFFSET(TH!L$1,SMALL(Dong2,ROWS($1:12)),),OFFSET(TH!M$1,SMALL(Dong2,ROWS($1:12)),)))</f>
        <v>131</v>
      </c>
      <c r="F23" s="613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13847955</v>
      </c>
      <c r="G23" s="613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54">
        <f t="shared" ca="1" si="0"/>
        <v>196346347</v>
      </c>
      <c r="I23" s="610"/>
      <c r="L23" s="144"/>
      <c r="Q23" s="740"/>
    </row>
    <row r="24" spans="1:17" s="151" customFormat="1" ht="20.25" customHeight="1">
      <c r="A24" s="162">
        <f ca="1">IF(ROWS($1:13)&gt;COUNT(Dong2),"",OFFSET(TH!C$1,SMALL(Dong2,ROWS($1:13)),))</f>
        <v>41507</v>
      </c>
      <c r="B24" s="162">
        <f ca="1">IF(ROWS($1:13)&gt;COUNT(Dong2),"",OFFSET(TH!D$1,SMALL(Dong2,ROWS($1:13)),))</f>
        <v>0</v>
      </c>
      <c r="C24" s="162">
        <f ca="1">IF(ROWS($1:13)&gt;COUNT(Dong2),"",OFFSET(TH!E$1,SMALL(Dong2,ROWS($1:13)),))</f>
        <v>41507</v>
      </c>
      <c r="D24" s="250" t="str">
        <f ca="1">IF(ROWS($1:13)&gt;COUNT(Dong2),"",OFFSET(TH!F$1,SMALL(Dong2,ROWS($1:13)),))</f>
        <v>Thu tiền hàng</v>
      </c>
      <c r="E24" s="162" t="str">
        <f ca="1">IF(ROWS($1:13)&gt;COUNT(Dong2),"",IF(OFFSET(TH!M$1,SMALL(Dong2,ROWS($1:13)),)=$I$6,OFFSET(TH!L$1,SMALL(Dong2,ROWS($1:13)),),OFFSET(TH!M$1,SMALL(Dong2,ROWS($1:13)),)))</f>
        <v>131</v>
      </c>
      <c r="F24" s="613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20625000</v>
      </c>
      <c r="G24" s="613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754">
        <f t="shared" ca="1" si="0"/>
        <v>216971347</v>
      </c>
      <c r="I24" s="610"/>
      <c r="L24" s="144"/>
    </row>
    <row r="25" spans="1:17" s="151" customFormat="1" ht="20.25" customHeight="1">
      <c r="A25" s="162">
        <f ca="1">IF(ROWS($1:14)&gt;COUNT(Dong2),"",OFFSET(TH!C$1,SMALL(Dong2,ROWS($1:14)),))</f>
        <v>41509</v>
      </c>
      <c r="B25" s="162">
        <f ca="1">IF(ROWS($1:14)&gt;COUNT(Dong2),"",OFFSET(TH!D$1,SMALL(Dong2,ROWS($1:14)),))</f>
        <v>0</v>
      </c>
      <c r="C25" s="162">
        <f ca="1">IF(ROWS($1:14)&gt;COUNT(Dong2),"",OFFSET(TH!E$1,SMALL(Dong2,ROWS($1:14)),))</f>
        <v>41509</v>
      </c>
      <c r="D25" s="250" t="str">
        <f ca="1">IF(ROWS($1:14)&gt;COUNT(Dong2),"",OFFSET(TH!F$1,SMALL(Dong2,ROWS($1:14)),))</f>
        <v>Thu tiền hàng</v>
      </c>
      <c r="E25" s="162" t="str">
        <f ca="1">IF(ROWS($1:14)&gt;COUNT(Dong2),"",IF(OFFSET(TH!M$1,SMALL(Dong2,ROWS($1:14)),)=$I$6,OFFSET(TH!L$1,SMALL(Dong2,ROWS($1:14)),),OFFSET(TH!M$1,SMALL(Dong2,ROWS($1:14)),)))</f>
        <v>131</v>
      </c>
      <c r="F25" s="613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19995118</v>
      </c>
      <c r="G25" s="613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4">
        <f t="shared" ca="1" si="0"/>
        <v>236966465</v>
      </c>
      <c r="I25" s="610"/>
      <c r="L25" s="144"/>
    </row>
    <row r="26" spans="1:17" s="151" customFormat="1" ht="20.25" customHeight="1">
      <c r="A26" s="162">
        <f ca="1">IF(ROWS($1:15)&gt;COUNT(Dong2),"",OFFSET(TH!C$1,SMALL(Dong2,ROWS($1:15)),))</f>
        <v>41510</v>
      </c>
      <c r="B26" s="162">
        <f ca="1">IF(ROWS($1:15)&gt;COUNT(Dong2),"",OFFSET(TH!D$1,SMALL(Dong2,ROWS($1:15)),))</f>
        <v>0</v>
      </c>
      <c r="C26" s="162">
        <f ca="1">IF(ROWS($1:15)&gt;COUNT(Dong2),"",OFFSET(TH!E$1,SMALL(Dong2,ROWS($1:15)),))</f>
        <v>41510</v>
      </c>
      <c r="D26" s="250" t="str">
        <f ca="1">IF(ROWS($1:15)&gt;COUNT(Dong2),"",OFFSET(TH!F$1,SMALL(Dong2,ROWS($1:15)),))</f>
        <v>Lãi tiền gửi</v>
      </c>
      <c r="E26" s="162" t="str">
        <f ca="1">IF(ROWS($1:15)&gt;COUNT(Dong2),"",IF(OFFSET(TH!M$1,SMALL(Dong2,ROWS($1:15)),)=$I$6,OFFSET(TH!L$1,SMALL(Dong2,ROWS($1:15)),),OFFSET(TH!M$1,SMALL(Dong2,ROWS($1:15)),)))</f>
        <v>515</v>
      </c>
      <c r="F26" s="613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20308</v>
      </c>
      <c r="G26" s="613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754">
        <f t="shared" ca="1" si="0"/>
        <v>236986773</v>
      </c>
      <c r="I26" s="610"/>
      <c r="L26" s="144"/>
    </row>
    <row r="27" spans="1:17" s="151" customFormat="1" ht="20.25" customHeight="1">
      <c r="A27" s="162">
        <f ca="1">IF(ROWS($1:16)&gt;COUNT(Dong2),"",OFFSET(TH!C$1,SMALL(Dong2,ROWS($1:16)),))</f>
        <v>41513</v>
      </c>
      <c r="B27" s="162">
        <f ca="1">IF(ROWS($1:16)&gt;COUNT(Dong2),"",OFFSET(TH!D$1,SMALL(Dong2,ROWS($1:16)),))</f>
        <v>0</v>
      </c>
      <c r="C27" s="162">
        <f ca="1">IF(ROWS($1:16)&gt;COUNT(Dong2),"",OFFSET(TH!E$1,SMALL(Dong2,ROWS($1:16)),))</f>
        <v>41513</v>
      </c>
      <c r="D27" s="250" t="str">
        <f ca="1">IF(ROWS($1:16)&gt;COUNT(Dong2),"",OFFSET(TH!F$1,SMALL(Dong2,ROWS($1:16)),))</f>
        <v>Thu tiền hàng</v>
      </c>
      <c r="E27" s="162" t="str">
        <f ca="1">IF(ROWS($1:16)&gt;COUNT(Dong2),"",IF(OFFSET(TH!M$1,SMALL(Dong2,ROWS($1:16)),)=$I$6,OFFSET(TH!L$1,SMALL(Dong2,ROWS($1:16)),),OFFSET(TH!M$1,SMALL(Dong2,ROWS($1:16)),)))</f>
        <v>131</v>
      </c>
      <c r="F27" s="613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16547850</v>
      </c>
      <c r="G27" s="613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54">
        <f t="shared" ca="1" si="0"/>
        <v>253534623</v>
      </c>
      <c r="I27" s="610"/>
      <c r="L27" s="144"/>
    </row>
    <row r="28" spans="1:17" s="151" customFormat="1" ht="20.25" customHeight="1">
      <c r="A28" s="162">
        <f ca="1">IF(ROWS($1:17)&gt;COUNT(Dong2),"",OFFSET(TH!C$1,SMALL(Dong2,ROWS($1:17)),))</f>
        <v>41526</v>
      </c>
      <c r="B28" s="162">
        <f ca="1">IF(ROWS($1:17)&gt;COUNT(Dong2),"",OFFSET(TH!D$1,SMALL(Dong2,ROWS($1:17)),))</f>
        <v>0</v>
      </c>
      <c r="C28" s="162">
        <f ca="1">IF(ROWS($1:17)&gt;COUNT(Dong2),"",OFFSET(TH!E$1,SMALL(Dong2,ROWS($1:17)),))</f>
        <v>41526</v>
      </c>
      <c r="D28" s="250" t="str">
        <f ca="1">IF(ROWS($1:17)&gt;COUNT(Dong2),"",OFFSET(TH!F$1,SMALL(Dong2,ROWS($1:17)),))</f>
        <v>Thu tiền hàng</v>
      </c>
      <c r="E28" s="162" t="str">
        <f ca="1">IF(ROWS($1:17)&gt;COUNT(Dong2),"",IF(OFFSET(TH!M$1,SMALL(Dong2,ROWS($1:17)),)=$I$6,OFFSET(TH!L$1,SMALL(Dong2,ROWS($1:17)),),OFFSET(TH!M$1,SMALL(Dong2,ROWS($1:17)),)))</f>
        <v>131</v>
      </c>
      <c r="F28" s="613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17307400</v>
      </c>
      <c r="G28" s="613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54">
        <f t="shared" ca="1" si="0"/>
        <v>270842023</v>
      </c>
      <c r="I28" s="610"/>
      <c r="L28" s="144"/>
    </row>
    <row r="29" spans="1:17" s="151" customFormat="1" ht="20.25" customHeight="1">
      <c r="A29" s="162">
        <f ca="1">IF(ROWS($1:18)&gt;COUNT(Dong2),"",OFFSET(TH!C$1,SMALL(Dong2,ROWS($1:18)),))</f>
        <v>41528</v>
      </c>
      <c r="B29" s="162">
        <f ca="1">IF(ROWS($1:18)&gt;COUNT(Dong2),"",OFFSET(TH!D$1,SMALL(Dong2,ROWS($1:18)),))</f>
        <v>0</v>
      </c>
      <c r="C29" s="162">
        <f ca="1">IF(ROWS($1:18)&gt;COUNT(Dong2),"",OFFSET(TH!E$1,SMALL(Dong2,ROWS($1:18)),))</f>
        <v>41528</v>
      </c>
      <c r="D29" s="250" t="str">
        <f ca="1">IF(ROWS($1:18)&gt;COUNT(Dong2),"",OFFSET(TH!F$1,SMALL(Dong2,ROWS($1:18)),))</f>
        <v>Thu tiền hàng</v>
      </c>
      <c r="E29" s="162" t="str">
        <f ca="1">IF(ROWS($1:18)&gt;COUNT(Dong2),"",IF(OFFSET(TH!M$1,SMALL(Dong2,ROWS($1:18)),)=$I$6,OFFSET(TH!L$1,SMALL(Dong2,ROWS($1:18)),),OFFSET(TH!M$1,SMALL(Dong2,ROWS($1:18)),)))</f>
        <v>131</v>
      </c>
      <c r="F29" s="613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11550000</v>
      </c>
      <c r="G29" s="613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754">
        <f t="shared" ca="1" si="0"/>
        <v>282392023</v>
      </c>
      <c r="I29" s="610"/>
      <c r="L29" s="144"/>
    </row>
    <row r="30" spans="1:17" s="151" customFormat="1" ht="20.25" customHeight="1">
      <c r="A30" s="162">
        <f ca="1">IF(ROWS($1:19)&gt;COUNT(Dong2),"",OFFSET(TH!C$1,SMALL(Dong2,ROWS($1:19)),))</f>
        <v>41533</v>
      </c>
      <c r="B30" s="162">
        <f ca="1">IF(ROWS($1:19)&gt;COUNT(Dong2),"",OFFSET(TH!D$1,SMALL(Dong2,ROWS($1:19)),))</f>
        <v>0</v>
      </c>
      <c r="C30" s="162">
        <f ca="1">IF(ROWS($1:19)&gt;COUNT(Dong2),"",OFFSET(TH!E$1,SMALL(Dong2,ROWS($1:19)),))</f>
        <v>41533</v>
      </c>
      <c r="D30" s="250" t="str">
        <f ca="1">IF(ROWS($1:19)&gt;COUNT(Dong2),"",OFFSET(TH!F$1,SMALL(Dong2,ROWS($1:19)),))</f>
        <v>Thu tiền hàng</v>
      </c>
      <c r="E30" s="162" t="str">
        <f ca="1">IF(ROWS($1:19)&gt;COUNT(Dong2),"",IF(OFFSET(TH!M$1,SMALL(Dong2,ROWS($1:19)),)=$I$6,OFFSET(TH!L$1,SMALL(Dong2,ROWS($1:19)),),OFFSET(TH!M$1,SMALL(Dong2,ROWS($1:19)),)))</f>
        <v>131</v>
      </c>
      <c r="F30" s="613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3068120</v>
      </c>
      <c r="G30" s="613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754">
        <f t="shared" ca="1" si="0"/>
        <v>285460143</v>
      </c>
      <c r="I30" s="610"/>
      <c r="L30" s="144"/>
    </row>
    <row r="31" spans="1:17" s="151" customFormat="1" ht="20.25" customHeight="1">
      <c r="A31" s="162">
        <f ca="1">IF(ROWS($1:20)&gt;COUNT(Dong2),"",OFFSET(TH!C$1,SMALL(Dong2,ROWS($1:20)),))</f>
        <v>41534</v>
      </c>
      <c r="B31" s="162">
        <f ca="1">IF(ROWS($1:20)&gt;COUNT(Dong2),"",OFFSET(TH!D$1,SMALL(Dong2,ROWS($1:20)),))</f>
        <v>0</v>
      </c>
      <c r="C31" s="162">
        <f ca="1">IF(ROWS($1:20)&gt;COUNT(Dong2),"",OFFSET(TH!E$1,SMALL(Dong2,ROWS($1:20)),))</f>
        <v>41534</v>
      </c>
      <c r="D31" s="250" t="str">
        <f ca="1">IF(ROWS($1:20)&gt;COUNT(Dong2),"",OFFSET(TH!F$1,SMALL(Dong2,ROWS($1:20)),))</f>
        <v>Thu tiền hàng</v>
      </c>
      <c r="E31" s="162" t="str">
        <f ca="1">IF(ROWS($1:20)&gt;COUNT(Dong2),"",IF(OFFSET(TH!M$1,SMALL(Dong2,ROWS($1:20)),)=$I$6,OFFSET(TH!L$1,SMALL(Dong2,ROWS($1:20)),),OFFSET(TH!M$1,SMALL(Dong2,ROWS($1:20)),)))</f>
        <v>131</v>
      </c>
      <c r="F31" s="613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18409413</v>
      </c>
      <c r="G31" s="613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54">
        <f t="shared" ca="1" si="0"/>
        <v>303869556</v>
      </c>
      <c r="I31" s="610"/>
      <c r="L31" s="144"/>
    </row>
    <row r="32" spans="1:17" s="151" customFormat="1" ht="20.25" customHeight="1">
      <c r="A32" s="162">
        <f ca="1">IF(ROWS($1:21)&gt;COUNT(Dong2),"",OFFSET(TH!C$1,SMALL(Dong2,ROWS($1:21)),))</f>
        <v>41535</v>
      </c>
      <c r="B32" s="162">
        <f ca="1">IF(ROWS($1:21)&gt;COUNT(Dong2),"",OFFSET(TH!D$1,SMALL(Dong2,ROWS($1:21)),))</f>
        <v>0</v>
      </c>
      <c r="C32" s="162">
        <f ca="1">IF(ROWS($1:21)&gt;COUNT(Dong2),"",OFFSET(TH!E$1,SMALL(Dong2,ROWS($1:21)),))</f>
        <v>41535</v>
      </c>
      <c r="D32" s="250" t="str">
        <f ca="1">IF(ROWS($1:21)&gt;COUNT(Dong2),"",OFFSET(TH!F$1,SMALL(Dong2,ROWS($1:21)),))</f>
        <v>Thu tiền hàng</v>
      </c>
      <c r="E32" s="162" t="str">
        <f ca="1">IF(ROWS($1:21)&gt;COUNT(Dong2),"",IF(OFFSET(TH!M$1,SMALL(Dong2,ROWS($1:21)),)=$I$6,OFFSET(TH!L$1,SMALL(Dong2,ROWS($1:21)),),OFFSET(TH!M$1,SMALL(Dong2,ROWS($1:21)),)))</f>
        <v>131</v>
      </c>
      <c r="F32" s="613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13681250</v>
      </c>
      <c r="G32" s="613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4">
        <f t="shared" ca="1" si="0"/>
        <v>317550806</v>
      </c>
      <c r="I32" s="610"/>
      <c r="L32" s="144"/>
    </row>
    <row r="33" spans="1:12" s="151" customFormat="1" ht="20.25" customHeight="1">
      <c r="A33" s="162">
        <f ca="1">IF(ROWS($1:22)&gt;COUNT(Dong2),"",OFFSET(TH!C$1,SMALL(Dong2,ROWS($1:22)),))</f>
        <v>41536</v>
      </c>
      <c r="B33" s="162">
        <f ca="1">IF(ROWS($1:22)&gt;COUNT(Dong2),"",OFFSET(TH!D$1,SMALL(Dong2,ROWS($1:22)),))</f>
        <v>0</v>
      </c>
      <c r="C33" s="162">
        <f ca="1">IF(ROWS($1:22)&gt;COUNT(Dong2),"",OFFSET(TH!E$1,SMALL(Dong2,ROWS($1:22)),))</f>
        <v>41536</v>
      </c>
      <c r="D33" s="250" t="str">
        <f ca="1">IF(ROWS($1:22)&gt;COUNT(Dong2),"",OFFSET(TH!F$1,SMALL(Dong2,ROWS($1:22)),))</f>
        <v>Thu tiền hàng</v>
      </c>
      <c r="E33" s="162" t="str">
        <f ca="1">IF(ROWS($1:22)&gt;COUNT(Dong2),"",IF(OFFSET(TH!M$1,SMALL(Dong2,ROWS($1:22)),)=$I$6,OFFSET(TH!L$1,SMALL(Dong2,ROWS($1:22)),),OFFSET(TH!M$1,SMALL(Dong2,ROWS($1:22)),)))</f>
        <v>131</v>
      </c>
      <c r="F33" s="613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12547810</v>
      </c>
      <c r="G33" s="613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4">
        <f t="shared" ca="1" si="0"/>
        <v>330098616</v>
      </c>
      <c r="I33" s="610"/>
      <c r="L33" s="144"/>
    </row>
    <row r="34" spans="1:12" s="151" customFormat="1" ht="20.25" customHeight="1">
      <c r="A34" s="162">
        <f ca="1">IF(ROWS($1:23)&gt;COUNT(Dong2),"",OFFSET(TH!C$1,SMALL(Dong2,ROWS($1:23)),))</f>
        <v>41541</v>
      </c>
      <c r="B34" s="162">
        <f ca="1">IF(ROWS($1:23)&gt;COUNT(Dong2),"",OFFSET(TH!D$1,SMALL(Dong2,ROWS($1:23)),))</f>
        <v>0</v>
      </c>
      <c r="C34" s="162">
        <f ca="1">IF(ROWS($1:23)&gt;COUNT(Dong2),"",OFFSET(TH!E$1,SMALL(Dong2,ROWS($1:23)),))</f>
        <v>41541</v>
      </c>
      <c r="D34" s="250" t="str">
        <f ca="1">IF(ROWS($1:23)&gt;COUNT(Dong2),"",OFFSET(TH!F$1,SMALL(Dong2,ROWS($1:23)),))</f>
        <v>Thu tiền hàng</v>
      </c>
      <c r="E34" s="162" t="str">
        <f ca="1">IF(ROWS($1:23)&gt;COUNT(Dong2),"",IF(OFFSET(TH!M$1,SMALL(Dong2,ROWS($1:23)),)=$I$6,OFFSET(TH!L$1,SMALL(Dong2,ROWS($1:23)),),OFFSET(TH!M$1,SMALL(Dong2,ROWS($1:23)),)))</f>
        <v>131</v>
      </c>
      <c r="F34" s="613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12642630</v>
      </c>
      <c r="G34" s="613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754">
        <f t="shared" ca="1" si="0"/>
        <v>342741246</v>
      </c>
      <c r="I34" s="610"/>
      <c r="L34" s="144"/>
    </row>
    <row r="35" spans="1:12" s="151" customFormat="1" ht="20.25" customHeight="1">
      <c r="A35" s="162">
        <f ca="1">IF(ROWS($1:24)&gt;COUNT(Dong2),"",OFFSET(TH!C$1,SMALL(Dong2,ROWS($1:24)),))</f>
        <v>41542</v>
      </c>
      <c r="B35" s="162">
        <f ca="1">IF(ROWS($1:24)&gt;COUNT(Dong2),"",OFFSET(TH!D$1,SMALL(Dong2,ROWS($1:24)),))</f>
        <v>0</v>
      </c>
      <c r="C35" s="162">
        <f ca="1">IF(ROWS($1:24)&gt;COUNT(Dong2),"",OFFSET(TH!E$1,SMALL(Dong2,ROWS($1:24)),))</f>
        <v>41542</v>
      </c>
      <c r="D35" s="250" t="str">
        <f ca="1">IF(ROWS($1:24)&gt;COUNT(Dong2),"",OFFSET(TH!F$1,SMALL(Dong2,ROWS($1:24)),))</f>
        <v>Lãi tiền gửi</v>
      </c>
      <c r="E35" s="162" t="str">
        <f ca="1">IF(ROWS($1:24)&gt;COUNT(Dong2),"",IF(OFFSET(TH!M$1,SMALL(Dong2,ROWS($1:24)),)=$I$6,OFFSET(TH!L$1,SMALL(Dong2,ROWS($1:24)),),OFFSET(TH!M$1,SMALL(Dong2,ROWS($1:24)),)))</f>
        <v>515</v>
      </c>
      <c r="F35" s="613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6004</v>
      </c>
      <c r="G35" s="613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54">
        <f t="shared" ca="1" si="0"/>
        <v>342747250</v>
      </c>
      <c r="I35" s="610"/>
      <c r="L35" s="144"/>
    </row>
    <row r="36" spans="1:12" s="151" customFormat="1" ht="20.25" customHeight="1">
      <c r="A36" s="162">
        <f ca="1">IF(ROWS($1:25)&gt;COUNT(Dong2),"",OFFSET(TH!C$1,SMALL(Dong2,ROWS($1:25)),))</f>
        <v>41547</v>
      </c>
      <c r="B36" s="162">
        <f ca="1">IF(ROWS($1:25)&gt;COUNT(Dong2),"",OFFSET(TH!D$1,SMALL(Dong2,ROWS($1:25)),))</f>
        <v>0</v>
      </c>
      <c r="C36" s="162">
        <f ca="1">IF(ROWS($1:25)&gt;COUNT(Dong2),"",OFFSET(TH!E$1,SMALL(Dong2,ROWS($1:25)),))</f>
        <v>41547</v>
      </c>
      <c r="D36" s="250" t="str">
        <f ca="1">IF(ROWS($1:25)&gt;COUNT(Dong2),"",OFFSET(TH!F$1,SMALL(Dong2,ROWS($1:25)),))</f>
        <v>Thu tiền hàng</v>
      </c>
      <c r="E36" s="162" t="str">
        <f ca="1">IF(ROWS($1:25)&gt;COUNT(Dong2),"",IF(OFFSET(TH!M$1,SMALL(Dong2,ROWS($1:25)),)=$I$6,OFFSET(TH!L$1,SMALL(Dong2,ROWS($1:25)),),OFFSET(TH!M$1,SMALL(Dong2,ROWS($1:25)),)))</f>
        <v>131</v>
      </c>
      <c r="F36" s="613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14819200</v>
      </c>
      <c r="G36" s="613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54">
        <f t="shared" ca="1" si="0"/>
        <v>357566450</v>
      </c>
      <c r="I36" s="610"/>
      <c r="L36" s="144"/>
    </row>
    <row r="37" spans="1:12" s="151" customFormat="1" ht="20.25" customHeight="1">
      <c r="A37" s="162">
        <f ca="1">IF(ROWS($1:26)&gt;COUNT(Dong2),"",OFFSET(TH!C$1,SMALL(Dong2,ROWS($1:26)),))</f>
        <v>41481</v>
      </c>
      <c r="B37" s="162">
        <f ca="1">IF(ROWS($1:26)&gt;COUNT(Dong2),"",OFFSET(TH!D$1,SMALL(Dong2,ROWS($1:26)),))</f>
        <v>0</v>
      </c>
      <c r="C37" s="162">
        <f ca="1">IF(ROWS($1:26)&gt;COUNT(Dong2),"",OFFSET(TH!E$1,SMALL(Dong2,ROWS($1:26)),))</f>
        <v>41481</v>
      </c>
      <c r="D37" s="250" t="str">
        <f ca="1">IF(ROWS($1:26)&gt;COUNT(Dong2),"",OFFSET(TH!F$1,SMALL(Dong2,ROWS($1:26)),))</f>
        <v>Chi sec nhập quỹ tiền mặt</v>
      </c>
      <c r="E37" s="162" t="str">
        <f ca="1">IF(ROWS($1:26)&gt;COUNT(Dong2),"",IF(OFFSET(TH!M$1,SMALL(Dong2,ROWS($1:26)),)=$I$6,OFFSET(TH!L$1,SMALL(Dong2,ROWS($1:26)),),OFFSET(TH!M$1,SMALL(Dong2,ROWS($1:26)),)))</f>
        <v>1111</v>
      </c>
      <c r="F37" s="613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3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31000000</v>
      </c>
      <c r="H37" s="754">
        <f t="shared" ca="1" si="0"/>
        <v>326566450</v>
      </c>
      <c r="I37" s="610"/>
      <c r="L37" s="144"/>
    </row>
    <row r="38" spans="1:12" s="151" customFormat="1" ht="20.25" customHeight="1">
      <c r="A38" s="162">
        <f ca="1">IF(ROWS($1:27)&gt;COUNT(Dong2),"",OFFSET(TH!C$1,SMALL(Dong2,ROWS($1:27)),))</f>
        <v>41485</v>
      </c>
      <c r="B38" s="162">
        <f ca="1">IF(ROWS($1:27)&gt;COUNT(Dong2),"",OFFSET(TH!D$1,SMALL(Dong2,ROWS($1:27)),))</f>
        <v>0</v>
      </c>
      <c r="C38" s="162">
        <f ca="1">IF(ROWS($1:27)&gt;COUNT(Dong2),"",OFFSET(TH!E$1,SMALL(Dong2,ROWS($1:27)),))</f>
        <v>41485</v>
      </c>
      <c r="D38" s="250" t="str">
        <f ca="1">IF(ROWS($1:27)&gt;COUNT(Dong2),"",OFFSET(TH!F$1,SMALL(Dong2,ROWS($1:27)),))</f>
        <v>Thanh toán tiền hàng</v>
      </c>
      <c r="E38" s="162" t="str">
        <f ca="1">IF(ROWS($1:27)&gt;COUNT(Dong2),"",IF(OFFSET(TH!M$1,SMALL(Dong2,ROWS($1:27)),)=$I$6,OFFSET(TH!L$1,SMALL(Dong2,ROWS($1:27)),),OFFSET(TH!M$1,SMALL(Dong2,ROWS($1:27)),)))</f>
        <v>331</v>
      </c>
      <c r="F38" s="613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3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20000000</v>
      </c>
      <c r="H38" s="754">
        <f t="shared" ca="1" si="0"/>
        <v>306566450</v>
      </c>
      <c r="I38" s="610"/>
      <c r="L38" s="144"/>
    </row>
    <row r="39" spans="1:12" s="151" customFormat="1" ht="20.25" customHeight="1">
      <c r="A39" s="162">
        <f ca="1">IF(ROWS($1:28)&gt;COUNT(Dong2),"",OFFSET(TH!C$1,SMALL(Dong2,ROWS($1:28)),))</f>
        <v>41493</v>
      </c>
      <c r="B39" s="162">
        <f ca="1">IF(ROWS($1:28)&gt;COUNT(Dong2),"",OFFSET(TH!D$1,SMALL(Dong2,ROWS($1:28)),))</f>
        <v>0</v>
      </c>
      <c r="C39" s="162">
        <f ca="1">IF(ROWS($1:28)&gt;COUNT(Dong2),"",OFFSET(TH!E$1,SMALL(Dong2,ROWS($1:28)),))</f>
        <v>41493</v>
      </c>
      <c r="D39" s="250" t="str">
        <f ca="1">IF(ROWS($1:28)&gt;COUNT(Dong2),"",OFFSET(TH!F$1,SMALL(Dong2,ROWS($1:28)),))</f>
        <v>Chi sec nhập quỹ tiền mặt</v>
      </c>
      <c r="E39" s="162" t="str">
        <f ca="1">IF(ROWS($1:28)&gt;COUNT(Dong2),"",IF(OFFSET(TH!M$1,SMALL(Dong2,ROWS($1:28)),)=$I$6,OFFSET(TH!L$1,SMALL(Dong2,ROWS($1:28)),),OFFSET(TH!M$1,SMALL(Dong2,ROWS($1:28)),)))</f>
        <v>1111</v>
      </c>
      <c r="F39" s="613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13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39000000</v>
      </c>
      <c r="H39" s="754">
        <f t="shared" ca="1" si="0"/>
        <v>267566450</v>
      </c>
      <c r="I39" s="610"/>
      <c r="L39" s="144"/>
    </row>
    <row r="40" spans="1:12" s="151" customFormat="1" ht="20.25" customHeight="1">
      <c r="A40" s="162">
        <f ca="1">IF(ROWS($1:29)&gt;COUNT(Dong2),"",OFFSET(TH!C$1,SMALL(Dong2,ROWS($1:29)),))</f>
        <v>41502</v>
      </c>
      <c r="B40" s="162">
        <f ca="1">IF(ROWS($1:29)&gt;COUNT(Dong2),"",OFFSET(TH!D$1,SMALL(Dong2,ROWS($1:29)),))</f>
        <v>0</v>
      </c>
      <c r="C40" s="162">
        <f ca="1">IF(ROWS($1:29)&gt;COUNT(Dong2),"",OFFSET(TH!E$1,SMALL(Dong2,ROWS($1:29)),))</f>
        <v>41502</v>
      </c>
      <c r="D40" s="250" t="str">
        <f ca="1">IF(ROWS($1:29)&gt;COUNT(Dong2),"",OFFSET(TH!F$1,SMALL(Dong2,ROWS($1:29)),))</f>
        <v>Chi sec nhập quỹ tiền mặt</v>
      </c>
      <c r="E40" s="162" t="str">
        <f ca="1">IF(ROWS($1:29)&gt;COUNT(Dong2),"",IF(OFFSET(TH!M$1,SMALL(Dong2,ROWS($1:29)),)=$I$6,OFFSET(TH!L$1,SMALL(Dong2,ROWS($1:29)),),OFFSET(TH!M$1,SMALL(Dong2,ROWS($1:29)),)))</f>
        <v>1111</v>
      </c>
      <c r="F40" s="613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613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35600000</v>
      </c>
      <c r="H40" s="754">
        <f t="shared" ca="1" si="0"/>
        <v>231966450</v>
      </c>
      <c r="I40" s="610"/>
    </row>
    <row r="41" spans="1:12" s="151" customFormat="1" ht="20.25" customHeight="1">
      <c r="A41" s="162">
        <f ca="1">IF(ROWS($1:30)&gt;COUNT(Dong2),"",OFFSET(TH!C$1,SMALL(Dong2,ROWS($1:30)),))</f>
        <v>41502</v>
      </c>
      <c r="B41" s="162">
        <f ca="1">IF(ROWS($1:30)&gt;COUNT(Dong2),"",OFFSET(TH!D$1,SMALL(Dong2,ROWS($1:30)),))</f>
        <v>0</v>
      </c>
      <c r="C41" s="162">
        <f ca="1">IF(ROWS($1:30)&gt;COUNT(Dong2),"",OFFSET(TH!E$1,SMALL(Dong2,ROWS($1:30)),))</f>
        <v>41502</v>
      </c>
      <c r="D41" s="250" t="str">
        <f ca="1">IF(ROWS($1:30)&gt;COUNT(Dong2),"",OFFSET(TH!F$1,SMALL(Dong2,ROWS($1:30)),))</f>
        <v>Thanh toán tiền hàng</v>
      </c>
      <c r="E41" s="162" t="str">
        <f ca="1">IF(ROWS($1:30)&gt;COUNT(Dong2),"",IF(OFFSET(TH!M$1,SMALL(Dong2,ROWS($1:30)),)=$I$6,OFFSET(TH!L$1,SMALL(Dong2,ROWS($1:30)),),OFFSET(TH!M$1,SMALL(Dong2,ROWS($1:30)),)))</f>
        <v>331</v>
      </c>
      <c r="F41" s="613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3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15500000</v>
      </c>
      <c r="H41" s="754">
        <f t="shared" ref="H41:H43" ca="1" si="1">IF(A41&lt;&gt;"",H40+F41-G41,0)</f>
        <v>216466450</v>
      </c>
      <c r="I41" s="610"/>
    </row>
    <row r="42" spans="1:12" s="151" customFormat="1" ht="20.25" customHeight="1">
      <c r="A42" s="162">
        <f ca="1">IF(ROWS($1:31)&gt;COUNT(Dong2),"",OFFSET(TH!C$1,SMALL(Dong2,ROWS($1:31)),))</f>
        <v>41502</v>
      </c>
      <c r="B42" s="162">
        <f ca="1">IF(ROWS($1:31)&gt;COUNT(Dong2),"",OFFSET(TH!D$1,SMALL(Dong2,ROWS($1:31)),))</f>
        <v>0</v>
      </c>
      <c r="C42" s="162">
        <f ca="1">IF(ROWS($1:31)&gt;COUNT(Dong2),"",OFFSET(TH!E$1,SMALL(Dong2,ROWS($1:31)),))</f>
        <v>41502</v>
      </c>
      <c r="D42" s="250" t="str">
        <f ca="1">IF(ROWS($1:31)&gt;COUNT(Dong2),"",OFFSET(TH!F$1,SMALL(Dong2,ROWS($1:31)),))</f>
        <v>Phí chuyển tiền</v>
      </c>
      <c r="E42" s="162" t="str">
        <f ca="1">IF(ROWS($1:31)&gt;COUNT(Dong2),"",IF(OFFSET(TH!M$1,SMALL(Dong2,ROWS($1:31)),)=$I$6,OFFSET(TH!L$1,SMALL(Dong2,ROWS($1:31)),),OFFSET(TH!M$1,SMALL(Dong2,ROWS($1:31)),)))</f>
        <v>642</v>
      </c>
      <c r="F42" s="613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13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15000</v>
      </c>
      <c r="H42" s="754">
        <f t="shared" ca="1" si="1"/>
        <v>216451450</v>
      </c>
      <c r="I42" s="610"/>
    </row>
    <row r="43" spans="1:12" s="151" customFormat="1" ht="20.25" customHeight="1">
      <c r="A43" s="162">
        <f ca="1">IF(ROWS($1:32)&gt;COUNT(Dong2),"",OFFSET(TH!C$1,SMALL(Dong2,ROWS($1:32)),))</f>
        <v>41512</v>
      </c>
      <c r="B43" s="162">
        <f ca="1">IF(ROWS($1:32)&gt;COUNT(Dong2),"",OFFSET(TH!D$1,SMALL(Dong2,ROWS($1:32)),))</f>
        <v>0</v>
      </c>
      <c r="C43" s="162">
        <f ca="1">IF(ROWS($1:32)&gt;COUNT(Dong2),"",OFFSET(TH!E$1,SMALL(Dong2,ROWS($1:32)),))</f>
        <v>41512</v>
      </c>
      <c r="D43" s="250" t="str">
        <f ca="1">IF(ROWS($1:32)&gt;COUNT(Dong2),"",OFFSET(TH!F$1,SMALL(Dong2,ROWS($1:32)),))</f>
        <v>Chi sec nhập quỹ tiền mặt</v>
      </c>
      <c r="E43" s="162" t="str">
        <f ca="1">IF(ROWS($1:32)&gt;COUNT(Dong2),"",IF(OFFSET(TH!M$1,SMALL(Dong2,ROWS($1:32)),)=$I$6,OFFSET(TH!L$1,SMALL(Dong2,ROWS($1:32)),),OFFSET(TH!M$1,SMALL(Dong2,ROWS($1:32)),)))</f>
        <v>1111</v>
      </c>
      <c r="F43" s="613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613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75500000</v>
      </c>
      <c r="H43" s="754">
        <f t="shared" ca="1" si="1"/>
        <v>140951450</v>
      </c>
      <c r="I43" s="610"/>
    </row>
    <row r="44" spans="1:12" s="151" customFormat="1" ht="20.25" customHeight="1">
      <c r="A44" s="162">
        <f ca="1">IF(ROWS($1:33)&gt;COUNT(Dong2),"",OFFSET(TH!C$1,SMALL(Dong2,ROWS($1:33)),))</f>
        <v>41517</v>
      </c>
      <c r="B44" s="162">
        <f ca="1">IF(ROWS($1:33)&gt;COUNT(Dong2),"",OFFSET(TH!D$1,SMALL(Dong2,ROWS($1:33)),))</f>
        <v>0</v>
      </c>
      <c r="C44" s="162">
        <f ca="1">IF(ROWS($1:33)&gt;COUNT(Dong2),"",OFFSET(TH!E$1,SMALL(Dong2,ROWS($1:33)),))</f>
        <v>41517</v>
      </c>
      <c r="D44" s="250" t="str">
        <f ca="1">IF(ROWS($1:33)&gt;COUNT(Dong2),"",OFFSET(TH!F$1,SMALL(Dong2,ROWS($1:33)),))</f>
        <v>Chi sec nhập quỹ tiền mặt</v>
      </c>
      <c r="E44" s="162" t="str">
        <f ca="1">IF(ROWS($1:33)&gt;COUNT(Dong2),"",IF(OFFSET(TH!M$1,SMALL(Dong2,ROWS($1:33)),)=$I$6,OFFSET(TH!L$1,SMALL(Dong2,ROWS($1:33)),),OFFSET(TH!M$1,SMALL(Dong2,ROWS($1:33)),)))</f>
        <v>1111</v>
      </c>
      <c r="F44" s="613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613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16700000</v>
      </c>
      <c r="H44" s="754">
        <f t="shared" ref="H44:H60" ca="1" si="2">IF(A44&lt;&gt;"",H43+F44-G44,0)</f>
        <v>124251450</v>
      </c>
      <c r="I44" s="610"/>
    </row>
    <row r="45" spans="1:12" s="151" customFormat="1" ht="20.25" customHeight="1">
      <c r="A45" s="162">
        <f ca="1">IF(ROWS($1:34)&gt;COUNT(Dong2),"",OFFSET(TH!C$1,SMALL(Dong2,ROWS($1:34)),))</f>
        <v>41528</v>
      </c>
      <c r="B45" s="162">
        <f ca="1">IF(ROWS($1:34)&gt;COUNT(Dong2),"",OFFSET(TH!D$1,SMALL(Dong2,ROWS($1:34)),))</f>
        <v>0</v>
      </c>
      <c r="C45" s="162">
        <f ca="1">IF(ROWS($1:34)&gt;COUNT(Dong2),"",OFFSET(TH!E$1,SMALL(Dong2,ROWS($1:34)),))</f>
        <v>41528</v>
      </c>
      <c r="D45" s="250" t="str">
        <f ca="1">IF(ROWS($1:34)&gt;COUNT(Dong2),"",OFFSET(TH!F$1,SMALL(Dong2,ROWS($1:34)),))</f>
        <v>Chi sec nhập quỹ tiền mặt</v>
      </c>
      <c r="E45" s="162" t="str">
        <f ca="1">IF(ROWS($1:34)&gt;COUNT(Dong2),"",IF(OFFSET(TH!M$1,SMALL(Dong2,ROWS($1:34)),)=$I$6,OFFSET(TH!L$1,SMALL(Dong2,ROWS($1:34)),),OFFSET(TH!M$1,SMALL(Dong2,ROWS($1:34)),)))</f>
        <v>1111</v>
      </c>
      <c r="F45" s="613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613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28800000</v>
      </c>
      <c r="H45" s="754">
        <f t="shared" ca="1" si="2"/>
        <v>95451450</v>
      </c>
      <c r="I45" s="610"/>
    </row>
    <row r="46" spans="1:12" s="151" customFormat="1" ht="20.25" customHeight="1">
      <c r="A46" s="162">
        <f ca="1">IF(ROWS($1:35)&gt;COUNT(Dong2),"",OFFSET(TH!C$1,SMALL(Dong2,ROWS($1:35)),))</f>
        <v>41535</v>
      </c>
      <c r="B46" s="162">
        <f ca="1">IF(ROWS($1:35)&gt;COUNT(Dong2),"",OFFSET(TH!D$1,SMALL(Dong2,ROWS($1:35)),))</f>
        <v>0</v>
      </c>
      <c r="C46" s="162">
        <f ca="1">IF(ROWS($1:35)&gt;COUNT(Dong2),"",OFFSET(TH!E$1,SMALL(Dong2,ROWS($1:35)),))</f>
        <v>41535</v>
      </c>
      <c r="D46" s="250" t="str">
        <f ca="1">IF(ROWS($1:35)&gt;COUNT(Dong2),"",OFFSET(TH!F$1,SMALL(Dong2,ROWS($1:35)),))</f>
        <v>Chi sec nhập quỹ tiền mặt</v>
      </c>
      <c r="E46" s="162" t="str">
        <f ca="1">IF(ROWS($1:35)&gt;COUNT(Dong2),"",IF(OFFSET(TH!M$1,SMALL(Dong2,ROWS($1:35)),)=$I$6,OFFSET(TH!L$1,SMALL(Dong2,ROWS($1:35)),),OFFSET(TH!M$1,SMALL(Dong2,ROWS($1:35)),)))</f>
        <v>1111</v>
      </c>
      <c r="F46" s="613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3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21500000</v>
      </c>
      <c r="H46" s="754">
        <f t="shared" ca="1" si="2"/>
        <v>73951450</v>
      </c>
      <c r="I46" s="610"/>
    </row>
    <row r="47" spans="1:12" s="151" customFormat="1" ht="20.25" customHeight="1">
      <c r="A47" s="162">
        <f ca="1">IF(ROWS($1:36)&gt;COUNT(Dong2),"",OFFSET(TH!C$1,SMALL(Dong2,ROWS($1:36)),))</f>
        <v>41537</v>
      </c>
      <c r="B47" s="162">
        <f ca="1">IF(ROWS($1:36)&gt;COUNT(Dong2),"",OFFSET(TH!D$1,SMALL(Dong2,ROWS($1:36)),))</f>
        <v>0</v>
      </c>
      <c r="C47" s="162">
        <f ca="1">IF(ROWS($1:36)&gt;COUNT(Dong2),"",OFFSET(TH!E$1,SMALL(Dong2,ROWS($1:36)),))</f>
        <v>41537</v>
      </c>
      <c r="D47" s="250" t="str">
        <f ca="1">IF(ROWS($1:36)&gt;COUNT(Dong2),"",OFFSET(TH!F$1,SMALL(Dong2,ROWS($1:36)),))</f>
        <v>Chi sec nhập quỹ tiền mặt</v>
      </c>
      <c r="E47" s="162" t="str">
        <f ca="1">IF(ROWS($1:36)&gt;COUNT(Dong2),"",IF(OFFSET(TH!M$1,SMALL(Dong2,ROWS($1:36)),)=$I$6,OFFSET(TH!L$1,SMALL(Dong2,ROWS($1:36)),),OFFSET(TH!M$1,SMALL(Dong2,ROWS($1:36)),)))</f>
        <v>1111</v>
      </c>
      <c r="F47" s="613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3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26000000</v>
      </c>
      <c r="H47" s="754">
        <f t="shared" ca="1" si="2"/>
        <v>47951450</v>
      </c>
      <c r="I47" s="610"/>
    </row>
    <row r="48" spans="1:12" s="151" customFormat="1" ht="20.25" customHeight="1">
      <c r="A48" s="162">
        <f ca="1">IF(ROWS($1:37)&gt;COUNT(Dong2),"",OFFSET(TH!C$1,SMALL(Dong2,ROWS($1:37)),))</f>
        <v>41542</v>
      </c>
      <c r="B48" s="162">
        <f ca="1">IF(ROWS($1:37)&gt;COUNT(Dong2),"",OFFSET(TH!D$1,SMALL(Dong2,ROWS($1:37)),))</f>
        <v>0</v>
      </c>
      <c r="C48" s="162">
        <f ca="1">IF(ROWS($1:37)&gt;COUNT(Dong2),"",OFFSET(TH!E$1,SMALL(Dong2,ROWS($1:37)),))</f>
        <v>41542</v>
      </c>
      <c r="D48" s="250" t="str">
        <f ca="1">IF(ROWS($1:37)&gt;COUNT(Dong2),"",OFFSET(TH!F$1,SMALL(Dong2,ROWS($1:37)),))</f>
        <v>Chi sec nhập quỹ tiền mặt</v>
      </c>
      <c r="E48" s="162" t="str">
        <f ca="1">IF(ROWS($1:37)&gt;COUNT(Dong2),"",IF(OFFSET(TH!M$1,SMALL(Dong2,ROWS($1:37)),)=$I$6,OFFSET(TH!L$1,SMALL(Dong2,ROWS($1:37)),),OFFSET(TH!M$1,SMALL(Dong2,ROWS($1:37)),)))</f>
        <v>1111</v>
      </c>
      <c r="F48" s="613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3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12900000</v>
      </c>
      <c r="H48" s="754">
        <f t="shared" ca="1" si="2"/>
        <v>35051450</v>
      </c>
      <c r="I48" s="610"/>
    </row>
    <row r="49" spans="1:9" s="151" customFormat="1" ht="20.25" customHeight="1">
      <c r="A49" s="162" t="str">
        <f ca="1">IF(ROWS($1:38)&gt;COUNT(Dong2),"",OFFSET(TH!C$1,SMALL(Dong2,ROWS($1:38)),))</f>
        <v/>
      </c>
      <c r="B49" s="162" t="str">
        <f ca="1">IF(ROWS($1:38)&gt;COUNT(Dong2),"",OFFSET(TH!D$1,SMALL(Dong2,ROWS($1:38)),))</f>
        <v/>
      </c>
      <c r="C49" s="162" t="str">
        <f ca="1">IF(ROWS($1:38)&gt;COUNT(Dong2),"",OFFSET(TH!E$1,SMALL(Dong2,ROWS($1:38)),))</f>
        <v/>
      </c>
      <c r="D49" s="250" t="str">
        <f ca="1">IF(ROWS($1:38)&gt;COUNT(Dong2),"",OFFSET(TH!F$1,SMALL(Dong2,ROWS($1:38)),))</f>
        <v/>
      </c>
      <c r="E49" s="162" t="str">
        <f ca="1">IF(ROWS($1:38)&gt;COUNT(Dong2),"",IF(OFFSET(TH!M$1,SMALL(Dong2,ROWS($1:38)),)=$I$6,OFFSET(TH!L$1,SMALL(Dong2,ROWS($1:38)),),OFFSET(TH!M$1,SMALL(Dong2,ROWS($1:38)),)))</f>
        <v/>
      </c>
      <c r="F49" s="613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13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754">
        <f t="shared" ca="1" si="2"/>
        <v>0</v>
      </c>
      <c r="I49" s="610"/>
    </row>
    <row r="50" spans="1:9" s="151" customFormat="1" ht="20.25" customHeight="1">
      <c r="A50" s="162" t="str">
        <f ca="1">IF(ROWS($1:39)&gt;COUNT(Dong2),"",OFFSET(TH!C$1,SMALL(Dong2,ROWS($1:39)),))</f>
        <v/>
      </c>
      <c r="B50" s="162" t="str">
        <f ca="1">IF(ROWS($1:39)&gt;COUNT(Dong2),"",OFFSET(TH!D$1,SMALL(Dong2,ROWS($1:39)),))</f>
        <v/>
      </c>
      <c r="C50" s="162" t="str">
        <f ca="1">IF(ROWS($1:39)&gt;COUNT(Dong2),"",OFFSET(TH!E$1,SMALL(Dong2,ROWS($1:39)),))</f>
        <v/>
      </c>
      <c r="D50" s="250" t="str">
        <f ca="1">IF(ROWS($1:39)&gt;COUNT(Dong2),"",OFFSET(TH!F$1,SMALL(Dong2,ROWS($1:39)),))</f>
        <v/>
      </c>
      <c r="E50" s="162" t="str">
        <f ca="1">IF(ROWS($1:39)&gt;COUNT(Dong2),"",IF(OFFSET(TH!M$1,SMALL(Dong2,ROWS($1:39)),)=$I$6,OFFSET(TH!L$1,SMALL(Dong2,ROWS($1:39)),),OFFSET(TH!M$1,SMALL(Dong2,ROWS($1:39)),)))</f>
        <v/>
      </c>
      <c r="F50" s="613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13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754">
        <f t="shared" ca="1" si="2"/>
        <v>0</v>
      </c>
      <c r="I50" s="610"/>
    </row>
    <row r="51" spans="1:9" s="151" customFormat="1" ht="20.25" customHeight="1">
      <c r="A51" s="162" t="str">
        <f ca="1">IF(ROWS($1:40)&gt;COUNT(Dong2),"",OFFSET(TH!C$1,SMALL(Dong2,ROWS($1:40)),))</f>
        <v/>
      </c>
      <c r="B51" s="162" t="str">
        <f ca="1">IF(ROWS($1:40)&gt;COUNT(Dong2),"",OFFSET(TH!D$1,SMALL(Dong2,ROWS($1:40)),))</f>
        <v/>
      </c>
      <c r="C51" s="162" t="str">
        <f ca="1">IF(ROWS($1:40)&gt;COUNT(Dong2),"",OFFSET(TH!E$1,SMALL(Dong2,ROWS($1:40)),))</f>
        <v/>
      </c>
      <c r="D51" s="250" t="str">
        <f ca="1">IF(ROWS($1:40)&gt;COUNT(Dong2),"",OFFSET(TH!F$1,SMALL(Dong2,ROWS($1:40)),))</f>
        <v/>
      </c>
      <c r="E51" s="162" t="str">
        <f ca="1">IF(ROWS($1:40)&gt;COUNT(Dong2),"",IF(OFFSET(TH!M$1,SMALL(Dong2,ROWS($1:40)),)=$I$6,OFFSET(TH!L$1,SMALL(Dong2,ROWS($1:40)),),OFFSET(TH!M$1,SMALL(Dong2,ROWS($1:40)),)))</f>
        <v/>
      </c>
      <c r="F51" s="613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13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754">
        <f t="shared" ca="1" si="2"/>
        <v>0</v>
      </c>
      <c r="I51" s="610"/>
    </row>
    <row r="52" spans="1:9" s="151" customFormat="1" ht="20.25" customHeight="1">
      <c r="A52" s="162" t="str">
        <f ca="1">IF(ROWS($1:41)&gt;COUNT(Dong2),"",OFFSET(TH!C$1,SMALL(Dong2,ROWS($1:41)),))</f>
        <v/>
      </c>
      <c r="B52" s="162" t="str">
        <f ca="1">IF(ROWS($1:41)&gt;COUNT(Dong2),"",OFFSET(TH!D$1,SMALL(Dong2,ROWS($1:41)),))</f>
        <v/>
      </c>
      <c r="C52" s="162" t="str">
        <f ca="1">IF(ROWS($1:41)&gt;COUNT(Dong2),"",OFFSET(TH!E$1,SMALL(Dong2,ROWS($1:41)),))</f>
        <v/>
      </c>
      <c r="D52" s="250" t="str">
        <f ca="1">IF(ROWS($1:41)&gt;COUNT(Dong2),"",OFFSET(TH!F$1,SMALL(Dong2,ROWS($1:41)),))</f>
        <v/>
      </c>
      <c r="E52" s="162" t="str">
        <f ca="1">IF(ROWS($1:41)&gt;COUNT(Dong2),"",IF(OFFSET(TH!M$1,SMALL(Dong2,ROWS($1:41)),)=$I$6,OFFSET(TH!L$1,SMALL(Dong2,ROWS($1:41)),),OFFSET(TH!M$1,SMALL(Dong2,ROWS($1:41)),)))</f>
        <v/>
      </c>
      <c r="F52" s="613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13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754">
        <f t="shared" ca="1" si="2"/>
        <v>0</v>
      </c>
      <c r="I52" s="610"/>
    </row>
    <row r="53" spans="1:9" s="151" customFormat="1" ht="20.25" customHeight="1">
      <c r="A53" s="162" t="str">
        <f ca="1">IF(ROWS($1:42)&gt;COUNT(Dong2),"",OFFSET(TH!C$1,SMALL(Dong2,ROWS($1:42)),))</f>
        <v/>
      </c>
      <c r="B53" s="162" t="str">
        <f ca="1">IF(ROWS($1:42)&gt;COUNT(Dong2),"",OFFSET(TH!D$1,SMALL(Dong2,ROWS($1:42)),))</f>
        <v/>
      </c>
      <c r="C53" s="162" t="str">
        <f ca="1">IF(ROWS($1:42)&gt;COUNT(Dong2),"",OFFSET(TH!E$1,SMALL(Dong2,ROWS($1:42)),))</f>
        <v/>
      </c>
      <c r="D53" s="250" t="str">
        <f ca="1">IF(ROWS($1:42)&gt;COUNT(Dong2),"",OFFSET(TH!F$1,SMALL(Dong2,ROWS($1:42)),))</f>
        <v/>
      </c>
      <c r="E53" s="162" t="str">
        <f ca="1">IF(ROWS($1:42)&gt;COUNT(Dong2),"",IF(OFFSET(TH!M$1,SMALL(Dong2,ROWS($1:42)),)=$I$6,OFFSET(TH!L$1,SMALL(Dong2,ROWS($1:42)),),OFFSET(TH!M$1,SMALL(Dong2,ROWS($1:42)),)))</f>
        <v/>
      </c>
      <c r="F53" s="613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13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754">
        <f t="shared" ca="1" si="2"/>
        <v>0</v>
      </c>
      <c r="I53" s="610"/>
    </row>
    <row r="54" spans="1:9" s="151" customFormat="1" ht="20.25" customHeight="1">
      <c r="A54" s="162" t="str">
        <f ca="1">IF(ROWS($1:43)&gt;COUNT(Dong2),"",OFFSET(TH!C$1,SMALL(Dong2,ROWS($1:43)),))</f>
        <v/>
      </c>
      <c r="B54" s="162" t="str">
        <f ca="1">IF(ROWS($1:43)&gt;COUNT(Dong2),"",OFFSET(TH!D$1,SMALL(Dong2,ROWS($1:43)),))</f>
        <v/>
      </c>
      <c r="C54" s="162" t="str">
        <f ca="1">IF(ROWS($1:43)&gt;COUNT(Dong2),"",OFFSET(TH!E$1,SMALL(Dong2,ROWS($1:43)),))</f>
        <v/>
      </c>
      <c r="D54" s="250" t="str">
        <f ca="1">IF(ROWS($1:43)&gt;COUNT(Dong2),"",OFFSET(TH!F$1,SMALL(Dong2,ROWS($1:43)),))</f>
        <v/>
      </c>
      <c r="E54" s="162" t="str">
        <f ca="1">IF(ROWS($1:43)&gt;COUNT(Dong2),"",IF(OFFSET(TH!M$1,SMALL(Dong2,ROWS($1:43)),)=$I$6,OFFSET(TH!L$1,SMALL(Dong2,ROWS($1:43)),),OFFSET(TH!M$1,SMALL(Dong2,ROWS($1:43)),)))</f>
        <v/>
      </c>
      <c r="F54" s="613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13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754">
        <f t="shared" ca="1" si="2"/>
        <v>0</v>
      </c>
      <c r="I54" s="610"/>
    </row>
    <row r="55" spans="1:9" s="151" customFormat="1" ht="20.25" customHeight="1">
      <c r="A55" s="162" t="str">
        <f ca="1">IF(ROWS($1:44)&gt;COUNT(Dong2),"",OFFSET(TH!C$1,SMALL(Dong2,ROWS($1:44)),))</f>
        <v/>
      </c>
      <c r="B55" s="162" t="str">
        <f ca="1">IF(ROWS($1:44)&gt;COUNT(Dong2),"",OFFSET(TH!D$1,SMALL(Dong2,ROWS($1:44)),))</f>
        <v/>
      </c>
      <c r="C55" s="162" t="str">
        <f ca="1">IF(ROWS($1:44)&gt;COUNT(Dong2),"",OFFSET(TH!E$1,SMALL(Dong2,ROWS($1:44)),))</f>
        <v/>
      </c>
      <c r="D55" s="250" t="str">
        <f ca="1">IF(ROWS($1:44)&gt;COUNT(Dong2),"",OFFSET(TH!F$1,SMALL(Dong2,ROWS($1:44)),))</f>
        <v/>
      </c>
      <c r="E55" s="162" t="str">
        <f ca="1">IF(ROWS($1:44)&gt;COUNT(Dong2),"",IF(OFFSET(TH!M$1,SMALL(Dong2,ROWS($1:44)),)=$I$6,OFFSET(TH!L$1,SMALL(Dong2,ROWS($1:44)),),OFFSET(TH!M$1,SMALL(Dong2,ROWS($1:44)),)))</f>
        <v/>
      </c>
      <c r="F55" s="613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13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754">
        <f t="shared" ca="1" si="2"/>
        <v>0</v>
      </c>
      <c r="I55" s="610"/>
    </row>
    <row r="56" spans="1:9" s="151" customFormat="1" ht="20.25" customHeight="1">
      <c r="A56" s="162" t="str">
        <f ca="1">IF(ROWS($1:45)&gt;COUNT(Dong2),"",OFFSET(TH!C$1,SMALL(Dong2,ROWS($1:45)),))</f>
        <v/>
      </c>
      <c r="B56" s="162" t="str">
        <f ca="1">IF(ROWS($1:45)&gt;COUNT(Dong2),"",OFFSET(TH!D$1,SMALL(Dong2,ROWS($1:45)),))</f>
        <v/>
      </c>
      <c r="C56" s="162" t="str">
        <f ca="1">IF(ROWS($1:45)&gt;COUNT(Dong2),"",OFFSET(TH!E$1,SMALL(Dong2,ROWS($1:45)),))</f>
        <v/>
      </c>
      <c r="D56" s="250" t="str">
        <f ca="1">IF(ROWS($1:45)&gt;COUNT(Dong2),"",OFFSET(TH!F$1,SMALL(Dong2,ROWS($1:45)),))</f>
        <v/>
      </c>
      <c r="E56" s="162" t="str">
        <f ca="1">IF(ROWS($1:45)&gt;COUNT(Dong2),"",IF(OFFSET(TH!M$1,SMALL(Dong2,ROWS($1:45)),)=$I$6,OFFSET(TH!L$1,SMALL(Dong2,ROWS($1:45)),),OFFSET(TH!M$1,SMALL(Dong2,ROWS($1:45)),)))</f>
        <v/>
      </c>
      <c r="F56" s="613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13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754">
        <f t="shared" ca="1" si="2"/>
        <v>0</v>
      </c>
      <c r="I56" s="610"/>
    </row>
    <row r="57" spans="1:9" s="151" customFormat="1" ht="20.25" customHeight="1">
      <c r="A57" s="162" t="str">
        <f ca="1">IF(ROWS($1:46)&gt;COUNT(Dong2),"",OFFSET(TH!C$1,SMALL(Dong2,ROWS($1:46)),))</f>
        <v/>
      </c>
      <c r="B57" s="162" t="str">
        <f ca="1">IF(ROWS($1:46)&gt;COUNT(Dong2),"",OFFSET(TH!D$1,SMALL(Dong2,ROWS($1:46)),))</f>
        <v/>
      </c>
      <c r="C57" s="162" t="str">
        <f ca="1">IF(ROWS($1:46)&gt;COUNT(Dong2),"",OFFSET(TH!E$1,SMALL(Dong2,ROWS($1:46)),))</f>
        <v/>
      </c>
      <c r="D57" s="250" t="str">
        <f ca="1">IF(ROWS($1:46)&gt;COUNT(Dong2),"",OFFSET(TH!F$1,SMALL(Dong2,ROWS($1:46)),))</f>
        <v/>
      </c>
      <c r="E57" s="162" t="str">
        <f ca="1">IF(ROWS($1:46)&gt;COUNT(Dong2),"",IF(OFFSET(TH!M$1,SMALL(Dong2,ROWS($1:46)),)=$I$6,OFFSET(TH!L$1,SMALL(Dong2,ROWS($1:46)),),OFFSET(TH!M$1,SMALL(Dong2,ROWS($1:46)),)))</f>
        <v/>
      </c>
      <c r="F57" s="613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13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754">
        <f t="shared" ca="1" si="2"/>
        <v>0</v>
      </c>
      <c r="I57" s="610"/>
    </row>
    <row r="58" spans="1:9" s="151" customFormat="1" ht="20.25" customHeight="1">
      <c r="A58" s="162" t="str">
        <f ca="1">IF(ROWS($1:47)&gt;COUNT(Dong2),"",OFFSET(TH!C$1,SMALL(Dong2,ROWS($1:47)),))</f>
        <v/>
      </c>
      <c r="B58" s="162" t="str">
        <f ca="1">IF(ROWS($1:47)&gt;COUNT(Dong2),"",OFFSET(TH!D$1,SMALL(Dong2,ROWS($1:47)),))</f>
        <v/>
      </c>
      <c r="C58" s="162" t="str">
        <f ca="1">IF(ROWS($1:47)&gt;COUNT(Dong2),"",OFFSET(TH!E$1,SMALL(Dong2,ROWS($1:47)),))</f>
        <v/>
      </c>
      <c r="D58" s="250" t="str">
        <f ca="1">IF(ROWS($1:47)&gt;COUNT(Dong2),"",OFFSET(TH!F$1,SMALL(Dong2,ROWS($1:47)),))</f>
        <v/>
      </c>
      <c r="E58" s="162" t="str">
        <f ca="1">IF(ROWS($1:47)&gt;COUNT(Dong2),"",IF(OFFSET(TH!M$1,SMALL(Dong2,ROWS($1:47)),)=$I$6,OFFSET(TH!L$1,SMALL(Dong2,ROWS($1:47)),),OFFSET(TH!M$1,SMALL(Dong2,ROWS($1:47)),)))</f>
        <v/>
      </c>
      <c r="F58" s="613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13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754">
        <f t="shared" ca="1" si="2"/>
        <v>0</v>
      </c>
      <c r="I58" s="610"/>
    </row>
    <row r="59" spans="1:9" s="151" customFormat="1" ht="20.25" customHeight="1">
      <c r="A59" s="162" t="str">
        <f ca="1">IF(ROWS($1:48)&gt;COUNT(Dong2),"",OFFSET(TH!C$1,SMALL(Dong2,ROWS($1:48)),))</f>
        <v/>
      </c>
      <c r="B59" s="162" t="str">
        <f ca="1">IF(ROWS($1:48)&gt;COUNT(Dong2),"",OFFSET(TH!D$1,SMALL(Dong2,ROWS($1:48)),))</f>
        <v/>
      </c>
      <c r="C59" s="162" t="str">
        <f ca="1">IF(ROWS($1:48)&gt;COUNT(Dong2),"",OFFSET(TH!E$1,SMALL(Dong2,ROWS($1:48)),))</f>
        <v/>
      </c>
      <c r="D59" s="250" t="str">
        <f ca="1">IF(ROWS($1:48)&gt;COUNT(Dong2),"",OFFSET(TH!F$1,SMALL(Dong2,ROWS($1:48)),))</f>
        <v/>
      </c>
      <c r="E59" s="162" t="str">
        <f ca="1">IF(ROWS($1:48)&gt;COUNT(Dong2),"",IF(OFFSET(TH!M$1,SMALL(Dong2,ROWS($1:48)),)=$I$6,OFFSET(TH!L$1,SMALL(Dong2,ROWS($1:48)),),OFFSET(TH!M$1,SMALL(Dong2,ROWS($1:48)),)))</f>
        <v/>
      </c>
      <c r="F59" s="613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13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754">
        <f t="shared" ca="1" si="2"/>
        <v>0</v>
      </c>
      <c r="I59" s="610"/>
    </row>
    <row r="60" spans="1:9" s="151" customFormat="1" ht="20.25" customHeight="1">
      <c r="A60" s="162" t="str">
        <f ca="1">IF(ROWS($1:49)&gt;COUNT(Dong2),"",OFFSET(TH!C$1,SMALL(Dong2,ROWS($1:49)),))</f>
        <v/>
      </c>
      <c r="B60" s="162" t="str">
        <f ca="1">IF(ROWS($1:49)&gt;COUNT(Dong2),"",OFFSET(TH!D$1,SMALL(Dong2,ROWS($1:49)),))</f>
        <v/>
      </c>
      <c r="C60" s="162" t="str">
        <f ca="1">IF(ROWS($1:49)&gt;COUNT(Dong2),"",OFFSET(TH!E$1,SMALL(Dong2,ROWS($1:49)),))</f>
        <v/>
      </c>
      <c r="D60" s="250" t="str">
        <f ca="1">IF(ROWS($1:49)&gt;COUNT(Dong2),"",OFFSET(TH!F$1,SMALL(Dong2,ROWS($1:49)),))</f>
        <v/>
      </c>
      <c r="E60" s="162" t="str">
        <f ca="1">IF(ROWS($1:49)&gt;COUNT(Dong2),"",IF(OFFSET(TH!M$1,SMALL(Dong2,ROWS($1:49)),)=$I$6,OFFSET(TH!L$1,SMALL(Dong2,ROWS($1:49)),),OFFSET(TH!M$1,SMALL(Dong2,ROWS($1:49)),)))</f>
        <v/>
      </c>
      <c r="F60" s="613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13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754">
        <f t="shared" ca="1" si="2"/>
        <v>0</v>
      </c>
      <c r="I60" s="610"/>
    </row>
    <row r="61" spans="1:9" s="151" customFormat="1" ht="20.25" customHeight="1">
      <c r="A61" s="162" t="str">
        <f ca="1">IF(ROWS($1:50)&gt;COUNT(Dong2),"",OFFSET(TH!C$1,SMALL(Dong2,ROWS($1:50)),))</f>
        <v/>
      </c>
      <c r="B61" s="162" t="str">
        <f ca="1">IF(ROWS($1:50)&gt;COUNT(Dong2),"",OFFSET(TH!D$1,SMALL(Dong2,ROWS($1:50)),))</f>
        <v/>
      </c>
      <c r="C61" s="162" t="str">
        <f ca="1">IF(ROWS($1:50)&gt;COUNT(Dong2),"",OFFSET(TH!E$1,SMALL(Dong2,ROWS($1:50)),))</f>
        <v/>
      </c>
      <c r="D61" s="250" t="str">
        <f ca="1">IF(ROWS($1:50)&gt;COUNT(Dong2),"",OFFSET(TH!F$1,SMALL(Dong2,ROWS($1:50)),))</f>
        <v/>
      </c>
      <c r="E61" s="162" t="str">
        <f ca="1">IF(ROWS($1:50)&gt;COUNT(Dong2),"",IF(OFFSET(TH!M$1,SMALL(Dong2,ROWS($1:50)),)=$I$6,OFFSET(TH!L$1,SMALL(Dong2,ROWS($1:50)),),OFFSET(TH!M$1,SMALL(Dong2,ROWS($1:50)),)))</f>
        <v/>
      </c>
      <c r="F61" s="613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13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754">
        <f t="shared" ref="H61:H77" ca="1" si="3">IF(A61&lt;&gt;"",H60+F61-G61,0)</f>
        <v>0</v>
      </c>
      <c r="I61" s="610"/>
    </row>
    <row r="62" spans="1:9" s="151" customFormat="1" ht="20.25" customHeight="1">
      <c r="A62" s="162" t="str">
        <f ca="1">IF(ROWS($1:51)&gt;COUNT(Dong2),"",OFFSET(TH!C$1,SMALL(Dong2,ROWS($1:51)),))</f>
        <v/>
      </c>
      <c r="B62" s="162" t="str">
        <f ca="1">IF(ROWS($1:51)&gt;COUNT(Dong2),"",OFFSET(TH!D$1,SMALL(Dong2,ROWS($1:51)),))</f>
        <v/>
      </c>
      <c r="C62" s="162" t="str">
        <f ca="1">IF(ROWS($1:51)&gt;COUNT(Dong2),"",OFFSET(TH!E$1,SMALL(Dong2,ROWS($1:51)),))</f>
        <v/>
      </c>
      <c r="D62" s="250" t="str">
        <f ca="1">IF(ROWS($1:51)&gt;COUNT(Dong2),"",OFFSET(TH!F$1,SMALL(Dong2,ROWS($1:51)),))</f>
        <v/>
      </c>
      <c r="E62" s="162" t="str">
        <f ca="1">IF(ROWS($1:51)&gt;COUNT(Dong2),"",IF(OFFSET(TH!M$1,SMALL(Dong2,ROWS($1:51)),)=$I$6,OFFSET(TH!L$1,SMALL(Dong2,ROWS($1:51)),),OFFSET(TH!M$1,SMALL(Dong2,ROWS($1:51)),)))</f>
        <v/>
      </c>
      <c r="F62" s="613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13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754">
        <f t="shared" ca="1" si="3"/>
        <v>0</v>
      </c>
      <c r="I62" s="610"/>
    </row>
    <row r="63" spans="1:9" s="151" customFormat="1" ht="20.25" customHeight="1">
      <c r="A63" s="162" t="str">
        <f ca="1">IF(ROWS($1:52)&gt;COUNT(Dong2),"",OFFSET(TH!C$1,SMALL(Dong2,ROWS($1:52)),))</f>
        <v/>
      </c>
      <c r="B63" s="162" t="str">
        <f ca="1">IF(ROWS($1:52)&gt;COUNT(Dong2),"",OFFSET(TH!D$1,SMALL(Dong2,ROWS($1:52)),))</f>
        <v/>
      </c>
      <c r="C63" s="162" t="str">
        <f ca="1">IF(ROWS($1:52)&gt;COUNT(Dong2),"",OFFSET(TH!E$1,SMALL(Dong2,ROWS($1:52)),))</f>
        <v/>
      </c>
      <c r="D63" s="250" t="str">
        <f ca="1">IF(ROWS($1:52)&gt;COUNT(Dong2),"",OFFSET(TH!F$1,SMALL(Dong2,ROWS($1:52)),))</f>
        <v/>
      </c>
      <c r="E63" s="162" t="str">
        <f ca="1">IF(ROWS($1:52)&gt;COUNT(Dong2),"",IF(OFFSET(TH!M$1,SMALL(Dong2,ROWS($1:52)),)=$I$6,OFFSET(TH!L$1,SMALL(Dong2,ROWS($1:52)),),OFFSET(TH!M$1,SMALL(Dong2,ROWS($1:52)),)))</f>
        <v/>
      </c>
      <c r="F63" s="613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13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754">
        <f t="shared" ca="1" si="3"/>
        <v>0</v>
      </c>
      <c r="I63" s="610"/>
    </row>
    <row r="64" spans="1:9" s="151" customFormat="1" ht="20.25" customHeight="1">
      <c r="A64" s="162" t="str">
        <f ca="1">IF(ROWS($1:53)&gt;COUNT(Dong2),"",OFFSET(TH!C$1,SMALL(Dong2,ROWS($1:53)),))</f>
        <v/>
      </c>
      <c r="B64" s="162" t="str">
        <f ca="1">IF(ROWS($1:53)&gt;COUNT(Dong2),"",OFFSET(TH!D$1,SMALL(Dong2,ROWS($1:53)),))</f>
        <v/>
      </c>
      <c r="C64" s="162" t="str">
        <f ca="1">IF(ROWS($1:53)&gt;COUNT(Dong2),"",OFFSET(TH!E$1,SMALL(Dong2,ROWS($1:53)),))</f>
        <v/>
      </c>
      <c r="D64" s="250" t="str">
        <f ca="1">IF(ROWS($1:53)&gt;COUNT(Dong2),"",OFFSET(TH!F$1,SMALL(Dong2,ROWS($1:53)),))</f>
        <v/>
      </c>
      <c r="E64" s="162" t="str">
        <f ca="1">IF(ROWS($1:53)&gt;COUNT(Dong2),"",IF(OFFSET(TH!M$1,SMALL(Dong2,ROWS($1:53)),)=$I$6,OFFSET(TH!L$1,SMALL(Dong2,ROWS($1:53)),),OFFSET(TH!M$1,SMALL(Dong2,ROWS($1:53)),)))</f>
        <v/>
      </c>
      <c r="F64" s="613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13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754">
        <f t="shared" ca="1" si="3"/>
        <v>0</v>
      </c>
      <c r="I64" s="610"/>
    </row>
    <row r="65" spans="1:9" s="151" customFormat="1" ht="20.25" customHeight="1">
      <c r="A65" s="162" t="str">
        <f ca="1">IF(ROWS($1:54)&gt;COUNT(Dong2),"",OFFSET(TH!C$1,SMALL(Dong2,ROWS($1:54)),))</f>
        <v/>
      </c>
      <c r="B65" s="162" t="str">
        <f ca="1">IF(ROWS($1:54)&gt;COUNT(Dong2),"",OFFSET(TH!D$1,SMALL(Dong2,ROWS($1:54)),))</f>
        <v/>
      </c>
      <c r="C65" s="162" t="str">
        <f ca="1">IF(ROWS($1:54)&gt;COUNT(Dong2),"",OFFSET(TH!E$1,SMALL(Dong2,ROWS($1:54)),))</f>
        <v/>
      </c>
      <c r="D65" s="250" t="str">
        <f ca="1">IF(ROWS($1:54)&gt;COUNT(Dong2),"",OFFSET(TH!F$1,SMALL(Dong2,ROWS($1:54)),))</f>
        <v/>
      </c>
      <c r="E65" s="162" t="str">
        <f ca="1">IF(ROWS($1:54)&gt;COUNT(Dong2),"",IF(OFFSET(TH!M$1,SMALL(Dong2,ROWS($1:54)),)=$I$6,OFFSET(TH!L$1,SMALL(Dong2,ROWS($1:54)),),OFFSET(TH!M$1,SMALL(Dong2,ROWS($1:54)),)))</f>
        <v/>
      </c>
      <c r="F65" s="613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13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754">
        <f t="shared" ca="1" si="3"/>
        <v>0</v>
      </c>
      <c r="I65" s="610"/>
    </row>
    <row r="66" spans="1:9" s="151" customFormat="1" ht="20.25" customHeight="1">
      <c r="A66" s="162" t="str">
        <f ca="1">IF(ROWS($1:55)&gt;COUNT(Dong2),"",OFFSET(TH!C$1,SMALL(Dong2,ROWS($1:55)),))</f>
        <v/>
      </c>
      <c r="B66" s="162" t="str">
        <f ca="1">IF(ROWS($1:55)&gt;COUNT(Dong2),"",OFFSET(TH!D$1,SMALL(Dong2,ROWS($1:55)),))</f>
        <v/>
      </c>
      <c r="C66" s="162" t="str">
        <f ca="1">IF(ROWS($1:55)&gt;COUNT(Dong2),"",OFFSET(TH!E$1,SMALL(Dong2,ROWS($1:55)),))</f>
        <v/>
      </c>
      <c r="D66" s="250" t="str">
        <f ca="1">IF(ROWS($1:55)&gt;COUNT(Dong2),"",OFFSET(TH!F$1,SMALL(Dong2,ROWS($1:55)),))</f>
        <v/>
      </c>
      <c r="E66" s="162" t="str">
        <f ca="1">IF(ROWS($1:55)&gt;COUNT(Dong2),"",IF(OFFSET(TH!M$1,SMALL(Dong2,ROWS($1:55)),)=$I$6,OFFSET(TH!L$1,SMALL(Dong2,ROWS($1:55)),),OFFSET(TH!M$1,SMALL(Dong2,ROWS($1:55)),)))</f>
        <v/>
      </c>
      <c r="F66" s="613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13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754">
        <f t="shared" ca="1" si="3"/>
        <v>0</v>
      </c>
      <c r="I66" s="610"/>
    </row>
    <row r="67" spans="1:9" s="151" customFormat="1" ht="20.25" customHeight="1">
      <c r="A67" s="162" t="str">
        <f ca="1">IF(ROWS($1:56)&gt;COUNT(Dong2),"",OFFSET(TH!C$1,SMALL(Dong2,ROWS($1:56)),))</f>
        <v/>
      </c>
      <c r="B67" s="162" t="str">
        <f ca="1">IF(ROWS($1:56)&gt;COUNT(Dong2),"",OFFSET(TH!D$1,SMALL(Dong2,ROWS($1:56)),))</f>
        <v/>
      </c>
      <c r="C67" s="162" t="str">
        <f ca="1">IF(ROWS($1:56)&gt;COUNT(Dong2),"",OFFSET(TH!E$1,SMALL(Dong2,ROWS($1:56)),))</f>
        <v/>
      </c>
      <c r="D67" s="250" t="str">
        <f ca="1">IF(ROWS($1:56)&gt;COUNT(Dong2),"",OFFSET(TH!F$1,SMALL(Dong2,ROWS($1:56)),))</f>
        <v/>
      </c>
      <c r="E67" s="162" t="str">
        <f ca="1">IF(ROWS($1:56)&gt;COUNT(Dong2),"",IF(OFFSET(TH!M$1,SMALL(Dong2,ROWS($1:56)),)=$I$6,OFFSET(TH!L$1,SMALL(Dong2,ROWS($1:56)),),OFFSET(TH!M$1,SMALL(Dong2,ROWS($1:56)),)))</f>
        <v/>
      </c>
      <c r="F67" s="613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13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754">
        <f t="shared" ca="1" si="3"/>
        <v>0</v>
      </c>
      <c r="I67" s="610"/>
    </row>
    <row r="68" spans="1:9" s="151" customFormat="1" ht="20.25" customHeight="1">
      <c r="A68" s="162" t="str">
        <f ca="1">IF(ROWS($1:57)&gt;COUNT(Dong2),"",OFFSET(TH!C$1,SMALL(Dong2,ROWS($1:57)),))</f>
        <v/>
      </c>
      <c r="B68" s="162" t="str">
        <f ca="1">IF(ROWS($1:57)&gt;COUNT(Dong2),"",OFFSET(TH!D$1,SMALL(Dong2,ROWS($1:57)),))</f>
        <v/>
      </c>
      <c r="C68" s="162" t="str">
        <f ca="1">IF(ROWS($1:57)&gt;COUNT(Dong2),"",OFFSET(TH!E$1,SMALL(Dong2,ROWS($1:57)),))</f>
        <v/>
      </c>
      <c r="D68" s="250" t="str">
        <f ca="1">IF(ROWS($1:57)&gt;COUNT(Dong2),"",OFFSET(TH!F$1,SMALL(Dong2,ROWS($1:57)),))</f>
        <v/>
      </c>
      <c r="E68" s="162" t="str">
        <f ca="1">IF(ROWS($1:57)&gt;COUNT(Dong2),"",IF(OFFSET(TH!M$1,SMALL(Dong2,ROWS($1:57)),)=$I$6,OFFSET(TH!L$1,SMALL(Dong2,ROWS($1:57)),),OFFSET(TH!M$1,SMALL(Dong2,ROWS($1:57)),)))</f>
        <v/>
      </c>
      <c r="F68" s="613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13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754">
        <f t="shared" ca="1" si="3"/>
        <v>0</v>
      </c>
      <c r="I68" s="610"/>
    </row>
    <row r="69" spans="1:9" s="151" customFormat="1" ht="20.25" customHeight="1">
      <c r="A69" s="162" t="str">
        <f ca="1">IF(ROWS($1:58)&gt;COUNT(Dong2),"",OFFSET(TH!C$1,SMALL(Dong2,ROWS($1:58)),))</f>
        <v/>
      </c>
      <c r="B69" s="162" t="str">
        <f ca="1">IF(ROWS($1:58)&gt;COUNT(Dong2),"",OFFSET(TH!D$1,SMALL(Dong2,ROWS($1:58)),))</f>
        <v/>
      </c>
      <c r="C69" s="162" t="str">
        <f ca="1">IF(ROWS($1:58)&gt;COUNT(Dong2),"",OFFSET(TH!E$1,SMALL(Dong2,ROWS($1:58)),))</f>
        <v/>
      </c>
      <c r="D69" s="250" t="str">
        <f ca="1">IF(ROWS($1:58)&gt;COUNT(Dong2),"",OFFSET(TH!F$1,SMALL(Dong2,ROWS($1:58)),))</f>
        <v/>
      </c>
      <c r="E69" s="162" t="str">
        <f ca="1">IF(ROWS($1:58)&gt;COUNT(Dong2),"",IF(OFFSET(TH!M$1,SMALL(Dong2,ROWS($1:58)),)=$I$6,OFFSET(TH!L$1,SMALL(Dong2,ROWS($1:58)),),OFFSET(TH!M$1,SMALL(Dong2,ROWS($1:58)),)))</f>
        <v/>
      </c>
      <c r="F69" s="613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13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754">
        <f t="shared" ca="1" si="3"/>
        <v>0</v>
      </c>
      <c r="I69" s="610"/>
    </row>
    <row r="70" spans="1:9" s="151" customFormat="1" ht="20.25" customHeight="1">
      <c r="A70" s="162" t="str">
        <f ca="1">IF(ROWS($1:59)&gt;COUNT(Dong2),"",OFFSET(TH!C$1,SMALL(Dong2,ROWS($1:59)),))</f>
        <v/>
      </c>
      <c r="B70" s="162" t="str">
        <f ca="1">IF(ROWS($1:59)&gt;COUNT(Dong2),"",OFFSET(TH!D$1,SMALL(Dong2,ROWS($1:59)),))</f>
        <v/>
      </c>
      <c r="C70" s="162" t="str">
        <f ca="1">IF(ROWS($1:59)&gt;COUNT(Dong2),"",OFFSET(TH!E$1,SMALL(Dong2,ROWS($1:59)),))</f>
        <v/>
      </c>
      <c r="D70" s="250" t="str">
        <f ca="1">IF(ROWS($1:59)&gt;COUNT(Dong2),"",OFFSET(TH!F$1,SMALL(Dong2,ROWS($1:59)),))</f>
        <v/>
      </c>
      <c r="E70" s="162" t="str">
        <f ca="1">IF(ROWS($1:59)&gt;COUNT(Dong2),"",IF(OFFSET(TH!M$1,SMALL(Dong2,ROWS($1:59)),)=$I$6,OFFSET(TH!L$1,SMALL(Dong2,ROWS($1:59)),),OFFSET(TH!M$1,SMALL(Dong2,ROWS($1:59)),)))</f>
        <v/>
      </c>
      <c r="F70" s="613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13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754">
        <f t="shared" ca="1" si="3"/>
        <v>0</v>
      </c>
      <c r="I70" s="610"/>
    </row>
    <row r="71" spans="1:9" s="151" customFormat="1" ht="20.25" customHeight="1">
      <c r="A71" s="162" t="str">
        <f ca="1">IF(ROWS($1:60)&gt;COUNT(Dong2),"",OFFSET(TH!C$1,SMALL(Dong2,ROWS($1:60)),))</f>
        <v/>
      </c>
      <c r="B71" s="162" t="str">
        <f ca="1">IF(ROWS($1:60)&gt;COUNT(Dong2),"",OFFSET(TH!D$1,SMALL(Dong2,ROWS($1:60)),))</f>
        <v/>
      </c>
      <c r="C71" s="162" t="str">
        <f ca="1">IF(ROWS($1:60)&gt;COUNT(Dong2),"",OFFSET(TH!E$1,SMALL(Dong2,ROWS($1:60)),))</f>
        <v/>
      </c>
      <c r="D71" s="250" t="str">
        <f ca="1">IF(ROWS($1:60)&gt;COUNT(Dong2),"",OFFSET(TH!F$1,SMALL(Dong2,ROWS($1:60)),))</f>
        <v/>
      </c>
      <c r="E71" s="162" t="str">
        <f ca="1">IF(ROWS($1:60)&gt;COUNT(Dong2),"",IF(OFFSET(TH!M$1,SMALL(Dong2,ROWS($1:60)),)=$I$6,OFFSET(TH!L$1,SMALL(Dong2,ROWS($1:60)),),OFFSET(TH!M$1,SMALL(Dong2,ROWS($1:60)),)))</f>
        <v/>
      </c>
      <c r="F71" s="613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13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754">
        <f t="shared" ca="1" si="3"/>
        <v>0</v>
      </c>
      <c r="I71" s="610"/>
    </row>
    <row r="72" spans="1:9" s="151" customFormat="1" ht="20.25" customHeight="1">
      <c r="A72" s="162" t="str">
        <f ca="1">IF(ROWS($1:61)&gt;COUNT(Dong2),"",OFFSET(TH!C$1,SMALL(Dong2,ROWS($1:61)),))</f>
        <v/>
      </c>
      <c r="B72" s="162" t="str">
        <f ca="1">IF(ROWS($1:61)&gt;COUNT(Dong2),"",OFFSET(TH!D$1,SMALL(Dong2,ROWS($1:61)),))</f>
        <v/>
      </c>
      <c r="C72" s="162" t="str">
        <f ca="1">IF(ROWS($1:61)&gt;COUNT(Dong2),"",OFFSET(TH!E$1,SMALL(Dong2,ROWS($1:61)),))</f>
        <v/>
      </c>
      <c r="D72" s="250" t="str">
        <f ca="1">IF(ROWS($1:61)&gt;COUNT(Dong2),"",OFFSET(TH!F$1,SMALL(Dong2,ROWS($1:61)),))</f>
        <v/>
      </c>
      <c r="E72" s="162" t="str">
        <f ca="1">IF(ROWS($1:61)&gt;COUNT(Dong2),"",IF(OFFSET(TH!M$1,SMALL(Dong2,ROWS($1:61)),)=$I$6,OFFSET(TH!L$1,SMALL(Dong2,ROWS($1:61)),),OFFSET(TH!M$1,SMALL(Dong2,ROWS($1:61)),)))</f>
        <v/>
      </c>
      <c r="F72" s="613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13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754">
        <f t="shared" ca="1" si="3"/>
        <v>0</v>
      </c>
      <c r="I72" s="610"/>
    </row>
    <row r="73" spans="1:9" s="151" customFormat="1" ht="20.25" customHeight="1">
      <c r="A73" s="162" t="str">
        <f ca="1">IF(ROWS($1:62)&gt;COUNT(Dong2),"",OFFSET(TH!C$1,SMALL(Dong2,ROWS($1:62)),))</f>
        <v/>
      </c>
      <c r="B73" s="162" t="str">
        <f ca="1">IF(ROWS($1:62)&gt;COUNT(Dong2),"",OFFSET(TH!D$1,SMALL(Dong2,ROWS($1:62)),))</f>
        <v/>
      </c>
      <c r="C73" s="162" t="str">
        <f ca="1">IF(ROWS($1:62)&gt;COUNT(Dong2),"",OFFSET(TH!E$1,SMALL(Dong2,ROWS($1:62)),))</f>
        <v/>
      </c>
      <c r="D73" s="250" t="str">
        <f ca="1">IF(ROWS($1:62)&gt;COUNT(Dong2),"",OFFSET(TH!F$1,SMALL(Dong2,ROWS($1:62)),))</f>
        <v/>
      </c>
      <c r="E73" s="162" t="str">
        <f ca="1">IF(ROWS($1:62)&gt;COUNT(Dong2),"",IF(OFFSET(TH!M$1,SMALL(Dong2,ROWS($1:62)),)=$I$6,OFFSET(TH!L$1,SMALL(Dong2,ROWS($1:62)),),OFFSET(TH!M$1,SMALL(Dong2,ROWS($1:62)),)))</f>
        <v/>
      </c>
      <c r="F73" s="613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13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754">
        <f t="shared" ca="1" si="3"/>
        <v>0</v>
      </c>
      <c r="I73" s="610"/>
    </row>
    <row r="74" spans="1:9" s="151" customFormat="1" ht="20.25" customHeight="1">
      <c r="A74" s="162" t="str">
        <f ca="1">IF(ROWS($1:63)&gt;COUNT(Dong2),"",OFFSET(TH!C$1,SMALL(Dong2,ROWS($1:63)),))</f>
        <v/>
      </c>
      <c r="B74" s="162" t="str">
        <f ca="1">IF(ROWS($1:63)&gt;COUNT(Dong2),"",OFFSET(TH!D$1,SMALL(Dong2,ROWS($1:63)),))</f>
        <v/>
      </c>
      <c r="C74" s="162" t="str">
        <f ca="1">IF(ROWS($1:63)&gt;COUNT(Dong2),"",OFFSET(TH!E$1,SMALL(Dong2,ROWS($1:63)),))</f>
        <v/>
      </c>
      <c r="D74" s="250" t="str">
        <f ca="1">IF(ROWS($1:63)&gt;COUNT(Dong2),"",OFFSET(TH!F$1,SMALL(Dong2,ROWS($1:63)),))</f>
        <v/>
      </c>
      <c r="E74" s="162" t="str">
        <f ca="1">IF(ROWS($1:63)&gt;COUNT(Dong2),"",IF(OFFSET(TH!M$1,SMALL(Dong2,ROWS($1:63)),)=$I$6,OFFSET(TH!L$1,SMALL(Dong2,ROWS($1:63)),),OFFSET(TH!M$1,SMALL(Dong2,ROWS($1:63)),)))</f>
        <v/>
      </c>
      <c r="F74" s="613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13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754">
        <f t="shared" ca="1" si="3"/>
        <v>0</v>
      </c>
      <c r="I74" s="610"/>
    </row>
    <row r="75" spans="1:9" s="151" customFormat="1" ht="20.25" customHeight="1">
      <c r="A75" s="162" t="str">
        <f ca="1">IF(ROWS($1:64)&gt;COUNT(Dong2),"",OFFSET(TH!C$1,SMALL(Dong2,ROWS($1:64)),))</f>
        <v/>
      </c>
      <c r="B75" s="162" t="str">
        <f ca="1">IF(ROWS($1:64)&gt;COUNT(Dong2),"",OFFSET(TH!D$1,SMALL(Dong2,ROWS($1:64)),))</f>
        <v/>
      </c>
      <c r="C75" s="162" t="str">
        <f ca="1">IF(ROWS($1:64)&gt;COUNT(Dong2),"",OFFSET(TH!E$1,SMALL(Dong2,ROWS($1:64)),))</f>
        <v/>
      </c>
      <c r="D75" s="250" t="str">
        <f ca="1">IF(ROWS($1:64)&gt;COUNT(Dong2),"",OFFSET(TH!F$1,SMALL(Dong2,ROWS($1:64)),))</f>
        <v/>
      </c>
      <c r="E75" s="162" t="str">
        <f ca="1">IF(ROWS($1:64)&gt;COUNT(Dong2),"",IF(OFFSET(TH!M$1,SMALL(Dong2,ROWS($1:64)),)=$I$6,OFFSET(TH!L$1,SMALL(Dong2,ROWS($1:64)),),OFFSET(TH!M$1,SMALL(Dong2,ROWS($1:64)),)))</f>
        <v/>
      </c>
      <c r="F75" s="613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13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754">
        <f t="shared" ca="1" si="3"/>
        <v>0</v>
      </c>
      <c r="I75" s="610"/>
    </row>
    <row r="76" spans="1:9" s="151" customFormat="1" ht="20.25" customHeight="1">
      <c r="A76" s="162" t="str">
        <f ca="1">IF(ROWS($1:65)&gt;COUNT(Dong2),"",OFFSET(TH!C$1,SMALL(Dong2,ROWS($1:65)),))</f>
        <v/>
      </c>
      <c r="B76" s="162" t="str">
        <f ca="1">IF(ROWS($1:65)&gt;COUNT(Dong2),"",OFFSET(TH!D$1,SMALL(Dong2,ROWS($1:65)),))</f>
        <v/>
      </c>
      <c r="C76" s="162" t="str">
        <f ca="1">IF(ROWS($1:65)&gt;COUNT(Dong2),"",OFFSET(TH!E$1,SMALL(Dong2,ROWS($1:65)),))</f>
        <v/>
      </c>
      <c r="D76" s="250" t="str">
        <f ca="1">IF(ROWS($1:65)&gt;COUNT(Dong2),"",OFFSET(TH!F$1,SMALL(Dong2,ROWS($1:65)),))</f>
        <v/>
      </c>
      <c r="E76" s="162" t="str">
        <f ca="1">IF(ROWS($1:65)&gt;COUNT(Dong2),"",IF(OFFSET(TH!M$1,SMALL(Dong2,ROWS($1:65)),)=$I$6,OFFSET(TH!L$1,SMALL(Dong2,ROWS($1:65)),),OFFSET(TH!M$1,SMALL(Dong2,ROWS($1:65)),)))</f>
        <v/>
      </c>
      <c r="F76" s="613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13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754">
        <f t="shared" ca="1" si="3"/>
        <v>0</v>
      </c>
      <c r="I76" s="610"/>
    </row>
    <row r="77" spans="1:9" s="151" customFormat="1" ht="20.25" customHeight="1">
      <c r="A77" s="162" t="str">
        <f ca="1">IF(ROWS($1:66)&gt;COUNT(Dong2),"",OFFSET(TH!C$1,SMALL(Dong2,ROWS($1:66)),))</f>
        <v/>
      </c>
      <c r="B77" s="162" t="str">
        <f ca="1">IF(ROWS($1:66)&gt;COUNT(Dong2),"",OFFSET(TH!D$1,SMALL(Dong2,ROWS($1:66)),))</f>
        <v/>
      </c>
      <c r="C77" s="162" t="str">
        <f ca="1">IF(ROWS($1:66)&gt;COUNT(Dong2),"",OFFSET(TH!E$1,SMALL(Dong2,ROWS($1:66)),))</f>
        <v/>
      </c>
      <c r="D77" s="250" t="str">
        <f ca="1">IF(ROWS($1:66)&gt;COUNT(Dong2),"",OFFSET(TH!F$1,SMALL(Dong2,ROWS($1:66)),))</f>
        <v/>
      </c>
      <c r="E77" s="162" t="str">
        <f ca="1">IF(ROWS($1:66)&gt;COUNT(Dong2),"",IF(OFFSET(TH!M$1,SMALL(Dong2,ROWS($1:66)),)=$I$6,OFFSET(TH!L$1,SMALL(Dong2,ROWS($1:66)),),OFFSET(TH!M$1,SMALL(Dong2,ROWS($1:66)),)))</f>
        <v/>
      </c>
      <c r="F77" s="613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13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754">
        <f t="shared" ca="1" si="3"/>
        <v>0</v>
      </c>
      <c r="I77" s="610"/>
    </row>
    <row r="78" spans="1:9" s="151" customFormat="1" ht="20.25" customHeight="1">
      <c r="A78" s="162" t="str">
        <f ca="1">IF(ROWS($1:67)&gt;COUNT(Dong2),"",OFFSET(TH!C$1,SMALL(Dong2,ROWS($1:67)),))</f>
        <v/>
      </c>
      <c r="B78" s="162" t="str">
        <f ca="1">IF(ROWS($1:67)&gt;COUNT(Dong2),"",OFFSET(TH!D$1,SMALL(Dong2,ROWS($1:67)),))</f>
        <v/>
      </c>
      <c r="C78" s="162" t="str">
        <f ca="1">IF(ROWS($1:67)&gt;COUNT(Dong2),"",OFFSET(TH!E$1,SMALL(Dong2,ROWS($1:67)),))</f>
        <v/>
      </c>
      <c r="D78" s="250" t="str">
        <f ca="1">IF(ROWS($1:67)&gt;COUNT(Dong2),"",OFFSET(TH!F$1,SMALL(Dong2,ROWS($1:67)),))</f>
        <v/>
      </c>
      <c r="E78" s="162" t="str">
        <f ca="1">IF(ROWS($1:67)&gt;COUNT(Dong2),"",IF(OFFSET(TH!M$1,SMALL(Dong2,ROWS($1:67)),)=$I$6,OFFSET(TH!L$1,SMALL(Dong2,ROWS($1:67)),),OFFSET(TH!M$1,SMALL(Dong2,ROWS($1:67)),)))</f>
        <v/>
      </c>
      <c r="F78" s="613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13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754">
        <f t="shared" ref="H78:H91" ca="1" si="4">IF(A78&lt;&gt;"",H77+F78-G78,0)</f>
        <v>0</v>
      </c>
      <c r="I78" s="610"/>
    </row>
    <row r="79" spans="1:9" s="151" customFormat="1" ht="20.25" customHeight="1">
      <c r="A79" s="162" t="str">
        <f ca="1">IF(ROWS($1:68)&gt;COUNT(Dong2),"",OFFSET(TH!C$1,SMALL(Dong2,ROWS($1:68)),))</f>
        <v/>
      </c>
      <c r="B79" s="162" t="str">
        <f ca="1">IF(ROWS($1:68)&gt;COUNT(Dong2),"",OFFSET(TH!D$1,SMALL(Dong2,ROWS($1:68)),))</f>
        <v/>
      </c>
      <c r="C79" s="162" t="str">
        <f ca="1">IF(ROWS($1:68)&gt;COUNT(Dong2),"",OFFSET(TH!E$1,SMALL(Dong2,ROWS($1:68)),))</f>
        <v/>
      </c>
      <c r="D79" s="250" t="str">
        <f ca="1">IF(ROWS($1:68)&gt;COUNT(Dong2),"",OFFSET(TH!F$1,SMALL(Dong2,ROWS($1:68)),))</f>
        <v/>
      </c>
      <c r="E79" s="162" t="str">
        <f ca="1">IF(ROWS($1:68)&gt;COUNT(Dong2),"",IF(OFFSET(TH!M$1,SMALL(Dong2,ROWS($1:68)),)=$I$6,OFFSET(TH!L$1,SMALL(Dong2,ROWS($1:68)),),OFFSET(TH!M$1,SMALL(Dong2,ROWS($1:68)),)))</f>
        <v/>
      </c>
      <c r="F79" s="613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13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754">
        <f t="shared" ca="1" si="4"/>
        <v>0</v>
      </c>
      <c r="I79" s="610"/>
    </row>
    <row r="80" spans="1:9" s="151" customFormat="1" ht="20.25" customHeight="1">
      <c r="A80" s="162" t="str">
        <f ca="1">IF(ROWS($1:69)&gt;COUNT(Dong2),"",OFFSET(TH!C$1,SMALL(Dong2,ROWS($1:69)),))</f>
        <v/>
      </c>
      <c r="B80" s="162" t="str">
        <f ca="1">IF(ROWS($1:69)&gt;COUNT(Dong2),"",OFFSET(TH!D$1,SMALL(Dong2,ROWS($1:69)),))</f>
        <v/>
      </c>
      <c r="C80" s="162" t="str">
        <f ca="1">IF(ROWS($1:69)&gt;COUNT(Dong2),"",OFFSET(TH!E$1,SMALL(Dong2,ROWS($1:69)),))</f>
        <v/>
      </c>
      <c r="D80" s="250" t="str">
        <f ca="1">IF(ROWS($1:69)&gt;COUNT(Dong2),"",OFFSET(TH!F$1,SMALL(Dong2,ROWS($1:69)),))</f>
        <v/>
      </c>
      <c r="E80" s="162" t="str">
        <f ca="1">IF(ROWS($1:69)&gt;COUNT(Dong2),"",IF(OFFSET(TH!M$1,SMALL(Dong2,ROWS($1:69)),)=$I$6,OFFSET(TH!L$1,SMALL(Dong2,ROWS($1:69)),),OFFSET(TH!M$1,SMALL(Dong2,ROWS($1:69)),)))</f>
        <v/>
      </c>
      <c r="F80" s="613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13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754">
        <f t="shared" ca="1" si="4"/>
        <v>0</v>
      </c>
      <c r="I80" s="610"/>
    </row>
    <row r="81" spans="1:20" s="151" customFormat="1" ht="20.25" customHeight="1">
      <c r="A81" s="162" t="str">
        <f ca="1">IF(ROWS($1:70)&gt;COUNT(Dong2),"",OFFSET(TH!C$1,SMALL(Dong2,ROWS($1:70)),))</f>
        <v/>
      </c>
      <c r="B81" s="162" t="str">
        <f ca="1">IF(ROWS($1:70)&gt;COUNT(Dong2),"",OFFSET(TH!D$1,SMALL(Dong2,ROWS($1:70)),))</f>
        <v/>
      </c>
      <c r="C81" s="162" t="str">
        <f ca="1">IF(ROWS($1:70)&gt;COUNT(Dong2),"",OFFSET(TH!E$1,SMALL(Dong2,ROWS($1:70)),))</f>
        <v/>
      </c>
      <c r="D81" s="250" t="str">
        <f ca="1">IF(ROWS($1:70)&gt;COUNT(Dong2),"",OFFSET(TH!F$1,SMALL(Dong2,ROWS($1:70)),))</f>
        <v/>
      </c>
      <c r="E81" s="162" t="str">
        <f ca="1">IF(ROWS($1:70)&gt;COUNT(Dong2),"",IF(OFFSET(TH!M$1,SMALL(Dong2,ROWS($1:70)),)=$I$6,OFFSET(TH!L$1,SMALL(Dong2,ROWS($1:70)),),OFFSET(TH!M$1,SMALL(Dong2,ROWS($1:70)),)))</f>
        <v/>
      </c>
      <c r="F81" s="613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13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754">
        <f t="shared" ca="1" si="4"/>
        <v>0</v>
      </c>
      <c r="I81" s="610"/>
    </row>
    <row r="82" spans="1:20" s="151" customFormat="1" ht="20.25" customHeight="1">
      <c r="A82" s="162" t="str">
        <f ca="1">IF(ROWS($1:71)&gt;COUNT(Dong2),"",OFFSET(TH!C$1,SMALL(Dong2,ROWS($1:71)),))</f>
        <v/>
      </c>
      <c r="B82" s="162" t="str">
        <f ca="1">IF(ROWS($1:71)&gt;COUNT(Dong2),"",OFFSET(TH!D$1,SMALL(Dong2,ROWS($1:71)),))</f>
        <v/>
      </c>
      <c r="C82" s="162" t="str">
        <f ca="1">IF(ROWS($1:71)&gt;COUNT(Dong2),"",OFFSET(TH!E$1,SMALL(Dong2,ROWS($1:71)),))</f>
        <v/>
      </c>
      <c r="D82" s="250" t="str">
        <f ca="1">IF(ROWS($1:71)&gt;COUNT(Dong2),"",OFFSET(TH!F$1,SMALL(Dong2,ROWS($1:71)),))</f>
        <v/>
      </c>
      <c r="E82" s="162" t="str">
        <f ca="1">IF(ROWS($1:71)&gt;COUNT(Dong2),"",IF(OFFSET(TH!M$1,SMALL(Dong2,ROWS($1:71)),)=$I$6,OFFSET(TH!L$1,SMALL(Dong2,ROWS($1:71)),),OFFSET(TH!M$1,SMALL(Dong2,ROWS($1:71)),)))</f>
        <v/>
      </c>
      <c r="F82" s="613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13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754">
        <f t="shared" ca="1" si="4"/>
        <v>0</v>
      </c>
      <c r="I82" s="610"/>
    </row>
    <row r="83" spans="1:20" s="151" customFormat="1" ht="20.25" customHeight="1">
      <c r="A83" s="162" t="str">
        <f ca="1">IF(ROWS($1:72)&gt;COUNT(Dong2),"",OFFSET(TH!C$1,SMALL(Dong2,ROWS($1:72)),))</f>
        <v/>
      </c>
      <c r="B83" s="162" t="str">
        <f ca="1">IF(ROWS($1:72)&gt;COUNT(Dong2),"",OFFSET(TH!D$1,SMALL(Dong2,ROWS($1:72)),))</f>
        <v/>
      </c>
      <c r="C83" s="162" t="str">
        <f ca="1">IF(ROWS($1:72)&gt;COUNT(Dong2),"",OFFSET(TH!E$1,SMALL(Dong2,ROWS($1:72)),))</f>
        <v/>
      </c>
      <c r="D83" s="250" t="str">
        <f ca="1">IF(ROWS($1:72)&gt;COUNT(Dong2),"",OFFSET(TH!F$1,SMALL(Dong2,ROWS($1:72)),))</f>
        <v/>
      </c>
      <c r="E83" s="162" t="str">
        <f ca="1">IF(ROWS($1:72)&gt;COUNT(Dong2),"",IF(OFFSET(TH!M$1,SMALL(Dong2,ROWS($1:72)),)=$I$6,OFFSET(TH!L$1,SMALL(Dong2,ROWS($1:72)),),OFFSET(TH!M$1,SMALL(Dong2,ROWS($1:72)),)))</f>
        <v/>
      </c>
      <c r="F83" s="613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13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754">
        <f t="shared" ca="1" si="4"/>
        <v>0</v>
      </c>
      <c r="I83" s="610"/>
    </row>
    <row r="84" spans="1:20" s="151" customFormat="1" ht="20.25" customHeight="1">
      <c r="A84" s="162" t="str">
        <f ca="1">IF(ROWS($1:73)&gt;COUNT(Dong2),"",OFFSET(TH!C$1,SMALL(Dong2,ROWS($1:73)),))</f>
        <v/>
      </c>
      <c r="B84" s="162" t="str">
        <f ca="1">IF(ROWS($1:73)&gt;COUNT(Dong2),"",OFFSET(TH!D$1,SMALL(Dong2,ROWS($1:73)),))</f>
        <v/>
      </c>
      <c r="C84" s="162" t="str">
        <f ca="1">IF(ROWS($1:73)&gt;COUNT(Dong2),"",OFFSET(TH!E$1,SMALL(Dong2,ROWS($1:73)),))</f>
        <v/>
      </c>
      <c r="D84" s="250" t="str">
        <f ca="1">IF(ROWS($1:73)&gt;COUNT(Dong2),"",OFFSET(TH!F$1,SMALL(Dong2,ROWS($1:73)),))</f>
        <v/>
      </c>
      <c r="E84" s="162" t="str">
        <f ca="1">IF(ROWS($1:73)&gt;COUNT(Dong2),"",IF(OFFSET(TH!M$1,SMALL(Dong2,ROWS($1:73)),)=$I$6,OFFSET(TH!L$1,SMALL(Dong2,ROWS($1:73)),),OFFSET(TH!M$1,SMALL(Dong2,ROWS($1:73)),)))</f>
        <v/>
      </c>
      <c r="F84" s="613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13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754">
        <f t="shared" ca="1" si="4"/>
        <v>0</v>
      </c>
      <c r="I84" s="610"/>
    </row>
    <row r="85" spans="1:20" s="151" customFormat="1" ht="20.25" customHeight="1">
      <c r="A85" s="162" t="str">
        <f ca="1">IF(ROWS($1:74)&gt;COUNT(Dong2),"",OFFSET(TH!C$1,SMALL(Dong2,ROWS($1:74)),))</f>
        <v/>
      </c>
      <c r="B85" s="162" t="str">
        <f ca="1">IF(ROWS($1:74)&gt;COUNT(Dong2),"",OFFSET(TH!D$1,SMALL(Dong2,ROWS($1:74)),))</f>
        <v/>
      </c>
      <c r="C85" s="162" t="str">
        <f ca="1">IF(ROWS($1:74)&gt;COUNT(Dong2),"",OFFSET(TH!E$1,SMALL(Dong2,ROWS($1:74)),))</f>
        <v/>
      </c>
      <c r="D85" s="250" t="str">
        <f ca="1">IF(ROWS($1:74)&gt;COUNT(Dong2),"",OFFSET(TH!F$1,SMALL(Dong2,ROWS($1:74)),))</f>
        <v/>
      </c>
      <c r="E85" s="162" t="str">
        <f ca="1">IF(ROWS($1:74)&gt;COUNT(Dong2),"",IF(OFFSET(TH!M$1,SMALL(Dong2,ROWS($1:74)),)=$I$6,OFFSET(TH!L$1,SMALL(Dong2,ROWS($1:74)),),OFFSET(TH!M$1,SMALL(Dong2,ROWS($1:74)),)))</f>
        <v/>
      </c>
      <c r="F85" s="613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13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754">
        <f t="shared" ca="1" si="4"/>
        <v>0</v>
      </c>
      <c r="I85" s="610"/>
    </row>
    <row r="86" spans="1:20" s="151" customFormat="1" ht="20.25" customHeight="1">
      <c r="A86" s="162" t="str">
        <f ca="1">IF(ROWS($1:75)&gt;COUNT(Dong2),"",OFFSET(TH!C$1,SMALL(Dong2,ROWS($1:75)),))</f>
        <v/>
      </c>
      <c r="B86" s="162" t="str">
        <f ca="1">IF(ROWS($1:75)&gt;COUNT(Dong2),"",OFFSET(TH!D$1,SMALL(Dong2,ROWS($1:75)),))</f>
        <v/>
      </c>
      <c r="C86" s="162" t="str">
        <f ca="1">IF(ROWS($1:75)&gt;COUNT(Dong2),"",OFFSET(TH!E$1,SMALL(Dong2,ROWS($1:75)),))</f>
        <v/>
      </c>
      <c r="D86" s="250" t="str">
        <f ca="1">IF(ROWS($1:75)&gt;COUNT(Dong2),"",OFFSET(TH!F$1,SMALL(Dong2,ROWS($1:75)),))</f>
        <v/>
      </c>
      <c r="E86" s="162" t="str">
        <f ca="1">IF(ROWS($1:75)&gt;COUNT(Dong2),"",IF(OFFSET(TH!M$1,SMALL(Dong2,ROWS($1:75)),)=$I$6,OFFSET(TH!L$1,SMALL(Dong2,ROWS($1:75)),),OFFSET(TH!M$1,SMALL(Dong2,ROWS($1:75)),)))</f>
        <v/>
      </c>
      <c r="F86" s="613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13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754">
        <f t="shared" ca="1" si="4"/>
        <v>0</v>
      </c>
      <c r="I86" s="610"/>
    </row>
    <row r="87" spans="1:20" s="151" customFormat="1" ht="20.25" customHeight="1">
      <c r="A87" s="162" t="str">
        <f ca="1">IF(ROWS($1:76)&gt;COUNT(Dong2),"",OFFSET(TH!C$1,SMALL(Dong2,ROWS($1:76)),))</f>
        <v/>
      </c>
      <c r="B87" s="162" t="str">
        <f ca="1">IF(ROWS($1:76)&gt;COUNT(Dong2),"",OFFSET(TH!D$1,SMALL(Dong2,ROWS($1:76)),))</f>
        <v/>
      </c>
      <c r="C87" s="162" t="str">
        <f ca="1">IF(ROWS($1:76)&gt;COUNT(Dong2),"",OFFSET(TH!E$1,SMALL(Dong2,ROWS($1:76)),))</f>
        <v/>
      </c>
      <c r="D87" s="250" t="str">
        <f ca="1">IF(ROWS($1:76)&gt;COUNT(Dong2),"",OFFSET(TH!F$1,SMALL(Dong2,ROWS($1:76)),))</f>
        <v/>
      </c>
      <c r="E87" s="162" t="str">
        <f ca="1">IF(ROWS($1:76)&gt;COUNT(Dong2),"",IF(OFFSET(TH!M$1,SMALL(Dong2,ROWS($1:76)),)=$I$6,OFFSET(TH!L$1,SMALL(Dong2,ROWS($1:76)),),OFFSET(TH!M$1,SMALL(Dong2,ROWS($1:76)),)))</f>
        <v/>
      </c>
      <c r="F87" s="613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13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754">
        <f t="shared" ca="1" si="4"/>
        <v>0</v>
      </c>
      <c r="I87" s="610"/>
    </row>
    <row r="88" spans="1:20" s="151" customFormat="1" ht="20.25" customHeight="1">
      <c r="A88" s="162" t="str">
        <f ca="1">IF(ROWS($1:77)&gt;COUNT(Dong2),"",OFFSET(TH!C$1,SMALL(Dong2,ROWS($1:77)),))</f>
        <v/>
      </c>
      <c r="B88" s="162" t="str">
        <f ca="1">IF(ROWS($1:77)&gt;COUNT(Dong2),"",OFFSET(TH!D$1,SMALL(Dong2,ROWS($1:77)),))</f>
        <v/>
      </c>
      <c r="C88" s="162" t="str">
        <f ca="1">IF(ROWS($1:77)&gt;COUNT(Dong2),"",OFFSET(TH!E$1,SMALL(Dong2,ROWS($1:77)),))</f>
        <v/>
      </c>
      <c r="D88" s="250" t="str">
        <f ca="1">IF(ROWS($1:77)&gt;COUNT(Dong2),"",OFFSET(TH!F$1,SMALL(Dong2,ROWS($1:77)),))</f>
        <v/>
      </c>
      <c r="E88" s="162" t="str">
        <f ca="1">IF(ROWS($1:77)&gt;COUNT(Dong2),"",IF(OFFSET(TH!M$1,SMALL(Dong2,ROWS($1:77)),)=$I$6,OFFSET(TH!L$1,SMALL(Dong2,ROWS($1:77)),),OFFSET(TH!M$1,SMALL(Dong2,ROWS($1:77)),)))</f>
        <v/>
      </c>
      <c r="F88" s="613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13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754">
        <f t="shared" ca="1" si="4"/>
        <v>0</v>
      </c>
      <c r="I88" s="610"/>
    </row>
    <row r="89" spans="1:20" s="151" customFormat="1" ht="20.25" customHeight="1">
      <c r="A89" s="162" t="str">
        <f ca="1">IF(ROWS($1:78)&gt;COUNT(Dong2),"",OFFSET(TH!C$1,SMALL(Dong2,ROWS($1:78)),))</f>
        <v/>
      </c>
      <c r="B89" s="162" t="str">
        <f ca="1">IF(ROWS($1:78)&gt;COUNT(Dong2),"",OFFSET(TH!D$1,SMALL(Dong2,ROWS($1:78)),))</f>
        <v/>
      </c>
      <c r="C89" s="162" t="str">
        <f ca="1">IF(ROWS($1:78)&gt;COUNT(Dong2),"",OFFSET(TH!E$1,SMALL(Dong2,ROWS($1:78)),))</f>
        <v/>
      </c>
      <c r="D89" s="250" t="str">
        <f ca="1">IF(ROWS($1:78)&gt;COUNT(Dong2),"",OFFSET(TH!F$1,SMALL(Dong2,ROWS($1:78)),))</f>
        <v/>
      </c>
      <c r="E89" s="162" t="str">
        <f ca="1">IF(ROWS($1:78)&gt;COUNT(Dong2),"",IF(OFFSET(TH!M$1,SMALL(Dong2,ROWS($1:78)),)=$I$6,OFFSET(TH!L$1,SMALL(Dong2,ROWS($1:78)),),OFFSET(TH!M$1,SMALL(Dong2,ROWS($1:78)),)))</f>
        <v/>
      </c>
      <c r="F89" s="613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13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754">
        <f t="shared" ca="1" si="4"/>
        <v>0</v>
      </c>
      <c r="I89" s="610"/>
    </row>
    <row r="90" spans="1:20" s="151" customFormat="1" ht="20.25" customHeight="1">
      <c r="A90" s="162" t="str">
        <f ca="1">IF(ROWS($1:79)&gt;COUNT(Dong2),"",OFFSET(TH!C$1,SMALL(Dong2,ROWS($1:79)),))</f>
        <v/>
      </c>
      <c r="B90" s="162" t="str">
        <f ca="1">IF(ROWS($1:79)&gt;COUNT(Dong2),"",OFFSET(TH!D$1,SMALL(Dong2,ROWS($1:79)),))</f>
        <v/>
      </c>
      <c r="C90" s="162" t="str">
        <f ca="1">IF(ROWS($1:79)&gt;COUNT(Dong2),"",OFFSET(TH!E$1,SMALL(Dong2,ROWS($1:79)),))</f>
        <v/>
      </c>
      <c r="D90" s="250" t="str">
        <f ca="1">IF(ROWS($1:79)&gt;COUNT(Dong2),"",OFFSET(TH!F$1,SMALL(Dong2,ROWS($1:79)),))</f>
        <v/>
      </c>
      <c r="E90" s="162" t="str">
        <f ca="1">IF(ROWS($1:79)&gt;COUNT(Dong2),"",IF(OFFSET(TH!M$1,SMALL(Dong2,ROWS($1:79)),)=$I$6,OFFSET(TH!L$1,SMALL(Dong2,ROWS($1:79)),),OFFSET(TH!M$1,SMALL(Dong2,ROWS($1:79)),)))</f>
        <v/>
      </c>
      <c r="F90" s="613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13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754">
        <f t="shared" ca="1" si="4"/>
        <v>0</v>
      </c>
      <c r="I90" s="610"/>
    </row>
    <row r="91" spans="1:20" s="151" customFormat="1" ht="20.25" customHeight="1">
      <c r="A91" s="162" t="str">
        <f ca="1">IF(ROWS($1:80)&gt;COUNT(Dong2),"",OFFSET(TH!C$1,SMALL(Dong2,ROWS($1:80)),))</f>
        <v/>
      </c>
      <c r="B91" s="162" t="str">
        <f ca="1">IF(ROWS($1:80)&gt;COUNT(Dong2),"",OFFSET(TH!D$1,SMALL(Dong2,ROWS($1:80)),))</f>
        <v/>
      </c>
      <c r="C91" s="162" t="str">
        <f ca="1">IF(ROWS($1:80)&gt;COUNT(Dong2),"",OFFSET(TH!E$1,SMALL(Dong2,ROWS($1:80)),))</f>
        <v/>
      </c>
      <c r="D91" s="250" t="str">
        <f ca="1">IF(ROWS($1:80)&gt;COUNT(Dong2),"",OFFSET(TH!F$1,SMALL(Dong2,ROWS($1:80)),))</f>
        <v/>
      </c>
      <c r="E91" s="162" t="str">
        <f ca="1">IF(ROWS($1:80)&gt;COUNT(Dong2),"",IF(OFFSET(TH!M$1,SMALL(Dong2,ROWS($1:80)),)=$I$6,OFFSET(TH!L$1,SMALL(Dong2,ROWS($1:80)),),OFFSET(TH!M$1,SMALL(Dong2,ROWS($1:80)),)))</f>
        <v/>
      </c>
      <c r="F91" s="613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13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754">
        <f t="shared" ca="1" si="4"/>
        <v>0</v>
      </c>
      <c r="I91" s="610"/>
    </row>
    <row r="92" spans="1:20" s="151" customFormat="1" ht="20.25" customHeight="1">
      <c r="A92" s="162" t="str">
        <f ca="1">IF(ROWS($1:81)&gt;COUNT(Dong2),"",OFFSET(TH!C$1,SMALL(Dong2,ROWS($1:81)),))</f>
        <v/>
      </c>
      <c r="B92" s="162" t="str">
        <f ca="1">IF(ROWS($1:81)&gt;COUNT(Dong2),"",OFFSET(TH!D$1,SMALL(Dong2,ROWS($1:81)),))</f>
        <v/>
      </c>
      <c r="C92" s="162" t="str">
        <f ca="1">IF(ROWS($1:81)&gt;COUNT(Dong2),"",OFFSET(TH!E$1,SMALL(Dong2,ROWS($1:81)),))</f>
        <v/>
      </c>
      <c r="D92" s="250" t="str">
        <f ca="1">IF(ROWS($1:81)&gt;COUNT(Dong2),"",OFFSET(TH!F$1,SMALL(Dong2,ROWS($1:81)),))</f>
        <v/>
      </c>
      <c r="E92" s="162" t="str">
        <f ca="1">IF(ROWS($1:81)&gt;COUNT(Dong2),"",IF(OFFSET(TH!M$1,SMALL(Dong2,ROWS($1:81)),)=$I$6,OFFSET(TH!L$1,SMALL(Dong2,ROWS($1:81)),),OFFSET(TH!M$1,SMALL(Dong2,ROWS($1:81)),)))</f>
        <v/>
      </c>
      <c r="F92" s="613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13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754">
        <f t="shared" ref="H92:H93" ca="1" si="5">IF(A92&lt;&gt;"",H91+F92-G92,0)</f>
        <v>0</v>
      </c>
      <c r="I92" s="610"/>
    </row>
    <row r="93" spans="1:20" s="151" customFormat="1" ht="20.25" customHeight="1">
      <c r="A93" s="162" t="str">
        <f ca="1">IF(ROWS($1:82)&gt;COUNT(Dong2),"",OFFSET(TH!C$1,SMALL(Dong2,ROWS($1:82)),))</f>
        <v/>
      </c>
      <c r="B93" s="162" t="str">
        <f ca="1">IF(ROWS($1:82)&gt;COUNT(Dong2),"",OFFSET(TH!D$1,SMALL(Dong2,ROWS($1:82)),))</f>
        <v/>
      </c>
      <c r="C93" s="162" t="str">
        <f ca="1">IF(ROWS($1:82)&gt;COUNT(Dong2),"",OFFSET(TH!E$1,SMALL(Dong2,ROWS($1:82)),))</f>
        <v/>
      </c>
      <c r="D93" s="250" t="str">
        <f ca="1">IF(ROWS($1:82)&gt;COUNT(Dong2),"",OFFSET(TH!F$1,SMALL(Dong2,ROWS($1:82)),))</f>
        <v/>
      </c>
      <c r="E93" s="162" t="str">
        <f ca="1">IF(ROWS($1:82)&gt;COUNT(Dong2),"",IF(OFFSET(TH!M$1,SMALL(Dong2,ROWS($1:82)),)=$I$6,OFFSET(TH!L$1,SMALL(Dong2,ROWS($1:82)),),OFFSET(TH!M$1,SMALL(Dong2,ROWS($1:82)),)))</f>
        <v/>
      </c>
      <c r="F93" s="613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13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54">
        <f t="shared" ca="1" si="5"/>
        <v>0</v>
      </c>
      <c r="I93" s="610"/>
    </row>
    <row r="94" spans="1:20" s="151" customFormat="1" ht="20.25" customHeight="1">
      <c r="A94" s="162"/>
      <c r="B94" s="162"/>
      <c r="C94" s="162"/>
      <c r="D94" s="250"/>
      <c r="E94" s="162"/>
      <c r="F94" s="613"/>
      <c r="G94" s="613"/>
      <c r="H94" s="754"/>
      <c r="I94" s="610"/>
      <c r="Q94" s="161"/>
      <c r="R94" s="161"/>
      <c r="S94" s="161"/>
      <c r="T94" s="161"/>
    </row>
    <row r="95" spans="1:20" s="161" customFormat="1" ht="20.25" customHeight="1">
      <c r="A95" s="163"/>
      <c r="B95" s="164"/>
      <c r="C95" s="163"/>
      <c r="D95" s="160" t="s">
        <v>140</v>
      </c>
      <c r="E95" s="165"/>
      <c r="F95" s="612">
        <f ca="1">SUM(F12:F94)</f>
        <v>336889070</v>
      </c>
      <c r="G95" s="612">
        <f ca="1">SUM(G12:G94)</f>
        <v>322515000</v>
      </c>
      <c r="H95" s="612">
        <f ca="1">H11+F95-G95</f>
        <v>35051450</v>
      </c>
      <c r="I95" s="611"/>
    </row>
    <row r="96" spans="1:20" s="161" customFormat="1" ht="20.25" customHeight="1">
      <c r="A96" s="163"/>
      <c r="B96" s="164"/>
      <c r="C96" s="163"/>
      <c r="D96" s="160" t="s">
        <v>10</v>
      </c>
      <c r="E96" s="165"/>
      <c r="F96" s="166"/>
      <c r="G96" s="166"/>
      <c r="H96" s="612">
        <f ca="1">H95</f>
        <v>35051450</v>
      </c>
      <c r="I96" s="165"/>
    </row>
    <row r="97" spans="1:20" s="161" customFormat="1" ht="22.5" customHeight="1">
      <c r="A97" s="268" t="s">
        <v>174</v>
      </c>
      <c r="B97" s="167"/>
      <c r="F97" s="168"/>
      <c r="H97" s="746"/>
      <c r="I97" s="169"/>
    </row>
    <row r="98" spans="1:20" s="161" customFormat="1" ht="12.75">
      <c r="A98" s="186" t="str">
        <f ca="1">"- Ngày mở sổ: "&amp;DAY($A$12)&amp;"/"&amp;MONTH($A$12)&amp;"/ " &amp;YEAR($A$12)</f>
        <v>- Ngày mở sổ: 23/7/ 2013</v>
      </c>
      <c r="B98" s="170"/>
      <c r="F98" s="168"/>
      <c r="H98" s="746"/>
      <c r="I98" s="169"/>
    </row>
    <row r="99" spans="1:20" s="161" customFormat="1" ht="12.75">
      <c r="A99" s="171"/>
      <c r="B99" s="172"/>
      <c r="C99" s="173"/>
      <c r="F99" s="168"/>
      <c r="G99" s="203" t="str">
        <f>"Ngày "&amp;IF(OR($K$9=4,$K$9=6,$K$9=9,$K$9=11),"30",IF($K$9=2,"28","31"))&amp;" tháng "&amp;$K$9&amp;"  năm  2016 "</f>
        <v xml:space="preserve">Ngày 31 tháng Quý III  năm  2016 </v>
      </c>
      <c r="H99" s="746"/>
    </row>
    <row r="100" spans="1:20" s="161" customFormat="1" ht="17.25" customHeight="1">
      <c r="B100" s="174" t="s">
        <v>11</v>
      </c>
      <c r="D100" s="174" t="s">
        <v>12</v>
      </c>
      <c r="F100" s="175"/>
      <c r="G100" s="231" t="s">
        <v>113</v>
      </c>
      <c r="H100" s="747"/>
      <c r="I100" s="251"/>
      <c r="J100" s="176"/>
      <c r="K100" s="171"/>
      <c r="L100" s="171"/>
    </row>
    <row r="101" spans="1:20" s="161" customFormat="1">
      <c r="B101" s="232" t="s">
        <v>13</v>
      </c>
      <c r="D101" s="177" t="s">
        <v>13</v>
      </c>
      <c r="F101" s="178"/>
      <c r="G101" s="233" t="s">
        <v>143</v>
      </c>
      <c r="H101" s="746"/>
      <c r="K101" s="179"/>
      <c r="L101" s="179"/>
      <c r="Q101" s="180"/>
      <c r="R101" s="180"/>
      <c r="S101" s="180"/>
      <c r="T101" s="180"/>
    </row>
    <row r="108" spans="1:20">
      <c r="B108" s="239" t="s">
        <v>172</v>
      </c>
      <c r="G108" s="252" t="s">
        <v>107</v>
      </c>
    </row>
  </sheetData>
  <autoFilter ref="A10:K9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showZeros="0" workbookViewId="0">
      <pane ySplit="3" topLeftCell="A7" activePane="bottomLeft" state="frozen"/>
      <selection pane="bottomLeft" activeCell="B5" sqref="B5"/>
    </sheetView>
  </sheetViews>
  <sheetFormatPr defaultColWidth="8" defaultRowHeight="13.5"/>
  <cols>
    <col min="1" max="1" width="5.5703125" style="187" customWidth="1"/>
    <col min="2" max="2" width="59.140625" style="187" customWidth="1"/>
    <col min="3" max="8" width="16.42578125" style="187" customWidth="1"/>
    <col min="9" max="16384" width="8" style="187"/>
  </cols>
  <sheetData>
    <row r="1" spans="1:8" ht="27" customHeight="1">
      <c r="A1" s="1012" t="s">
        <v>456</v>
      </c>
      <c r="B1" s="1012"/>
      <c r="C1" s="1012"/>
      <c r="D1" s="1012"/>
      <c r="E1" s="1012"/>
      <c r="F1" s="1012"/>
      <c r="G1" s="1012"/>
      <c r="H1" s="1012"/>
    </row>
    <row r="2" spans="1:8" s="10" customFormat="1" ht="14.25" customHeight="1">
      <c r="A2" s="1013" t="s">
        <v>35</v>
      </c>
      <c r="B2" s="1015" t="s">
        <v>36</v>
      </c>
      <c r="C2" s="1017" t="s">
        <v>37</v>
      </c>
      <c r="D2" s="1018"/>
      <c r="E2" s="1017" t="s">
        <v>38</v>
      </c>
      <c r="F2" s="1018"/>
      <c r="G2" s="1017" t="s">
        <v>42</v>
      </c>
      <c r="H2" s="1018"/>
    </row>
    <row r="3" spans="1:8" s="10" customFormat="1" ht="14.25" customHeight="1">
      <c r="A3" s="1014"/>
      <c r="B3" s="1016"/>
      <c r="C3" s="760" t="s">
        <v>43</v>
      </c>
      <c r="D3" s="760" t="s">
        <v>44</v>
      </c>
      <c r="E3" s="760" t="s">
        <v>43</v>
      </c>
      <c r="F3" s="760" t="s">
        <v>44</v>
      </c>
      <c r="G3" s="760" t="s">
        <v>43</v>
      </c>
      <c r="H3" s="760" t="s">
        <v>44</v>
      </c>
    </row>
    <row r="4" spans="1:8" s="10" customFormat="1" ht="16.5" customHeight="1">
      <c r="A4" s="6">
        <f>IF(B4&lt;&gt;"",ROW()-3,"")</f>
        <v>1</v>
      </c>
      <c r="B4" s="7" t="s">
        <v>518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17000000</v>
      </c>
      <c r="G4" s="58">
        <f t="shared" ref="G4:G10" si="0">ROUND(MAX(C4+E4-D4-F4,0),2)</f>
        <v>0</v>
      </c>
      <c r="H4" s="58">
        <f t="shared" ref="H4:H10" si="1">ROUND(MAX(D4+F4-C4-E4,0),2)</f>
        <v>17000000</v>
      </c>
    </row>
    <row r="5" spans="1:8" s="10" customFormat="1" ht="16.5" customHeight="1">
      <c r="A5" s="6">
        <f>IF(B5&lt;&gt;"",ROW()-3,"")</f>
        <v>2</v>
      </c>
      <c r="B5" s="7" t="s">
        <v>514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270385940</v>
      </c>
      <c r="G5" s="58">
        <f t="shared" si="0"/>
        <v>0</v>
      </c>
      <c r="H5" s="58">
        <f t="shared" si="1"/>
        <v>270385940</v>
      </c>
    </row>
    <row r="6" spans="1:8" s="10" customFormat="1" ht="16.5" customHeight="1">
      <c r="A6" s="6">
        <f t="shared" ref="A6:A13" si="2">IF(B6&lt;&gt;"",ROW()-3,"")</f>
        <v>3</v>
      </c>
      <c r="B6" s="7" t="s">
        <v>516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37813270</v>
      </c>
      <c r="G6" s="58">
        <f t="shared" si="0"/>
        <v>0</v>
      </c>
      <c r="H6" s="58">
        <f t="shared" si="1"/>
        <v>37813270</v>
      </c>
    </row>
    <row r="7" spans="1:8" s="10" customFormat="1" ht="16.5" customHeight="1">
      <c r="A7" s="6">
        <f t="shared" si="2"/>
        <v>4</v>
      </c>
      <c r="B7" s="7" t="s">
        <v>455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94953980</v>
      </c>
      <c r="G7" s="58">
        <f t="shared" si="0"/>
        <v>0</v>
      </c>
      <c r="H7" s="58">
        <f t="shared" si="1"/>
        <v>94953980</v>
      </c>
    </row>
    <row r="8" spans="1:8" s="10" customFormat="1" ht="16.5" customHeight="1">
      <c r="A8" s="6">
        <f t="shared" si="2"/>
        <v>5</v>
      </c>
      <c r="B8" s="48" t="s">
        <v>515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69195170</v>
      </c>
      <c r="G8" s="58">
        <f t="shared" si="0"/>
        <v>0</v>
      </c>
      <c r="H8" s="58">
        <f t="shared" si="1"/>
        <v>69195170</v>
      </c>
    </row>
    <row r="9" spans="1:8" s="10" customFormat="1" ht="16.5" customHeight="1">
      <c r="A9" s="6">
        <f t="shared" si="2"/>
        <v>6</v>
      </c>
      <c r="B9" s="7" t="s">
        <v>517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79363570</v>
      </c>
      <c r="G9" s="58">
        <f t="shared" si="0"/>
        <v>0</v>
      </c>
      <c r="H9" s="58">
        <f t="shared" si="1"/>
        <v>79363570</v>
      </c>
    </row>
    <row r="10" spans="1:8" s="10" customFormat="1" ht="16.5" customHeight="1">
      <c r="A10" s="6">
        <f t="shared" si="2"/>
        <v>7</v>
      </c>
      <c r="B10" s="7" t="s">
        <v>524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70624532</v>
      </c>
      <c r="G10" s="58">
        <f t="shared" si="0"/>
        <v>0</v>
      </c>
      <c r="H10" s="58">
        <f t="shared" si="1"/>
        <v>70624532</v>
      </c>
    </row>
    <row r="11" spans="1:8" s="10" customFormat="1" ht="16.5" customHeight="1">
      <c r="A11" s="6">
        <f t="shared" si="2"/>
        <v>8</v>
      </c>
      <c r="B11" s="7" t="s">
        <v>525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20754363</v>
      </c>
      <c r="G11" s="58">
        <f>ROUND(MAX(C11+E11-D11-F11,0),2)</f>
        <v>0</v>
      </c>
      <c r="H11" s="58">
        <f>ROUND(MAX(D11+F11-C11-E11,0),2)</f>
        <v>20754363</v>
      </c>
    </row>
    <row r="12" spans="1:8" s="10" customFormat="1" ht="16.5" customHeight="1">
      <c r="A12" s="6">
        <f t="shared" si="2"/>
        <v>9</v>
      </c>
      <c r="B12" s="7" t="s">
        <v>526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243582416</v>
      </c>
      <c r="G12" s="58">
        <f>ROUND(MAX(C12+E12-D12-F12,0),2)</f>
        <v>0</v>
      </c>
      <c r="H12" s="58">
        <f>ROUND(MAX(D12+F12-C12-E12,0),2)</f>
        <v>243582416</v>
      </c>
    </row>
    <row r="13" spans="1:8" s="10" customFormat="1" ht="16.5" customHeight="1">
      <c r="A13" s="6">
        <f t="shared" si="2"/>
        <v>10</v>
      </c>
      <c r="B13" s="7" t="s">
        <v>527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48265228</v>
      </c>
      <c r="G13" s="58">
        <f>ROUND(MAX(C13+E13-D13-F13,0),2)</f>
        <v>0</v>
      </c>
      <c r="H13" s="58">
        <f>ROUND(MAX(D13+F13-C13-E13,0),2)</f>
        <v>48265228</v>
      </c>
    </row>
    <row r="14" spans="1:8" s="10" customFormat="1" ht="16.5" customHeight="1">
      <c r="A14" s="6">
        <f>IF(B14&lt;&gt;"",ROW()-3,"")</f>
        <v>11</v>
      </c>
      <c r="B14" s="7" t="s">
        <v>528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3068120</v>
      </c>
      <c r="G14" s="58">
        <f>ROUND(MAX(C14+E14-D14-F14,0),2)</f>
        <v>0</v>
      </c>
      <c r="H14" s="58">
        <f>ROUND(MAX(D14+F14-C14-E14,0),2)</f>
        <v>3068120</v>
      </c>
    </row>
    <row r="15" spans="1:8" s="10" customFormat="1" ht="16.5" customHeight="1">
      <c r="A15" s="6">
        <f t="shared" ref="A15:A22" si="3">IF(B15&lt;&gt;"",ROW()-3,"")</f>
        <v>12</v>
      </c>
      <c r="B15" s="7" t="s">
        <v>530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42830183</v>
      </c>
      <c r="G15" s="58">
        <f t="shared" ref="G15:G22" si="4">ROUND(MAX(C15+E15-D15-F15,0),2)</f>
        <v>0</v>
      </c>
      <c r="H15" s="58">
        <f t="shared" ref="H15:H22" si="5">ROUND(MAX(D15+F15-C15-E15,0),2)</f>
        <v>42830183</v>
      </c>
    </row>
    <row r="16" spans="1:8" s="10" customFormat="1" ht="16.5" customHeight="1">
      <c r="A16" s="6">
        <f t="shared" si="3"/>
        <v>13</v>
      </c>
      <c r="B16" s="7" t="s">
        <v>531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76530520</v>
      </c>
      <c r="G16" s="58">
        <f t="shared" si="4"/>
        <v>0</v>
      </c>
      <c r="H16" s="58">
        <f t="shared" si="5"/>
        <v>76530520</v>
      </c>
    </row>
    <row r="17" spans="1:8" s="10" customFormat="1" ht="16.5" customHeight="1">
      <c r="A17" s="6">
        <f t="shared" si="3"/>
        <v>14</v>
      </c>
      <c r="B17" s="7" t="s">
        <v>529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40007693</v>
      </c>
      <c r="G17" s="58">
        <f t="shared" si="4"/>
        <v>0</v>
      </c>
      <c r="H17" s="58">
        <f t="shared" si="5"/>
        <v>40007693</v>
      </c>
    </row>
    <row r="18" spans="1:8" s="10" customFormat="1" ht="16.5" customHeight="1">
      <c r="A18" s="6">
        <f t="shared" si="3"/>
        <v>15</v>
      </c>
      <c r="B18" s="7" t="s">
        <v>532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23385120</v>
      </c>
      <c r="G18" s="58">
        <f t="shared" si="4"/>
        <v>0</v>
      </c>
      <c r="H18" s="58">
        <f t="shared" si="5"/>
        <v>23385120</v>
      </c>
    </row>
    <row r="19" spans="1:8" s="10" customFormat="1" ht="16.5" customHeight="1">
      <c r="A19" s="6" t="str">
        <f t="shared" si="3"/>
        <v/>
      </c>
      <c r="B19" s="7"/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58">
        <f t="shared" si="4"/>
        <v>0</v>
      </c>
      <c r="H19" s="58">
        <f t="shared" si="5"/>
        <v>0</v>
      </c>
    </row>
    <row r="20" spans="1:8" s="10" customFormat="1" ht="16.5" customHeight="1">
      <c r="A20" s="6" t="str">
        <f t="shared" si="3"/>
        <v/>
      </c>
      <c r="B20" s="45"/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58">
        <f t="shared" si="4"/>
        <v>0</v>
      </c>
      <c r="H20" s="58">
        <f t="shared" si="5"/>
        <v>0</v>
      </c>
    </row>
    <row r="21" spans="1:8" s="10" customFormat="1" ht="16.5" customHeight="1">
      <c r="A21" s="6" t="str">
        <f t="shared" si="3"/>
        <v/>
      </c>
      <c r="B21" s="45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58">
        <f t="shared" si="4"/>
        <v>0</v>
      </c>
      <c r="H21" s="58">
        <f t="shared" si="5"/>
        <v>0</v>
      </c>
    </row>
    <row r="22" spans="1:8" s="10" customFormat="1" ht="16.5" customHeight="1">
      <c r="A22" s="6" t="str">
        <f t="shared" si="3"/>
        <v/>
      </c>
      <c r="B22" s="206"/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58">
        <f t="shared" si="4"/>
        <v>0</v>
      </c>
      <c r="H22" s="58">
        <f t="shared" si="5"/>
        <v>0</v>
      </c>
    </row>
    <row r="23" spans="1:8" s="10" customFormat="1" ht="16.5" customHeight="1">
      <c r="A23" s="6" t="str">
        <f>IF(B23&lt;&gt;"",ROW()-3,"")</f>
        <v/>
      </c>
      <c r="B23" s="206"/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58">
        <f>ROUND(MAX(C23+E23-D23-F23,0),2)</f>
        <v>0</v>
      </c>
      <c r="H23" s="58">
        <f>ROUND(MAX(D23+F23-C23-E23,0),2)</f>
        <v>0</v>
      </c>
    </row>
    <row r="24" spans="1:8" s="10" customFormat="1" ht="16.5" customHeight="1">
      <c r="A24" s="6" t="str">
        <f>IF(B24&lt;&gt;"",ROW()-3,"")</f>
        <v/>
      </c>
      <c r="B24" s="7"/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58">
        <f>ROUND(MAX(C24+E24-D24-F24,0),2)</f>
        <v>0</v>
      </c>
      <c r="H24" s="58">
        <f>ROUND(MAX(D24+F24-C24-E24,0),2)</f>
        <v>0</v>
      </c>
    </row>
    <row r="25" spans="1:8" s="10" customFormat="1" ht="16.5" customHeight="1">
      <c r="A25" s="6" t="str">
        <f t="shared" ref="A25" si="6">IF(B25&lt;&gt;"",ROW()-3,"")</f>
        <v/>
      </c>
      <c r="B25" s="7"/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58">
        <f t="shared" ref="G25" si="7">ROUND(MAX(C25+E25-D25-F25,0),2)</f>
        <v>0</v>
      </c>
      <c r="H25" s="58">
        <f t="shared" ref="H25" si="8">ROUND(MAX(D25+F25-C25-E25,0),2)</f>
        <v>0</v>
      </c>
    </row>
    <row r="26" spans="1:8" s="10" customFormat="1" ht="16.5" customHeight="1">
      <c r="A26" s="6"/>
      <c r="B26" s="45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ref="G26" si="9">ROUND(MAX(C26+E26-D26-F26,0),2)</f>
        <v>0</v>
      </c>
      <c r="H26" s="58">
        <f t="shared" ref="H26" si="10">ROUND(MAX(D26+F26-C26-E26,0),2)</f>
        <v>0</v>
      </c>
    </row>
    <row r="27" spans="1:8" s="10" customFormat="1" ht="16.5" customHeight="1">
      <c r="A27" s="6" t="str">
        <f>IF(B27&lt;&gt;"",ROW()-3,"")</f>
        <v/>
      </c>
      <c r="B27" s="45"/>
      <c r="C27" s="8"/>
      <c r="D27" s="8"/>
      <c r="E27" s="8"/>
      <c r="F27" s="8"/>
      <c r="G27" s="58"/>
      <c r="H27" s="58"/>
    </row>
    <row r="28" spans="1:8" s="14" customFormat="1" ht="14.25" customHeight="1">
      <c r="A28" s="11"/>
      <c r="B28" s="12" t="s">
        <v>39</v>
      </c>
      <c r="C28" s="13">
        <f>SUM(C4:C27)</f>
        <v>0</v>
      </c>
      <c r="D28" s="13">
        <f t="shared" ref="D28:H28" si="11">SUM(D4:D27)</f>
        <v>0</v>
      </c>
      <c r="E28" s="13">
        <f t="shared" si="11"/>
        <v>0</v>
      </c>
      <c r="F28" s="13">
        <f t="shared" si="11"/>
        <v>1137760105</v>
      </c>
      <c r="G28" s="13">
        <f t="shared" si="11"/>
        <v>0</v>
      </c>
      <c r="H28" s="13">
        <f t="shared" si="11"/>
        <v>1137760105</v>
      </c>
    </row>
    <row r="30" spans="1:8">
      <c r="E30" s="15">
        <f>CDPS!E14</f>
        <v>0</v>
      </c>
      <c r="F30" s="15">
        <f>CDPS!F14</f>
        <v>1137760105</v>
      </c>
    </row>
    <row r="32" spans="1:8">
      <c r="E32" s="191">
        <f>E28-E30</f>
        <v>0</v>
      </c>
      <c r="F32" s="191">
        <f>F28-F30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2" customFormat="1" ht="14.25" customHeight="1">
      <c r="A1" s="772" t="str">
        <f>TH!A1</f>
        <v>Đơn vị: CÔNG TY TNHH HẢI SẢN AN LẠC</v>
      </c>
      <c r="B1" s="757"/>
      <c r="C1" s="757"/>
      <c r="G1" s="2"/>
      <c r="H1" s="1021" t="s">
        <v>47</v>
      </c>
      <c r="I1" s="1021"/>
      <c r="J1" s="1021"/>
    </row>
    <row r="2" spans="1:10" s="602" customFormat="1" ht="14.25" customHeight="1">
      <c r="A2" s="771" t="str">
        <f>TH!A2</f>
        <v>Địa chỉ: Lô A14, Đường 4A, KCN Hải Sơn, Đức Hòa, Long An</v>
      </c>
      <c r="B2" s="757"/>
      <c r="C2" s="757"/>
      <c r="G2" s="17"/>
      <c r="H2" s="1022" t="s">
        <v>48</v>
      </c>
      <c r="I2" s="1022"/>
      <c r="J2" s="1022"/>
    </row>
    <row r="3" spans="1:10" s="602" customFormat="1" ht="14.25" customHeight="1">
      <c r="A3" s="759"/>
      <c r="B3" s="757"/>
      <c r="C3" s="757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755" t="s">
        <v>27</v>
      </c>
    </row>
    <row r="6" spans="1:10" s="18" customFormat="1" ht="14.25" customHeight="1">
      <c r="E6" s="755" t="s">
        <v>459</v>
      </c>
    </row>
    <row r="7" spans="1:10" s="18" customFormat="1" ht="14.25" customHeight="1">
      <c r="D7" s="20" t="s">
        <v>46</v>
      </c>
      <c r="E7" s="1024" t="s">
        <v>454</v>
      </c>
      <c r="F7" s="1024"/>
      <c r="G7" s="1024"/>
      <c r="H7" s="1024"/>
    </row>
    <row r="8" spans="1:10" s="18" customFormat="1" ht="14.25" customHeight="1">
      <c r="E8" s="755" t="s">
        <v>29</v>
      </c>
    </row>
    <row r="9" spans="1:10" s="18" customFormat="1" ht="6.75" customHeight="1">
      <c r="B9" s="755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91" t="s">
        <v>20</v>
      </c>
      <c r="B10" s="1026" t="s">
        <v>1</v>
      </c>
      <c r="C10" s="1026"/>
      <c r="D10" s="991" t="s">
        <v>0</v>
      </c>
      <c r="E10" s="991" t="s">
        <v>14</v>
      </c>
      <c r="F10" s="991" t="s">
        <v>30</v>
      </c>
      <c r="G10" s="1019" t="s">
        <v>21</v>
      </c>
      <c r="H10" s="1020"/>
      <c r="I10" s="1019" t="s">
        <v>31</v>
      </c>
      <c r="J10" s="1020"/>
    </row>
    <row r="11" spans="1:10" s="18" customFormat="1" ht="24.75" customHeight="1">
      <c r="A11" s="991"/>
      <c r="B11" s="30" t="s">
        <v>15</v>
      </c>
      <c r="C11" s="30" t="s">
        <v>32</v>
      </c>
      <c r="D11" s="991"/>
      <c r="E11" s="991"/>
      <c r="F11" s="991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1" t="s">
        <v>2</v>
      </c>
      <c r="B12" s="762" t="s">
        <v>3</v>
      </c>
      <c r="C12" s="761" t="s">
        <v>4</v>
      </c>
      <c r="D12" s="761" t="s">
        <v>5</v>
      </c>
      <c r="E12" s="761" t="s">
        <v>6</v>
      </c>
      <c r="F12" s="761">
        <v>1</v>
      </c>
      <c r="G12" s="761">
        <v>2</v>
      </c>
      <c r="H12" s="761">
        <v>3</v>
      </c>
      <c r="I12" s="761">
        <v>4</v>
      </c>
      <c r="J12" s="761">
        <v>5</v>
      </c>
    </row>
    <row r="13" spans="1:10" s="18" customFormat="1" ht="18" customHeight="1">
      <c r="A13" s="761"/>
      <c r="B13" s="761"/>
      <c r="C13" s="761"/>
      <c r="D13" s="23" t="s">
        <v>7</v>
      </c>
      <c r="E13" s="761"/>
      <c r="F13" s="24"/>
      <c r="G13" s="24"/>
      <c r="H13" s="24"/>
      <c r="I13" s="50" t="e">
        <f>VLOOKUP($E$7,'131'!$B$4:$H$27,2,0)</f>
        <v>#N/A</v>
      </c>
      <c r="J13" s="50" t="e">
        <f>VLOOKUP($E$7,'131'!$B$4:$H$27,3,0)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0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0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0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0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0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0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0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0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0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0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0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0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0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0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0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0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0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4"/>
      <c r="B31" s="234"/>
      <c r="C31" s="234"/>
      <c r="D31" s="235"/>
      <c r="E31" s="236"/>
      <c r="F31" s="236"/>
      <c r="G31" s="237"/>
      <c r="H31" s="237"/>
      <c r="I31" s="238"/>
      <c r="J31" s="238"/>
    </row>
    <row r="32" spans="1:10" s="18" customFormat="1" ht="18" customHeight="1">
      <c r="A32" s="24"/>
      <c r="B32" s="761"/>
      <c r="C32" s="26"/>
      <c r="D32" s="23" t="s">
        <v>33</v>
      </c>
      <c r="E32" s="761" t="s">
        <v>19</v>
      </c>
      <c r="F32" s="761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1"/>
      <c r="C33" s="761"/>
      <c r="D33" s="23" t="s">
        <v>10</v>
      </c>
      <c r="E33" s="761" t="s">
        <v>19</v>
      </c>
      <c r="F33" s="761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55"/>
      <c r="C34" s="755"/>
      <c r="E34" s="755"/>
    </row>
    <row r="35" spans="1:11" s="18" customFormat="1" ht="14.25" customHeight="1">
      <c r="A35" s="28" t="s">
        <v>173</v>
      </c>
      <c r="B35" s="755"/>
      <c r="C35" s="755"/>
      <c r="E35" s="755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5"/>
      <c r="C36" s="755"/>
      <c r="E36" s="755"/>
      <c r="K36" s="28" t="s">
        <v>34</v>
      </c>
    </row>
    <row r="37" spans="1:11" s="18" customFormat="1" ht="14.25" customHeight="1">
      <c r="B37" s="755"/>
      <c r="C37" s="755"/>
      <c r="E37" s="979" t="s">
        <v>155</v>
      </c>
      <c r="F37" s="979"/>
      <c r="G37" s="979"/>
      <c r="H37" s="979"/>
      <c r="I37" s="979"/>
      <c r="J37" s="979"/>
    </row>
    <row r="38" spans="1:11" s="18" customFormat="1" ht="14.25" customHeight="1">
      <c r="C38" s="755" t="s">
        <v>11</v>
      </c>
      <c r="E38" s="979" t="s">
        <v>12</v>
      </c>
      <c r="F38" s="979"/>
      <c r="G38" s="979"/>
      <c r="H38" s="979"/>
      <c r="I38" s="979"/>
      <c r="J38" s="979"/>
    </row>
    <row r="39" spans="1:11" s="18" customFormat="1" ht="14.25" customHeight="1">
      <c r="C39" s="755" t="s">
        <v>13</v>
      </c>
      <c r="E39" s="979" t="s">
        <v>13</v>
      </c>
      <c r="F39" s="979"/>
      <c r="G39" s="979"/>
      <c r="H39" s="979"/>
      <c r="I39" s="979"/>
      <c r="J39" s="979"/>
    </row>
    <row r="40" spans="1:11" s="29" customFormat="1"/>
    <row r="46" spans="1:11" ht="15">
      <c r="C46" s="756" t="s">
        <v>172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7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187" customWidth="1"/>
    <col min="2" max="2" width="59.140625" style="187" customWidth="1"/>
    <col min="3" max="8" width="16.42578125" style="187" customWidth="1"/>
    <col min="9" max="16384" width="8" style="187"/>
  </cols>
  <sheetData>
    <row r="1" spans="1:9" ht="27" customHeight="1">
      <c r="A1" s="1012" t="s">
        <v>106</v>
      </c>
      <c r="B1" s="1012"/>
      <c r="C1" s="1012"/>
      <c r="D1" s="1012"/>
      <c r="E1" s="1012"/>
      <c r="F1" s="1012"/>
      <c r="G1" s="1012"/>
      <c r="H1" s="1012"/>
    </row>
    <row r="2" spans="1:9" s="10" customFormat="1" ht="14.25" customHeight="1">
      <c r="A2" s="1013" t="s">
        <v>35</v>
      </c>
      <c r="B2" s="1015" t="s">
        <v>36</v>
      </c>
      <c r="C2" s="1017" t="s">
        <v>37</v>
      </c>
      <c r="D2" s="1018"/>
      <c r="E2" s="1017" t="s">
        <v>38</v>
      </c>
      <c r="F2" s="1018"/>
      <c r="G2" s="1017" t="s">
        <v>42</v>
      </c>
      <c r="H2" s="1018"/>
    </row>
    <row r="3" spans="1:9" s="10" customFormat="1" ht="14.25" customHeight="1">
      <c r="A3" s="1014"/>
      <c r="B3" s="1016"/>
      <c r="C3" s="210" t="s">
        <v>43</v>
      </c>
      <c r="D3" s="210" t="s">
        <v>44</v>
      </c>
      <c r="E3" s="210" t="s">
        <v>43</v>
      </c>
      <c r="F3" s="210" t="s">
        <v>44</v>
      </c>
      <c r="G3" s="210" t="s">
        <v>43</v>
      </c>
      <c r="H3" s="210" t="s">
        <v>44</v>
      </c>
    </row>
    <row r="4" spans="1:9" s="10" customFormat="1" ht="16.5" customHeight="1">
      <c r="A4" s="6">
        <f>IF(B4&lt;&gt;"",ROW()-3,"")</f>
        <v>1</v>
      </c>
      <c r="B4" s="7" t="s">
        <v>492</v>
      </c>
      <c r="C4" s="8"/>
      <c r="D4" s="8"/>
      <c r="E4" s="8">
        <f t="array" ref="E4">SUM(IF("331"&amp;B4=KHN&amp;KH,TH))</f>
        <v>5649600</v>
      </c>
      <c r="F4" s="8">
        <f t="array" ref="F4">SUM(IF("331"&amp;B4=KHC&amp;KH,TH))</f>
        <v>5649600</v>
      </c>
      <c r="G4" s="58">
        <f t="shared" ref="G4:G7" si="0">ROUND(MAX(C4+E4-D4-F4,0),2)</f>
        <v>0</v>
      </c>
      <c r="H4" s="58">
        <f t="shared" ref="H4:H7" si="1">ROUND(MAX(D4+F4-C4-E4,0),2)</f>
        <v>0</v>
      </c>
    </row>
    <row r="5" spans="1:9" s="10" customFormat="1" ht="16.5" customHeight="1">
      <c r="A5" s="6">
        <f t="shared" ref="A5:A12" si="2">IF(B5&lt;&gt;"",ROW()-3,"")</f>
        <v>2</v>
      </c>
      <c r="B5" s="7" t="s">
        <v>572</v>
      </c>
      <c r="C5" s="8"/>
      <c r="D5" s="8"/>
      <c r="E5" s="8">
        <f t="array" ref="E5">SUM(IF("331"&amp;B5=KHN&amp;KH,TH))</f>
        <v>1375000</v>
      </c>
      <c r="F5" s="8">
        <f t="array" ref="F5">SUM(IF("331"&amp;B5=KHC&amp;KH,TH))</f>
        <v>1375000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45" t="s">
        <v>507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213578230</v>
      </c>
      <c r="G6" s="58">
        <f t="shared" si="0"/>
        <v>0</v>
      </c>
      <c r="H6" s="58">
        <f t="shared" si="1"/>
        <v>213578230</v>
      </c>
    </row>
    <row r="7" spans="1:9" s="10" customFormat="1" ht="16.5" customHeight="1">
      <c r="A7" s="6">
        <f t="shared" si="2"/>
        <v>4</v>
      </c>
      <c r="B7" s="45" t="s">
        <v>695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140300380</v>
      </c>
      <c r="G7" s="58">
        <f t="shared" si="0"/>
        <v>0</v>
      </c>
      <c r="H7" s="58">
        <f t="shared" si="1"/>
        <v>140300380</v>
      </c>
    </row>
    <row r="8" spans="1:9" s="10" customFormat="1" ht="16.5" customHeight="1">
      <c r="A8" s="6">
        <f t="shared" si="2"/>
        <v>5</v>
      </c>
      <c r="B8" s="45" t="s">
        <v>736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63853515</v>
      </c>
      <c r="G8" s="58">
        <f t="shared" ref="G8:G10" si="3">ROUND(MAX(C8+E8-D8-F8,0),2)</f>
        <v>0</v>
      </c>
      <c r="H8" s="58">
        <f t="shared" ref="H8:H10" si="4">ROUND(MAX(D8+F8-C8-E8,0),2)</f>
        <v>63853515</v>
      </c>
    </row>
    <row r="9" spans="1:9" s="10" customFormat="1" ht="16.5" customHeight="1">
      <c r="A9" s="6">
        <f t="shared" si="2"/>
        <v>6</v>
      </c>
      <c r="B9" s="45" t="s">
        <v>747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109505000</v>
      </c>
      <c r="G9" s="58">
        <f t="shared" si="3"/>
        <v>0</v>
      </c>
      <c r="H9" s="58">
        <f t="shared" si="4"/>
        <v>109505000</v>
      </c>
    </row>
    <row r="10" spans="1:9" s="10" customFormat="1" ht="16.5" customHeight="1">
      <c r="A10" s="6">
        <f t="shared" si="2"/>
        <v>7</v>
      </c>
      <c r="B10" s="45" t="s">
        <v>620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134882711</v>
      </c>
      <c r="G10" s="58">
        <f t="shared" si="3"/>
        <v>0</v>
      </c>
      <c r="H10" s="58">
        <f t="shared" si="4"/>
        <v>134882711</v>
      </c>
    </row>
    <row r="11" spans="1:9" s="10" customFormat="1" ht="16.5" customHeight="1">
      <c r="A11" s="6">
        <f t="shared" si="2"/>
        <v>8</v>
      </c>
      <c r="B11" s="45" t="s">
        <v>728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55000000</v>
      </c>
      <c r="G11" s="58">
        <f t="shared" ref="G11" si="5">ROUND(MAX(C11+E11-D11-F11,0),2)</f>
        <v>0</v>
      </c>
      <c r="H11" s="58">
        <f t="shared" ref="H11" si="6">ROUND(MAX(D11+F11-C11-E11,0),2)</f>
        <v>55000000</v>
      </c>
    </row>
    <row r="12" spans="1:9" s="10" customFormat="1" ht="16.5" customHeight="1">
      <c r="A12" s="6" t="str">
        <f t="shared" si="2"/>
        <v/>
      </c>
      <c r="B12" s="45"/>
      <c r="C12" s="8"/>
      <c r="D12" s="8"/>
      <c r="E12" s="619"/>
      <c r="F12" s="619"/>
      <c r="G12" s="620"/>
      <c r="H12" s="620"/>
      <c r="I12" s="621"/>
    </row>
    <row r="13" spans="1:9" s="14" customFormat="1" ht="14.25" customHeight="1">
      <c r="A13" s="11"/>
      <c r="B13" s="12" t="s">
        <v>39</v>
      </c>
      <c r="C13" s="13">
        <f>SUM(C4:C12)</f>
        <v>0</v>
      </c>
      <c r="D13" s="13">
        <f>SUM(D4:D12)</f>
        <v>0</v>
      </c>
      <c r="E13" s="13">
        <f>SUM(E4:E12)</f>
        <v>7024600</v>
      </c>
      <c r="F13" s="13">
        <f>SUM(F4:F12)</f>
        <v>724144436</v>
      </c>
      <c r="G13" s="13">
        <f>SUM(G4:G12)</f>
        <v>0</v>
      </c>
      <c r="H13" s="13">
        <f>SUM(H4:H12)</f>
        <v>717119836</v>
      </c>
    </row>
    <row r="15" spans="1:9">
      <c r="E15" s="15">
        <f>CDPS!E36</f>
        <v>234197522</v>
      </c>
      <c r="F15" s="15">
        <f>CDPS!F36</f>
        <v>724144436</v>
      </c>
    </row>
    <row r="17" spans="5:6">
      <c r="E17" s="191">
        <f>E13-E15</f>
        <v>-227172922</v>
      </c>
      <c r="F17" s="191">
        <f>F13-F15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2" t="str">
        <f>TH!A1</f>
        <v>Đơn vị: CÔNG TY TNHH HẢI SẢN AN LẠC</v>
      </c>
      <c r="B1" s="16"/>
      <c r="C1" s="16"/>
      <c r="G1" s="2"/>
      <c r="H1" s="1021" t="s">
        <v>47</v>
      </c>
      <c r="I1" s="1021"/>
      <c r="J1" s="1021"/>
    </row>
    <row r="2" spans="1:10" s="3" customFormat="1" ht="14.25" customHeight="1">
      <c r="A2" s="771" t="str">
        <f>TH!A2</f>
        <v>Địa chỉ: Lô A14, Đường 4A, KCN Hải Sơn, Đức Hòa, Long An</v>
      </c>
      <c r="B2" s="16"/>
      <c r="C2" s="16"/>
      <c r="G2" s="17"/>
      <c r="H2" s="1022" t="s">
        <v>48</v>
      </c>
      <c r="I2" s="1022"/>
      <c r="J2" s="1022"/>
    </row>
    <row r="3" spans="1:10" s="3" customFormat="1" ht="14.25" customHeight="1">
      <c r="A3" s="4"/>
      <c r="B3" s="16"/>
      <c r="C3" s="16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4" t="s">
        <v>508</v>
      </c>
      <c r="F7" s="1024"/>
      <c r="G7" s="1024"/>
      <c r="H7" s="1024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91" t="s">
        <v>20</v>
      </c>
      <c r="B10" s="1026" t="s">
        <v>1</v>
      </c>
      <c r="C10" s="1026"/>
      <c r="D10" s="991" t="s">
        <v>0</v>
      </c>
      <c r="E10" s="991" t="s">
        <v>14</v>
      </c>
      <c r="F10" s="991" t="s">
        <v>30</v>
      </c>
      <c r="G10" s="1019" t="s">
        <v>21</v>
      </c>
      <c r="H10" s="1020"/>
      <c r="I10" s="1019" t="s">
        <v>31</v>
      </c>
      <c r="J10" s="1020"/>
    </row>
    <row r="11" spans="1:10" s="18" customFormat="1" ht="24.75" customHeight="1">
      <c r="A11" s="991"/>
      <c r="B11" s="30" t="s">
        <v>15</v>
      </c>
      <c r="C11" s="30" t="s">
        <v>32</v>
      </c>
      <c r="D11" s="991"/>
      <c r="E11" s="991"/>
      <c r="F11" s="991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 t="e">
        <f>VLOOKUP($E$7,'331'!$B$4:$H$12,2,0)</f>
        <v>#N/A</v>
      </c>
      <c r="J13" s="50" t="e">
        <f>VLOOKUP($E$7,'331'!$B$4:$H$12,3,0)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40" t="str">
        <f ca="1">IF(ROWS($1:1)&gt;COUNT(Dong),"",OFFSET(TH!F$1,SMALL(Dong,ROWS($1:1)),))</f>
        <v/>
      </c>
      <c r="E14" s="49" t="str">
        <f ca="1">IF(ROWS($1:1)&gt;COUNT(Dong),"",IF(OFFSET(TH!L$1,SMALL(Dong,ROWS($1:1)),)="331",OFFSET(TH!M$1,SMALL(Dong,ROWS($1:1)),),OFFSET(TH!L$1,SMALL(Dong,ROWS($1:1)),)))</f>
        <v/>
      </c>
      <c r="F14" s="49"/>
      <c r="G14" s="61" t="str">
        <f ca="1">IF(ROWS($1:1)&gt;COUNT(Dong),"",IF(OFFSET(TH!L$1,SMALL(Dong,ROWS($1:1)),)="331",OFFSET(TH!K$1,SMALL(Dong,ROWS($1:1)),),0))</f>
        <v/>
      </c>
      <c r="H14" s="61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40" t="str">
        <f ca="1">IF(ROWS($1:2)&gt;COUNT(Dong),"",OFFSET(TH!F$1,SMALL(Dong,ROWS($1:2)),))</f>
        <v/>
      </c>
      <c r="E15" s="49" t="str">
        <f ca="1">IF(ROWS($1:2)&gt;COUNT(Dong),"",IF(OFFSET(TH!L$1,SMALL(Dong,ROWS($1:2)),)="331",OFFSET(TH!M$1,SMALL(Dong,ROWS($1:2)),),OFFSET(TH!L$1,SMALL(Dong,ROWS($1:2)),)))</f>
        <v/>
      </c>
      <c r="F15" s="49"/>
      <c r="G15" s="61" t="str">
        <f ca="1">IF(ROWS($1:2)&gt;COUNT(Dong),"",IF(OFFSET(TH!L$1,SMALL(Dong,ROWS($1:2)),)="331",OFFSET(TH!K$1,SMALL(Dong,ROWS($1:2)),),0))</f>
        <v/>
      </c>
      <c r="H15" s="61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40" t="str">
        <f ca="1">IF(ROWS($1:3)&gt;COUNT(Dong),"",OFFSET(TH!F$1,SMALL(Dong,ROWS($1:3)),))</f>
        <v/>
      </c>
      <c r="E16" s="49" t="str">
        <f ca="1">IF(ROWS($1:3)&gt;COUNT(Dong),"",IF(OFFSET(TH!L$1,SMALL(Dong,ROWS($1:3)),)="331",OFFSET(TH!M$1,SMALL(Dong,ROWS($1:3)),),OFFSET(TH!L$1,SMALL(Dong,ROWS($1:3)),)))</f>
        <v/>
      </c>
      <c r="F16" s="49"/>
      <c r="G16" s="61" t="str">
        <f ca="1">IF(ROWS($1:3)&gt;COUNT(Dong),"",IF(OFFSET(TH!L$1,SMALL(Dong,ROWS($1:3)),)="331",OFFSET(TH!K$1,SMALL(Dong,ROWS($1:3)),),0))</f>
        <v/>
      </c>
      <c r="H16" s="61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40" t="str">
        <f ca="1">IF(ROWS($1:4)&gt;COUNT(Dong),"",OFFSET(TH!F$1,SMALL(Dong,ROWS($1:4)),))</f>
        <v/>
      </c>
      <c r="E17" s="49" t="str">
        <f ca="1">IF(ROWS($1:4)&gt;COUNT(Dong),"",IF(OFFSET(TH!L$1,SMALL(Dong,ROWS($1:4)),)="331",OFFSET(TH!M$1,SMALL(Dong,ROWS($1:4)),),OFFSET(TH!L$1,SMALL(Dong,ROWS($1:4)),)))</f>
        <v/>
      </c>
      <c r="F17" s="49"/>
      <c r="G17" s="61" t="str">
        <f ca="1">IF(ROWS($1:4)&gt;COUNT(Dong),"",IF(OFFSET(TH!L$1,SMALL(Dong,ROWS($1:4)),)="331",OFFSET(TH!K$1,SMALL(Dong,ROWS($1:4)),),0))</f>
        <v/>
      </c>
      <c r="H17" s="61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40" t="str">
        <f ca="1">IF(ROWS($1:5)&gt;COUNT(Dong),"",OFFSET(TH!F$1,SMALL(Dong,ROWS($1:5)),))</f>
        <v/>
      </c>
      <c r="E18" s="49" t="str">
        <f ca="1">IF(ROWS($1:5)&gt;COUNT(Dong),"",IF(OFFSET(TH!L$1,SMALL(Dong,ROWS($1:5)),)="331",OFFSET(TH!M$1,SMALL(Dong,ROWS($1:5)),),OFFSET(TH!L$1,SMALL(Dong,ROWS($1:5)),)))</f>
        <v/>
      </c>
      <c r="F18" s="49"/>
      <c r="G18" s="61" t="str">
        <f ca="1">IF(ROWS($1:5)&gt;COUNT(Dong),"",IF(OFFSET(TH!L$1,SMALL(Dong,ROWS($1:5)),)="331",OFFSET(TH!K$1,SMALL(Dong,ROWS($1:5)),),0))</f>
        <v/>
      </c>
      <c r="H18" s="61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40" t="str">
        <f ca="1">IF(ROWS($1:6)&gt;COUNT(Dong),"",OFFSET(TH!F$1,SMALL(Dong,ROWS($1:6)),))</f>
        <v/>
      </c>
      <c r="E19" s="49" t="str">
        <f ca="1">IF(ROWS($1:6)&gt;COUNT(Dong),"",IF(OFFSET(TH!L$1,SMALL(Dong,ROWS($1:6)),)="331",OFFSET(TH!M$1,SMALL(Dong,ROWS($1:6)),),OFFSET(TH!L$1,SMALL(Dong,ROWS($1:6)),)))</f>
        <v/>
      </c>
      <c r="F19" s="49"/>
      <c r="G19" s="61" t="str">
        <f ca="1">IF(ROWS($1:6)&gt;COUNT(Dong),"",IF(OFFSET(TH!L$1,SMALL(Dong,ROWS($1:6)),)="331",OFFSET(TH!K$1,SMALL(Dong,ROWS($1:6)),),0))</f>
        <v/>
      </c>
      <c r="H19" s="61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40" t="str">
        <f ca="1">IF(ROWS($1:7)&gt;COUNT(Dong),"",OFFSET(TH!F$1,SMALL(Dong,ROWS($1:7)),))</f>
        <v/>
      </c>
      <c r="E20" s="49" t="str">
        <f ca="1">IF(ROWS($1:7)&gt;COUNT(Dong),"",IF(OFFSET(TH!L$1,SMALL(Dong,ROWS($1:7)),)="331",OFFSET(TH!M$1,SMALL(Dong,ROWS($1:7)),),OFFSET(TH!L$1,SMALL(Dong,ROWS($1:7)),)))</f>
        <v/>
      </c>
      <c r="F20" s="49"/>
      <c r="G20" s="61" t="str">
        <f ca="1">IF(ROWS($1:7)&gt;COUNT(Dong),"",IF(OFFSET(TH!L$1,SMALL(Dong,ROWS($1:7)),)="331",OFFSET(TH!K$1,SMALL(Dong,ROWS($1:7)),),0))</f>
        <v/>
      </c>
      <c r="H20" s="61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40" t="str">
        <f ca="1">IF(ROWS($1:8)&gt;COUNT(Dong),"",OFFSET(TH!F$1,SMALL(Dong,ROWS($1:8)),))</f>
        <v/>
      </c>
      <c r="E21" s="49" t="str">
        <f ca="1">IF(ROWS($1:8)&gt;COUNT(Dong),"",IF(OFFSET(TH!L$1,SMALL(Dong,ROWS($1:8)),)="331",OFFSET(TH!M$1,SMALL(Dong,ROWS($1:8)),),OFFSET(TH!L$1,SMALL(Dong,ROWS($1:8)),)))</f>
        <v/>
      </c>
      <c r="F21" s="49"/>
      <c r="G21" s="61" t="str">
        <f ca="1">IF(ROWS($1:8)&gt;COUNT(Dong),"",IF(OFFSET(TH!L$1,SMALL(Dong,ROWS($1:8)),)="331",OFFSET(TH!K$1,SMALL(Dong,ROWS($1:8)),),0))</f>
        <v/>
      </c>
      <c r="H21" s="61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40" t="str">
        <f ca="1">IF(ROWS($1:9)&gt;COUNT(Dong),"",OFFSET(TH!F$1,SMALL(Dong,ROWS($1:9)),))</f>
        <v/>
      </c>
      <c r="E22" s="49" t="str">
        <f ca="1">IF(ROWS($1:9)&gt;COUNT(Dong),"",IF(OFFSET(TH!L$1,SMALL(Dong,ROWS($1:9)),)="331",OFFSET(TH!M$1,SMALL(Dong,ROWS($1:9)),),OFFSET(TH!L$1,SMALL(Dong,ROWS($1:9)),)))</f>
        <v/>
      </c>
      <c r="F22" s="49"/>
      <c r="G22" s="61" t="str">
        <f ca="1">IF(ROWS($1:9)&gt;COUNT(Dong),"",IF(OFFSET(TH!L$1,SMALL(Dong,ROWS($1:9)),)="331",OFFSET(TH!K$1,SMALL(Dong,ROWS($1:9)),),0))</f>
        <v/>
      </c>
      <c r="H22" s="61" t="str">
        <f ca="1">IF(ROWS($1:9)&gt;COUNT(Dong),"",IF(OFFSET(TH!M$1,SMALL(Dong,ROWS($1:9)),)="331",OFFSET(TH!K$1,SMALL(Dong,ROWS($1:9)),),0))</f>
        <v/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40" t="str">
        <f ca="1">IF(ROWS($1:10)&gt;COUNT(Dong),"",OFFSET(TH!F$1,SMALL(Dong,ROWS($1:10)),))</f>
        <v/>
      </c>
      <c r="E23" s="49" t="str">
        <f ca="1">IF(ROWS($1:10)&gt;COUNT(Dong),"",IF(OFFSET(TH!L$1,SMALL(Dong,ROWS($1:10)),)="331",OFFSET(TH!M$1,SMALL(Dong,ROWS($1:10)),),OFFSET(TH!L$1,SMALL(Dong,ROWS($1:10)),)))</f>
        <v/>
      </c>
      <c r="F23" s="49"/>
      <c r="G23" s="61" t="str">
        <f ca="1">IF(ROWS($1:10)&gt;COUNT(Dong),"",IF(OFFSET(TH!L$1,SMALL(Dong,ROWS($1:10)),)="331",OFFSET(TH!K$1,SMALL(Dong,ROWS($1:10)),),0))</f>
        <v/>
      </c>
      <c r="H23" s="61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40" t="str">
        <f ca="1">IF(ROWS($1:11)&gt;COUNT(Dong),"",OFFSET(TH!F$1,SMALL(Dong,ROWS($1:11)),))</f>
        <v/>
      </c>
      <c r="E24" s="49" t="str">
        <f ca="1">IF(ROWS($1:11)&gt;COUNT(Dong),"",IF(OFFSET(TH!L$1,SMALL(Dong,ROWS($1:11)),)="331",OFFSET(TH!M$1,SMALL(Dong,ROWS($1:11)),),OFFSET(TH!L$1,SMALL(Dong,ROWS($1:11)),)))</f>
        <v/>
      </c>
      <c r="F24" s="49"/>
      <c r="G24" s="61" t="str">
        <f ca="1">IF(ROWS($1:11)&gt;COUNT(Dong),"",IF(OFFSET(TH!L$1,SMALL(Dong,ROWS($1:11)),)="331",OFFSET(TH!K$1,SMALL(Dong,ROWS($1:11)),),0))</f>
        <v/>
      </c>
      <c r="H24" s="61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40" t="str">
        <f ca="1">IF(ROWS($1:12)&gt;COUNT(Dong),"",OFFSET(TH!F$1,SMALL(Dong,ROWS($1:12)),))</f>
        <v/>
      </c>
      <c r="E25" s="49" t="str">
        <f ca="1">IF(ROWS($1:12)&gt;COUNT(Dong),"",IF(OFFSET(TH!L$1,SMALL(Dong,ROWS($1:12)),)="331",OFFSET(TH!M$1,SMALL(Dong,ROWS($1:12)),),OFFSET(TH!L$1,SMALL(Dong,ROWS($1:12)),)))</f>
        <v/>
      </c>
      <c r="F25" s="49"/>
      <c r="G25" s="61" t="str">
        <f ca="1">IF(ROWS($1:12)&gt;COUNT(Dong),"",IF(OFFSET(TH!L$1,SMALL(Dong,ROWS($1:12)),)="331",OFFSET(TH!K$1,SMALL(Dong,ROWS($1:12)),),0))</f>
        <v/>
      </c>
      <c r="H25" s="61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40" t="str">
        <f ca="1">IF(ROWS($1:13)&gt;COUNT(Dong),"",OFFSET(TH!F$1,SMALL(Dong,ROWS($1:13)),))</f>
        <v/>
      </c>
      <c r="E26" s="49" t="str">
        <f ca="1">IF(ROWS($1:13)&gt;COUNT(Dong),"",IF(OFFSET(TH!L$1,SMALL(Dong,ROWS($1:13)),)="331",OFFSET(TH!M$1,SMALL(Dong,ROWS($1:13)),),OFFSET(TH!L$1,SMALL(Dong,ROWS($1:13)),)))</f>
        <v/>
      </c>
      <c r="F26" s="49"/>
      <c r="G26" s="61" t="str">
        <f ca="1">IF(ROWS($1:13)&gt;COUNT(Dong),"",IF(OFFSET(TH!L$1,SMALL(Dong,ROWS($1:13)),)="331",OFFSET(TH!K$1,SMALL(Dong,ROWS($1:13)),),0))</f>
        <v/>
      </c>
      <c r="H26" s="61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40" t="str">
        <f ca="1">IF(ROWS($1:14)&gt;COUNT(Dong),"",OFFSET(TH!F$1,SMALL(Dong,ROWS($1:14)),))</f>
        <v/>
      </c>
      <c r="E27" s="49" t="str">
        <f ca="1">IF(ROWS($1:14)&gt;COUNT(Dong),"",IF(OFFSET(TH!L$1,SMALL(Dong,ROWS($1:14)),)="331",OFFSET(TH!M$1,SMALL(Dong,ROWS($1:14)),),OFFSET(TH!L$1,SMALL(Dong,ROWS($1:14)),)))</f>
        <v/>
      </c>
      <c r="F27" s="49"/>
      <c r="G27" s="61" t="str">
        <f ca="1">IF(ROWS($1:14)&gt;COUNT(Dong),"",IF(OFFSET(TH!L$1,SMALL(Dong,ROWS($1:14)),)="331",OFFSET(TH!K$1,SMALL(Dong,ROWS($1:14)),),0))</f>
        <v/>
      </c>
      <c r="H27" s="61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40" t="str">
        <f ca="1">IF(ROWS($1:15)&gt;COUNT(Dong),"",OFFSET(TH!F$1,SMALL(Dong,ROWS($1:15)),))</f>
        <v/>
      </c>
      <c r="E28" s="49" t="str">
        <f ca="1">IF(ROWS($1:15)&gt;COUNT(Dong),"",IF(OFFSET(TH!L$1,SMALL(Dong,ROWS($1:15)),)="331",OFFSET(TH!M$1,SMALL(Dong,ROWS($1:15)),),OFFSET(TH!L$1,SMALL(Dong,ROWS($1:15)),)))</f>
        <v/>
      </c>
      <c r="F28" s="49"/>
      <c r="G28" s="61" t="str">
        <f ca="1">IF(ROWS($1:15)&gt;COUNT(Dong),"",IF(OFFSET(TH!L$1,SMALL(Dong,ROWS($1:15)),)="331",OFFSET(TH!K$1,SMALL(Dong,ROWS($1:15)),),0))</f>
        <v/>
      </c>
      <c r="H28" s="61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40" t="str">
        <f ca="1">IF(ROWS($1:16)&gt;COUNT(Dong),"",OFFSET(TH!F$1,SMALL(Dong,ROWS($1:16)),))</f>
        <v/>
      </c>
      <c r="E29" s="49" t="str">
        <f ca="1">IF(ROWS($1:16)&gt;COUNT(Dong),"",IF(OFFSET(TH!L$1,SMALL(Dong,ROWS($1:16)),)="331",OFFSET(TH!M$1,SMALL(Dong,ROWS($1:16)),),OFFSET(TH!L$1,SMALL(Dong,ROWS($1:16)),)))</f>
        <v/>
      </c>
      <c r="F29" s="49"/>
      <c r="G29" s="61" t="str">
        <f ca="1">IF(ROWS($1:16)&gt;COUNT(Dong),"",IF(OFFSET(TH!L$1,SMALL(Dong,ROWS($1:16)),)="331",OFFSET(TH!K$1,SMALL(Dong,ROWS($1:16)),),0))</f>
        <v/>
      </c>
      <c r="H29" s="61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40" t="str">
        <f ca="1">IF(ROWS($1:17)&gt;COUNT(Dong),"",OFFSET(TH!F$1,SMALL(Dong,ROWS($1:17)),))</f>
        <v/>
      </c>
      <c r="E30" s="49" t="str">
        <f ca="1">IF(ROWS($1:17)&gt;COUNT(Dong),"",IF(OFFSET(TH!L$1,SMALL(Dong,ROWS($1:17)),)="331",OFFSET(TH!M$1,SMALL(Dong,ROWS($1:17)),),OFFSET(TH!L$1,SMALL(Dong,ROWS($1:17)),)))</f>
        <v/>
      </c>
      <c r="F30" s="49"/>
      <c r="G30" s="61" t="str">
        <f ca="1">IF(ROWS($1:17)&gt;COUNT(Dong),"",IF(OFFSET(TH!L$1,SMALL(Dong,ROWS($1:17)),)="331",OFFSET(TH!K$1,SMALL(Dong,ROWS($1:17)),),0))</f>
        <v/>
      </c>
      <c r="H30" s="61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234"/>
      <c r="B31" s="234"/>
      <c r="C31" s="234"/>
      <c r="D31" s="929"/>
      <c r="E31" s="236"/>
      <c r="F31" s="236"/>
      <c r="G31" s="237"/>
      <c r="H31" s="237"/>
      <c r="I31" s="238"/>
      <c r="J31" s="238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79" t="s">
        <v>155</v>
      </c>
      <c r="F37" s="979"/>
      <c r="G37" s="979"/>
      <c r="H37" s="979"/>
      <c r="I37" s="979"/>
      <c r="J37" s="979"/>
    </row>
    <row r="38" spans="1:11" s="18" customFormat="1" ht="14.25" customHeight="1">
      <c r="C38" s="228" t="s">
        <v>11</v>
      </c>
      <c r="E38" s="979" t="s">
        <v>12</v>
      </c>
      <c r="F38" s="979"/>
      <c r="G38" s="979"/>
      <c r="H38" s="979"/>
      <c r="I38" s="979"/>
      <c r="J38" s="979"/>
    </row>
    <row r="39" spans="1:11" s="18" customFormat="1" ht="14.25" customHeight="1">
      <c r="C39" s="228" t="s">
        <v>13</v>
      </c>
      <c r="E39" s="979" t="s">
        <v>13</v>
      </c>
      <c r="F39" s="979"/>
      <c r="G39" s="979"/>
      <c r="H39" s="979"/>
      <c r="I39" s="979"/>
      <c r="J39" s="979"/>
    </row>
    <row r="40" spans="1:11" s="29" customFormat="1"/>
    <row r="46" spans="1:11" ht="15">
      <c r="C46" s="239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3.5"/>
  <cols>
    <col min="1" max="1" width="4.28515625" style="187" customWidth="1"/>
    <col min="2" max="2" width="21.85546875" style="187" customWidth="1"/>
    <col min="3" max="4" width="8.7109375" style="187" customWidth="1"/>
    <col min="5" max="5" width="11" style="187" customWidth="1"/>
    <col min="6" max="6" width="13.7109375" style="187" customWidth="1"/>
    <col min="7" max="7" width="12.42578125" style="187" customWidth="1"/>
    <col min="8" max="8" width="13.7109375" style="187" customWidth="1"/>
    <col min="9" max="9" width="10.140625" style="187" customWidth="1"/>
    <col min="10" max="10" width="14" style="187" customWidth="1"/>
    <col min="11" max="16384" width="8" style="187"/>
  </cols>
  <sheetData>
    <row r="1" spans="1:10" ht="21.75" customHeight="1">
      <c r="A1" s="1012" t="s">
        <v>156</v>
      </c>
      <c r="B1" s="1012"/>
      <c r="C1" s="1012"/>
      <c r="D1" s="1012"/>
      <c r="E1" s="1012"/>
      <c r="F1" s="1012"/>
      <c r="G1" s="1012"/>
      <c r="H1" s="1012"/>
      <c r="I1" s="1012"/>
      <c r="J1" s="1012"/>
    </row>
    <row r="2" spans="1:10" s="10" customFormat="1" ht="15.75" customHeight="1">
      <c r="A2" s="1013" t="s">
        <v>35</v>
      </c>
      <c r="B2" s="1015" t="s">
        <v>157</v>
      </c>
      <c r="C2" s="1015" t="s">
        <v>158</v>
      </c>
      <c r="D2" s="1015" t="s">
        <v>159</v>
      </c>
      <c r="E2" s="1017" t="s">
        <v>37</v>
      </c>
      <c r="F2" s="1018"/>
      <c r="G2" s="1017" t="s">
        <v>38</v>
      </c>
      <c r="H2" s="1018"/>
      <c r="I2" s="1017" t="s">
        <v>42</v>
      </c>
      <c r="J2" s="1018"/>
    </row>
    <row r="3" spans="1:10" s="10" customFormat="1" ht="15.75" customHeight="1">
      <c r="A3" s="1014"/>
      <c r="B3" s="1016"/>
      <c r="C3" s="1016"/>
      <c r="D3" s="1016"/>
      <c r="E3" s="760" t="s">
        <v>43</v>
      </c>
      <c r="F3" s="760" t="s">
        <v>44</v>
      </c>
      <c r="G3" s="760" t="s">
        <v>43</v>
      </c>
      <c r="H3" s="760" t="s">
        <v>44</v>
      </c>
      <c r="I3" s="760" t="s">
        <v>43</v>
      </c>
      <c r="J3" s="760" t="s">
        <v>44</v>
      </c>
    </row>
    <row r="4" spans="1:10" s="10" customFormat="1" ht="18" customHeight="1">
      <c r="A4" s="603" t="str">
        <f>IF(B4&lt;&gt;"",ROW()-3,"")</f>
        <v/>
      </c>
      <c r="B4" s="7"/>
      <c r="C4" s="188"/>
      <c r="D4" s="188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0">
        <f t="shared" ref="I4:I15" si="0">ROUND(MAX(E4+G4-F4-H4,0),2)</f>
        <v>0</v>
      </c>
      <c r="J4" s="190">
        <f t="shared" ref="J4:J15" si="1">ROUND(MAX(F4+H4-E4-G4,0),2)</f>
        <v>0</v>
      </c>
    </row>
    <row r="5" spans="1:10" s="10" customFormat="1" ht="18" customHeight="1">
      <c r="A5" s="603" t="str">
        <f t="shared" ref="A5:A11" si="2">IF(B5&lt;&gt;"",ROW()-3,"")</f>
        <v/>
      </c>
      <c r="B5" s="7"/>
      <c r="C5" s="188"/>
      <c r="D5" s="188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0">
        <f t="shared" si="0"/>
        <v>0</v>
      </c>
      <c r="J5" s="190">
        <f t="shared" si="1"/>
        <v>0</v>
      </c>
    </row>
    <row r="6" spans="1:10" s="10" customFormat="1" ht="18" customHeight="1">
      <c r="A6" s="603" t="str">
        <f t="shared" si="2"/>
        <v/>
      </c>
      <c r="B6" s="7"/>
      <c r="C6" s="188"/>
      <c r="D6" s="188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0">
        <f t="shared" si="0"/>
        <v>0</v>
      </c>
      <c r="J6" s="190">
        <f t="shared" si="1"/>
        <v>0</v>
      </c>
    </row>
    <row r="7" spans="1:10" s="10" customFormat="1" ht="18" customHeight="1">
      <c r="A7" s="603" t="str">
        <f t="shared" si="2"/>
        <v/>
      </c>
      <c r="B7" s="7"/>
      <c r="C7" s="188"/>
      <c r="D7" s="188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0">
        <f t="shared" si="0"/>
        <v>0</v>
      </c>
      <c r="J7" s="190">
        <f t="shared" si="1"/>
        <v>0</v>
      </c>
    </row>
    <row r="8" spans="1:10" s="10" customFormat="1" ht="18" customHeight="1">
      <c r="A8" s="603" t="str">
        <f t="shared" si="2"/>
        <v/>
      </c>
      <c r="B8" s="7"/>
      <c r="C8" s="188"/>
      <c r="D8" s="188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0">
        <f t="shared" si="0"/>
        <v>0</v>
      </c>
      <c r="J8" s="190">
        <f t="shared" si="1"/>
        <v>0</v>
      </c>
    </row>
    <row r="9" spans="1:10" s="10" customFormat="1" ht="18" customHeight="1">
      <c r="A9" s="603" t="str">
        <f t="shared" si="2"/>
        <v/>
      </c>
      <c r="B9" s="7"/>
      <c r="C9" s="188"/>
      <c r="D9" s="188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0">
        <f t="shared" si="0"/>
        <v>0</v>
      </c>
      <c r="J9" s="190">
        <f t="shared" si="1"/>
        <v>0</v>
      </c>
    </row>
    <row r="10" spans="1:10" s="10" customFormat="1" ht="18" customHeight="1">
      <c r="A10" s="603" t="str">
        <f t="shared" si="2"/>
        <v/>
      </c>
      <c r="B10" s="7"/>
      <c r="C10" s="188"/>
      <c r="D10" s="188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0">
        <f t="shared" si="0"/>
        <v>0</v>
      </c>
      <c r="J10" s="190">
        <f t="shared" si="1"/>
        <v>0</v>
      </c>
    </row>
    <row r="11" spans="1:10" s="10" customFormat="1" ht="18" customHeight="1">
      <c r="A11" s="603" t="str">
        <f t="shared" si="2"/>
        <v/>
      </c>
      <c r="B11" s="7"/>
      <c r="C11" s="188"/>
      <c r="D11" s="188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0">
        <f t="shared" si="0"/>
        <v>0</v>
      </c>
      <c r="J11" s="190">
        <f t="shared" si="1"/>
        <v>0</v>
      </c>
    </row>
    <row r="12" spans="1:10" s="10" customFormat="1" ht="18" customHeight="1">
      <c r="A12" s="603" t="str">
        <f t="shared" ref="A12:A15" si="3">IF(B12&lt;&gt;"",ROW()-4,"")</f>
        <v/>
      </c>
      <c r="B12" s="7"/>
      <c r="C12" s="188"/>
      <c r="D12" s="188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0">
        <f t="shared" si="0"/>
        <v>0</v>
      </c>
      <c r="J12" s="190">
        <f t="shared" si="1"/>
        <v>0</v>
      </c>
    </row>
    <row r="13" spans="1:10" s="10" customFormat="1" ht="18" customHeight="1">
      <c r="A13" s="603" t="str">
        <f t="shared" si="3"/>
        <v/>
      </c>
      <c r="B13" s="7"/>
      <c r="C13" s="188"/>
      <c r="D13" s="188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0">
        <f t="shared" si="0"/>
        <v>0</v>
      </c>
      <c r="J13" s="190">
        <f t="shared" si="1"/>
        <v>0</v>
      </c>
    </row>
    <row r="14" spans="1:10" s="10" customFormat="1" ht="18" customHeight="1">
      <c r="A14" s="603" t="str">
        <f t="shared" si="3"/>
        <v/>
      </c>
      <c r="B14" s="7"/>
      <c r="C14" s="188"/>
      <c r="D14" s="188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0">
        <f t="shared" si="0"/>
        <v>0</v>
      </c>
      <c r="J14" s="190">
        <f t="shared" si="1"/>
        <v>0</v>
      </c>
    </row>
    <row r="15" spans="1:10" s="10" customFormat="1" ht="18" customHeight="1">
      <c r="A15" s="603" t="str">
        <f t="shared" si="3"/>
        <v/>
      </c>
      <c r="B15" s="7"/>
      <c r="C15" s="188"/>
      <c r="D15" s="188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0">
        <f t="shared" si="0"/>
        <v>0</v>
      </c>
      <c r="J15" s="190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1">
        <f>J16-J17</f>
        <v>0</v>
      </c>
    </row>
    <row r="20" spans="2:10">
      <c r="B20" s="187">
        <v>1</v>
      </c>
      <c r="C20" s="187">
        <v>2</v>
      </c>
      <c r="D20" s="187">
        <v>3</v>
      </c>
      <c r="E20" s="187">
        <v>5</v>
      </c>
      <c r="F20" s="187">
        <v>7</v>
      </c>
      <c r="G20" s="187">
        <v>9</v>
      </c>
      <c r="H20" s="187">
        <v>11</v>
      </c>
      <c r="I20" s="187">
        <v>13</v>
      </c>
      <c r="J20" s="187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7" customWidth="1"/>
    <col min="2" max="2" width="8.42578125" style="197" customWidth="1"/>
    <col min="3" max="3" width="10.5703125" style="197" customWidth="1"/>
    <col min="4" max="4" width="9.42578125" style="197" customWidth="1"/>
    <col min="5" max="5" width="18.85546875" style="197" customWidth="1"/>
    <col min="6" max="6" width="6.85546875" style="197" customWidth="1"/>
    <col min="7" max="7" width="12.85546875" style="197" customWidth="1"/>
    <col min="8" max="9" width="14.28515625" style="197" customWidth="1"/>
    <col min="10" max="10" width="9.7109375" style="197" customWidth="1"/>
    <col min="11" max="11" width="12.140625" style="197" customWidth="1"/>
    <col min="12" max="12" width="10.85546875" style="197" customWidth="1"/>
    <col min="13" max="13" width="13.42578125" style="197" customWidth="1"/>
    <col min="14" max="14" width="10.85546875" style="197" customWidth="1"/>
    <col min="15" max="15" width="13.42578125" style="197" customWidth="1"/>
    <col min="16" max="16384" width="9.140625" style="197"/>
  </cols>
  <sheetData>
    <row r="1" spans="1:15" s="768" customFormat="1" ht="16.5" customHeight="1">
      <c r="A1" s="817" t="str">
        <f>TH!A1</f>
        <v>Đơn vị: CÔNG TY TNHH HẢI SẢN AN LẠC</v>
      </c>
      <c r="B1" s="192"/>
      <c r="C1" s="192"/>
      <c r="G1" s="773"/>
      <c r="H1" s="774" t="s">
        <v>460</v>
      </c>
      <c r="I1" s="192"/>
      <c r="J1" s="192"/>
      <c r="M1" s="192"/>
      <c r="N1" s="192"/>
      <c r="O1" s="192"/>
    </row>
    <row r="2" spans="1:15" s="768" customFormat="1" ht="16.5" customHeight="1">
      <c r="A2" s="775" t="str">
        <f>TH!A2</f>
        <v>Địa chỉ: Lô A14, Đường 4A, KCN Hải Sơn, Đức Hòa, Long An</v>
      </c>
      <c r="B2" s="764"/>
      <c r="C2" s="764"/>
      <c r="G2" s="773"/>
      <c r="H2" s="768" t="s">
        <v>461</v>
      </c>
      <c r="I2" s="193"/>
      <c r="J2" s="193"/>
      <c r="M2" s="193"/>
      <c r="N2" s="193"/>
      <c r="O2" s="193"/>
    </row>
    <row r="3" spans="1:15" s="768" customFormat="1" ht="16.5" customHeight="1">
      <c r="A3" s="764"/>
      <c r="B3" s="764"/>
      <c r="C3" s="764"/>
      <c r="G3" s="773"/>
      <c r="H3" s="768" t="s">
        <v>462</v>
      </c>
      <c r="I3" s="193"/>
      <c r="J3" s="193"/>
      <c r="M3" s="193"/>
      <c r="N3" s="193"/>
      <c r="O3" s="193"/>
    </row>
    <row r="4" spans="1:15" s="768" customFormat="1" ht="16.5" customHeight="1">
      <c r="A4" s="764"/>
      <c r="B4" s="764"/>
      <c r="C4" s="764"/>
      <c r="G4" s="773"/>
      <c r="I4" s="193"/>
      <c r="J4" s="193"/>
      <c r="K4" s="765"/>
      <c r="L4" s="765"/>
      <c r="M4" s="765"/>
      <c r="N4" s="765"/>
      <c r="O4" s="765"/>
    </row>
    <row r="5" spans="1:15" s="18" customFormat="1" ht="23.25" customHeight="1">
      <c r="B5" s="818"/>
      <c r="C5" s="818"/>
      <c r="D5" s="818"/>
      <c r="F5" s="767" t="s">
        <v>463</v>
      </c>
      <c r="G5" s="818"/>
      <c r="H5" s="818"/>
      <c r="I5" s="818"/>
      <c r="J5" s="776"/>
      <c r="K5" s="776"/>
      <c r="L5" s="776"/>
      <c r="M5" s="776"/>
      <c r="N5" s="776"/>
      <c r="O5" s="776"/>
    </row>
    <row r="6" spans="1:15" s="18" customFormat="1">
      <c r="B6" s="776"/>
      <c r="C6" s="776"/>
      <c r="D6" s="776"/>
      <c r="F6" s="782" t="s">
        <v>464</v>
      </c>
      <c r="G6" s="776"/>
      <c r="H6" s="776"/>
      <c r="I6" s="776"/>
    </row>
    <row r="7" spans="1:15" s="18" customFormat="1">
      <c r="F7" s="819" t="s">
        <v>465</v>
      </c>
      <c r="G7" s="778"/>
    </row>
    <row r="8" spans="1:15" s="18" customFormat="1" ht="15" customHeight="1">
      <c r="F8" s="819" t="s">
        <v>466</v>
      </c>
      <c r="G8" s="778"/>
    </row>
    <row r="9" spans="1:15" s="18" customFormat="1">
      <c r="A9" s="763"/>
      <c r="B9" s="763"/>
      <c r="C9" s="763"/>
      <c r="E9" s="766" t="s">
        <v>467</v>
      </c>
      <c r="F9" s="1027" t="s">
        <v>449</v>
      </c>
      <c r="G9" s="1027"/>
      <c r="H9" s="763" t="e">
        <f>"ngày: "&amp;TEXT(VLOOKUP($F$9,'341'!$B$4:$J$15,2,0),"dd/MM/yy")</f>
        <v>#N/A</v>
      </c>
      <c r="I9" s="777"/>
      <c r="M9" s="763"/>
      <c r="N9" s="763"/>
      <c r="O9" s="763"/>
    </row>
    <row r="10" spans="1:15" s="18" customFormat="1">
      <c r="E10" s="778" t="s">
        <v>468</v>
      </c>
      <c r="F10" s="779"/>
      <c r="G10" s="780"/>
    </row>
    <row r="11" spans="1:15" s="18" customFormat="1" ht="6" customHeight="1">
      <c r="C11" s="778"/>
      <c r="D11" s="778"/>
      <c r="E11" s="778"/>
      <c r="F11" s="778"/>
      <c r="G11" s="778"/>
      <c r="H11" s="778"/>
      <c r="I11" s="778"/>
      <c r="J11" s="778"/>
      <c r="K11" s="778"/>
      <c r="L11" s="778"/>
      <c r="M11" s="778"/>
      <c r="N11" s="778"/>
      <c r="O11" s="778"/>
    </row>
    <row r="12" spans="1:15" s="782" customFormat="1" ht="24.75" customHeight="1">
      <c r="A12" s="1028" t="s">
        <v>469</v>
      </c>
      <c r="B12" s="1030" t="s">
        <v>1</v>
      </c>
      <c r="C12" s="1031"/>
      <c r="D12" s="1037" t="s">
        <v>0</v>
      </c>
      <c r="E12" s="1038"/>
      <c r="F12" s="1028" t="s">
        <v>14</v>
      </c>
      <c r="G12" s="1032" t="s">
        <v>470</v>
      </c>
      <c r="H12" s="1036" t="s">
        <v>149</v>
      </c>
      <c r="I12" s="1036"/>
      <c r="J12" s="781"/>
      <c r="K12" s="781"/>
      <c r="L12" s="781"/>
      <c r="M12" s="781"/>
      <c r="N12" s="781"/>
      <c r="O12" s="781"/>
    </row>
    <row r="13" spans="1:15" s="782" customFormat="1" ht="24.75" customHeight="1">
      <c r="A13" s="1029"/>
      <c r="B13" s="783" t="s">
        <v>15</v>
      </c>
      <c r="C13" s="783" t="s">
        <v>32</v>
      </c>
      <c r="D13" s="1039"/>
      <c r="E13" s="1040"/>
      <c r="F13" s="1029"/>
      <c r="G13" s="1033"/>
      <c r="H13" s="784" t="s">
        <v>22</v>
      </c>
      <c r="I13" s="784" t="s">
        <v>23</v>
      </c>
      <c r="J13" s="785"/>
      <c r="K13" s="785"/>
      <c r="L13" s="785"/>
      <c r="M13" s="785"/>
      <c r="N13" s="785"/>
      <c r="O13" s="785"/>
    </row>
    <row r="14" spans="1:15" s="791" customFormat="1" ht="12" customHeight="1">
      <c r="A14" s="786" t="s">
        <v>2</v>
      </c>
      <c r="B14" s="787" t="s">
        <v>3</v>
      </c>
      <c r="C14" s="788" t="s">
        <v>4</v>
      </c>
      <c r="D14" s="1041" t="s">
        <v>5</v>
      </c>
      <c r="E14" s="1042"/>
      <c r="F14" s="788" t="s">
        <v>6</v>
      </c>
      <c r="G14" s="789" t="s">
        <v>138</v>
      </c>
      <c r="H14" s="788">
        <v>2</v>
      </c>
      <c r="I14" s="788">
        <v>3</v>
      </c>
      <c r="J14" s="790"/>
      <c r="K14" s="790"/>
      <c r="L14" s="790"/>
      <c r="M14" s="790"/>
      <c r="N14" s="790"/>
      <c r="O14" s="790"/>
    </row>
    <row r="15" spans="1:15" s="776" customFormat="1" ht="23.25" customHeight="1">
      <c r="A15" s="792"/>
      <c r="B15" s="792"/>
      <c r="C15" s="792"/>
      <c r="D15" s="1043" t="s">
        <v>7</v>
      </c>
      <c r="E15" s="1044"/>
      <c r="F15" s="793"/>
      <c r="G15" s="794"/>
      <c r="H15" s="795" t="e">
        <f>VLOOKUP($F$9,'341'!$B$4:$J$15,4,0)</f>
        <v>#N/A</v>
      </c>
      <c r="I15" s="795" t="e">
        <f>VLOOKUP($F$9,'341'!$B$4:$J$15,5,0)</f>
        <v>#N/A</v>
      </c>
      <c r="J15" s="796"/>
      <c r="K15" s="796"/>
      <c r="L15" s="797"/>
      <c r="M15" s="798"/>
      <c r="N15" s="797"/>
      <c r="O15" s="798"/>
    </row>
    <row r="16" spans="1:15" s="18" customFormat="1" ht="23.25" customHeight="1">
      <c r="A16" s="212" t="str">
        <f ca="1">IF(ROWS($1:1)&gt;COUNT(Dong4),"",OFFSET(TH!C$1,SMALL(Dong4,ROWS($1:1)),))</f>
        <v/>
      </c>
      <c r="B16" s="799" t="str">
        <f ca="1">IF(ROWS($1:1)&gt;COUNT(Dong4),"",OFFSET(TH!D$1,SMALL(Dong4,ROWS($1:1)),))</f>
        <v/>
      </c>
      <c r="C16" s="212" t="str">
        <f ca="1">IF(ROWS($1:1)&gt;COUNT(Dong4),"",OFFSET(TH!E$1,SMALL(Dong4,ROWS($1:1)),))</f>
        <v/>
      </c>
      <c r="D16" s="1034" t="str">
        <f ca="1">IF(ROWS($1:1)&gt;COUNT(Dong4),"",OFFSET(TH!F$1,SMALL(Dong4,ROWS($1:1)),))</f>
        <v/>
      </c>
      <c r="E16" s="1035"/>
      <c r="F16" s="800" t="str">
        <f ca="1">IF(ROWS($1:1)&gt;COUNT(Dong4),"",IF(LEFT(OFFSET(TH!M$1,SMALL(Dong4,ROWS($1:1)),),3)="341",OFFSET(TH!L$1,SMALL(Dong4,ROWS($1:1)),),OFFSET(TH!M$1,SMALL(Dong4,ROWS($1:1)),)))</f>
        <v/>
      </c>
      <c r="G16" s="820"/>
      <c r="H16" s="613" t="str">
        <f ca="1">IF(ROWS($1:1)&gt;COUNT(Dong4),"",IF(LEFT(OFFSET(TH!L$1,SMALL(Dong4,ROWS($1:1)),),3)="341",OFFSET(TH!K$1,SMALL(Dong4,ROWS($1:1)),),0))</f>
        <v/>
      </c>
      <c r="I16" s="613" t="str">
        <f ca="1">IF(ROWS($1:1)&gt;COUNT(Dong4),"",IF(LEFT(OFFSET(TH!M$1,SMALL(Dong4,ROWS($1:1)),),3)="341",OFFSET(TH!K$1,SMALL(Dong4,ROWS($1:1)),),0))</f>
        <v/>
      </c>
      <c r="J16" s="801"/>
      <c r="K16" s="802"/>
      <c r="L16" s="801"/>
      <c r="M16" s="802"/>
      <c r="N16" s="801"/>
      <c r="O16" s="802"/>
    </row>
    <row r="17" spans="1:15" s="18" customFormat="1" ht="23.25" customHeight="1">
      <c r="A17" s="212" t="str">
        <f ca="1">IF(ROWS($1:2)&gt;COUNT(Dong4),"",OFFSET(TH!C$1,SMALL(Dong4,ROWS($1:2)),))</f>
        <v/>
      </c>
      <c r="B17" s="799" t="str">
        <f ca="1">IF(ROWS($1:2)&gt;COUNT(Dong4),"",OFFSET(TH!D$1,SMALL(Dong4,ROWS($1:2)),))</f>
        <v/>
      </c>
      <c r="C17" s="212" t="str">
        <f ca="1">IF(ROWS($1:2)&gt;COUNT(Dong4),"",OFFSET(TH!E$1,SMALL(Dong4,ROWS($1:2)),))</f>
        <v/>
      </c>
      <c r="D17" s="1034" t="str">
        <f ca="1">IF(ROWS($1:2)&gt;COUNT(Dong4),"",OFFSET(TH!F$1,SMALL(Dong4,ROWS($1:2)),))</f>
        <v/>
      </c>
      <c r="E17" s="1035"/>
      <c r="F17" s="800" t="str">
        <f ca="1">IF(ROWS($1:2)&gt;COUNT(Dong4),"",IF(LEFT(OFFSET(TH!M$1,SMALL(Dong4,ROWS($1:2)),),3)="341",OFFSET(TH!L$1,SMALL(Dong4,ROWS($1:2)),),OFFSET(TH!M$1,SMALL(Dong4,ROWS($1:2)),)))</f>
        <v/>
      </c>
      <c r="G17" s="820"/>
      <c r="H17" s="613" t="str">
        <f ca="1">IF(ROWS($1:2)&gt;COUNT(Dong4),"",IF(LEFT(OFFSET(TH!L$1,SMALL(Dong4,ROWS($1:2)),),3)="341",OFFSET(TH!K$1,SMALL(Dong4,ROWS($1:2)),),0))</f>
        <v/>
      </c>
      <c r="I17" s="613" t="str">
        <f ca="1">IF(ROWS($1:2)&gt;COUNT(Dong4),"",IF(LEFT(OFFSET(TH!M$1,SMALL(Dong4,ROWS($1:2)),),3)="341",OFFSET(TH!K$1,SMALL(Dong4,ROWS($1:2)),),0))</f>
        <v/>
      </c>
      <c r="J17" s="801"/>
      <c r="K17" s="802"/>
      <c r="L17" s="801"/>
      <c r="M17" s="802"/>
      <c r="N17" s="801"/>
      <c r="O17" s="802"/>
    </row>
    <row r="18" spans="1:15" s="18" customFormat="1" ht="23.25" customHeight="1">
      <c r="A18" s="212" t="str">
        <f ca="1">IF(ROWS($1:3)&gt;COUNT(Dong4),"",OFFSET(TH!C$1,SMALL(Dong4,ROWS($1:3)),))</f>
        <v/>
      </c>
      <c r="B18" s="799" t="str">
        <f ca="1">IF(ROWS($1:3)&gt;COUNT(Dong4),"",OFFSET(TH!D$1,SMALL(Dong4,ROWS($1:3)),))</f>
        <v/>
      </c>
      <c r="C18" s="212" t="str">
        <f ca="1">IF(ROWS($1:3)&gt;COUNT(Dong4),"",OFFSET(TH!E$1,SMALL(Dong4,ROWS($1:3)),))</f>
        <v/>
      </c>
      <c r="D18" s="1034" t="str">
        <f ca="1">IF(ROWS($1:3)&gt;COUNT(Dong4),"",OFFSET(TH!F$1,SMALL(Dong4,ROWS($1:3)),))</f>
        <v/>
      </c>
      <c r="E18" s="1035"/>
      <c r="F18" s="800" t="str">
        <f ca="1">IF(ROWS($1:3)&gt;COUNT(Dong4),"",IF(LEFT(OFFSET(TH!M$1,SMALL(Dong4,ROWS($1:3)),),3)="341",OFFSET(TH!L$1,SMALL(Dong4,ROWS($1:3)),),OFFSET(TH!M$1,SMALL(Dong4,ROWS($1:3)),)))</f>
        <v/>
      </c>
      <c r="G18" s="820"/>
      <c r="H18" s="613" t="str">
        <f ca="1">IF(ROWS($1:3)&gt;COUNT(Dong4),"",IF(LEFT(OFFSET(TH!L$1,SMALL(Dong4,ROWS($1:3)),),3)="341",OFFSET(TH!K$1,SMALL(Dong4,ROWS($1:3)),),0))</f>
        <v/>
      </c>
      <c r="I18" s="613" t="str">
        <f ca="1">IF(ROWS($1:3)&gt;COUNT(Dong4),"",IF(LEFT(OFFSET(TH!M$1,SMALL(Dong4,ROWS($1:3)),),3)="341",OFFSET(TH!K$1,SMALL(Dong4,ROWS($1:3)),),0))</f>
        <v/>
      </c>
      <c r="J18" s="801"/>
      <c r="K18" s="802"/>
      <c r="L18" s="801"/>
      <c r="M18" s="802"/>
      <c r="N18" s="801"/>
      <c r="O18" s="802"/>
    </row>
    <row r="19" spans="1:15" s="18" customFormat="1" ht="23.25" customHeight="1">
      <c r="A19" s="212" t="str">
        <f ca="1">IF(ROWS($1:3)&gt;COUNT(Dong4),"",OFFSET(TH!C$1,SMALL(Dong4,ROWS($1:3)),))</f>
        <v/>
      </c>
      <c r="B19" s="799" t="str">
        <f ca="1">IF(ROWS($1:3)&gt;COUNT(Dong4),"",OFFSET(TH!D$1,SMALL(Dong4,ROWS($1:3)),))</f>
        <v/>
      </c>
      <c r="C19" s="212" t="str">
        <f ca="1">IF(ROWS($1:3)&gt;COUNT(Dong4),"",OFFSET(TH!E$1,SMALL(Dong4,ROWS($1:3)),))</f>
        <v/>
      </c>
      <c r="D19" s="1034" t="str">
        <f ca="1">IF(ROWS($1:3)&gt;COUNT(Dong4),"",OFFSET(TH!F$1,SMALL(Dong4,ROWS($1:3)),))</f>
        <v/>
      </c>
      <c r="E19" s="1035"/>
      <c r="F19" s="800" t="str">
        <f ca="1">IF(ROWS($1:3)&gt;COUNT(Dong4),"",IF(LEFT(OFFSET(TH!M$1,SMALL(Dong4,ROWS($1:3)),),3)="341",OFFSET(TH!L$1,SMALL(Dong4,ROWS($1:3)),),OFFSET(TH!M$1,SMALL(Dong4,ROWS($1:3)),)))</f>
        <v/>
      </c>
      <c r="G19" s="820"/>
      <c r="H19" s="613" t="str">
        <f ca="1">IF(ROWS($1:3)&gt;COUNT(Dong4),"",IF(LEFT(OFFSET(TH!L$1,SMALL(Dong4,ROWS($1:3)),),3)="341",OFFSET(TH!K$1,SMALL(Dong4,ROWS($1:3)),),0))</f>
        <v/>
      </c>
      <c r="I19" s="613" t="str">
        <f ca="1">IF(ROWS($1:3)&gt;COUNT(Dong4),"",IF(LEFT(OFFSET(TH!M$1,SMALL(Dong4,ROWS($1:3)),),3)="341",OFFSET(TH!K$1,SMALL(Dong4,ROWS($1:3)),),0))</f>
        <v/>
      </c>
      <c r="J19" s="778"/>
      <c r="K19" s="778"/>
      <c r="L19" s="801"/>
      <c r="M19" s="802"/>
      <c r="N19" s="803"/>
      <c r="O19" s="802"/>
    </row>
    <row r="20" spans="1:15" s="776" customFormat="1" ht="23.25" customHeight="1">
      <c r="A20" s="804"/>
      <c r="B20" s="804"/>
      <c r="C20" s="804"/>
      <c r="D20" s="805" t="s">
        <v>33</v>
      </c>
      <c r="E20" s="805"/>
      <c r="F20" s="806" t="s">
        <v>19</v>
      </c>
      <c r="G20" s="807" t="s">
        <v>19</v>
      </c>
      <c r="H20" s="808">
        <f ca="1">SUM(H16:H19)</f>
        <v>0</v>
      </c>
      <c r="I20" s="809">
        <f ca="1">SUM(I16:I19)</f>
        <v>0</v>
      </c>
      <c r="J20" s="810"/>
      <c r="K20" s="811"/>
      <c r="L20" s="811"/>
      <c r="M20" s="796"/>
      <c r="N20" s="811"/>
      <c r="O20" s="811"/>
    </row>
    <row r="21" spans="1:15" s="776" customFormat="1" ht="23.25" customHeight="1">
      <c r="A21" s="812"/>
      <c r="B21" s="812"/>
      <c r="C21" s="812"/>
      <c r="D21" s="805" t="s">
        <v>10</v>
      </c>
      <c r="E21" s="805"/>
      <c r="F21" s="806" t="s">
        <v>19</v>
      </c>
      <c r="G21" s="807" t="s">
        <v>19</v>
      </c>
      <c r="H21" s="813" t="e">
        <f ca="1">IF(H15+H20-I20&gt;0,H15+H20-I20,0)</f>
        <v>#N/A</v>
      </c>
      <c r="I21" s="809" t="e">
        <f ca="1">IF(I15+I20-H20&gt;0,I15+I20-H20,0)</f>
        <v>#N/A</v>
      </c>
      <c r="J21" s="781"/>
      <c r="K21" s="781"/>
      <c r="L21" s="814"/>
      <c r="M21" s="811"/>
      <c r="N21" s="810"/>
      <c r="O21" s="811"/>
    </row>
    <row r="22" spans="1:15" s="18" customFormat="1">
      <c r="F22" s="763"/>
      <c r="G22" s="777"/>
    </row>
    <row r="23" spans="1:15" s="18" customFormat="1">
      <c r="A23" s="815" t="s">
        <v>471</v>
      </c>
      <c r="C23" s="195"/>
      <c r="F23" s="763"/>
      <c r="G23" s="777"/>
    </row>
    <row r="24" spans="1:15" s="18" customFormat="1">
      <c r="A24" s="815" t="e">
        <f ca="1">"- Ngày mở sổ: "&amp;DAY($A$16)&amp;"/"&amp;MONTH($A$16)&amp;"/"&amp;YEAR($A$16)</f>
        <v>#VALUE!</v>
      </c>
      <c r="C24" s="195"/>
      <c r="F24" s="763"/>
      <c r="G24" s="777"/>
    </row>
    <row r="25" spans="1:15" s="18" customFormat="1">
      <c r="F25" s="763"/>
      <c r="G25" s="777"/>
      <c r="H25" s="816" t="e">
        <f ca="1">"Ngày 31 tháng 12 năm "&amp;YEAR(A16)</f>
        <v>#VALUE!</v>
      </c>
    </row>
    <row r="26" spans="1:15" s="18" customFormat="1">
      <c r="C26" s="763" t="s">
        <v>11</v>
      </c>
      <c r="F26" s="763"/>
      <c r="G26" s="777"/>
      <c r="H26" s="763" t="s">
        <v>12</v>
      </c>
    </row>
    <row r="27" spans="1:15" s="18" customFormat="1">
      <c r="C27" s="763" t="s">
        <v>13</v>
      </c>
      <c r="F27" s="763"/>
      <c r="G27" s="777"/>
      <c r="H27" s="763" t="s">
        <v>13</v>
      </c>
    </row>
    <row r="28" spans="1:15" s="196" customFormat="1"/>
    <row r="29" spans="1:15" s="196" customFormat="1"/>
    <row r="30" spans="1:15" s="196" customFormat="1"/>
    <row r="31" spans="1:15" s="196" customFormat="1"/>
    <row r="32" spans="1:15" s="196" customFormat="1"/>
    <row r="33" s="196" customFormat="1"/>
    <row r="34" s="196" customFormat="1"/>
  </sheetData>
  <mergeCells count="13">
    <mergeCell ref="D19:E19"/>
    <mergeCell ref="D18:E18"/>
    <mergeCell ref="H12:I12"/>
    <mergeCell ref="D12:E13"/>
    <mergeCell ref="D14:E14"/>
    <mergeCell ref="D15:E15"/>
    <mergeCell ref="D16:E16"/>
    <mergeCell ref="D17:E17"/>
    <mergeCell ref="F9:G9"/>
    <mergeCell ref="A12:A13"/>
    <mergeCell ref="B12:C12"/>
    <mergeCell ref="F12:F13"/>
    <mergeCell ref="G12:G13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5" customWidth="1"/>
    <col min="2" max="2" width="7" style="285" customWidth="1"/>
    <col min="3" max="3" width="9.140625" style="285"/>
    <col min="4" max="4" width="25" style="285" customWidth="1"/>
    <col min="5" max="5" width="6.5703125" style="285" customWidth="1"/>
    <col min="6" max="10" width="10" style="285" customWidth="1"/>
    <col min="11" max="11" width="8.7109375" style="285" customWidth="1"/>
    <col min="12" max="12" width="15" style="285" customWidth="1"/>
    <col min="13" max="13" width="10" style="285" customWidth="1"/>
    <col min="14" max="14" width="9.42578125" style="285" customWidth="1"/>
    <col min="15" max="16384" width="9.140625" style="285"/>
  </cols>
  <sheetData>
    <row r="2" spans="1:14">
      <c r="A2" s="284" t="s">
        <v>160</v>
      </c>
      <c r="C2" s="286"/>
      <c r="F2" s="287"/>
      <c r="G2" s="287"/>
      <c r="H2" s="287"/>
      <c r="I2" s="287"/>
      <c r="J2" s="287"/>
      <c r="K2" s="287" t="s">
        <v>217</v>
      </c>
      <c r="L2" s="287"/>
      <c r="M2" s="287"/>
      <c r="N2" s="287"/>
    </row>
    <row r="3" spans="1:14">
      <c r="A3" s="284" t="s">
        <v>162</v>
      </c>
      <c r="C3" s="286"/>
      <c r="F3" s="288"/>
      <c r="G3" s="288"/>
      <c r="H3" s="288"/>
      <c r="I3" s="288"/>
      <c r="J3" s="288"/>
      <c r="K3" s="288" t="s">
        <v>176</v>
      </c>
      <c r="L3" s="288"/>
      <c r="M3" s="288"/>
      <c r="N3" s="288"/>
    </row>
    <row r="4" spans="1:14">
      <c r="F4" s="288"/>
      <c r="G4" s="288"/>
      <c r="H4" s="288"/>
      <c r="I4" s="288"/>
      <c r="J4" s="288"/>
      <c r="K4" s="288" t="s">
        <v>177</v>
      </c>
      <c r="L4" s="288"/>
      <c r="M4" s="288"/>
      <c r="N4" s="288"/>
    </row>
    <row r="5" spans="1:14" s="289" customFormat="1" ht="23.25" customHeight="1">
      <c r="A5" s="1053" t="s">
        <v>218</v>
      </c>
      <c r="B5" s="1053"/>
      <c r="C5" s="1053"/>
      <c r="D5" s="1053"/>
      <c r="E5" s="1053"/>
      <c r="F5" s="1053"/>
      <c r="G5" s="1053"/>
      <c r="H5" s="1053"/>
      <c r="I5" s="1053"/>
      <c r="J5" s="1053"/>
      <c r="K5" s="1053"/>
      <c r="L5" s="1053"/>
      <c r="M5" s="1053"/>
      <c r="N5" s="1053"/>
    </row>
    <row r="6" spans="1:14">
      <c r="A6" s="1054" t="s">
        <v>182</v>
      </c>
      <c r="B6" s="1054" t="s">
        <v>219</v>
      </c>
      <c r="C6" s="1054"/>
      <c r="D6" s="1054"/>
      <c r="E6" s="1054"/>
      <c r="F6" s="1054"/>
      <c r="G6" s="1054"/>
      <c r="H6" s="1054"/>
      <c r="I6" s="1054"/>
      <c r="J6" s="1054"/>
      <c r="K6" s="1054"/>
      <c r="L6" s="1054"/>
      <c r="M6" s="1054"/>
      <c r="N6" s="1054"/>
    </row>
    <row r="7" spans="1:14">
      <c r="C7" s="1055"/>
      <c r="D7" s="1055"/>
      <c r="E7" s="1055"/>
      <c r="F7" s="1055"/>
      <c r="G7" s="1055"/>
      <c r="H7" s="1055"/>
      <c r="I7" s="1055"/>
      <c r="J7" s="1055"/>
      <c r="K7" s="1055"/>
      <c r="L7" s="1055"/>
      <c r="M7" s="1055"/>
      <c r="N7" s="1055"/>
    </row>
    <row r="8" spans="1:14" ht="15.75" customHeight="1">
      <c r="A8" s="1047" t="s">
        <v>20</v>
      </c>
      <c r="B8" s="1056" t="s">
        <v>1</v>
      </c>
      <c r="C8" s="1057"/>
      <c r="D8" s="1047" t="s">
        <v>0</v>
      </c>
      <c r="E8" s="1047" t="s">
        <v>14</v>
      </c>
      <c r="F8" s="1046" t="s">
        <v>21</v>
      </c>
      <c r="G8" s="1046"/>
      <c r="H8" s="1046"/>
      <c r="I8" s="1046"/>
      <c r="J8" s="1046"/>
      <c r="K8" s="1046"/>
      <c r="L8" s="1046" t="s">
        <v>31</v>
      </c>
      <c r="M8" s="1046"/>
      <c r="N8" s="1046"/>
    </row>
    <row r="9" spans="1:14" ht="15.75" customHeight="1">
      <c r="A9" s="1047"/>
      <c r="B9" s="1058"/>
      <c r="C9" s="1059"/>
      <c r="D9" s="1047"/>
      <c r="E9" s="1047"/>
      <c r="F9" s="1046" t="s">
        <v>220</v>
      </c>
      <c r="G9" s="1046"/>
      <c r="H9" s="1046"/>
      <c r="I9" s="1046" t="s">
        <v>221</v>
      </c>
      <c r="J9" s="1046"/>
      <c r="K9" s="1046"/>
      <c r="L9" s="1047" t="s">
        <v>222</v>
      </c>
      <c r="M9" s="1047" t="s">
        <v>223</v>
      </c>
      <c r="N9" s="1047" t="s">
        <v>224</v>
      </c>
    </row>
    <row r="10" spans="1:14" ht="15.75" customHeight="1">
      <c r="A10" s="1047"/>
      <c r="B10" s="1049" t="s">
        <v>15</v>
      </c>
      <c r="C10" s="1049" t="s">
        <v>32</v>
      </c>
      <c r="D10" s="1047"/>
      <c r="E10" s="1047"/>
      <c r="F10" s="1051" t="s">
        <v>222</v>
      </c>
      <c r="G10" s="1051" t="s">
        <v>223</v>
      </c>
      <c r="H10" s="1051" t="s">
        <v>224</v>
      </c>
      <c r="I10" s="1051" t="s">
        <v>222</v>
      </c>
      <c r="J10" s="1051" t="s">
        <v>223</v>
      </c>
      <c r="K10" s="1051" t="s">
        <v>224</v>
      </c>
      <c r="L10" s="1048"/>
      <c r="M10" s="1048"/>
      <c r="N10" s="1048"/>
    </row>
    <row r="11" spans="1:14">
      <c r="A11" s="1047"/>
      <c r="B11" s="1050"/>
      <c r="C11" s="1050"/>
      <c r="D11" s="1047"/>
      <c r="E11" s="1047"/>
      <c r="F11" s="1052"/>
      <c r="G11" s="1052"/>
      <c r="H11" s="1052"/>
      <c r="I11" s="1052"/>
      <c r="J11" s="1052"/>
      <c r="K11" s="1052"/>
      <c r="L11" s="1048"/>
      <c r="M11" s="1048"/>
      <c r="N11" s="1048"/>
    </row>
    <row r="12" spans="1:14" s="288" customFormat="1">
      <c r="A12" s="290" t="s">
        <v>2</v>
      </c>
      <c r="B12" s="291" t="s">
        <v>3</v>
      </c>
      <c r="C12" s="290" t="s">
        <v>4</v>
      </c>
      <c r="D12" s="290" t="s">
        <v>5</v>
      </c>
      <c r="E12" s="290" t="s">
        <v>6</v>
      </c>
      <c r="F12" s="290">
        <v>1</v>
      </c>
      <c r="G12" s="290"/>
      <c r="H12" s="290"/>
      <c r="I12" s="290"/>
      <c r="J12" s="290"/>
      <c r="K12" s="290"/>
      <c r="L12" s="290"/>
      <c r="M12" s="290"/>
      <c r="N12" s="290"/>
    </row>
    <row r="13" spans="1:14">
      <c r="A13" s="292"/>
      <c r="B13" s="292"/>
      <c r="C13" s="292"/>
      <c r="D13" s="293" t="s">
        <v>7</v>
      </c>
      <c r="E13" s="292"/>
      <c r="F13" s="292"/>
      <c r="G13" s="292"/>
      <c r="H13" s="292"/>
      <c r="I13" s="292"/>
      <c r="J13" s="292"/>
      <c r="K13" s="292"/>
      <c r="L13" s="294">
        <f>CDPS!$D$54</f>
        <v>0</v>
      </c>
      <c r="M13" s="292"/>
      <c r="N13" s="292"/>
    </row>
    <row r="14" spans="1:14">
      <c r="A14" s="295"/>
      <c r="B14" s="295"/>
      <c r="C14" s="295"/>
      <c r="D14" s="296" t="s">
        <v>225</v>
      </c>
      <c r="E14" s="295"/>
      <c r="F14" s="295"/>
      <c r="G14" s="295"/>
      <c r="H14" s="295"/>
      <c r="I14" s="295"/>
      <c r="J14" s="295"/>
      <c r="K14" s="295"/>
      <c r="L14" s="295"/>
      <c r="M14" s="295"/>
      <c r="N14" s="295"/>
    </row>
    <row r="15" spans="1:14">
      <c r="A15" s="295"/>
      <c r="B15" s="295"/>
      <c r="C15" s="295"/>
      <c r="D15" s="295"/>
      <c r="E15" s="295"/>
      <c r="F15" s="295"/>
      <c r="G15" s="295"/>
      <c r="H15" s="295"/>
      <c r="I15" s="295"/>
      <c r="J15" s="295"/>
      <c r="K15" s="295"/>
      <c r="L15" s="295"/>
      <c r="M15" s="295"/>
      <c r="N15" s="295"/>
    </row>
    <row r="16" spans="1:14">
      <c r="A16" s="295"/>
      <c r="B16" s="295"/>
      <c r="C16" s="295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</row>
    <row r="17" spans="1:14">
      <c r="A17" s="295"/>
      <c r="B17" s="295"/>
      <c r="C17" s="295"/>
      <c r="D17" s="298" t="s">
        <v>140</v>
      </c>
      <c r="E17" s="633" t="s">
        <v>19</v>
      </c>
      <c r="F17" s="299"/>
      <c r="G17" s="299"/>
      <c r="H17" s="299"/>
      <c r="I17" s="299"/>
      <c r="J17" s="299"/>
      <c r="K17" s="299"/>
      <c r="L17" s="299"/>
      <c r="M17" s="299"/>
      <c r="N17" s="299"/>
    </row>
    <row r="18" spans="1:14">
      <c r="A18" s="300"/>
      <c r="B18" s="300"/>
      <c r="C18" s="300"/>
      <c r="D18" s="301" t="s">
        <v>10</v>
      </c>
      <c r="E18" s="634" t="s">
        <v>19</v>
      </c>
      <c r="F18" s="300"/>
      <c r="G18" s="300"/>
      <c r="H18" s="300"/>
      <c r="I18" s="300"/>
      <c r="J18" s="300"/>
      <c r="K18" s="300"/>
      <c r="L18" s="302">
        <f>L13+L17</f>
        <v>0</v>
      </c>
      <c r="M18" s="300"/>
      <c r="N18" s="300"/>
    </row>
    <row r="20" spans="1:14">
      <c r="C20" s="303" t="s">
        <v>226</v>
      </c>
    </row>
    <row r="21" spans="1:14">
      <c r="C21" s="303" t="s">
        <v>227</v>
      </c>
    </row>
    <row r="22" spans="1:14">
      <c r="B22" s="304"/>
      <c r="C22" s="304"/>
      <c r="D22" s="304"/>
      <c r="E22" s="1045" t="s">
        <v>228</v>
      </c>
      <c r="F22" s="1045"/>
      <c r="G22" s="1045"/>
      <c r="H22" s="1045"/>
      <c r="I22" s="1045"/>
      <c r="J22" s="1045"/>
      <c r="K22" s="1045"/>
      <c r="L22" s="1045"/>
      <c r="M22" s="1045"/>
      <c r="N22" s="1045"/>
    </row>
    <row r="23" spans="1:14">
      <c r="A23" s="1045" t="s">
        <v>11</v>
      </c>
      <c r="B23" s="1045"/>
      <c r="C23" s="1045"/>
      <c r="D23" s="1045"/>
      <c r="E23" s="1045" t="s">
        <v>12</v>
      </c>
      <c r="F23" s="1045"/>
      <c r="G23" s="1045"/>
      <c r="H23" s="1045"/>
      <c r="I23" s="1045"/>
      <c r="J23" s="1045"/>
      <c r="K23" s="1045"/>
      <c r="L23" s="1045"/>
      <c r="M23" s="1045"/>
      <c r="N23" s="1045"/>
    </row>
    <row r="24" spans="1:14">
      <c r="A24" s="1045" t="s">
        <v>13</v>
      </c>
      <c r="B24" s="1045"/>
      <c r="C24" s="1045"/>
      <c r="D24" s="1045"/>
      <c r="E24" s="1045" t="s">
        <v>13</v>
      </c>
      <c r="F24" s="1045"/>
      <c r="G24" s="1045"/>
      <c r="H24" s="1045"/>
      <c r="I24" s="1045"/>
      <c r="J24" s="1045"/>
      <c r="K24" s="1045"/>
      <c r="L24" s="1045"/>
      <c r="M24" s="1045"/>
      <c r="N24" s="1045"/>
    </row>
  </sheetData>
  <mergeCells count="27"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145"/>
  <sheetViews>
    <sheetView topLeftCell="A6" workbookViewId="0">
      <pane xSplit="3" ySplit="6" topLeftCell="D93" activePane="bottomRight" state="frozen"/>
      <selection activeCell="C33" sqref="C33"/>
      <selection pane="topRight" activeCell="C33" sqref="C33"/>
      <selection pane="bottomLeft" activeCell="C33" sqref="C33"/>
      <selection pane="bottomRight" activeCell="A93" sqref="A93:B98"/>
    </sheetView>
  </sheetViews>
  <sheetFormatPr defaultRowHeight="12.75"/>
  <cols>
    <col min="1" max="1" width="3.7109375" style="317" customWidth="1"/>
    <col min="2" max="2" width="3.42578125" style="317" customWidth="1"/>
    <col min="3" max="3" width="41.7109375" style="317" customWidth="1"/>
    <col min="4" max="4" width="7.7109375" style="321" customWidth="1"/>
    <col min="5" max="5" width="9.42578125" style="344" customWidth="1"/>
    <col min="6" max="6" width="12.5703125" style="344" customWidth="1"/>
    <col min="7" max="7" width="11.7109375" style="324" customWidth="1"/>
    <col min="8" max="8" width="15.42578125" style="324" customWidth="1"/>
    <col min="9" max="9" width="11.7109375" style="324" customWidth="1"/>
    <col min="10" max="10" width="13.85546875" style="324" customWidth="1"/>
    <col min="11" max="11" width="12" style="324" customWidth="1"/>
    <col min="12" max="12" width="12.85546875" style="324" customWidth="1"/>
    <col min="13" max="13" width="3.28515625" style="318" customWidth="1"/>
    <col min="14" max="16384" width="9.140625" style="317"/>
  </cols>
  <sheetData>
    <row r="1" spans="1:13" s="283" customFormat="1" ht="14.25" customHeight="1">
      <c r="B1" s="305" t="s">
        <v>229</v>
      </c>
      <c r="C1" s="306"/>
      <c r="D1" s="306"/>
      <c r="E1" s="306"/>
      <c r="F1" s="307"/>
      <c r="G1" s="307"/>
      <c r="H1" s="1021" t="s">
        <v>230</v>
      </c>
      <c r="I1" s="1021"/>
      <c r="J1" s="1021"/>
      <c r="K1" s="1021"/>
      <c r="L1" s="1021"/>
      <c r="M1" s="308"/>
    </row>
    <row r="2" spans="1:13" s="283" customFormat="1" ht="14.25" customHeight="1">
      <c r="B2" s="309" t="s">
        <v>231</v>
      </c>
      <c r="C2" s="310"/>
      <c r="D2" s="310"/>
      <c r="E2" s="310"/>
      <c r="F2" s="310"/>
      <c r="G2" s="310"/>
      <c r="H2" s="1022" t="s">
        <v>232</v>
      </c>
      <c r="I2" s="1022"/>
      <c r="J2" s="1022"/>
      <c r="K2" s="1022"/>
      <c r="L2" s="1022"/>
      <c r="M2" s="311"/>
    </row>
    <row r="3" spans="1:13" s="283" customFormat="1" ht="14.25" customHeight="1">
      <c r="B3" s="310"/>
      <c r="C3" s="310"/>
      <c r="D3" s="310"/>
      <c r="E3" s="310"/>
      <c r="F3" s="310"/>
      <c r="G3" s="310"/>
      <c r="H3" s="1061" t="s">
        <v>233</v>
      </c>
      <c r="I3" s="1061"/>
      <c r="J3" s="1061"/>
      <c r="K3" s="1061"/>
      <c r="L3" s="1061"/>
      <c r="M3" s="312"/>
    </row>
    <row r="4" spans="1:13" s="313" customFormat="1" ht="27.75" customHeight="1">
      <c r="B4" s="1062" t="s">
        <v>234</v>
      </c>
      <c r="C4" s="1062"/>
      <c r="D4" s="1062"/>
      <c r="E4" s="1062"/>
      <c r="F4" s="1062"/>
      <c r="G4" s="1062"/>
      <c r="H4" s="1062"/>
      <c r="I4" s="1062"/>
      <c r="J4" s="1062"/>
      <c r="K4" s="1062"/>
      <c r="L4" s="1062"/>
      <c r="M4" s="314"/>
    </row>
    <row r="5" spans="1:13" s="313" customFormat="1" ht="15" customHeight="1">
      <c r="B5" s="1060" t="s">
        <v>235</v>
      </c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M5" s="314"/>
    </row>
    <row r="6" spans="1:13" s="313" customFormat="1" ht="12.75" hidden="1" customHeight="1">
      <c r="B6" s="1060" t="s">
        <v>236</v>
      </c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M6" s="314"/>
    </row>
    <row r="7" spans="1:13" s="315" customFormat="1" ht="24" hidden="1" customHeight="1">
      <c r="C7" s="1069" t="s">
        <v>237</v>
      </c>
      <c r="D7" s="1069"/>
      <c r="E7" s="1069"/>
      <c r="F7" s="1069"/>
      <c r="G7" s="1069"/>
      <c r="H7" s="1069"/>
      <c r="I7" s="1069"/>
      <c r="J7" s="1069"/>
      <c r="K7" s="1069"/>
      <c r="L7" s="1069"/>
      <c r="M7" s="316"/>
    </row>
    <row r="8" spans="1:13" ht="20.25" customHeight="1">
      <c r="B8" s="1063" t="s">
        <v>35</v>
      </c>
      <c r="C8" s="1064" t="s">
        <v>238</v>
      </c>
      <c r="D8" s="1065" t="s">
        <v>239</v>
      </c>
      <c r="E8" s="1067" t="s">
        <v>149</v>
      </c>
      <c r="F8" s="1067"/>
      <c r="G8" s="1067"/>
      <c r="H8" s="1067"/>
      <c r="I8" s="1067"/>
      <c r="J8" s="1067"/>
      <c r="K8" s="1067"/>
      <c r="L8" s="1067"/>
    </row>
    <row r="9" spans="1:13" ht="20.25" customHeight="1">
      <c r="B9" s="1063"/>
      <c r="C9" s="1064"/>
      <c r="D9" s="1066"/>
      <c r="E9" s="1067" t="s">
        <v>240</v>
      </c>
      <c r="F9" s="1067"/>
      <c r="G9" s="1068" t="s">
        <v>241</v>
      </c>
      <c r="H9" s="1068"/>
      <c r="I9" s="1068" t="s">
        <v>242</v>
      </c>
      <c r="J9" s="1068"/>
      <c r="K9" s="1068" t="s">
        <v>243</v>
      </c>
      <c r="L9" s="1068"/>
    </row>
    <row r="10" spans="1:13" ht="20.25" hidden="1" customHeight="1">
      <c r="B10" s="1063"/>
      <c r="C10" s="1064"/>
      <c r="D10" s="319"/>
      <c r="E10" s="320" t="s">
        <v>244</v>
      </c>
      <c r="F10" s="320" t="s">
        <v>245</v>
      </c>
      <c r="G10" s="320" t="s">
        <v>244</v>
      </c>
      <c r="H10" s="320" t="s">
        <v>245</v>
      </c>
      <c r="I10" s="320" t="s">
        <v>244</v>
      </c>
      <c r="J10" s="320" t="s">
        <v>245</v>
      </c>
      <c r="K10" s="320" t="s">
        <v>244</v>
      </c>
      <c r="L10" s="320" t="s">
        <v>245</v>
      </c>
    </row>
    <row r="11" spans="1:13" s="321" customFormat="1">
      <c r="B11" s="322" t="s">
        <v>2</v>
      </c>
      <c r="C11" s="319" t="s">
        <v>3</v>
      </c>
      <c r="D11" s="319"/>
      <c r="E11" s="320">
        <v>1</v>
      </c>
      <c r="F11" s="320">
        <v>1</v>
      </c>
      <c r="G11" s="320">
        <v>2</v>
      </c>
      <c r="H11" s="320">
        <v>2</v>
      </c>
      <c r="I11" s="320">
        <v>3</v>
      </c>
      <c r="J11" s="320">
        <v>3</v>
      </c>
      <c r="K11" s="320">
        <v>4</v>
      </c>
      <c r="L11" s="320">
        <v>4</v>
      </c>
      <c r="M11" s="323"/>
    </row>
    <row r="12" spans="1:13" ht="18" customHeight="1">
      <c r="A12" s="324" t="str">
        <f>IF(B12&lt;&gt;"","VL","")</f>
        <v>VL</v>
      </c>
      <c r="B12" s="325">
        <f>IF(C12&lt;&gt;"",ROW()-11,"")</f>
        <v>1</v>
      </c>
      <c r="C12" s="202" t="s">
        <v>491</v>
      </c>
      <c r="D12" s="327" t="s">
        <v>452</v>
      </c>
      <c r="E12" s="25"/>
      <c r="F12" s="25"/>
      <c r="G12" s="25">
        <f t="array" ref="G12">SUM(IF("1522"&amp;C12=KHN&amp;MH,SL))</f>
        <v>50</v>
      </c>
      <c r="H12" s="25">
        <f t="array" ref="H12">SUM(IF("1522"&amp;C12=KHN&amp;MH,TH))</f>
        <v>1250000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50</v>
      </c>
      <c r="L12" s="25">
        <f t="shared" si="0"/>
        <v>1250000</v>
      </c>
      <c r="M12" s="328"/>
    </row>
    <row r="13" spans="1:13" ht="18" customHeight="1">
      <c r="A13" s="324" t="str">
        <f t="shared" ref="A13:A14" si="1">IF(B13&lt;&gt;"","VL","")</f>
        <v>VL</v>
      </c>
      <c r="B13" s="325">
        <f t="shared" ref="B13:B15" si="2">IF(C13&lt;&gt;"",ROW()-11,"")</f>
        <v>2</v>
      </c>
      <c r="C13" s="202" t="s">
        <v>453</v>
      </c>
      <c r="D13" s="327" t="s">
        <v>452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5136000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5136000</v>
      </c>
      <c r="M13" s="328"/>
    </row>
    <row r="14" spans="1:13" ht="18" customHeight="1">
      <c r="A14" s="324" t="str">
        <f t="shared" si="1"/>
        <v>VL</v>
      </c>
      <c r="B14" s="325">
        <f t="shared" si="2"/>
        <v>3</v>
      </c>
      <c r="C14" s="933" t="s">
        <v>509</v>
      </c>
      <c r="D14" s="327" t="s">
        <v>452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0</v>
      </c>
      <c r="L14" s="8">
        <f t="shared" ref="L14" si="4">F14+H14-J14</f>
        <v>0</v>
      </c>
      <c r="M14" s="328"/>
    </row>
    <row r="15" spans="1:13" ht="18.75" customHeight="1">
      <c r="A15" s="324" t="str">
        <f t="shared" ref="A15:A16" si="5">IF(B15&lt;&gt;"","VL","")</f>
        <v/>
      </c>
      <c r="B15" s="325" t="str">
        <f t="shared" si="2"/>
        <v/>
      </c>
      <c r="C15" s="331"/>
      <c r="D15" s="333"/>
      <c r="E15" s="334"/>
      <c r="F15" s="334"/>
      <c r="G15" s="25"/>
      <c r="H15" s="334"/>
      <c r="I15" s="334"/>
      <c r="J15" s="334"/>
      <c r="K15" s="334"/>
      <c r="L15" s="334"/>
      <c r="M15" s="328"/>
    </row>
    <row r="16" spans="1:13" ht="18.75" customHeight="1">
      <c r="A16" s="324" t="str">
        <f t="shared" si="5"/>
        <v/>
      </c>
      <c r="B16" s="322"/>
      <c r="C16" s="335" t="s">
        <v>451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170</v>
      </c>
      <c r="H16" s="13">
        <f t="shared" si="6"/>
        <v>6386000</v>
      </c>
      <c r="I16" s="13">
        <f t="shared" si="6"/>
        <v>0</v>
      </c>
      <c r="J16" s="13">
        <f t="shared" si="6"/>
        <v>0</v>
      </c>
      <c r="K16" s="13">
        <f t="shared" si="6"/>
        <v>170</v>
      </c>
      <c r="L16" s="13">
        <f t="shared" si="6"/>
        <v>6386000</v>
      </c>
      <c r="M16" s="328"/>
    </row>
    <row r="17" spans="1:13" ht="18.75" customHeight="1">
      <c r="A17" s="324"/>
      <c r="B17" s="616"/>
      <c r="C17" s="617"/>
      <c r="D17" s="618"/>
      <c r="E17" s="618">
        <f>F16-F17</f>
        <v>0</v>
      </c>
      <c r="F17" s="618">
        <f>CDPS!C20</f>
        <v>0</v>
      </c>
      <c r="G17" s="618">
        <f>H16-H17</f>
        <v>0</v>
      </c>
      <c r="H17" s="618">
        <f>CDPS!E20</f>
        <v>6386000</v>
      </c>
      <c r="I17" s="618">
        <f>J16-J17</f>
        <v>0</v>
      </c>
      <c r="J17" s="618">
        <f>CDPS!F20</f>
        <v>0</v>
      </c>
      <c r="K17" s="618">
        <f>L16-L17</f>
        <v>0</v>
      </c>
      <c r="L17" s="618">
        <f>CDPS!G20</f>
        <v>6386000</v>
      </c>
      <c r="M17" s="328"/>
    </row>
    <row r="18" spans="1:13" ht="18.75" customHeight="1">
      <c r="A18" s="324" t="str">
        <f>IF(B18&lt;&gt;"","NL","")</f>
        <v>NL</v>
      </c>
      <c r="B18" s="615">
        <f>IF(C18&lt;&gt;"",B17+1,"")</f>
        <v>1</v>
      </c>
      <c r="C18" s="1149" t="s">
        <v>621</v>
      </c>
      <c r="D18" s="327" t="s">
        <v>496</v>
      </c>
      <c r="E18" s="25"/>
      <c r="F18" s="25"/>
      <c r="G18" s="25">
        <f t="array" ref="G18">SUM(IF("1521"&amp;C18=KHN&amp;MH,SL))</f>
        <v>334</v>
      </c>
      <c r="H18" s="25">
        <f t="array" ref="H18">SUM(IF("1521"&amp;C18=KHN&amp;MH,TH))</f>
        <v>2223104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>E18+G18-I18</f>
        <v>334</v>
      </c>
      <c r="L18" s="25">
        <f>F18+H18-J18</f>
        <v>2223104</v>
      </c>
      <c r="M18" s="328"/>
    </row>
    <row r="19" spans="1:13" ht="18.75" customHeight="1">
      <c r="A19" s="324" t="str">
        <f>IF(B19&lt;&gt;"","NL","")</f>
        <v>NL</v>
      </c>
      <c r="B19" s="615">
        <f>IF(C19&lt;&gt;"",B18+1,"")</f>
        <v>2</v>
      </c>
      <c r="C19" s="40" t="s">
        <v>628</v>
      </c>
      <c r="D19" s="327" t="s">
        <v>496</v>
      </c>
      <c r="E19" s="8"/>
      <c r="F19" s="8"/>
      <c r="G19" s="25">
        <f t="array" ref="G19">SUM(IF("1521"&amp;C19=KHN&amp;MH,SL))</f>
        <v>2650</v>
      </c>
      <c r="H19" s="25">
        <f t="array" ref="H19">SUM(IF("1521"&amp;C19=KHN&amp;MH,TH))</f>
        <v>17914000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>E19+G19-I19</f>
        <v>2650</v>
      </c>
      <c r="L19" s="8">
        <f>F19+H19-J19</f>
        <v>17914000</v>
      </c>
      <c r="M19" s="328"/>
    </row>
    <row r="20" spans="1:13" ht="18.75" customHeight="1">
      <c r="A20" s="324" t="str">
        <f>IF(B20&lt;&gt;"","NL","")</f>
        <v>NL</v>
      </c>
      <c r="B20" s="615">
        <f>IF(C20&lt;&gt;"",B19+1,"")</f>
        <v>3</v>
      </c>
      <c r="C20" s="40" t="s">
        <v>622</v>
      </c>
      <c r="D20" s="327" t="s">
        <v>496</v>
      </c>
      <c r="E20" s="8"/>
      <c r="F20" s="8"/>
      <c r="G20" s="25">
        <f t="array" ref="G20">SUM(IF("1521"&amp;C20=KHN&amp;MH,SL))</f>
        <v>300</v>
      </c>
      <c r="H20" s="25">
        <f t="array" ref="H20">SUM(IF("1521"&amp;C20=KHN&amp;MH,TH))</f>
        <v>2827500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>E20+G20-I20</f>
        <v>300</v>
      </c>
      <c r="L20" s="8">
        <f>F20+H20-J20</f>
        <v>2827500</v>
      </c>
      <c r="M20" s="328"/>
    </row>
    <row r="21" spans="1:13" ht="18" customHeight="1">
      <c r="A21" s="324" t="str">
        <f>IF(B21&lt;&gt;"","NL","")</f>
        <v>NL</v>
      </c>
      <c r="B21" s="615">
        <f>IF(C21&lt;&gt;"",B20+1,"")</f>
        <v>4</v>
      </c>
      <c r="C21" s="40" t="s">
        <v>636</v>
      </c>
      <c r="D21" s="327" t="s">
        <v>496</v>
      </c>
      <c r="E21" s="8"/>
      <c r="F21" s="8"/>
      <c r="G21" s="25">
        <f t="array" ref="G21">SUM(IF("1521"&amp;C21=KHN&amp;MH,SL))</f>
        <v>1620</v>
      </c>
      <c r="H21" s="25">
        <f t="array" ref="H21">SUM(IF("1521"&amp;C21=KHN&amp;MH,TH))</f>
        <v>18061380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>E21+G21-I21</f>
        <v>1620</v>
      </c>
      <c r="L21" s="8">
        <f>F21+H21-J21</f>
        <v>18061380</v>
      </c>
      <c r="M21" s="328"/>
    </row>
    <row r="22" spans="1:13" ht="18" customHeight="1">
      <c r="A22" s="324" t="str">
        <f t="shared" ref="A22:A42" si="7">IF(B22&lt;&gt;"","NL","")</f>
        <v>NL</v>
      </c>
      <c r="B22" s="615">
        <f t="shared" ref="B22:B31" si="8">IF(C22&lt;&gt;"",B21+1,"")</f>
        <v>5</v>
      </c>
      <c r="C22" s="40" t="s">
        <v>623</v>
      </c>
      <c r="D22" s="327" t="s">
        <v>496</v>
      </c>
      <c r="E22" s="8"/>
      <c r="F22" s="8"/>
      <c r="G22" s="25">
        <f t="array" ref="G22">SUM(IF("1521"&amp;C22=KHN&amp;MH,SL))</f>
        <v>334</v>
      </c>
      <c r="H22" s="25">
        <f t="array" ref="H22">SUM(IF("1521"&amp;C22=KHN&amp;MH,TH))</f>
        <v>5665642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>E22+G22-I22</f>
        <v>334</v>
      </c>
      <c r="L22" s="8">
        <f>F22+H22-J22</f>
        <v>5665642</v>
      </c>
      <c r="M22" s="328"/>
    </row>
    <row r="23" spans="1:13" ht="18" customHeight="1">
      <c r="A23" s="324" t="str">
        <f t="shared" si="7"/>
        <v>NL</v>
      </c>
      <c r="B23" s="615">
        <f t="shared" si="8"/>
        <v>6</v>
      </c>
      <c r="C23" s="40" t="s">
        <v>633</v>
      </c>
      <c r="D23" s="327" t="s">
        <v>496</v>
      </c>
      <c r="E23" s="8"/>
      <c r="F23" s="8"/>
      <c r="G23" s="25">
        <f t="array" ref="G23">SUM(IF("1521"&amp;C23=KHN&amp;MH,SL))</f>
        <v>1580</v>
      </c>
      <c r="H23" s="25">
        <f t="array" ref="H23">SUM(IF("1521"&amp;C23=KHN&amp;MH,TH))</f>
        <v>34613760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>E23+G23-I23</f>
        <v>1580</v>
      </c>
      <c r="L23" s="8">
        <f>F23+H23-J23</f>
        <v>34613760</v>
      </c>
      <c r="M23" s="328"/>
    </row>
    <row r="24" spans="1:13" ht="18" customHeight="1">
      <c r="A24" s="324" t="str">
        <f t="shared" si="7"/>
        <v>NL</v>
      </c>
      <c r="B24" s="615">
        <f t="shared" si="8"/>
        <v>7</v>
      </c>
      <c r="C24" s="40" t="s">
        <v>631</v>
      </c>
      <c r="D24" s="327" t="s">
        <v>496</v>
      </c>
      <c r="E24" s="8"/>
      <c r="F24" s="8"/>
      <c r="G24" s="25">
        <f t="array" ref="G24">SUM(IF("1521"&amp;C24=KHN&amp;MH,SL))</f>
        <v>1755</v>
      </c>
      <c r="H24" s="25">
        <f t="array" ref="H24">SUM(IF("1521"&amp;C24=KHN&amp;MH,TH))</f>
        <v>36214860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>E24+G24-I24</f>
        <v>1755</v>
      </c>
      <c r="L24" s="8">
        <f>F24+H24-J24</f>
        <v>36214860</v>
      </c>
      <c r="M24" s="328"/>
    </row>
    <row r="25" spans="1:13" ht="18" customHeight="1">
      <c r="A25" s="324" t="str">
        <f t="shared" si="7"/>
        <v>NL</v>
      </c>
      <c r="B25" s="615">
        <f t="shared" si="8"/>
        <v>8</v>
      </c>
      <c r="C25" s="40" t="s">
        <v>627</v>
      </c>
      <c r="D25" s="327" t="s">
        <v>496</v>
      </c>
      <c r="E25" s="8"/>
      <c r="F25" s="8"/>
      <c r="G25" s="25">
        <f t="array" ref="G25">SUM(IF("1521"&amp;C25=KHN&amp;MH,SL))</f>
        <v>250</v>
      </c>
      <c r="H25" s="25">
        <f t="array" ref="H25">SUM(IF("1521"&amp;C25=KHN&amp;MH,TH))</f>
        <v>3528000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>E25+G25-I25</f>
        <v>250</v>
      </c>
      <c r="L25" s="8">
        <f>F25+H25-J25</f>
        <v>3528000</v>
      </c>
      <c r="M25" s="328"/>
    </row>
    <row r="26" spans="1:13" ht="18" customHeight="1">
      <c r="A26" s="324" t="str">
        <f t="shared" si="7"/>
        <v>NL</v>
      </c>
      <c r="B26" s="615">
        <f t="shared" si="8"/>
        <v>9</v>
      </c>
      <c r="C26" s="40" t="s">
        <v>626</v>
      </c>
      <c r="D26" s="327" t="s">
        <v>496</v>
      </c>
      <c r="E26" s="8"/>
      <c r="F26" s="8"/>
      <c r="G26" s="25">
        <f t="array" ref="G26">SUM(IF("1521"&amp;C26=KHN&amp;MH,SL))</f>
        <v>100</v>
      </c>
      <c r="H26" s="25">
        <f t="array" ref="H26">SUM(IF("1521"&amp;C26=KHN&amp;MH,TH))</f>
        <v>1572400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>E26+G26-I26</f>
        <v>100</v>
      </c>
      <c r="L26" s="8">
        <f>F26+H26-J26</f>
        <v>1572400</v>
      </c>
      <c r="M26" s="328"/>
    </row>
    <row r="27" spans="1:13" ht="18" customHeight="1">
      <c r="A27" s="324" t="str">
        <f t="shared" si="7"/>
        <v>NL</v>
      </c>
      <c r="B27" s="615">
        <f t="shared" si="8"/>
        <v>10</v>
      </c>
      <c r="C27" s="40" t="s">
        <v>738</v>
      </c>
      <c r="D27" s="327" t="s">
        <v>496</v>
      </c>
      <c r="E27" s="8"/>
      <c r="F27" s="8"/>
      <c r="G27" s="25">
        <f t="array" ref="G27">SUM(IF("1521"&amp;C27=KHN&amp;MH,SL))</f>
        <v>650</v>
      </c>
      <c r="H27" s="25">
        <f t="array" ref="H27">SUM(IF("1521"&amp;C27=KHN&amp;MH,TH))</f>
        <v>6225050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>E27+G27-I27</f>
        <v>650</v>
      </c>
      <c r="L27" s="8">
        <f>F27+H27-J27</f>
        <v>6225050</v>
      </c>
      <c r="M27" s="328"/>
    </row>
    <row r="28" spans="1:13" ht="18" customHeight="1">
      <c r="A28" s="324" t="str">
        <f t="shared" si="7"/>
        <v>NL</v>
      </c>
      <c r="B28" s="615">
        <f t="shared" si="8"/>
        <v>11</v>
      </c>
      <c r="C28" s="202" t="s">
        <v>743</v>
      </c>
      <c r="D28" s="327" t="s">
        <v>496</v>
      </c>
      <c r="E28" s="8"/>
      <c r="F28" s="8"/>
      <c r="G28" s="25">
        <f t="array" ref="G28">SUM(IF("1521"&amp;C28=KHN&amp;MH,SL))</f>
        <v>1000</v>
      </c>
      <c r="H28" s="25">
        <f t="array" ref="H28">SUM(IF("1521"&amp;C28=KHN&amp;MH,TH))</f>
        <v>11197000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>E28+G28-I28</f>
        <v>1000</v>
      </c>
      <c r="L28" s="8">
        <f>F28+H28-J28</f>
        <v>11197000</v>
      </c>
      <c r="M28" s="328"/>
    </row>
    <row r="29" spans="1:13" ht="18" customHeight="1">
      <c r="A29" s="324" t="str">
        <f t="shared" si="7"/>
        <v>NL</v>
      </c>
      <c r="B29" s="615">
        <f t="shared" si="8"/>
        <v>12</v>
      </c>
      <c r="C29" s="202" t="s">
        <v>745</v>
      </c>
      <c r="D29" s="327" t="s">
        <v>496</v>
      </c>
      <c r="E29" s="8"/>
      <c r="F29" s="8"/>
      <c r="G29" s="25">
        <f t="array" ref="G29">SUM(IF("1521"&amp;C29=KHN&amp;MH,SL))</f>
        <v>300</v>
      </c>
      <c r="H29" s="25">
        <f t="array" ref="H29">SUM(IF("1521"&amp;C29=KHN&amp;MH,TH))</f>
        <v>4086300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>E29+G29-I29</f>
        <v>300</v>
      </c>
      <c r="L29" s="8">
        <f>F29+H29-J29</f>
        <v>4086300</v>
      </c>
      <c r="M29" s="328"/>
    </row>
    <row r="30" spans="1:13" ht="18" customHeight="1">
      <c r="A30" s="324" t="str">
        <f t="shared" si="7"/>
        <v>NL</v>
      </c>
      <c r="B30" s="615">
        <f t="shared" si="8"/>
        <v>13</v>
      </c>
      <c r="C30" s="40" t="s">
        <v>741</v>
      </c>
      <c r="D30" s="327" t="s">
        <v>496</v>
      </c>
      <c r="E30" s="8"/>
      <c r="F30" s="8"/>
      <c r="G30" s="25">
        <f t="array" ref="G30">SUM(IF("1521"&amp;C30=KHN&amp;MH,SL))</f>
        <v>700</v>
      </c>
      <c r="H30" s="25">
        <f t="array" ref="H30">SUM(IF("1521"&amp;C30=KHN&amp;MH,TH))</f>
        <v>13096300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>E30+G30-I30</f>
        <v>700</v>
      </c>
      <c r="L30" s="8">
        <f>F30+H30-J30</f>
        <v>13096300</v>
      </c>
      <c r="M30" s="328"/>
    </row>
    <row r="31" spans="1:13" ht="18" customHeight="1">
      <c r="A31" s="324" t="str">
        <f t="shared" si="7"/>
        <v>NL</v>
      </c>
      <c r="B31" s="615">
        <f t="shared" si="8"/>
        <v>14</v>
      </c>
      <c r="C31" s="40" t="s">
        <v>739</v>
      </c>
      <c r="D31" s="327" t="s">
        <v>496</v>
      </c>
      <c r="E31" s="8"/>
      <c r="F31" s="8"/>
      <c r="G31" s="25">
        <f t="array" ref="G31">SUM(IF("1521"&amp;C31=KHN&amp;MH,SL))</f>
        <v>2000</v>
      </c>
      <c r="H31" s="25">
        <f t="array" ref="H31">SUM(IF("1521"&amp;C31=KHN&amp;MH,TH))</f>
        <v>23444000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>E31+G31-I31</f>
        <v>2000</v>
      </c>
      <c r="L31" s="8">
        <f>F31+H31-J31</f>
        <v>23444000</v>
      </c>
      <c r="M31" s="328"/>
    </row>
    <row r="32" spans="1:13" ht="18" customHeight="1">
      <c r="A32" s="324" t="str">
        <f t="shared" si="7"/>
        <v>NL</v>
      </c>
      <c r="B32" s="615">
        <f t="shared" ref="B32:B42" si="9">IF(C32&lt;&gt;"",B31+1,"")</f>
        <v>15</v>
      </c>
      <c r="C32" s="40" t="s">
        <v>667</v>
      </c>
      <c r="D32" s="327" t="s">
        <v>496</v>
      </c>
      <c r="E32" s="8"/>
      <c r="F32" s="8"/>
      <c r="G32" s="25">
        <f t="array" ref="G32">SUM(IF("1521"&amp;C32=KHN&amp;MH,SL))</f>
        <v>130</v>
      </c>
      <c r="H32" s="25">
        <f t="array" ref="H32">SUM(IF("1521"&amp;C32=KHN&amp;MH,TH))</f>
        <v>945620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>E32+G32-I32</f>
        <v>130</v>
      </c>
      <c r="L32" s="8">
        <f>F32+H32-J32</f>
        <v>945620</v>
      </c>
      <c r="M32" s="328"/>
    </row>
    <row r="33" spans="1:13" ht="18" customHeight="1">
      <c r="A33" s="324" t="str">
        <f t="shared" si="7"/>
        <v>NL</v>
      </c>
      <c r="B33" s="615">
        <f t="shared" si="9"/>
        <v>16</v>
      </c>
      <c r="C33" s="40" t="s">
        <v>645</v>
      </c>
      <c r="D33" s="327" t="s">
        <v>496</v>
      </c>
      <c r="E33" s="8"/>
      <c r="F33" s="8"/>
      <c r="G33" s="25">
        <f t="array" ref="G33">SUM(IF("1521"&amp;C33=KHN&amp;MH,SL))</f>
        <v>672</v>
      </c>
      <c r="H33" s="25">
        <f t="array" ref="H33">SUM(IF("1521"&amp;C33=KHN&amp;MH,TH))</f>
        <v>19869696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>E33+G33-I33</f>
        <v>672</v>
      </c>
      <c r="L33" s="8">
        <f>F33+H33-J33</f>
        <v>19869696</v>
      </c>
      <c r="M33" s="328"/>
    </row>
    <row r="34" spans="1:13" ht="18" customHeight="1">
      <c r="A34" s="324" t="str">
        <f t="shared" si="7"/>
        <v>NL</v>
      </c>
      <c r="B34" s="615">
        <f t="shared" si="9"/>
        <v>17</v>
      </c>
      <c r="C34" s="202" t="s">
        <v>680</v>
      </c>
      <c r="D34" s="327" t="s">
        <v>496</v>
      </c>
      <c r="E34" s="8"/>
      <c r="F34" s="8"/>
      <c r="G34" s="25">
        <f t="array" ref="G34">SUM(IF("1521"&amp;C34=KHN&amp;MH,SL))</f>
        <v>251</v>
      </c>
      <c r="H34" s="25">
        <f t="array" ref="H34">SUM(IF("1521"&amp;C34=KHN&amp;MH,TH))</f>
        <v>4898014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>E34+G34-I34</f>
        <v>251</v>
      </c>
      <c r="L34" s="8">
        <f>F34+H34-J34</f>
        <v>4898014</v>
      </c>
      <c r="M34" s="328"/>
    </row>
    <row r="35" spans="1:13" ht="18" customHeight="1">
      <c r="A35" s="324" t="str">
        <f t="shared" si="7"/>
        <v>NL</v>
      </c>
      <c r="B35" s="615">
        <f t="shared" si="9"/>
        <v>18</v>
      </c>
      <c r="C35" s="40" t="s">
        <v>681</v>
      </c>
      <c r="D35" s="327" t="s">
        <v>496</v>
      </c>
      <c r="E35" s="8"/>
      <c r="F35" s="8"/>
      <c r="G35" s="25">
        <f t="array" ref="G35">SUM(IF("1521"&amp;C35=KHN&amp;MH,SL))</f>
        <v>250</v>
      </c>
      <c r="H35" s="25">
        <f t="array" ref="H35">SUM(IF("1521"&amp;C35=KHN&amp;MH,TH))</f>
        <v>7822000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>E35+G35-I35</f>
        <v>250</v>
      </c>
      <c r="L35" s="8">
        <f>F35+H35-J35</f>
        <v>7822000</v>
      </c>
      <c r="M35" s="328"/>
    </row>
    <row r="36" spans="1:13" ht="18" customHeight="1">
      <c r="A36" s="324" t="str">
        <f t="shared" si="7"/>
        <v>NL</v>
      </c>
      <c r="B36" s="615">
        <f t="shared" si="9"/>
        <v>19</v>
      </c>
      <c r="C36" s="40" t="s">
        <v>683</v>
      </c>
      <c r="D36" s="327" t="s">
        <v>496</v>
      </c>
      <c r="E36" s="8"/>
      <c r="F36" s="8"/>
      <c r="G36" s="25">
        <f t="array" ref="G36">SUM(IF("1521"&amp;C36=KHN&amp;MH,SL))</f>
        <v>685</v>
      </c>
      <c r="H36" s="25">
        <f t="array" ref="H36">SUM(IF("1521"&amp;C36=KHN&amp;MH,TH))</f>
        <v>5743725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>E36+G36-I36</f>
        <v>685</v>
      </c>
      <c r="L36" s="8">
        <f>F36+H36-J36</f>
        <v>5743725</v>
      </c>
      <c r="M36" s="328"/>
    </row>
    <row r="37" spans="1:13" ht="18" customHeight="1">
      <c r="A37" s="324" t="str">
        <f t="shared" si="7"/>
        <v>NL</v>
      </c>
      <c r="B37" s="615">
        <f t="shared" si="9"/>
        <v>20</v>
      </c>
      <c r="C37" s="40" t="s">
        <v>690</v>
      </c>
      <c r="D37" s="327" t="s">
        <v>496</v>
      </c>
      <c r="E37" s="8"/>
      <c r="F37" s="8"/>
      <c r="G37" s="25">
        <f t="array" ref="G37">SUM(IF("1521"&amp;C37=KHN&amp;MH,SL))</f>
        <v>505</v>
      </c>
      <c r="H37" s="25">
        <f t="array" ref="H37">SUM(IF("1521"&amp;C37=KHN&amp;MH,TH))</f>
        <v>6799825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>E37+G37-I37</f>
        <v>505</v>
      </c>
      <c r="L37" s="8">
        <f>F37+H37-J37</f>
        <v>6799825</v>
      </c>
      <c r="M37" s="328"/>
    </row>
    <row r="38" spans="1:13" ht="18" customHeight="1">
      <c r="A38" s="324" t="str">
        <f t="shared" si="7"/>
        <v>NL</v>
      </c>
      <c r="B38" s="615">
        <f t="shared" si="9"/>
        <v>21</v>
      </c>
      <c r="C38" s="40" t="s">
        <v>646</v>
      </c>
      <c r="D38" s="327" t="s">
        <v>496</v>
      </c>
      <c r="E38" s="8"/>
      <c r="F38" s="8"/>
      <c r="G38" s="25">
        <f t="array" ref="G38">SUM(IF("1521"&amp;C38=KHN&amp;MH,SL))</f>
        <v>1015</v>
      </c>
      <c r="H38" s="25">
        <f t="array" ref="H38">SUM(IF("1521"&amp;C38=KHN&amp;MH,TH))</f>
        <v>8876170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>E38+G38-I38</f>
        <v>1015</v>
      </c>
      <c r="L38" s="8">
        <f>F38+H38-J38</f>
        <v>8876170</v>
      </c>
      <c r="M38" s="328"/>
    </row>
    <row r="39" spans="1:13" ht="18" customHeight="1">
      <c r="A39" s="324" t="str">
        <f t="shared" si="7"/>
        <v>NL</v>
      </c>
      <c r="B39" s="615">
        <f t="shared" si="9"/>
        <v>22</v>
      </c>
      <c r="C39" s="40" t="s">
        <v>669</v>
      </c>
      <c r="D39" s="327" t="s">
        <v>496</v>
      </c>
      <c r="E39" s="8"/>
      <c r="F39" s="8"/>
      <c r="G39" s="25">
        <f t="array" ref="G39">SUM(IF("1521"&amp;C39=KHN&amp;MH,SL))</f>
        <v>101</v>
      </c>
      <c r="H39" s="25">
        <f t="array" ref="H39">SUM(IF("1521"&amp;C39=KHN&amp;MH,TH))</f>
        <v>941724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>E39+G39-I39</f>
        <v>101</v>
      </c>
      <c r="L39" s="8">
        <f>F39+H39-J39</f>
        <v>941724</v>
      </c>
      <c r="M39" s="328"/>
    </row>
    <row r="40" spans="1:13" ht="18" customHeight="1">
      <c r="A40" s="324" t="str">
        <f t="shared" si="7"/>
        <v>NL</v>
      </c>
      <c r="B40" s="615">
        <f t="shared" si="9"/>
        <v>23</v>
      </c>
      <c r="C40" s="40" t="s">
        <v>651</v>
      </c>
      <c r="D40" s="327" t="s">
        <v>496</v>
      </c>
      <c r="E40" s="8"/>
      <c r="F40" s="8"/>
      <c r="G40" s="25">
        <f t="array" ref="G40">SUM(IF("1521"&amp;C40=KHN&amp;MH,SL))</f>
        <v>244</v>
      </c>
      <c r="H40" s="25">
        <f t="array" ref="H40">SUM(IF("1521"&amp;C40=KHN&amp;MH,TH))</f>
        <v>4324168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>E40+G40-I40</f>
        <v>244</v>
      </c>
      <c r="L40" s="8">
        <f>F40+H40-J40</f>
        <v>4324168</v>
      </c>
      <c r="M40" s="328"/>
    </row>
    <row r="41" spans="1:13" ht="18" customHeight="1">
      <c r="A41" s="324" t="str">
        <f t="shared" si="7"/>
        <v>NL</v>
      </c>
      <c r="B41" s="615">
        <f t="shared" si="9"/>
        <v>24</v>
      </c>
      <c r="C41" s="202" t="s">
        <v>664</v>
      </c>
      <c r="D41" s="327" t="s">
        <v>496</v>
      </c>
      <c r="E41" s="8"/>
      <c r="F41" s="8"/>
      <c r="G41" s="25">
        <f t="array" ref="G41">SUM(IF("1521"&amp;C41=KHN&amp;MH,SL))</f>
        <v>259</v>
      </c>
      <c r="H41" s="25">
        <f t="array" ref="H41">SUM(IF("1521"&amp;C41=KHN&amp;MH,TH))</f>
        <v>4525507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>E41+G41-I41</f>
        <v>259</v>
      </c>
      <c r="L41" s="8">
        <f>F41+H41-J41</f>
        <v>4525507</v>
      </c>
      <c r="M41" s="328"/>
    </row>
    <row r="42" spans="1:13" ht="18" customHeight="1">
      <c r="A42" s="324" t="str">
        <f t="shared" si="7"/>
        <v>NL</v>
      </c>
      <c r="B42" s="615">
        <f t="shared" si="9"/>
        <v>25</v>
      </c>
      <c r="C42" s="40" t="s">
        <v>688</v>
      </c>
      <c r="D42" s="327" t="s">
        <v>496</v>
      </c>
      <c r="E42" s="8"/>
      <c r="F42" s="8"/>
      <c r="G42" s="25">
        <f t="array" ref="G42">SUM(IF("1521"&amp;C42=KHN&amp;MH,SL))</f>
        <v>201</v>
      </c>
      <c r="H42" s="25">
        <f t="array" ref="H42">SUM(IF("1521"&amp;C42=KHN&amp;MH,TH))</f>
        <v>2716917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>E42+G42-I42</f>
        <v>201</v>
      </c>
      <c r="L42" s="8">
        <f>F42+H42-J42</f>
        <v>2716917</v>
      </c>
      <c r="M42" s="328"/>
    </row>
    <row r="43" spans="1:13" ht="18" customHeight="1">
      <c r="A43" s="324" t="str">
        <f>IF(B43&lt;&gt;"","NL","")</f>
        <v>NL</v>
      </c>
      <c r="B43" s="615">
        <f>IF(C43&lt;&gt;"",B42+1,"")</f>
        <v>26</v>
      </c>
      <c r="C43" s="40" t="s">
        <v>663</v>
      </c>
      <c r="D43" s="327" t="s">
        <v>496</v>
      </c>
      <c r="E43" s="8"/>
      <c r="F43" s="8"/>
      <c r="G43" s="25">
        <f t="array" ref="G43">SUM(IF("1521"&amp;C43=KHN&amp;MH,SL))</f>
        <v>474</v>
      </c>
      <c r="H43" s="25">
        <f t="array" ref="H43">SUM(IF("1521"&amp;C43=KHN&amp;MH,TH))</f>
        <v>9133980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>E43+G43-I43</f>
        <v>474</v>
      </c>
      <c r="L43" s="8">
        <f>F43+H43-J43</f>
        <v>9133980</v>
      </c>
      <c r="M43" s="328"/>
    </row>
    <row r="44" spans="1:13" ht="18" customHeight="1">
      <c r="A44" s="324" t="str">
        <f t="shared" ref="A44:A64" si="10">IF(B44&lt;&gt;"","NL","")</f>
        <v>NL</v>
      </c>
      <c r="B44" s="615">
        <f t="shared" ref="B44:B56" si="11">IF(C44&lt;&gt;"",B43+1,"")</f>
        <v>27</v>
      </c>
      <c r="C44" s="40" t="s">
        <v>642</v>
      </c>
      <c r="D44" s="327" t="s">
        <v>496</v>
      </c>
      <c r="E44" s="8"/>
      <c r="F44" s="8"/>
      <c r="G44" s="25">
        <f t="array" ref="G44">SUM(IF("1521"&amp;C44=KHN&amp;MH,SL))</f>
        <v>260</v>
      </c>
      <c r="H44" s="25">
        <f t="array" ref="H44">SUM(IF("1521"&amp;C44=KHN&amp;MH,TH))</f>
        <v>4322760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>E44+G44-I44</f>
        <v>260</v>
      </c>
      <c r="L44" s="8">
        <f>F44+H44-J44</f>
        <v>4322760</v>
      </c>
      <c r="M44" s="328"/>
    </row>
    <row r="45" spans="1:13" ht="18" customHeight="1">
      <c r="A45" s="324" t="str">
        <f t="shared" si="10"/>
        <v>NL</v>
      </c>
      <c r="B45" s="615">
        <f t="shared" si="11"/>
        <v>28</v>
      </c>
      <c r="C45" s="40" t="s">
        <v>665</v>
      </c>
      <c r="D45" s="327" t="s">
        <v>496</v>
      </c>
      <c r="E45" s="8"/>
      <c r="F45" s="8"/>
      <c r="G45" s="25">
        <f t="array" ref="G45">SUM(IF("1521"&amp;C45=KHN&amp;MH,SL))</f>
        <v>712</v>
      </c>
      <c r="H45" s="25">
        <f t="array" ref="H45">SUM(IF("1521"&amp;C45=KHN&amp;MH,TH))</f>
        <v>6024232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>E45+G45-I45</f>
        <v>712</v>
      </c>
      <c r="L45" s="8">
        <f>F45+H45-J45</f>
        <v>6024232</v>
      </c>
      <c r="M45" s="328"/>
    </row>
    <row r="46" spans="1:13" ht="18" customHeight="1">
      <c r="A46" s="324" t="str">
        <f t="shared" si="10"/>
        <v>NL</v>
      </c>
      <c r="B46" s="615">
        <f t="shared" si="11"/>
        <v>29</v>
      </c>
      <c r="C46" s="329" t="s">
        <v>693</v>
      </c>
      <c r="D46" s="327" t="s">
        <v>496</v>
      </c>
      <c r="E46" s="8"/>
      <c r="F46" s="8"/>
      <c r="G46" s="25">
        <f t="array" ref="G46">SUM(IF("1521"&amp;C46=KHN&amp;MH,SL))</f>
        <v>578</v>
      </c>
      <c r="H46" s="25">
        <f t="array" ref="H46">SUM(IF("1521"&amp;C46=KHN&amp;MH,TH))</f>
        <v>11802760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>E46+G46-I46</f>
        <v>578</v>
      </c>
      <c r="L46" s="8">
        <f>F46+H46-J46</f>
        <v>11802760</v>
      </c>
      <c r="M46" s="328"/>
    </row>
    <row r="47" spans="1:13" ht="18" customHeight="1">
      <c r="A47" s="324" t="str">
        <f t="shared" si="10"/>
        <v>NL</v>
      </c>
      <c r="B47" s="615">
        <f t="shared" si="11"/>
        <v>30</v>
      </c>
      <c r="C47" s="40" t="s">
        <v>657</v>
      </c>
      <c r="D47" s="327" t="s">
        <v>496</v>
      </c>
      <c r="E47" s="8"/>
      <c r="F47" s="8"/>
      <c r="G47" s="25">
        <f t="array" ref="G47">SUM(IF("1521"&amp;C47=KHN&amp;MH,SL))</f>
        <v>336</v>
      </c>
      <c r="H47" s="25">
        <f t="array" ref="H47">SUM(IF("1521"&amp;C47=KHN&amp;MH,TH))</f>
        <v>6905808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>E47+G47-I47</f>
        <v>336</v>
      </c>
      <c r="L47" s="8">
        <f>F47+H47-J47</f>
        <v>6905808</v>
      </c>
      <c r="M47" s="328"/>
    </row>
    <row r="48" spans="1:13" ht="18" customHeight="1">
      <c r="A48" s="324" t="str">
        <f t="shared" si="10"/>
        <v>NL</v>
      </c>
      <c r="B48" s="615">
        <f t="shared" si="11"/>
        <v>31</v>
      </c>
      <c r="C48" s="40" t="s">
        <v>678</v>
      </c>
      <c r="D48" s="327" t="s">
        <v>496</v>
      </c>
      <c r="E48" s="8"/>
      <c r="F48" s="8"/>
      <c r="G48" s="25">
        <f t="array" ref="G48">SUM(IF("1521"&amp;C48=KHN&amp;MH,SL))</f>
        <v>497</v>
      </c>
      <c r="H48" s="25">
        <f t="array" ref="H48">SUM(IF("1521"&amp;C48=KHN&amp;MH,TH))</f>
        <v>5673752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>E48+G48-I48</f>
        <v>497</v>
      </c>
      <c r="L48" s="8">
        <f>F48+H48-J48</f>
        <v>5673752</v>
      </c>
      <c r="M48" s="328"/>
    </row>
    <row r="49" spans="1:13" ht="18" customHeight="1">
      <c r="A49" s="324" t="str">
        <f t="shared" si="10"/>
        <v>NL</v>
      </c>
      <c r="B49" s="615">
        <f t="shared" si="11"/>
        <v>32</v>
      </c>
      <c r="C49" s="40" t="s">
        <v>677</v>
      </c>
      <c r="D49" s="327" t="s">
        <v>496</v>
      </c>
      <c r="E49" s="8"/>
      <c r="F49" s="8"/>
      <c r="G49" s="25">
        <f t="array" ref="G49">SUM(IF("1521"&amp;C49=KHN&amp;MH,SL))</f>
        <v>142</v>
      </c>
      <c r="H49" s="25">
        <f t="array" ref="H49">SUM(IF("1521"&amp;C49=KHN&amp;MH,TH))</f>
        <v>2643614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>E49+G49-I49</f>
        <v>142</v>
      </c>
      <c r="L49" s="8">
        <f>F49+H49-J49</f>
        <v>2643614</v>
      </c>
      <c r="M49" s="328"/>
    </row>
    <row r="50" spans="1:13" ht="18" customHeight="1">
      <c r="A50" s="324" t="str">
        <f t="shared" si="10"/>
        <v>NL</v>
      </c>
      <c r="B50" s="615">
        <f t="shared" si="11"/>
        <v>33</v>
      </c>
      <c r="C50" s="40" t="s">
        <v>660</v>
      </c>
      <c r="D50" s="327" t="s">
        <v>496</v>
      </c>
      <c r="E50" s="8"/>
      <c r="F50" s="8"/>
      <c r="G50" s="25">
        <f t="array" ref="G50">SUM(IF("1521"&amp;C50=KHN&amp;MH,SL))</f>
        <v>137</v>
      </c>
      <c r="H50" s="25">
        <f t="array" ref="H50">SUM(IF("1521"&amp;C50=KHN&amp;MH,TH))</f>
        <v>2548885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>E50+G50-I50</f>
        <v>137</v>
      </c>
      <c r="L50" s="8">
        <f>F50+H50-J50</f>
        <v>2548885</v>
      </c>
      <c r="M50" s="328"/>
    </row>
    <row r="51" spans="1:13" ht="18" customHeight="1">
      <c r="A51" s="324" t="str">
        <f t="shared" si="10"/>
        <v>NL</v>
      </c>
      <c r="B51" s="615">
        <f t="shared" si="11"/>
        <v>34</v>
      </c>
      <c r="C51" s="40" t="s">
        <v>648</v>
      </c>
      <c r="D51" s="327" t="s">
        <v>496</v>
      </c>
      <c r="E51" s="8"/>
      <c r="F51" s="8"/>
      <c r="G51" s="25">
        <f t="array" ref="G51">SUM(IF("1521"&amp;C51=KHN&amp;MH,SL))</f>
        <v>121</v>
      </c>
      <c r="H51" s="25">
        <f t="array" ref="H51">SUM(IF("1521"&amp;C51=KHN&amp;MH,TH))</f>
        <v>1648625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>E51+G51-I51</f>
        <v>121</v>
      </c>
      <c r="L51" s="8">
        <f>F51+H51-J51</f>
        <v>1648625</v>
      </c>
      <c r="M51" s="328"/>
    </row>
    <row r="52" spans="1:13" ht="18" customHeight="1">
      <c r="A52" s="324" t="str">
        <f t="shared" si="10"/>
        <v>NL</v>
      </c>
      <c r="B52" s="615">
        <f t="shared" si="11"/>
        <v>35</v>
      </c>
      <c r="C52" s="40" t="s">
        <v>668</v>
      </c>
      <c r="D52" s="327" t="s">
        <v>496</v>
      </c>
      <c r="E52" s="8"/>
      <c r="F52" s="8"/>
      <c r="G52" s="25">
        <f t="array" ref="G52">SUM(IF("1521"&amp;C52=KHN&amp;MH,SL))</f>
        <v>106</v>
      </c>
      <c r="H52" s="25">
        <f t="array" ref="H52">SUM(IF("1521"&amp;C52=KHN&amp;MH,TH))</f>
        <v>1153916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>E52+G52-I52</f>
        <v>106</v>
      </c>
      <c r="L52" s="8">
        <f>F52+H52-J52</f>
        <v>1153916</v>
      </c>
      <c r="M52" s="328"/>
    </row>
    <row r="53" spans="1:13" ht="18" customHeight="1">
      <c r="A53" s="324" t="str">
        <f t="shared" si="10"/>
        <v>NL</v>
      </c>
      <c r="B53" s="615">
        <f t="shared" si="11"/>
        <v>36</v>
      </c>
      <c r="C53" s="40" t="s">
        <v>689</v>
      </c>
      <c r="D53" s="327" t="s">
        <v>496</v>
      </c>
      <c r="E53" s="8"/>
      <c r="F53" s="8"/>
      <c r="G53" s="25">
        <f t="array" ref="G53">SUM(IF("1521"&amp;C53=KHN&amp;MH,SL))</f>
        <v>192</v>
      </c>
      <c r="H53" s="25">
        <f t="array" ref="H53">SUM(IF("1521"&amp;C53=KHN&amp;MH,TH))</f>
        <v>2136192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>E53+G53-I53</f>
        <v>192</v>
      </c>
      <c r="L53" s="8">
        <f>F53+H53-J53</f>
        <v>2136192</v>
      </c>
      <c r="M53" s="328"/>
    </row>
    <row r="54" spans="1:13" ht="18" customHeight="1">
      <c r="A54" s="324" t="str">
        <f t="shared" si="10"/>
        <v>NL</v>
      </c>
      <c r="B54" s="615">
        <f t="shared" si="11"/>
        <v>37</v>
      </c>
      <c r="C54" s="40" t="s">
        <v>656</v>
      </c>
      <c r="D54" s="327" t="s">
        <v>496</v>
      </c>
      <c r="E54" s="8"/>
      <c r="F54" s="8"/>
      <c r="G54" s="25">
        <f t="array" ref="G54">SUM(IF("1521"&amp;C54=KHN&amp;MH,SL))</f>
        <v>242</v>
      </c>
      <c r="H54" s="25">
        <f t="array" ref="H54">SUM(IF("1521"&amp;C54=KHN&amp;MH,TH))</f>
        <v>3220052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>E54+G54-I54</f>
        <v>242</v>
      </c>
      <c r="L54" s="8">
        <f>F54+H54-J54</f>
        <v>3220052</v>
      </c>
      <c r="M54" s="328"/>
    </row>
    <row r="55" spans="1:13" ht="18" customHeight="1">
      <c r="A55" s="324" t="str">
        <f t="shared" si="10"/>
        <v>NL</v>
      </c>
      <c r="B55" s="615">
        <f t="shared" si="11"/>
        <v>38</v>
      </c>
      <c r="C55" s="40" t="s">
        <v>676</v>
      </c>
      <c r="D55" s="327" t="s">
        <v>496</v>
      </c>
      <c r="E55" s="8"/>
      <c r="F55" s="8"/>
      <c r="G55" s="25">
        <f t="array" ref="G55">SUM(IF("1521"&amp;C55=KHN&amp;MH,SL))</f>
        <v>50</v>
      </c>
      <c r="H55" s="25">
        <f t="array" ref="H55">SUM(IF("1521"&amp;C55=KHN&amp;MH,TH))</f>
        <v>785650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>E55+G55-I55</f>
        <v>50</v>
      </c>
      <c r="L55" s="8">
        <f>F55+H55-J55</f>
        <v>785650</v>
      </c>
      <c r="M55" s="328"/>
    </row>
    <row r="56" spans="1:13" ht="18" customHeight="1">
      <c r="A56" s="324" t="str">
        <f t="shared" si="10"/>
        <v>NL</v>
      </c>
      <c r="B56" s="615">
        <f t="shared" si="11"/>
        <v>39</v>
      </c>
      <c r="C56" s="40" t="s">
        <v>671</v>
      </c>
      <c r="D56" s="327" t="s">
        <v>496</v>
      </c>
      <c r="E56" s="8"/>
      <c r="F56" s="8"/>
      <c r="G56" s="25">
        <f t="array" ref="G56">SUM(IF("1521"&amp;C56=KHN&amp;MH,SL))</f>
        <v>149</v>
      </c>
      <c r="H56" s="25">
        <f t="array" ref="H56">SUM(IF("1521"&amp;C56=KHN&amp;MH,TH))</f>
        <v>1789490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>E56+G56-I56</f>
        <v>149</v>
      </c>
      <c r="L56" s="8">
        <f>F56+H56-J56</f>
        <v>1789490</v>
      </c>
      <c r="M56" s="328"/>
    </row>
    <row r="57" spans="1:13" ht="18" customHeight="1">
      <c r="A57" s="324" t="str">
        <f t="shared" si="10"/>
        <v>NL</v>
      </c>
      <c r="B57" s="615">
        <f t="shared" ref="B57:B64" si="12">IF(C57&lt;&gt;"",B56+1,"")</f>
        <v>40</v>
      </c>
      <c r="C57" s="40" t="s">
        <v>684</v>
      </c>
      <c r="D57" s="327" t="s">
        <v>496</v>
      </c>
      <c r="E57" s="8"/>
      <c r="F57" s="8"/>
      <c r="G57" s="25">
        <f t="array" ref="G57">SUM(IF("1521"&amp;C57=KHN&amp;MH,SL))</f>
        <v>619</v>
      </c>
      <c r="H57" s="25">
        <f t="array" ref="H57">SUM(IF("1521"&amp;C57=KHN&amp;MH,TH))</f>
        <v>9151296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>E57+G57-I57</f>
        <v>619</v>
      </c>
      <c r="L57" s="8">
        <f>F57+H57-J57</f>
        <v>9151296</v>
      </c>
      <c r="M57" s="328"/>
    </row>
    <row r="58" spans="1:13" ht="18" customHeight="1">
      <c r="A58" s="324" t="str">
        <f t="shared" si="10"/>
        <v>NL</v>
      </c>
      <c r="B58" s="615">
        <f t="shared" si="12"/>
        <v>41</v>
      </c>
      <c r="C58" s="202" t="s">
        <v>670</v>
      </c>
      <c r="D58" s="327" t="s">
        <v>496</v>
      </c>
      <c r="E58" s="8"/>
      <c r="F58" s="8"/>
      <c r="G58" s="25">
        <f t="array" ref="G58">SUM(IF("1521"&amp;C58=KHN&amp;MH,SL))</f>
        <v>106</v>
      </c>
      <c r="H58" s="25">
        <f t="array" ref="H58">SUM(IF("1521"&amp;C58=KHN&amp;MH,TH))</f>
        <v>1327968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>E58+G58-I58</f>
        <v>106</v>
      </c>
      <c r="L58" s="8">
        <f>F58+H58-J58</f>
        <v>1327968</v>
      </c>
      <c r="M58" s="328"/>
    </row>
    <row r="59" spans="1:13" ht="18" customHeight="1">
      <c r="A59" s="324" t="str">
        <f t="shared" si="10"/>
        <v>NL</v>
      </c>
      <c r="B59" s="615">
        <f t="shared" si="12"/>
        <v>42</v>
      </c>
      <c r="C59" s="40" t="s">
        <v>641</v>
      </c>
      <c r="D59" s="327" t="s">
        <v>496</v>
      </c>
      <c r="E59" s="8"/>
      <c r="F59" s="8"/>
      <c r="G59" s="25">
        <f t="array" ref="G59">SUM(IF("1521"&amp;C59=KHN&amp;MH,SL))</f>
        <v>201</v>
      </c>
      <c r="H59" s="25">
        <f t="array" ref="H59">SUM(IF("1521"&amp;C59=KHN&amp;MH,TH))</f>
        <v>3505038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>E59+G59-I59</f>
        <v>201</v>
      </c>
      <c r="L59" s="8">
        <f>F59+H59-J59</f>
        <v>3505038</v>
      </c>
      <c r="M59" s="328"/>
    </row>
    <row r="60" spans="1:13" ht="18" customHeight="1">
      <c r="A60" s="324" t="str">
        <f t="shared" si="10"/>
        <v>NL</v>
      </c>
      <c r="B60" s="615">
        <f t="shared" si="12"/>
        <v>43</v>
      </c>
      <c r="C60" s="40" t="s">
        <v>644</v>
      </c>
      <c r="D60" s="327" t="s">
        <v>496</v>
      </c>
      <c r="E60" s="8"/>
      <c r="F60" s="8"/>
      <c r="G60" s="25">
        <f t="array" ref="G60">SUM(IF("1521"&amp;C60=KHN&amp;MH,SL))</f>
        <v>258</v>
      </c>
      <c r="H60" s="25">
        <f t="array" ref="H60">SUM(IF("1521"&amp;C60=KHN&amp;MH,TH))</f>
        <v>5133168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>E60+G60-I60</f>
        <v>258</v>
      </c>
      <c r="L60" s="8">
        <f>F60+H60-J60</f>
        <v>5133168</v>
      </c>
      <c r="M60" s="328"/>
    </row>
    <row r="61" spans="1:13" ht="18" customHeight="1">
      <c r="A61" s="324" t="str">
        <f t="shared" si="10"/>
        <v>NL</v>
      </c>
      <c r="B61" s="615">
        <f t="shared" si="12"/>
        <v>44</v>
      </c>
      <c r="C61" s="40" t="s">
        <v>655</v>
      </c>
      <c r="D61" s="327" t="s">
        <v>496</v>
      </c>
      <c r="E61" s="8"/>
      <c r="F61" s="8"/>
      <c r="G61" s="25">
        <f t="array" ref="G61">SUM(IF("1521"&amp;C61=KHN&amp;MH,SL))</f>
        <v>512</v>
      </c>
      <c r="H61" s="25">
        <f t="array" ref="H61">SUM(IF("1521"&amp;C61=KHN&amp;MH,TH))</f>
        <v>11206656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>E61+G61-I61</f>
        <v>512</v>
      </c>
      <c r="L61" s="8">
        <f>F61+H61-J61</f>
        <v>11206656</v>
      </c>
      <c r="M61" s="328"/>
    </row>
    <row r="62" spans="1:13" ht="18" customHeight="1">
      <c r="A62" s="324" t="str">
        <f t="shared" si="10"/>
        <v>NL</v>
      </c>
      <c r="B62" s="615">
        <f t="shared" si="12"/>
        <v>45</v>
      </c>
      <c r="C62" s="40" t="s">
        <v>652</v>
      </c>
      <c r="D62" s="327" t="s">
        <v>496</v>
      </c>
      <c r="E62" s="8"/>
      <c r="F62" s="8"/>
      <c r="G62" s="25">
        <f t="array" ref="G62">SUM(IF("1521"&amp;C62=KHN&amp;MH,SL))</f>
        <v>206</v>
      </c>
      <c r="H62" s="25">
        <f t="array" ref="H62">SUM(IF("1521"&amp;C62=KHN&amp;MH,TH))</f>
        <v>4111348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>E62+G62-I62</f>
        <v>206</v>
      </c>
      <c r="L62" s="8">
        <f>F62+H62-J62</f>
        <v>4111348</v>
      </c>
      <c r="M62" s="328"/>
    </row>
    <row r="63" spans="1:13" ht="18" customHeight="1">
      <c r="A63" s="324" t="str">
        <f t="shared" si="10"/>
        <v>NL</v>
      </c>
      <c r="B63" s="615">
        <f t="shared" si="12"/>
        <v>46</v>
      </c>
      <c r="C63" s="40" t="s">
        <v>640</v>
      </c>
      <c r="D63" s="327" t="s">
        <v>496</v>
      </c>
      <c r="E63" s="8"/>
      <c r="F63" s="8"/>
      <c r="G63" s="25">
        <f t="array" ref="G63">SUM(IF("1521"&amp;C63=KHN&amp;MH,SL))</f>
        <v>203</v>
      </c>
      <c r="H63" s="25">
        <f t="array" ref="H63">SUM(IF("1521"&amp;C63=KHN&amp;MH,TH))</f>
        <v>4215295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>E63+G63-I63</f>
        <v>203</v>
      </c>
      <c r="L63" s="8">
        <f>F63+H63-J63</f>
        <v>4215295</v>
      </c>
      <c r="M63" s="328"/>
    </row>
    <row r="64" spans="1:13" ht="18" customHeight="1">
      <c r="A64" s="324" t="str">
        <f t="shared" si="10"/>
        <v>NL</v>
      </c>
      <c r="B64" s="615">
        <f t="shared" si="12"/>
        <v>47</v>
      </c>
      <c r="C64" s="40" t="s">
        <v>673</v>
      </c>
      <c r="D64" s="327" t="s">
        <v>496</v>
      </c>
      <c r="E64" s="8"/>
      <c r="F64" s="8"/>
      <c r="G64" s="25">
        <f t="array" ref="G64">SUM(IF("1521"&amp;C64=KHN&amp;MH,SL))</f>
        <v>203</v>
      </c>
      <c r="H64" s="25">
        <f t="array" ref="H64">SUM(IF("1521"&amp;C64=KHN&amp;MH,TH))</f>
        <v>4522231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>E64+G64-I64</f>
        <v>203</v>
      </c>
      <c r="L64" s="8">
        <f>F64+H64-J64</f>
        <v>4522231</v>
      </c>
      <c r="M64" s="328"/>
    </row>
    <row r="65" spans="1:13" ht="18" customHeight="1">
      <c r="A65" s="324" t="str">
        <f>IF(B65&lt;&gt;"","NL","")</f>
        <v>NL</v>
      </c>
      <c r="B65" s="615">
        <f>IF(C65&lt;&gt;"",B64+1,"")</f>
        <v>48</v>
      </c>
      <c r="C65" s="40" t="s">
        <v>691</v>
      </c>
      <c r="D65" s="327" t="s">
        <v>496</v>
      </c>
      <c r="E65" s="8"/>
      <c r="F65" s="8"/>
      <c r="G65" s="25">
        <f t="array" ref="G65">SUM(IF("1521"&amp;C65=KHN&amp;MH,SL))</f>
        <v>235</v>
      </c>
      <c r="H65" s="25">
        <f t="array" ref="H65">SUM(IF("1521"&amp;C65=KHN&amp;MH,TH))</f>
        <v>8514990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>E65+G65-I65</f>
        <v>235</v>
      </c>
      <c r="L65" s="8">
        <f>F65+H65-J65</f>
        <v>8514990</v>
      </c>
      <c r="M65" s="328"/>
    </row>
    <row r="66" spans="1:13" ht="18" customHeight="1">
      <c r="A66" s="324" t="str">
        <f>IF(B66&lt;&gt;"","NL","")</f>
        <v>NL</v>
      </c>
      <c r="B66" s="615">
        <f>IF(C66&lt;&gt;"",B65+1,"")</f>
        <v>49</v>
      </c>
      <c r="C66" s="40" t="s">
        <v>672</v>
      </c>
      <c r="D66" s="327" t="s">
        <v>496</v>
      </c>
      <c r="E66" s="8"/>
      <c r="F66" s="8"/>
      <c r="G66" s="25">
        <f t="array" ref="G66">SUM(IF("1521"&amp;C66=KHN&amp;MH,SL))</f>
        <v>101</v>
      </c>
      <c r="H66" s="25">
        <f t="array" ref="H66">SUM(IF("1521"&amp;C66=KHN&amp;MH,TH))</f>
        <v>2321182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>E66+G66-I66</f>
        <v>101</v>
      </c>
      <c r="L66" s="8">
        <f>F66+H66-J66</f>
        <v>2321182</v>
      </c>
      <c r="M66" s="328"/>
    </row>
    <row r="67" spans="1:13" ht="18" customHeight="1">
      <c r="A67" s="324" t="str">
        <f>IF(B67&lt;&gt;"","NL","")</f>
        <v>NL</v>
      </c>
      <c r="B67" s="615">
        <f>IF(C67&lt;&gt;"",B66+1,"")</f>
        <v>50</v>
      </c>
      <c r="C67" s="329" t="s">
        <v>649</v>
      </c>
      <c r="D67" s="327" t="s">
        <v>496</v>
      </c>
      <c r="E67" s="8"/>
      <c r="F67" s="8"/>
      <c r="G67" s="25">
        <f t="array" ref="G67">SUM(IF("1521"&amp;C67=KHN&amp;MH,SL))</f>
        <v>100</v>
      </c>
      <c r="H67" s="25">
        <f t="array" ref="H67">SUM(IF("1521"&amp;C67=KHN&amp;MH,TH))</f>
        <v>2389000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>E67+G67-I67</f>
        <v>100</v>
      </c>
      <c r="L67" s="8">
        <f>F67+H67-J67</f>
        <v>2389000</v>
      </c>
      <c r="M67" s="328"/>
    </row>
    <row r="68" spans="1:13" ht="18" customHeight="1">
      <c r="A68" s="324" t="str">
        <f t="shared" ref="A68:A78" si="13">IF(B68&lt;&gt;"","NL","")</f>
        <v>NL</v>
      </c>
      <c r="B68" s="615">
        <f t="shared" ref="B68:B78" si="14">IF(C68&lt;&gt;"",B67+1,"")</f>
        <v>51</v>
      </c>
      <c r="C68" s="40" t="s">
        <v>675</v>
      </c>
      <c r="D68" s="327" t="s">
        <v>496</v>
      </c>
      <c r="E68" s="8"/>
      <c r="F68" s="8"/>
      <c r="G68" s="25">
        <f t="array" ref="G68">SUM(IF("1521"&amp;C68=KHN&amp;MH,SL))</f>
        <v>114</v>
      </c>
      <c r="H68" s="25">
        <f t="array" ref="H68">SUM(IF("1521"&amp;C68=KHN&amp;MH,TH))</f>
        <v>2495232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>E68+G68-I68</f>
        <v>114</v>
      </c>
      <c r="L68" s="8">
        <f>F68+H68-J68</f>
        <v>2495232</v>
      </c>
      <c r="M68" s="328"/>
    </row>
    <row r="69" spans="1:13" ht="18" customHeight="1">
      <c r="A69" s="324" t="str">
        <f t="shared" si="13"/>
        <v>NL</v>
      </c>
      <c r="B69" s="615">
        <f t="shared" si="14"/>
        <v>52</v>
      </c>
      <c r="C69" s="40" t="s">
        <v>659</v>
      </c>
      <c r="D69" s="327" t="s">
        <v>496</v>
      </c>
      <c r="E69" s="8"/>
      <c r="F69" s="8"/>
      <c r="G69" s="25">
        <f t="array" ref="G69">SUM(IF("1521"&amp;C69=KHN&amp;MH,SL))</f>
        <v>140</v>
      </c>
      <c r="H69" s="25">
        <f t="array" ref="H69">SUM(IF("1521"&amp;C69=KHN&amp;MH,TH))</f>
        <v>5455240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>E69+G69-I69</f>
        <v>140</v>
      </c>
      <c r="L69" s="8">
        <f>F69+H69-J69</f>
        <v>5455240</v>
      </c>
      <c r="M69" s="328"/>
    </row>
    <row r="70" spans="1:13" ht="18" customHeight="1">
      <c r="A70" s="324" t="str">
        <f t="shared" si="13"/>
        <v>NL</v>
      </c>
      <c r="B70" s="615">
        <f t="shared" si="14"/>
        <v>53</v>
      </c>
      <c r="C70" s="40" t="s">
        <v>650</v>
      </c>
      <c r="D70" s="327" t="s">
        <v>496</v>
      </c>
      <c r="E70" s="8"/>
      <c r="F70" s="8"/>
      <c r="G70" s="25">
        <f t="array" ref="G70">SUM(IF("1521"&amp;C70=KHN&amp;MH,SL))</f>
        <v>100</v>
      </c>
      <c r="H70" s="25">
        <f t="array" ref="H70">SUM(IF("1521"&amp;C70=KHN&amp;MH,TH))</f>
        <v>2560300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>E70+G70-I70</f>
        <v>100</v>
      </c>
      <c r="L70" s="8">
        <f>F70+H70-J70</f>
        <v>2560300</v>
      </c>
      <c r="M70" s="328"/>
    </row>
    <row r="71" spans="1:13" ht="18" customHeight="1">
      <c r="A71" s="324" t="str">
        <f t="shared" si="13"/>
        <v>NL</v>
      </c>
      <c r="B71" s="615">
        <f t="shared" si="14"/>
        <v>54</v>
      </c>
      <c r="C71" s="40" t="s">
        <v>749</v>
      </c>
      <c r="D71" s="327" t="s">
        <v>496</v>
      </c>
      <c r="E71" s="8"/>
      <c r="F71" s="8"/>
      <c r="G71" s="25">
        <f t="array" ref="G71">SUM(IF("1521"&amp;C71=KHN&amp;MH,SL))</f>
        <v>2300</v>
      </c>
      <c r="H71" s="25">
        <f t="array" ref="H71">SUM(IF("1521"&amp;C71=KHN&amp;MH,TH))</f>
        <v>19550000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>E71+G71-I71</f>
        <v>2300</v>
      </c>
      <c r="L71" s="8">
        <f>F71+H71-J71</f>
        <v>19550000</v>
      </c>
      <c r="M71" s="328"/>
    </row>
    <row r="72" spans="1:13" ht="18" customHeight="1">
      <c r="A72" s="324" t="str">
        <f t="shared" si="13"/>
        <v>NL</v>
      </c>
      <c r="B72" s="615">
        <f t="shared" si="14"/>
        <v>55</v>
      </c>
      <c r="C72" s="40" t="s">
        <v>750</v>
      </c>
      <c r="D72" s="327" t="s">
        <v>496</v>
      </c>
      <c r="E72" s="8"/>
      <c r="F72" s="8"/>
      <c r="G72" s="25">
        <f t="array" ref="G72">SUM(IF("1521"&amp;C72=KHN&amp;MH,SL))</f>
        <v>5000</v>
      </c>
      <c r="H72" s="25">
        <f t="array" ref="H72">SUM(IF("1521"&amp;C72=KHN&amp;MH,TH))</f>
        <v>80000000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>E72+G72-I72</f>
        <v>5000</v>
      </c>
      <c r="L72" s="8">
        <f>F72+H72-J72</f>
        <v>80000000</v>
      </c>
      <c r="M72" s="328"/>
    </row>
    <row r="73" spans="1:13" ht="18" customHeight="1">
      <c r="A73" s="324" t="str">
        <f t="shared" si="13"/>
        <v>NL</v>
      </c>
      <c r="B73" s="615">
        <f t="shared" si="14"/>
        <v>56</v>
      </c>
      <c r="C73" s="202" t="s">
        <v>727</v>
      </c>
      <c r="D73" s="327" t="s">
        <v>496</v>
      </c>
      <c r="E73" s="8"/>
      <c r="F73" s="8"/>
      <c r="G73" s="25">
        <f t="array" ref="G73">SUM(IF("1521"&amp;C73=KHN&amp;MH,SL))</f>
        <v>150</v>
      </c>
      <c r="H73" s="25">
        <f t="array" ref="H73">SUM(IF("1521"&amp;C73=KHN&amp;MH,TH))</f>
        <v>1635600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>E73+G73-I73</f>
        <v>150</v>
      </c>
      <c r="L73" s="8">
        <f>F73+H73-J73</f>
        <v>1635600</v>
      </c>
      <c r="M73" s="328"/>
    </row>
    <row r="74" spans="1:13" ht="18" customHeight="1">
      <c r="A74" s="324" t="str">
        <f t="shared" si="13"/>
        <v>NL</v>
      </c>
      <c r="B74" s="615">
        <f t="shared" si="14"/>
        <v>57</v>
      </c>
      <c r="C74" s="40" t="s">
        <v>724</v>
      </c>
      <c r="D74" s="327" t="s">
        <v>496</v>
      </c>
      <c r="E74" s="8"/>
      <c r="F74" s="8"/>
      <c r="G74" s="25">
        <f t="array" ref="G74">SUM(IF("1521"&amp;C74=KHN&amp;MH,SL))</f>
        <v>1280</v>
      </c>
      <c r="H74" s="25">
        <f t="array" ref="H74">SUM(IF("1521"&amp;C74=KHN&amp;MH,TH))</f>
        <v>13825280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>E74+G74-I74</f>
        <v>1280</v>
      </c>
      <c r="L74" s="8">
        <f>F74+H74-J74</f>
        <v>13825280</v>
      </c>
      <c r="M74" s="328"/>
    </row>
    <row r="75" spans="1:13" ht="18" customHeight="1">
      <c r="A75" s="324" t="str">
        <f t="shared" si="13"/>
        <v>NL</v>
      </c>
      <c r="B75" s="615">
        <f t="shared" si="14"/>
        <v>58</v>
      </c>
      <c r="C75" s="40" t="s">
        <v>701</v>
      </c>
      <c r="D75" s="327" t="s">
        <v>496</v>
      </c>
      <c r="E75" s="8"/>
      <c r="F75" s="8"/>
      <c r="G75" s="25">
        <f t="array" ref="G75">SUM(IF("1521"&amp;C75=KHN&amp;MH,SL))</f>
        <v>530</v>
      </c>
      <c r="H75" s="25">
        <f t="array" ref="H75">SUM(IF("1521"&amp;C75=KHN&amp;MH,TH))</f>
        <v>3922000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>E75+G75-I75</f>
        <v>530</v>
      </c>
      <c r="L75" s="8">
        <f>F75+H75-J75</f>
        <v>3922000</v>
      </c>
      <c r="M75" s="328"/>
    </row>
    <row r="76" spans="1:13" ht="18" customHeight="1">
      <c r="A76" s="324" t="str">
        <f t="shared" si="13"/>
        <v>NL</v>
      </c>
      <c r="B76" s="615">
        <f t="shared" si="14"/>
        <v>59</v>
      </c>
      <c r="C76" s="40" t="s">
        <v>702</v>
      </c>
      <c r="D76" s="327" t="s">
        <v>496</v>
      </c>
      <c r="E76" s="8"/>
      <c r="F76" s="8"/>
      <c r="G76" s="25">
        <f t="array" ref="G76">SUM(IF("1521"&amp;C76=KHN&amp;MH,SL))</f>
        <v>105</v>
      </c>
      <c r="H76" s="25">
        <f t="array" ref="H76">SUM(IF("1521"&amp;C76=KHN&amp;MH,TH))</f>
        <v>693000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>E76+G76-I76</f>
        <v>105</v>
      </c>
      <c r="L76" s="8">
        <f>F76+H76-J76</f>
        <v>693000</v>
      </c>
      <c r="M76" s="328"/>
    </row>
    <row r="77" spans="1:13" ht="18" customHeight="1">
      <c r="A77" s="324" t="str">
        <f t="shared" si="13"/>
        <v>NL</v>
      </c>
      <c r="B77" s="615">
        <f t="shared" si="14"/>
        <v>60</v>
      </c>
      <c r="C77" s="40" t="s">
        <v>718</v>
      </c>
      <c r="D77" s="327" t="s">
        <v>496</v>
      </c>
      <c r="E77" s="8"/>
      <c r="F77" s="8"/>
      <c r="G77" s="25">
        <f t="array" ref="G77">SUM(IF("1521"&amp;C77=KHN&amp;MH,SL))</f>
        <v>100</v>
      </c>
      <c r="H77" s="25">
        <f t="array" ref="H77">SUM(IF("1521"&amp;C77=KHN&amp;MH,TH))</f>
        <v>1262900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>E77+G77-I77</f>
        <v>100</v>
      </c>
      <c r="L77" s="8">
        <f>F77+H77-J77</f>
        <v>1262900</v>
      </c>
      <c r="M77" s="328"/>
    </row>
    <row r="78" spans="1:13" ht="18" customHeight="1">
      <c r="A78" s="324" t="str">
        <f t="shared" si="13"/>
        <v>NL</v>
      </c>
      <c r="B78" s="615">
        <f t="shared" si="14"/>
        <v>61</v>
      </c>
      <c r="C78" s="40" t="s">
        <v>716</v>
      </c>
      <c r="D78" s="327" t="s">
        <v>496</v>
      </c>
      <c r="E78" s="8"/>
      <c r="F78" s="8"/>
      <c r="G78" s="25">
        <f t="array" ref="G78">SUM(IF("1521"&amp;C78=KHN&amp;MH,SL))</f>
        <v>108</v>
      </c>
      <c r="H78" s="25">
        <f t="array" ref="H78">SUM(IF("1521"&amp;C78=KHN&amp;MH,TH))</f>
        <v>1617624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>E78+G78-I78</f>
        <v>108</v>
      </c>
      <c r="L78" s="8">
        <f>F78+H78-J78</f>
        <v>1617624</v>
      </c>
      <c r="M78" s="328"/>
    </row>
    <row r="79" spans="1:13" ht="18" customHeight="1">
      <c r="A79" s="324" t="str">
        <f>IF(B79&lt;&gt;"","NL","")</f>
        <v>NL</v>
      </c>
      <c r="B79" s="615">
        <f>IF(C79&lt;&gt;"",B78+1,"")</f>
        <v>62</v>
      </c>
      <c r="C79" s="40" t="s">
        <v>698</v>
      </c>
      <c r="D79" s="327" t="s">
        <v>496</v>
      </c>
      <c r="E79" s="8"/>
      <c r="F79" s="8"/>
      <c r="G79" s="25">
        <f t="array" ref="G79">SUM(IF("1521"&amp;C79=KHN&amp;MH,SL))</f>
        <v>500</v>
      </c>
      <c r="H79" s="25">
        <f t="array" ref="H79">SUM(IF("1521"&amp;C79=KHN&amp;MH,TH))</f>
        <v>9656000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>E79+G79-I79</f>
        <v>500</v>
      </c>
      <c r="L79" s="8">
        <f>F79+H79-J79</f>
        <v>9656000</v>
      </c>
      <c r="M79" s="328"/>
    </row>
    <row r="80" spans="1:13" ht="18" customHeight="1">
      <c r="A80" s="324" t="str">
        <f>IF(B80&lt;&gt;"","NL","")</f>
        <v>NL</v>
      </c>
      <c r="B80" s="615">
        <f>IF(C80&lt;&gt;"",B79+1,"")</f>
        <v>63</v>
      </c>
      <c r="C80" s="40" t="s">
        <v>723</v>
      </c>
      <c r="D80" s="327" t="s">
        <v>496</v>
      </c>
      <c r="E80" s="8"/>
      <c r="F80" s="8"/>
      <c r="G80" s="25">
        <f t="array" ref="G80">SUM(IF("1521"&amp;C80=KHN&amp;MH,SL))</f>
        <v>150</v>
      </c>
      <c r="H80" s="25">
        <f t="array" ref="H80">SUM(IF("1521"&amp;C80=KHN&amp;MH,TH))</f>
        <v>2318400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>E80+G80-I80</f>
        <v>150</v>
      </c>
      <c r="L80" s="8">
        <f>F80+H80-J80</f>
        <v>2318400</v>
      </c>
      <c r="M80" s="328"/>
    </row>
    <row r="81" spans="1:13" ht="18" customHeight="1">
      <c r="A81" s="324" t="str">
        <f>IF(B81&lt;&gt;"","NL","")</f>
        <v>NL</v>
      </c>
      <c r="B81" s="615">
        <f>IF(C81&lt;&gt;"",B80+1,"")</f>
        <v>64</v>
      </c>
      <c r="C81" s="40" t="s">
        <v>708</v>
      </c>
      <c r="D81" s="327" t="s">
        <v>496</v>
      </c>
      <c r="E81" s="8"/>
      <c r="F81" s="8"/>
      <c r="G81" s="25">
        <f t="array" ref="G81">SUM(IF("1521"&amp;C81=KHN&amp;MH,SL))</f>
        <v>50</v>
      </c>
      <c r="H81" s="25">
        <f t="array" ref="H81">SUM(IF("1521"&amp;C81=KHN&amp;MH,TH))</f>
        <v>1021000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>E81+G81-I81</f>
        <v>50</v>
      </c>
      <c r="L81" s="8">
        <f>F81+H81-J81</f>
        <v>1021000</v>
      </c>
      <c r="M81" s="328"/>
    </row>
    <row r="82" spans="1:13" ht="18" customHeight="1">
      <c r="A82" s="324" t="str">
        <f>IF(B82&lt;&gt;"","NL","")</f>
        <v>NL</v>
      </c>
      <c r="B82" s="615">
        <f>IF(C82&lt;&gt;"",B81+1,"")</f>
        <v>65</v>
      </c>
      <c r="C82" s="40" t="s">
        <v>717</v>
      </c>
      <c r="D82" s="327" t="s">
        <v>496</v>
      </c>
      <c r="E82" s="8"/>
      <c r="F82" s="8"/>
      <c r="G82" s="25">
        <f t="array" ref="G82">SUM(IF("1521"&amp;C82=KHN&amp;MH,SL))</f>
        <v>100</v>
      </c>
      <c r="H82" s="25">
        <f t="array" ref="H82">SUM(IF("1521"&amp;C82=KHN&amp;MH,TH))</f>
        <v>1123800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>E82+G82-I82</f>
        <v>100</v>
      </c>
      <c r="L82" s="8">
        <f>F82+H82-J82</f>
        <v>1123800</v>
      </c>
      <c r="M82" s="328"/>
    </row>
    <row r="83" spans="1:13" ht="18" customHeight="1">
      <c r="A83" s="324" t="str">
        <f>IF(B83&lt;&gt;"","NL","")</f>
        <v>NL</v>
      </c>
      <c r="B83" s="615">
        <f>IF(C83&lt;&gt;"",B82+1,"")</f>
        <v>66</v>
      </c>
      <c r="C83" s="40" t="s">
        <v>720</v>
      </c>
      <c r="D83" s="327" t="s">
        <v>496</v>
      </c>
      <c r="E83" s="8"/>
      <c r="F83" s="8"/>
      <c r="G83" s="25">
        <f t="array" ref="G83">SUM(IF("1521"&amp;C83=KHN&amp;MH,SL))</f>
        <v>510</v>
      </c>
      <c r="H83" s="25">
        <f t="array" ref="H83">SUM(IF("1521"&amp;C83=KHN&amp;MH,TH))</f>
        <v>8351250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>E83+G83-I83</f>
        <v>510</v>
      </c>
      <c r="L83" s="8">
        <f>F83+H83-J83</f>
        <v>8351250</v>
      </c>
      <c r="M83" s="328"/>
    </row>
    <row r="84" spans="1:13" ht="18" customHeight="1">
      <c r="A84" s="324" t="str">
        <f>IF(B84&lt;&gt;"","NL","")</f>
        <v>NL</v>
      </c>
      <c r="B84" s="615">
        <f>IF(C84&lt;&gt;"",B83+1,"")</f>
        <v>67</v>
      </c>
      <c r="C84" s="40" t="s">
        <v>715</v>
      </c>
      <c r="D84" s="327" t="s">
        <v>496</v>
      </c>
      <c r="E84" s="8"/>
      <c r="F84" s="8"/>
      <c r="G84" s="25">
        <f t="array" ref="G84">SUM(IF("1521"&amp;C84=KHN&amp;MH,SL))</f>
        <v>60</v>
      </c>
      <c r="H84" s="25">
        <f t="array" ref="H84">SUM(IF("1521"&amp;C84=KHN&amp;MH,TH))</f>
        <v>1033320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>E84+G84-I84</f>
        <v>60</v>
      </c>
      <c r="L84" s="8">
        <f>F84+H84-J84</f>
        <v>1033320</v>
      </c>
      <c r="M84" s="328"/>
    </row>
    <row r="85" spans="1:13" ht="18" customHeight="1">
      <c r="A85" s="324" t="str">
        <f>IF(B85&lt;&gt;"","NL","")</f>
        <v>NL</v>
      </c>
      <c r="B85" s="615">
        <f>IF(C85&lt;&gt;"",B84+1,"")</f>
        <v>68</v>
      </c>
      <c r="C85" s="329" t="s">
        <v>707</v>
      </c>
      <c r="D85" s="327" t="s">
        <v>496</v>
      </c>
      <c r="E85" s="8"/>
      <c r="F85" s="8"/>
      <c r="G85" s="25">
        <f t="array" ref="G85">SUM(IF("1521"&amp;C85=KHN&amp;MH,SL))</f>
        <v>50</v>
      </c>
      <c r="H85" s="25">
        <f t="array" ref="H85">SUM(IF("1521"&amp;C85=KHN&amp;MH,TH))</f>
        <v>1140600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>E85+G85-I85</f>
        <v>50</v>
      </c>
      <c r="L85" s="8">
        <f>F85+H85-J85</f>
        <v>1140600</v>
      </c>
      <c r="M85" s="328"/>
    </row>
    <row r="86" spans="1:13" ht="18" customHeight="1">
      <c r="A86" s="324" t="str">
        <f>IF(B86&lt;&gt;"","NL","")</f>
        <v>NL</v>
      </c>
      <c r="B86" s="615">
        <f>IF(C86&lt;&gt;"",B85+1,"")</f>
        <v>69</v>
      </c>
      <c r="C86" s="40" t="s">
        <v>706</v>
      </c>
      <c r="D86" s="327" t="s">
        <v>496</v>
      </c>
      <c r="E86" s="8"/>
      <c r="F86" s="8"/>
      <c r="G86" s="25">
        <f t="array" ref="G86">SUM(IF("1521"&amp;C86=KHN&amp;MH,SL))</f>
        <v>50</v>
      </c>
      <c r="H86" s="25">
        <f t="array" ref="H86">SUM(IF("1521"&amp;C86=KHN&amp;MH,TH))</f>
        <v>1204900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>E86+G86-I86</f>
        <v>50</v>
      </c>
      <c r="L86" s="8">
        <f>F86+H86-J86</f>
        <v>1204900</v>
      </c>
      <c r="M86" s="328"/>
    </row>
    <row r="87" spans="1:13" ht="18" customHeight="1">
      <c r="A87" s="324" t="str">
        <f>IF(B87&lt;&gt;"","NL","")</f>
        <v>NL</v>
      </c>
      <c r="B87" s="615">
        <f>IF(C87&lt;&gt;"",B86+1,"")</f>
        <v>70</v>
      </c>
      <c r="C87" s="40" t="s">
        <v>721</v>
      </c>
      <c r="D87" s="327" t="s">
        <v>496</v>
      </c>
      <c r="E87" s="8"/>
      <c r="F87" s="8"/>
      <c r="G87" s="25">
        <f t="array" ref="G87">SUM(IF("1521"&amp;C87=KHN&amp;MH,SL))</f>
        <v>250</v>
      </c>
      <c r="H87" s="25">
        <f t="array" ref="H87">SUM(IF("1521"&amp;C87=KHN&amp;MH,TH))</f>
        <v>6725750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>E87+G87-I87</f>
        <v>250</v>
      </c>
      <c r="L87" s="8">
        <f>F87+H87-J87</f>
        <v>6725750</v>
      </c>
      <c r="M87" s="328"/>
    </row>
    <row r="88" spans="1:13" ht="18" customHeight="1">
      <c r="A88" s="324" t="str">
        <f>IF(B88&lt;&gt;"","NL","")</f>
        <v>NL</v>
      </c>
      <c r="B88" s="615">
        <f>IF(C88&lt;&gt;"",B87+1,"")</f>
        <v>71</v>
      </c>
      <c r="C88" s="40" t="s">
        <v>703</v>
      </c>
      <c r="D88" s="327" t="s">
        <v>496</v>
      </c>
      <c r="E88" s="8"/>
      <c r="F88" s="8"/>
      <c r="G88" s="25">
        <f t="array" ref="G88">SUM(IF("1521"&amp;C88=KHN&amp;MH,SL))</f>
        <v>215</v>
      </c>
      <c r="H88" s="25">
        <f t="array" ref="H88">SUM(IF("1521"&amp;C88=KHN&amp;MH,TH))</f>
        <v>1978000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>E88+G88-I88</f>
        <v>215</v>
      </c>
      <c r="L88" s="8">
        <f>F88+H88-J88</f>
        <v>1978000</v>
      </c>
      <c r="M88" s="328"/>
    </row>
    <row r="89" spans="1:13" ht="18" customHeight="1">
      <c r="A89" s="324" t="str">
        <f>IF(B89&lt;&gt;"","NL","")</f>
        <v>NL</v>
      </c>
      <c r="B89" s="615">
        <f>IF(C89&lt;&gt;"",B88+1,"")</f>
        <v>72</v>
      </c>
      <c r="C89" s="40" t="s">
        <v>726</v>
      </c>
      <c r="D89" s="327" t="s">
        <v>496</v>
      </c>
      <c r="E89" s="8"/>
      <c r="F89" s="8"/>
      <c r="G89" s="25">
        <f t="array" ref="G89">SUM(IF("1521"&amp;C89=KHN&amp;MH,SL))</f>
        <v>835</v>
      </c>
      <c r="H89" s="25">
        <f t="array" ref="H89">SUM(IF("1521"&amp;C89=KHN&amp;MH,TH))</f>
        <v>12368855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>E89+G89-I89</f>
        <v>835</v>
      </c>
      <c r="L89" s="8">
        <f>F89+H89-J89</f>
        <v>12368855</v>
      </c>
      <c r="M89" s="328"/>
    </row>
    <row r="90" spans="1:13" ht="18" customHeight="1">
      <c r="A90" s="324" t="str">
        <f>IF(B90&lt;&gt;"","NL","")</f>
        <v>NL</v>
      </c>
      <c r="B90" s="615">
        <f>IF(C90&lt;&gt;"",B89+1,"")</f>
        <v>73</v>
      </c>
      <c r="C90" s="40" t="s">
        <v>699</v>
      </c>
      <c r="D90" s="327" t="s">
        <v>496</v>
      </c>
      <c r="E90" s="8"/>
      <c r="F90" s="8"/>
      <c r="G90" s="25">
        <f t="array" ref="G90">SUM(IF("1521"&amp;C90=KHN&amp;MH,SL))</f>
        <v>250</v>
      </c>
      <c r="H90" s="25">
        <f t="array" ref="H90">SUM(IF("1521"&amp;C90=KHN&amp;MH,TH))</f>
        <v>4448000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>E90+G90-I90</f>
        <v>250</v>
      </c>
      <c r="L90" s="8">
        <f>F90+H90-J90</f>
        <v>4448000</v>
      </c>
      <c r="M90" s="328"/>
    </row>
    <row r="91" spans="1:13" ht="18" customHeight="1">
      <c r="A91" s="324" t="str">
        <f>IF(B91&lt;&gt;"","NL","")</f>
        <v>NL</v>
      </c>
      <c r="B91" s="615">
        <f>IF(C91&lt;&gt;"",B90+1,"")</f>
        <v>74</v>
      </c>
      <c r="C91" s="40" t="s">
        <v>714</v>
      </c>
      <c r="D91" s="327" t="s">
        <v>496</v>
      </c>
      <c r="E91" s="8"/>
      <c r="F91" s="8"/>
      <c r="G91" s="25">
        <f t="array" ref="G91">SUM(IF("1521"&amp;C91=KHN&amp;MH,SL))</f>
        <v>350</v>
      </c>
      <c r="H91" s="25">
        <f t="array" ref="H91">SUM(IF("1521"&amp;C91=KHN&amp;MH,TH))</f>
        <v>7101500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>E91+G91-I91</f>
        <v>350</v>
      </c>
      <c r="L91" s="8">
        <f>F91+H91-J91</f>
        <v>7101500</v>
      </c>
      <c r="M91" s="328"/>
    </row>
    <row r="92" spans="1:13" ht="18" customHeight="1">
      <c r="A92" s="324" t="str">
        <f>IF(B92&lt;&gt;"","NL","")</f>
        <v>NL</v>
      </c>
      <c r="B92" s="615">
        <f>IF(C92&lt;&gt;"",B91+1,"")</f>
        <v>75</v>
      </c>
      <c r="C92" s="40" t="s">
        <v>710</v>
      </c>
      <c r="D92" s="327" t="s">
        <v>496</v>
      </c>
      <c r="E92" s="8"/>
      <c r="F92" s="8"/>
      <c r="G92" s="25">
        <f t="array" ref="G92">SUM(IF("1521"&amp;C92=KHN&amp;MH,SL))</f>
        <v>265</v>
      </c>
      <c r="H92" s="25">
        <f t="array" ref="H92">SUM(IF("1521"&amp;C92=KHN&amp;MH,TH))</f>
        <v>3665480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>E92+G92-I92</f>
        <v>265</v>
      </c>
      <c r="L92" s="8">
        <f>F92+H92-J92</f>
        <v>3665480</v>
      </c>
      <c r="M92" s="328"/>
    </row>
    <row r="93" spans="1:13" ht="18" customHeight="1">
      <c r="A93" s="324" t="str">
        <f>IF(B93&lt;&gt;"","NL","")</f>
        <v>NL</v>
      </c>
      <c r="B93" s="615">
        <f>IF(C93&lt;&gt;"",B92+1,"")</f>
        <v>76</v>
      </c>
      <c r="C93" s="40" t="s">
        <v>711</v>
      </c>
      <c r="D93" s="327" t="s">
        <v>496</v>
      </c>
      <c r="E93" s="8"/>
      <c r="F93" s="8"/>
      <c r="G93" s="25">
        <f t="array" ref="G93">SUM(IF("1521"&amp;C93=KHN&amp;MH,SL))</f>
        <v>265</v>
      </c>
      <c r="H93" s="25">
        <f t="array" ref="H93">SUM(IF("1521"&amp;C93=KHN&amp;MH,TH))</f>
        <v>3825010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>E93+G93-I93</f>
        <v>265</v>
      </c>
      <c r="L93" s="8">
        <f>F93+H93-J93</f>
        <v>3825010</v>
      </c>
      <c r="M93" s="328"/>
    </row>
    <row r="94" spans="1:13" ht="18" customHeight="1">
      <c r="A94" s="324" t="str">
        <f t="shared" ref="A94:A98" si="15">IF(B94&lt;&gt;"","NL","")</f>
        <v>NL</v>
      </c>
      <c r="B94" s="615">
        <f t="shared" ref="B94:B98" si="16">IF(C94&lt;&gt;"",B93+1,"")</f>
        <v>77</v>
      </c>
      <c r="C94" s="40" t="s">
        <v>704</v>
      </c>
      <c r="D94" s="327" t="s">
        <v>496</v>
      </c>
      <c r="E94" s="8"/>
      <c r="F94" s="8"/>
      <c r="G94" s="25">
        <f t="array" ref="G94">SUM(IF("1521"&amp;C94=KHN&amp;MH,SL))</f>
        <v>4039</v>
      </c>
      <c r="H94" s="25">
        <f t="array" ref="H94">SUM(IF("1521"&amp;C94=KHN&amp;MH,TH))</f>
        <v>34179708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>E94+G94-I94</f>
        <v>4039</v>
      </c>
      <c r="L94" s="8">
        <f>F94+H94-J94</f>
        <v>34179708</v>
      </c>
      <c r="M94" s="328"/>
    </row>
    <row r="95" spans="1:13" ht="18" customHeight="1">
      <c r="A95" s="324" t="str">
        <f t="shared" si="15"/>
        <v>NL</v>
      </c>
      <c r="B95" s="615">
        <f t="shared" si="16"/>
        <v>78</v>
      </c>
      <c r="C95" s="40" t="s">
        <v>697</v>
      </c>
      <c r="D95" s="327" t="s">
        <v>496</v>
      </c>
      <c r="E95" s="8"/>
      <c r="F95" s="8"/>
      <c r="G95" s="25">
        <f t="array" ref="G95">SUM(IF("1521"&amp;C95=KHN&amp;MH,SL))</f>
        <v>350</v>
      </c>
      <c r="H95" s="25">
        <f t="array" ref="H95">SUM(IF("1521"&amp;C95=KHN&amp;MH,TH))</f>
        <v>2738050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>E95+G95-I95</f>
        <v>350</v>
      </c>
      <c r="L95" s="8">
        <f>F95+H95-J95</f>
        <v>2738050</v>
      </c>
      <c r="M95" s="328"/>
    </row>
    <row r="96" spans="1:13" ht="18" customHeight="1">
      <c r="A96" s="324" t="str">
        <f t="shared" si="15"/>
        <v>NL</v>
      </c>
      <c r="B96" s="615">
        <f t="shared" si="16"/>
        <v>79</v>
      </c>
      <c r="C96" s="40" t="s">
        <v>709</v>
      </c>
      <c r="D96" s="327" t="s">
        <v>496</v>
      </c>
      <c r="E96" s="8"/>
      <c r="F96" s="8"/>
      <c r="G96" s="25">
        <f t="array" ref="G96">SUM(IF("1521"&amp;C96=KHN&amp;MH,SL))</f>
        <v>135</v>
      </c>
      <c r="H96" s="25">
        <f t="array" ref="H96">SUM(IF("1521"&amp;C96=KHN&amp;MH,TH))</f>
        <v>1709775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>E96+G96-I96</f>
        <v>135</v>
      </c>
      <c r="L96" s="8">
        <f>F96+H96-J96</f>
        <v>1709775</v>
      </c>
      <c r="M96" s="328"/>
    </row>
    <row r="97" spans="1:13" ht="18" customHeight="1">
      <c r="A97" s="324" t="str">
        <f t="shared" si="15"/>
        <v>NL</v>
      </c>
      <c r="B97" s="615">
        <f t="shared" si="16"/>
        <v>80</v>
      </c>
      <c r="C97" s="202" t="s">
        <v>733</v>
      </c>
      <c r="D97" s="327" t="s">
        <v>496</v>
      </c>
      <c r="E97" s="8"/>
      <c r="F97" s="8"/>
      <c r="G97" s="25">
        <f t="array" ref="G97">SUM(IF("1521"&amp;C97=KHN&amp;MH,SL))</f>
        <v>800</v>
      </c>
      <c r="H97" s="25">
        <f t="array" ref="H97">SUM(IF("1521"&amp;C97=KHN&amp;MH,TH))</f>
        <v>7200000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>E97+G97-I97</f>
        <v>800</v>
      </c>
      <c r="L97" s="8">
        <f>F97+H97-J97</f>
        <v>7200000</v>
      </c>
      <c r="M97" s="328"/>
    </row>
    <row r="98" spans="1:13" ht="18" customHeight="1">
      <c r="A98" s="324" t="str">
        <f t="shared" si="15"/>
        <v>NL</v>
      </c>
      <c r="B98" s="615">
        <f t="shared" si="16"/>
        <v>81</v>
      </c>
      <c r="C98" s="40" t="s">
        <v>732</v>
      </c>
      <c r="D98" s="327" t="s">
        <v>496</v>
      </c>
      <c r="E98" s="8"/>
      <c r="F98" s="8"/>
      <c r="G98" s="25">
        <f t="array" ref="G98">SUM(IF("1521"&amp;C98=KHN&amp;MH,SL))</f>
        <v>1000</v>
      </c>
      <c r="H98" s="25">
        <f t="array" ref="H98">SUM(IF("1521"&amp;C98=KHN&amp;MH,TH))</f>
        <v>9500000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>E98+G98-I98</f>
        <v>1000</v>
      </c>
      <c r="L98" s="8">
        <f>F98+H98-J98</f>
        <v>9500000</v>
      </c>
      <c r="M98" s="328"/>
    </row>
    <row r="99" spans="1:13" ht="18" customHeight="1">
      <c r="A99" s="324" t="str">
        <f>IF(B99&lt;&gt;"","NL","")</f>
        <v>NL</v>
      </c>
      <c r="B99" s="615">
        <f>IF(C99&lt;&gt;"",B98+1,"")</f>
        <v>82</v>
      </c>
      <c r="C99" s="40" t="s">
        <v>730</v>
      </c>
      <c r="D99" s="327" t="s">
        <v>496</v>
      </c>
      <c r="E99" s="8"/>
      <c r="F99" s="8"/>
      <c r="G99" s="25">
        <f t="array" ref="G99">SUM(IF("1521"&amp;C99=KHN&amp;MH,SL))</f>
        <v>1000</v>
      </c>
      <c r="H99" s="25">
        <f t="array" ref="H99">SUM(IF("1521"&amp;C99=KHN&amp;MH,TH))</f>
        <v>16800000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>E99+G99-I99</f>
        <v>1000</v>
      </c>
      <c r="L99" s="8">
        <f>F99+H99-J99</f>
        <v>16800000</v>
      </c>
      <c r="M99" s="328"/>
    </row>
    <row r="100" spans="1:13" ht="18" customHeight="1">
      <c r="A100" s="324" t="str">
        <f>IF(B100&lt;&gt;"","NL","")</f>
        <v>NL</v>
      </c>
      <c r="B100" s="615">
        <f>IF(C100&lt;&gt;"",B99+1,"")</f>
        <v>83</v>
      </c>
      <c r="C100" s="40" t="s">
        <v>734</v>
      </c>
      <c r="D100" s="327" t="s">
        <v>496</v>
      </c>
      <c r="E100" s="8"/>
      <c r="F100" s="8"/>
      <c r="G100" s="25">
        <f t="array" ref="G100">SUM(IF("1521"&amp;C100=KHN&amp;MH,SL))</f>
        <v>1100</v>
      </c>
      <c r="H100" s="25">
        <f t="array" ref="H100">SUM(IF("1521"&amp;C100=KHN&amp;MH,TH))</f>
        <v>16500000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>E100+G100-I100</f>
        <v>1100</v>
      </c>
      <c r="L100" s="8">
        <f>F100+H100-J100</f>
        <v>16500000</v>
      </c>
      <c r="M100" s="328"/>
    </row>
    <row r="101" spans="1:13" ht="19.5" customHeight="1">
      <c r="A101" s="324" t="str">
        <f t="shared" ref="A101" si="17">IF(B101&lt;&gt;"","NL","")</f>
        <v/>
      </c>
      <c r="B101" s="615" t="str">
        <f>IF(C101&lt;&gt;"",#REF!+1,"")</f>
        <v/>
      </c>
      <c r="C101" s="336"/>
      <c r="D101" s="337"/>
      <c r="E101" s="338"/>
      <c r="F101" s="338"/>
      <c r="G101" s="338"/>
      <c r="H101" s="338"/>
      <c r="I101" s="338"/>
      <c r="J101" s="338"/>
      <c r="K101" s="8"/>
      <c r="L101" s="8"/>
      <c r="M101" s="328"/>
    </row>
    <row r="102" spans="1:13" ht="19.5" customHeight="1">
      <c r="A102" s="324" t="str">
        <f t="shared" ref="A102" si="18">IF(B102&lt;&gt;"","NL","")</f>
        <v/>
      </c>
      <c r="B102" s="322"/>
      <c r="C102" s="335" t="s">
        <v>458</v>
      </c>
      <c r="D102" s="322"/>
      <c r="E102" s="13">
        <f>SUM(E18:E101)</f>
        <v>0</v>
      </c>
      <c r="F102" s="13">
        <f>SUM(F18:F101)</f>
        <v>0</v>
      </c>
      <c r="G102" s="13">
        <f>SUM(G18:G101)</f>
        <v>46877</v>
      </c>
      <c r="H102" s="13">
        <f>SUM(H18:H101)</f>
        <v>651927124</v>
      </c>
      <c r="I102" s="13">
        <f>SUM(I18:I101)</f>
        <v>0</v>
      </c>
      <c r="J102" s="13">
        <f>SUM(J18:J101)</f>
        <v>0</v>
      </c>
      <c r="K102" s="13">
        <f>SUM(K18:K101)</f>
        <v>46877</v>
      </c>
      <c r="L102" s="13">
        <f>SUM(L18:L101)</f>
        <v>651927124</v>
      </c>
      <c r="M102" s="328"/>
    </row>
    <row r="103" spans="1:13" ht="19.5" customHeight="1">
      <c r="A103" s="324"/>
      <c r="B103" s="616"/>
      <c r="C103" s="617"/>
      <c r="D103" s="616"/>
      <c r="E103" s="618">
        <f>F102-F103</f>
        <v>0</v>
      </c>
      <c r="F103" s="618">
        <f>CDPS!C19</f>
        <v>0</v>
      </c>
      <c r="G103" s="618">
        <f>H102-H103</f>
        <v>0</v>
      </c>
      <c r="H103" s="618">
        <f>CDPS!E19</f>
        <v>651927124</v>
      </c>
      <c r="I103" s="618">
        <f>J102-J103</f>
        <v>0</v>
      </c>
      <c r="J103" s="618">
        <f>CDPS!F19</f>
        <v>0</v>
      </c>
      <c r="K103" s="618">
        <f>L102-L103</f>
        <v>0</v>
      </c>
      <c r="L103" s="618">
        <f>CDPS!G19</f>
        <v>651927124</v>
      </c>
      <c r="M103" s="328"/>
    </row>
    <row r="104" spans="1:13" ht="19.5" customHeight="1">
      <c r="A104" s="324" t="str">
        <f>IF(B104&lt;&gt;"","TP","")</f>
        <v/>
      </c>
      <c r="B104" s="339" t="str">
        <f>IF(C104&lt;&gt;"",ROW()-(ROW()-1),"")</f>
        <v/>
      </c>
      <c r="C104" s="326"/>
      <c r="D104" s="340"/>
      <c r="E104" s="25"/>
      <c r="F104" s="25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25">
        <f t="shared" ref="K104:L111" si="19">E104+G104-I104</f>
        <v>0</v>
      </c>
      <c r="L104" s="25">
        <f t="shared" si="19"/>
        <v>0</v>
      </c>
      <c r="M104" s="328"/>
    </row>
    <row r="105" spans="1:13" ht="19.5" customHeight="1">
      <c r="A105" s="324" t="str">
        <f t="shared" ref="A105:A113" si="20">IF(B105&lt;&gt;"","TP","")</f>
        <v/>
      </c>
      <c r="B105" s="341" t="str">
        <f>IF(C105&lt;&gt;"",B104+1,"")</f>
        <v/>
      </c>
      <c r="C105" s="329"/>
      <c r="D105" s="340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19"/>
        <v>0</v>
      </c>
      <c r="L105" s="8">
        <f t="shared" si="19"/>
        <v>0</v>
      </c>
      <c r="M105" s="328"/>
    </row>
    <row r="106" spans="1:13" ht="19.5" customHeight="1">
      <c r="A106" s="324" t="str">
        <f t="shared" si="20"/>
        <v/>
      </c>
      <c r="B106" s="341" t="str">
        <f t="shared" ref="B106:B111" si="21">IF(C106&lt;&gt;"",B105+1,"")</f>
        <v/>
      </c>
      <c r="C106" s="329"/>
      <c r="D106" s="340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19"/>
        <v>0</v>
      </c>
      <c r="L106" s="8">
        <f t="shared" si="19"/>
        <v>0</v>
      </c>
      <c r="M106" s="328"/>
    </row>
    <row r="107" spans="1:13" ht="18" customHeight="1">
      <c r="A107" s="324" t="str">
        <f t="shared" si="20"/>
        <v/>
      </c>
      <c r="B107" s="341" t="str">
        <f t="shared" si="21"/>
        <v/>
      </c>
      <c r="C107" s="329"/>
      <c r="D107" s="340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19"/>
        <v>0</v>
      </c>
      <c r="L107" s="8">
        <f t="shared" si="19"/>
        <v>0</v>
      </c>
      <c r="M107" s="328"/>
    </row>
    <row r="108" spans="1:13" ht="18" customHeight="1">
      <c r="A108" s="324" t="str">
        <f t="shared" si="20"/>
        <v/>
      </c>
      <c r="B108" s="341" t="str">
        <f t="shared" si="21"/>
        <v/>
      </c>
      <c r="C108" s="329"/>
      <c r="D108" s="340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19"/>
        <v>0</v>
      </c>
      <c r="L108" s="8">
        <f t="shared" si="19"/>
        <v>0</v>
      </c>
      <c r="M108" s="328"/>
    </row>
    <row r="109" spans="1:13" ht="18.75" customHeight="1">
      <c r="A109" s="324" t="str">
        <f t="shared" si="20"/>
        <v/>
      </c>
      <c r="B109" s="341" t="str">
        <f t="shared" si="21"/>
        <v/>
      </c>
      <c r="C109" s="329"/>
      <c r="D109" s="340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>E109+G109-I109</f>
        <v>0</v>
      </c>
      <c r="L109" s="8">
        <f>F109+H109-J109</f>
        <v>0</v>
      </c>
      <c r="M109" s="328"/>
    </row>
    <row r="110" spans="1:13" ht="18.75" customHeight="1">
      <c r="A110" s="324" t="str">
        <f t="shared" si="20"/>
        <v/>
      </c>
      <c r="B110" s="341" t="str">
        <f t="shared" si="21"/>
        <v/>
      </c>
      <c r="C110" s="329"/>
      <c r="D110" s="340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>E110+G110-I110</f>
        <v>0</v>
      </c>
      <c r="L110" s="8">
        <f>F110+H110-J110</f>
        <v>0</v>
      </c>
      <c r="M110" s="328"/>
    </row>
    <row r="111" spans="1:13" ht="18.75" customHeight="1">
      <c r="A111" s="324" t="str">
        <f t="shared" si="20"/>
        <v/>
      </c>
      <c r="B111" s="341" t="str">
        <f t="shared" si="21"/>
        <v/>
      </c>
      <c r="C111" s="329"/>
      <c r="D111" s="340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19"/>
        <v>0</v>
      </c>
      <c r="L111" s="8">
        <f t="shared" si="19"/>
        <v>0</v>
      </c>
      <c r="M111" s="328"/>
    </row>
    <row r="112" spans="1:13" ht="18.75" customHeight="1">
      <c r="A112" s="324" t="str">
        <f t="shared" si="20"/>
        <v/>
      </c>
      <c r="B112" s="341" t="str">
        <f>IF(C112&lt;&gt;"",#REF!+1,"")</f>
        <v/>
      </c>
      <c r="C112" s="343"/>
      <c r="D112" s="337"/>
      <c r="E112" s="8"/>
      <c r="F112" s="8"/>
      <c r="G112" s="338"/>
      <c r="H112" s="338"/>
      <c r="I112" s="338"/>
      <c r="J112" s="338"/>
      <c r="K112" s="338"/>
      <c r="L112" s="338"/>
      <c r="M112" s="328"/>
    </row>
    <row r="113" spans="1:13" ht="19.5" customHeight="1">
      <c r="A113" s="324" t="str">
        <f t="shared" si="20"/>
        <v/>
      </c>
      <c r="B113" s="322"/>
      <c r="C113" s="335" t="s">
        <v>263</v>
      </c>
      <c r="D113" s="322"/>
      <c r="E113" s="13">
        <f t="shared" ref="E113:L113" si="22">SUM(E104:E112)</f>
        <v>0</v>
      </c>
      <c r="F113" s="13">
        <f t="shared" si="22"/>
        <v>0</v>
      </c>
      <c r="G113" s="13">
        <f t="shared" si="22"/>
        <v>0</v>
      </c>
      <c r="H113" s="13">
        <f t="shared" si="22"/>
        <v>0</v>
      </c>
      <c r="I113" s="13">
        <f t="shared" si="22"/>
        <v>0</v>
      </c>
      <c r="J113" s="13">
        <f t="shared" si="22"/>
        <v>0</v>
      </c>
      <c r="K113" s="13">
        <f t="shared" si="22"/>
        <v>0</v>
      </c>
      <c r="L113" s="13">
        <f t="shared" si="22"/>
        <v>0</v>
      </c>
      <c r="M113" s="328"/>
    </row>
    <row r="114" spans="1:13" ht="18.75" customHeight="1">
      <c r="A114" s="324" t="str">
        <f>IF(B114&lt;&gt;"","TP","")</f>
        <v/>
      </c>
      <c r="B114" s="617"/>
      <c r="C114" s="617"/>
      <c r="D114" s="616"/>
      <c r="E114" s="618">
        <f>F113-F114</f>
        <v>0</v>
      </c>
      <c r="F114" s="618">
        <f>CDPS!C24</f>
        <v>0</v>
      </c>
      <c r="G114" s="618">
        <f>H113-H114</f>
        <v>0</v>
      </c>
      <c r="H114" s="618">
        <f>CDPS!E24</f>
        <v>0</v>
      </c>
      <c r="I114" s="618">
        <f>J113-J114</f>
        <v>0</v>
      </c>
      <c r="J114" s="618">
        <f>CDPS!F24</f>
        <v>0</v>
      </c>
      <c r="K114" s="618">
        <f>L113-L114</f>
        <v>0</v>
      </c>
      <c r="L114" s="618">
        <f>CDPS!G24</f>
        <v>0</v>
      </c>
      <c r="M114" s="342"/>
    </row>
    <row r="115" spans="1:13" ht="18.75" customHeight="1">
      <c r="M115" s="317"/>
    </row>
    <row r="116" spans="1:13" ht="19.5" customHeight="1">
      <c r="M116" s="317"/>
    </row>
    <row r="117" spans="1:13" ht="19.5" customHeight="1">
      <c r="C117" s="1070"/>
      <c r="D117" s="1070"/>
      <c r="E117" s="1070"/>
      <c r="F117" s="345"/>
      <c r="G117" s="345"/>
      <c r="H117" s="345"/>
      <c r="I117" s="345"/>
      <c r="J117" s="1070" t="s">
        <v>512</v>
      </c>
      <c r="K117" s="1070"/>
      <c r="L117" s="1070"/>
      <c r="M117" s="317"/>
    </row>
    <row r="118" spans="1:13" ht="19.5" customHeight="1">
      <c r="C118" s="346" t="s">
        <v>11</v>
      </c>
      <c r="D118" s="346"/>
      <c r="E118" s="346"/>
      <c r="F118" s="1070" t="s">
        <v>12</v>
      </c>
      <c r="G118" s="1070"/>
      <c r="H118" s="1070"/>
      <c r="I118" s="345"/>
      <c r="J118" s="1070" t="s">
        <v>113</v>
      </c>
      <c r="K118" s="1070"/>
      <c r="L118" s="1070"/>
      <c r="M118" s="317"/>
    </row>
    <row r="119" spans="1:13" ht="19.5" customHeight="1">
      <c r="C119" s="346" t="s">
        <v>13</v>
      </c>
      <c r="D119" s="346" t="s">
        <v>265</v>
      </c>
      <c r="E119" s="346"/>
      <c r="F119" s="1070" t="s">
        <v>13</v>
      </c>
      <c r="G119" s="1070"/>
      <c r="H119" s="1070"/>
      <c r="I119" s="317"/>
      <c r="J119" s="1070" t="s">
        <v>143</v>
      </c>
      <c r="K119" s="1070"/>
      <c r="L119" s="1070"/>
      <c r="M119" s="317"/>
    </row>
    <row r="120" spans="1:13" ht="20.25" customHeight="1">
      <c r="M120" s="317"/>
    </row>
    <row r="121" spans="1:13" ht="20.25" customHeight="1">
      <c r="M121" s="317"/>
    </row>
    <row r="122" spans="1:13" ht="20.25" customHeight="1">
      <c r="M122" s="317"/>
    </row>
    <row r="123" spans="1:13" ht="20.25" customHeight="1">
      <c r="M123" s="317"/>
    </row>
    <row r="124" spans="1:13" ht="20.25" customHeight="1">
      <c r="M124" s="317"/>
    </row>
    <row r="125" spans="1:13" ht="20.25" customHeight="1">
      <c r="M125" s="317"/>
    </row>
    <row r="126" spans="1:13" ht="20.25" customHeight="1">
      <c r="M126" s="317"/>
    </row>
    <row r="127" spans="1:13" ht="19.5" customHeight="1">
      <c r="M127" s="317"/>
    </row>
    <row r="128" spans="1:13" ht="19.5" customHeight="1">
      <c r="M128" s="317"/>
    </row>
    <row r="129" spans="13:13" ht="19.5" customHeight="1">
      <c r="M129" s="317"/>
    </row>
    <row r="130" spans="13:13" ht="19.5" customHeight="1">
      <c r="M130" s="317"/>
    </row>
    <row r="131" spans="13:13" ht="19.5" customHeight="1">
      <c r="M131" s="317"/>
    </row>
    <row r="132" spans="13:13" ht="19.5" customHeight="1">
      <c r="M132" s="317"/>
    </row>
    <row r="133" spans="13:13" ht="19.5" customHeight="1">
      <c r="M133" s="317"/>
    </row>
    <row r="134" spans="13:13" ht="19.5" customHeight="1">
      <c r="M134" s="317"/>
    </row>
    <row r="135" spans="13:13" ht="19.5" customHeight="1">
      <c r="M135" s="317"/>
    </row>
    <row r="136" spans="13:13" ht="19.5" customHeight="1">
      <c r="M136" s="317"/>
    </row>
    <row r="137" spans="13:13" ht="19.5" customHeight="1">
      <c r="M137" s="317"/>
    </row>
    <row r="138" spans="13:13" ht="19.5" customHeight="1">
      <c r="M138" s="317"/>
    </row>
    <row r="139" spans="13:13" ht="19.5" customHeight="1">
      <c r="M139" s="317"/>
    </row>
    <row r="140" spans="13:13" ht="19.5" customHeight="1">
      <c r="M140" s="317"/>
    </row>
    <row r="141" spans="13:13" ht="19.5" customHeight="1">
      <c r="M141" s="317"/>
    </row>
    <row r="142" spans="13:13" ht="19.5" customHeight="1">
      <c r="M142" s="317"/>
    </row>
    <row r="143" spans="13:13" ht="19.5" customHeight="1">
      <c r="M143" s="317"/>
    </row>
    <row r="144" spans="13:13" ht="19.5" customHeight="1">
      <c r="M144" s="317"/>
    </row>
    <row r="145" ht="19.5" customHeight="1"/>
  </sheetData>
  <autoFilter ref="B11:M114"/>
  <sortState ref="A18:M117">
    <sortCondition ref="C18:C117"/>
  </sortState>
  <mergeCells count="21">
    <mergeCell ref="C7:L7"/>
    <mergeCell ref="F119:H119"/>
    <mergeCell ref="J119:L119"/>
    <mergeCell ref="C117:E117"/>
    <mergeCell ref="J117:L117"/>
    <mergeCell ref="F118:H118"/>
    <mergeCell ref="J118:L118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7" customWidth="1"/>
    <col min="2" max="2" width="29.7109375" style="347" customWidth="1"/>
    <col min="3" max="3" width="5.7109375" style="347" customWidth="1"/>
    <col min="4" max="4" width="6.7109375" style="347" customWidth="1"/>
    <col min="5" max="5" width="12.7109375" style="347" customWidth="1"/>
    <col min="6" max="6" width="9.85546875" style="347" customWidth="1"/>
    <col min="7" max="7" width="11" style="347" customWidth="1"/>
    <col min="8" max="8" width="14" style="347" customWidth="1"/>
    <col min="9" max="9" width="4.28515625" style="347" customWidth="1"/>
    <col min="10" max="10" width="7.7109375" style="347" customWidth="1"/>
    <col min="11" max="11" width="3.140625" style="347" customWidth="1"/>
    <col min="12" max="12" width="5.7109375" style="347" customWidth="1"/>
    <col min="13" max="13" width="2.7109375" style="347" customWidth="1"/>
    <col min="14" max="14" width="4" style="347" customWidth="1"/>
    <col min="15" max="15" width="3.7109375" style="347" customWidth="1"/>
    <col min="16" max="16384" width="9.140625" style="347"/>
  </cols>
  <sheetData>
    <row r="1" spans="1:17" ht="5.25" hidden="1" customHeight="1"/>
    <row r="2" spans="1:17" s="901" customFormat="1" ht="12" customHeight="1">
      <c r="A2" s="900" t="str">
        <f>TH!A1</f>
        <v>Đơn vị: CÔNG TY TNHH HẢI SẢN AN LẠC</v>
      </c>
      <c r="G2" s="902" t="str">
        <f>+IF(LEFT($D$7,1)="N","Mẫu số 01 - VT","Mẫu số 02 - VT")</f>
        <v>Mẫu số 02 - VT</v>
      </c>
    </row>
    <row r="3" spans="1:17" s="901" customFormat="1" ht="12" customHeight="1">
      <c r="A3" s="903" t="str">
        <f>TH!A2</f>
        <v>Địa chỉ: Lô A14, Đường 4A, KCN Hải Sơn, Đức Hòa, Long An</v>
      </c>
      <c r="G3" s="904" t="s">
        <v>232</v>
      </c>
      <c r="N3" s="902" t="s">
        <v>108</v>
      </c>
      <c r="O3" s="905"/>
      <c r="P3" s="906">
        <f>IF(J5="Quý I",1,IF(J5="Quý II",4,IF(J5="Quý III",7,IF(J5="Quý IV",10,""))))</f>
        <v>7</v>
      </c>
      <c r="Q3" s="906">
        <f>IF(J5="Quý I",3,IF(J5="Quý II",6,IF(J5="Quý III",9,IF(J5="Quý IV",12,""))))</f>
        <v>9</v>
      </c>
    </row>
    <row r="4" spans="1:17" s="901" customFormat="1" ht="12" customHeight="1" thickBot="1">
      <c r="G4" s="904" t="s">
        <v>177</v>
      </c>
      <c r="J4" s="907"/>
      <c r="M4" s="908"/>
      <c r="N4" s="902" t="s">
        <v>109</v>
      </c>
      <c r="O4" s="905"/>
    </row>
    <row r="5" spans="1:17" ht="18" customHeight="1" thickBot="1">
      <c r="D5" s="351" t="str">
        <f>+IF(LEFT($L$5,1)="N","PHIẾU NHẬP KHO","PHIẾU XUẤT KHO")</f>
        <v>PHIẾU NHẬP KHO</v>
      </c>
      <c r="J5" s="897" t="s">
        <v>510</v>
      </c>
      <c r="K5" s="352"/>
      <c r="L5" s="898" t="s">
        <v>511</v>
      </c>
      <c r="M5" s="353"/>
      <c r="N5" s="899">
        <v>2</v>
      </c>
      <c r="O5" s="348"/>
      <c r="P5" s="348"/>
    </row>
    <row r="6" spans="1:17" ht="12" customHeight="1">
      <c r="D6" s="910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911"/>
      <c r="M6" s="350"/>
      <c r="O6" s="348"/>
    </row>
    <row r="7" spans="1:17" ht="12" customHeight="1">
      <c r="C7" s="912" t="str">
        <f xml:space="preserve"> "Số:"</f>
        <v>Số:</v>
      </c>
      <c r="D7" s="913" t="str">
        <f xml:space="preserve"> RIGHT($L$5,2)&amp;"/"&amp;LEFT($L$5,1)&amp;IF($N$5&gt;=10,$N$5,"0"&amp;$N$5)</f>
        <v>VL/N02</v>
      </c>
      <c r="G7" s="347" t="str">
        <f ca="1">"Nợ:  "&amp;IF(ROWS($1:1)&gt;COUNT(Dong10),"",OFFSET(TH!L$1,SMALL(Dong10,ROWS($1:1)),))</f>
        <v xml:space="preserve">Nợ:  </v>
      </c>
      <c r="M7" s="350"/>
      <c r="O7" s="348"/>
    </row>
    <row r="8" spans="1:17" ht="12" customHeight="1">
      <c r="D8" s="74"/>
      <c r="G8" s="347" t="str">
        <f ca="1">"Có:  "&amp;IF(ROWS($1:1)&gt;COUNT(Dong10),"",OFFSET(TH!M$1,SMALL(Dong10,ROWS($1:1)),))</f>
        <v xml:space="preserve">Có:  </v>
      </c>
      <c r="M8" s="350"/>
      <c r="O8" s="914"/>
    </row>
    <row r="9" spans="1:17" ht="12" customHeight="1">
      <c r="A9" s="34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50"/>
    </row>
    <row r="10" spans="1:17" ht="11.25" customHeight="1">
      <c r="A10" s="347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7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7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1" t="s">
        <v>35</v>
      </c>
      <c r="B14" s="1071" t="s">
        <v>267</v>
      </c>
      <c r="C14" s="1071" t="s">
        <v>268</v>
      </c>
      <c r="D14" s="1071" t="s">
        <v>239</v>
      </c>
      <c r="E14" s="1073" t="s">
        <v>269</v>
      </c>
      <c r="F14" s="1073"/>
      <c r="G14" s="1071" t="s">
        <v>270</v>
      </c>
      <c r="H14" s="1071" t="s">
        <v>271</v>
      </c>
    </row>
    <row r="15" spans="1:17" ht="13.5" customHeight="1">
      <c r="A15" s="1072"/>
      <c r="B15" s="1072"/>
      <c r="C15" s="1072"/>
      <c r="D15" s="1072"/>
      <c r="E15" s="915" t="s">
        <v>272</v>
      </c>
      <c r="F15" s="915" t="str">
        <f>IF(LEFT($D$7,1)="N","Thực nhập","Thực xuất")</f>
        <v>Thực xuất</v>
      </c>
      <c r="G15" s="1072"/>
      <c r="H15" s="1072"/>
    </row>
    <row r="16" spans="1:17" s="74" customFormat="1" ht="8.25" customHeight="1">
      <c r="A16" s="916" t="s">
        <v>2</v>
      </c>
      <c r="B16" s="916" t="s">
        <v>3</v>
      </c>
      <c r="C16" s="916" t="s">
        <v>4</v>
      </c>
      <c r="D16" s="916" t="s">
        <v>5</v>
      </c>
      <c r="E16" s="916">
        <v>1</v>
      </c>
      <c r="F16" s="916">
        <v>2</v>
      </c>
      <c r="G16" s="916">
        <v>3</v>
      </c>
      <c r="H16" s="916">
        <v>4</v>
      </c>
    </row>
    <row r="17" spans="1:8" ht="11.25" customHeight="1">
      <c r="A17" s="917" t="str">
        <f ca="1">IF(B17="","",ROW()-16)</f>
        <v/>
      </c>
      <c r="B17" s="918" t="str">
        <f ca="1">IF(ROWS($1:1)&gt;COUNT(Dong10),"",OFFSET(TH!F$1,SMALL(Dong10,ROWS($1:1)),))</f>
        <v/>
      </c>
      <c r="C17" s="919"/>
      <c r="D17" s="920" t="str">
        <f ca="1">IF(ISNA(VLOOKUP(B17,NXT!$C$12:$D$112,2,0)),"",VLOOKUP(B17,NXT!$C$12:$D$112,2,0))</f>
        <v/>
      </c>
      <c r="E17" s="921"/>
      <c r="F17" s="922" t="str">
        <f ca="1">IF(ROWS($1:1)&gt;COUNT(Dong10),"",OFFSET(TH!I$1,SMALL(Dong10,ROWS($1:1)),))</f>
        <v/>
      </c>
      <c r="G17" s="923" t="str">
        <f ca="1">IF(ROWS($1:1)&gt;COUNT(Dong10),"",OFFSET(TH!J$1,SMALL(Dong10,ROWS($1:1)),))</f>
        <v/>
      </c>
      <c r="H17" s="921" t="str">
        <f t="shared" ref="H17:H20" ca="1" si="0">IF(F17&lt;&gt;"",ROUND(F17*G17,0),"")</f>
        <v/>
      </c>
    </row>
    <row r="18" spans="1:8" ht="11.25" customHeight="1">
      <c r="A18" s="917" t="str">
        <f t="shared" ref="A18:A20" ca="1" si="1">IF(B18="","",A17+1)</f>
        <v/>
      </c>
      <c r="B18" s="918" t="str">
        <f ca="1">IF(ROWS($1:2)&gt;COUNT(Dong10),"",OFFSET(TH!F$1,SMALL(Dong10,ROWS($1:2)),))</f>
        <v/>
      </c>
      <c r="C18" s="919"/>
      <c r="D18" s="920" t="str">
        <f ca="1">IF(ISNA(VLOOKUP(B18,NXT!$C$12:$D$112,2,0)),"",VLOOKUP(B18,NXT!$C$12:$D$112,2,0))</f>
        <v/>
      </c>
      <c r="E18" s="921"/>
      <c r="F18" s="922" t="str">
        <f ca="1">IF(ROWS($1:2)&gt;COUNT(Dong10),"",OFFSET(TH!I$1,SMALL(Dong10,ROWS($1:2)),))</f>
        <v/>
      </c>
      <c r="G18" s="923" t="str">
        <f ca="1">IF(ROWS($1:2)&gt;COUNT(Dong10),"",OFFSET(TH!J$1,SMALL(Dong10,ROWS($1:2)),))</f>
        <v/>
      </c>
      <c r="H18" s="921" t="str">
        <f t="shared" ca="1" si="0"/>
        <v/>
      </c>
    </row>
    <row r="19" spans="1:8" ht="11.25" customHeight="1">
      <c r="A19" s="917" t="str">
        <f t="shared" ca="1" si="1"/>
        <v/>
      </c>
      <c r="B19" s="918" t="str">
        <f ca="1">IF(ROWS($1:3)&gt;COUNT(Dong10),"",OFFSET(TH!F$1,SMALL(Dong10,ROWS($1:3)),))</f>
        <v/>
      </c>
      <c r="C19" s="919"/>
      <c r="D19" s="920" t="str">
        <f ca="1">IF(ISNA(VLOOKUP(B19,NXT!$C$12:$D$112,2,0)),"",VLOOKUP(B19,NXT!$C$12:$D$112,2,0))</f>
        <v/>
      </c>
      <c r="E19" s="921"/>
      <c r="F19" s="922" t="str">
        <f ca="1">IF(ROWS($1:3)&gt;COUNT(Dong10),"",OFFSET(TH!I$1,SMALL(Dong10,ROWS($1:3)),))</f>
        <v/>
      </c>
      <c r="G19" s="923" t="str">
        <f ca="1">IF(ROWS($1:3)&gt;COUNT(Dong10),"",OFFSET(TH!J$1,SMALL(Dong10,ROWS($1:3)),))</f>
        <v/>
      </c>
      <c r="H19" s="921" t="str">
        <f t="shared" ca="1" si="0"/>
        <v/>
      </c>
    </row>
    <row r="20" spans="1:8" ht="11.25" customHeight="1">
      <c r="A20" s="917" t="str">
        <f t="shared" ca="1" si="1"/>
        <v/>
      </c>
      <c r="B20" s="918" t="str">
        <f ca="1">IF(ROWS($1:4)&gt;COUNT(Dong10),"",OFFSET(TH!F$1,SMALL(Dong10,ROWS($1:4)),))</f>
        <v/>
      </c>
      <c r="C20" s="919"/>
      <c r="D20" s="920" t="str">
        <f ca="1">IF(ISNA(VLOOKUP(B20,NXT!$C$12:$D$112,2,0)),"",VLOOKUP(B20,NXT!$C$12:$D$112,2,0))</f>
        <v/>
      </c>
      <c r="E20" s="921"/>
      <c r="F20" s="922" t="str">
        <f ca="1">IF(ROWS($1:4)&gt;COUNT(Dong10),"",OFFSET(TH!I$1,SMALL(Dong10,ROWS($1:4)),))</f>
        <v/>
      </c>
      <c r="G20" s="923" t="str">
        <f ca="1">IF(ROWS($1:4)&gt;COUNT(Dong10),"",OFFSET(TH!J$1,SMALL(Dong10,ROWS($1:4)),))</f>
        <v/>
      </c>
      <c r="H20" s="921" t="str">
        <f t="shared" ca="1" si="0"/>
        <v/>
      </c>
    </row>
    <row r="21" spans="1:8" ht="11.25" customHeight="1">
      <c r="A21" s="917" t="str">
        <f t="shared" ref="A21:A24" ca="1" si="2">IF(B21="","",A20+1)</f>
        <v/>
      </c>
      <c r="B21" s="918" t="str">
        <f ca="1">IF(ROWS($1:5)&gt;COUNT(Dong10),"",OFFSET(TH!F$1,SMALL(Dong10,ROWS($1:5)),))</f>
        <v/>
      </c>
      <c r="C21" s="919"/>
      <c r="D21" s="920" t="str">
        <f ca="1">IF(ISNA(VLOOKUP(B21,NXT!$C$12:$D$112,2,0)),"",VLOOKUP(B21,NXT!$C$12:$D$112,2,0))</f>
        <v/>
      </c>
      <c r="E21" s="921"/>
      <c r="F21" s="922" t="str">
        <f ca="1">IF(ROWS($1:5)&gt;COUNT(Dong10),"",OFFSET(TH!I$1,SMALL(Dong10,ROWS($1:5)),))</f>
        <v/>
      </c>
      <c r="G21" s="923" t="str">
        <f ca="1">IF(ROWS($1:5)&gt;COUNT(Dong10),"",OFFSET(TH!J$1,SMALL(Dong10,ROWS($1:5)),))</f>
        <v/>
      </c>
      <c r="H21" s="921" t="str">
        <f t="shared" ref="H21:H24" ca="1" si="3">IF(F21&lt;&gt;"",ROUND(F21*G21,0),"")</f>
        <v/>
      </c>
    </row>
    <row r="22" spans="1:8" ht="11.25" customHeight="1">
      <c r="A22" s="917" t="str">
        <f t="shared" ca="1" si="2"/>
        <v/>
      </c>
      <c r="B22" s="918" t="str">
        <f ca="1">IF(ROWS($1:6)&gt;COUNT(Dong10),"",OFFSET(TH!F$1,SMALL(Dong10,ROWS($1:6)),))</f>
        <v/>
      </c>
      <c r="C22" s="919"/>
      <c r="D22" s="920" t="str">
        <f ca="1">IF(ISNA(VLOOKUP(B22,NXT!$C$12:$D$112,2,0)),"",VLOOKUP(B22,NXT!$C$12:$D$112,2,0))</f>
        <v/>
      </c>
      <c r="E22" s="921"/>
      <c r="F22" s="922" t="str">
        <f ca="1">IF(ROWS($1:6)&gt;COUNT(Dong10),"",OFFSET(TH!I$1,SMALL(Dong10,ROWS($1:6)),))</f>
        <v/>
      </c>
      <c r="G22" s="923" t="str">
        <f ca="1">IF(ROWS($1:6)&gt;COUNT(Dong10),"",OFFSET(TH!J$1,SMALL(Dong10,ROWS($1:6)),))</f>
        <v/>
      </c>
      <c r="H22" s="921" t="str">
        <f t="shared" ca="1" si="3"/>
        <v/>
      </c>
    </row>
    <row r="23" spans="1:8" ht="11.25" customHeight="1">
      <c r="A23" s="917" t="str">
        <f t="shared" ca="1" si="2"/>
        <v/>
      </c>
      <c r="B23" s="918" t="str">
        <f ca="1">IF(ROWS($1:7)&gt;COUNT(Dong10),"",OFFSET(TH!F$1,SMALL(Dong10,ROWS($1:7)),))</f>
        <v/>
      </c>
      <c r="C23" s="919"/>
      <c r="D23" s="920" t="str">
        <f ca="1">IF(ISNA(VLOOKUP(B23,NXT!$C$12:$D$112,2,0)),"",VLOOKUP(B23,NXT!$C$12:$D$112,2,0))</f>
        <v/>
      </c>
      <c r="E23" s="921"/>
      <c r="F23" s="922" t="str">
        <f ca="1">IF(ROWS($1:7)&gt;COUNT(Dong10),"",OFFSET(TH!I$1,SMALL(Dong10,ROWS($1:7)),))</f>
        <v/>
      </c>
      <c r="G23" s="923" t="str">
        <f ca="1">IF(ROWS($1:7)&gt;COUNT(Dong10),"",OFFSET(TH!J$1,SMALL(Dong10,ROWS($1:7)),))</f>
        <v/>
      </c>
      <c r="H23" s="921" t="str">
        <f t="shared" ca="1" si="3"/>
        <v/>
      </c>
    </row>
    <row r="24" spans="1:8" ht="11.25" customHeight="1">
      <c r="A24" s="917" t="str">
        <f t="shared" ca="1" si="2"/>
        <v/>
      </c>
      <c r="B24" s="918" t="str">
        <f ca="1">IF(ROWS($1:8)&gt;COUNT(Dong10),"",OFFSET(TH!F$1,SMALL(Dong10,ROWS($1:8)),))</f>
        <v/>
      </c>
      <c r="C24" s="919"/>
      <c r="D24" s="920" t="str">
        <f ca="1">IF(ISNA(VLOOKUP(B24,NXT!$C$12:$D$112,2,0)),"",VLOOKUP(B24,NXT!$C$12:$D$112,2,0))</f>
        <v/>
      </c>
      <c r="E24" s="921"/>
      <c r="F24" s="922" t="str">
        <f ca="1">IF(ROWS($1:8)&gt;COUNT(Dong10),"",OFFSET(TH!I$1,SMALL(Dong10,ROWS($1:8)),))</f>
        <v/>
      </c>
      <c r="G24" s="923" t="str">
        <f ca="1">IF(ROWS($1:8)&gt;COUNT(Dong10),"",OFFSET(TH!J$1,SMALL(Dong10,ROWS($1:8)),))</f>
        <v/>
      </c>
      <c r="H24" s="921" t="str">
        <f t="shared" ca="1" si="3"/>
        <v/>
      </c>
    </row>
    <row r="25" spans="1:8" ht="11.25" customHeight="1">
      <c r="A25" s="917" t="str">
        <f t="shared" ref="A25" ca="1" si="4">IF(B25="","",A24+1)</f>
        <v/>
      </c>
      <c r="B25" s="918" t="str">
        <f ca="1">IF(ROWS($1:9)&gt;COUNT(Dong10),"",OFFSET(TH!F$1,SMALL(Dong10,ROWS($1:9)),))</f>
        <v/>
      </c>
      <c r="C25" s="919"/>
      <c r="D25" s="920" t="str">
        <f ca="1">IF(ISNA(VLOOKUP(B25,NXT!$C$12:$D$112,2,0)),"",VLOOKUP(B25,NXT!$C$12:$D$112,2,0))</f>
        <v/>
      </c>
      <c r="E25" s="921"/>
      <c r="F25" s="922" t="str">
        <f ca="1">IF(ROWS($1:9)&gt;COUNT(Dong10),"",OFFSET(TH!I$1,SMALL(Dong10,ROWS($1:9)),))</f>
        <v/>
      </c>
      <c r="G25" s="923" t="str">
        <f ca="1">IF(ROWS($1:9)&gt;COUNT(Dong10),"",OFFSET(TH!J$1,SMALL(Dong10,ROWS($1:9)),))</f>
        <v/>
      </c>
      <c r="H25" s="921" t="str">
        <f t="shared" ref="H25:H26" ca="1" si="5">IF(F25&lt;&gt;"",ROUND(F25*G25,0),"")</f>
        <v/>
      </c>
    </row>
    <row r="26" spans="1:8" ht="11.25" customHeight="1">
      <c r="A26" s="917" t="str">
        <f ca="1">IF(B26="","",#REF!+1)</f>
        <v/>
      </c>
      <c r="B26" s="918" t="str">
        <f ca="1">IF(ROWS($1:11)&gt;COUNT(Dong10),"",OFFSET(TH!F$1,SMALL(Dong10,ROWS($1:11)),))</f>
        <v/>
      </c>
      <c r="C26" s="919"/>
      <c r="D26" s="920" t="str">
        <f ca="1">IF(ISNA(VLOOKUP(B26,NXT!$C$12:$D$112,2,0)),"",VLOOKUP(B26,NXT!$C$12:$D$112,2,0))</f>
        <v/>
      </c>
      <c r="E26" s="921"/>
      <c r="F26" s="922" t="str">
        <f ca="1">IF(ROWS($1:11)&gt;COUNT(Dong10),"",OFFSET(TH!I$1,SMALL(Dong10,ROWS($1:11)),))</f>
        <v/>
      </c>
      <c r="G26" s="923" t="str">
        <f ca="1">IF(ROWS($1:11)&gt;COUNT(Dong10),"",OFFSET(TH!J$1,SMALL(Dong10,ROWS($1:11)),))</f>
        <v/>
      </c>
      <c r="H26" s="921" t="str">
        <f t="shared" ca="1" si="5"/>
        <v/>
      </c>
    </row>
    <row r="27" spans="1:8" ht="11.25" customHeight="1">
      <c r="A27" s="1073" t="s">
        <v>273</v>
      </c>
      <c r="B27" s="1073"/>
      <c r="C27" s="924"/>
      <c r="D27" s="924"/>
      <c r="E27" s="925"/>
      <c r="F27" s="925"/>
      <c r="G27" s="925"/>
      <c r="H27" s="925">
        <f ca="1">SUM(H17:H26)</f>
        <v>0</v>
      </c>
    </row>
    <row r="28" spans="1:8" ht="3" customHeight="1">
      <c r="A28" s="926"/>
      <c r="B28" s="926"/>
      <c r="C28" s="350"/>
      <c r="D28" s="350"/>
      <c r="E28" s="927"/>
      <c r="F28" s="927"/>
      <c r="G28" s="927"/>
      <c r="H28" s="927"/>
    </row>
    <row r="29" spans="1:8" ht="12.75" customHeight="1">
      <c r="A29" s="347" t="e">
        <f ca="1">"Tổng số tiền (viết bằng chữ):  "&amp; [1]!VND(H27, TRUE)</f>
        <v>#NAME?</v>
      </c>
    </row>
    <row r="30" spans="1:8" ht="12" customHeight="1">
      <c r="A30" s="347" t="str">
        <f>"Số chứng từ gốc kèm theo :  "</f>
        <v xml:space="preserve">Số chứng từ gốc kèm theo :  </v>
      </c>
    </row>
    <row r="31" spans="1:8" ht="12" customHeight="1">
      <c r="F31" s="74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2" spans="1:8" s="349" customFormat="1" ht="12" customHeight="1">
      <c r="A32" s="928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3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3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09" customFormat="1" ht="11.25" customHeight="1"/>
    <row r="39" spans="1:8" ht="11.25" customHeight="1">
      <c r="A39" s="355" t="s">
        <v>499</v>
      </c>
      <c r="F39" s="356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8" customWidth="1"/>
    <col min="2" max="2" width="8.5703125" style="358" customWidth="1"/>
    <col min="3" max="3" width="11" style="358" customWidth="1"/>
    <col min="4" max="4" width="41.7109375" style="358" customWidth="1"/>
    <col min="5" max="5" width="8" style="371" customWidth="1"/>
    <col min="6" max="6" width="8.85546875" style="358" customWidth="1"/>
    <col min="7" max="7" width="9" style="358" customWidth="1"/>
    <col min="8" max="8" width="14.140625" style="358" customWidth="1"/>
    <col min="9" max="9" width="8.85546875" style="358" customWidth="1"/>
    <col min="10" max="10" width="13.42578125" style="358" customWidth="1"/>
    <col min="11" max="11" width="10.140625" style="358" customWidth="1"/>
    <col min="12" max="12" width="13" style="358" customWidth="1"/>
    <col min="13" max="13" width="7.140625" style="358" customWidth="1"/>
    <col min="14" max="14" width="2" style="358" customWidth="1"/>
    <col min="15" max="15" width="5.5703125" style="358" customWidth="1"/>
    <col min="16" max="16" width="4.42578125" style="358" customWidth="1"/>
    <col min="17" max="16384" width="23.85546875" style="358"/>
  </cols>
  <sheetData>
    <row r="1" spans="1:17">
      <c r="A1" s="357" t="s">
        <v>276</v>
      </c>
      <c r="E1" s="358"/>
      <c r="O1" s="359"/>
    </row>
    <row r="2" spans="1:17" s="283" customFormat="1" ht="16.5" customHeight="1">
      <c r="B2" s="360" t="str">
        <f>TH!A1</f>
        <v>Đơn vị: CÔNG TY TNHH HẢI SẢN AN LẠC</v>
      </c>
      <c r="C2" s="361"/>
      <c r="D2" s="362"/>
      <c r="E2" s="363"/>
      <c r="F2" s="2"/>
      <c r="J2" s="1081" t="s">
        <v>277</v>
      </c>
      <c r="K2" s="1081"/>
      <c r="L2" s="1081"/>
      <c r="M2" s="1081"/>
      <c r="N2" s="364"/>
    </row>
    <row r="3" spans="1:17" s="283" customFormat="1" ht="16.5" customHeight="1">
      <c r="B3" s="821" t="str">
        <f>TH!A2</f>
        <v>Địa chỉ: Lô A14, Đường 4A, KCN Hải Sơn, Đức Hòa, Long An</v>
      </c>
      <c r="C3" s="360"/>
      <c r="D3" s="360"/>
      <c r="E3" s="365"/>
      <c r="F3" s="360"/>
      <c r="J3" s="1082" t="s">
        <v>48</v>
      </c>
      <c r="K3" s="1082"/>
      <c r="L3" s="1082"/>
      <c r="M3" s="1082"/>
      <c r="N3" s="366"/>
    </row>
    <row r="4" spans="1:17" s="283" customFormat="1" ht="16.5" customHeight="1">
      <c r="B4" s="360"/>
      <c r="C4" s="360"/>
      <c r="D4" s="360"/>
      <c r="E4" s="365"/>
      <c r="F4" s="360"/>
      <c r="J4" s="1082"/>
      <c r="K4" s="1082"/>
      <c r="L4" s="1082"/>
      <c r="M4" s="1082"/>
      <c r="N4" s="366"/>
    </row>
    <row r="5" spans="1:17" ht="18.75" customHeight="1">
      <c r="B5" s="1083" t="s">
        <v>278</v>
      </c>
      <c r="C5" s="1083"/>
      <c r="D5" s="1083"/>
      <c r="E5" s="1083"/>
      <c r="F5" s="1083"/>
      <c r="G5" s="1083"/>
      <c r="H5" s="1083"/>
      <c r="I5" s="1083"/>
      <c r="J5" s="1083"/>
      <c r="K5" s="1083"/>
      <c r="L5" s="1083"/>
      <c r="M5" s="1083"/>
      <c r="N5" s="367"/>
    </row>
    <row r="6" spans="1:17" s="368" customFormat="1" ht="12.75">
      <c r="B6" s="1084" t="s">
        <v>279</v>
      </c>
      <c r="C6" s="1084"/>
      <c r="D6" s="1084"/>
      <c r="E6" s="1084"/>
      <c r="F6" s="1084"/>
      <c r="G6" s="1084"/>
      <c r="H6" s="1084"/>
      <c r="I6" s="1084"/>
      <c r="J6" s="1084"/>
      <c r="K6" s="1084"/>
      <c r="L6" s="1084"/>
      <c r="M6" s="1084"/>
      <c r="N6" s="369"/>
    </row>
    <row r="7" spans="1:17">
      <c r="C7" s="370"/>
      <c r="D7" s="370"/>
      <c r="F7" s="372" t="s">
        <v>380</v>
      </c>
      <c r="G7" s="604" t="str">
        <f>IF($O$10="VL","1522",IF($O$10="NL","1521",IF($O$10="TP","155","")))</f>
        <v>1522</v>
      </c>
      <c r="H7" s="372" t="s">
        <v>280</v>
      </c>
      <c r="I7" s="370" t="str">
        <f>IF($O$10="NL","Nguyên Liệu",IF($O$10="TP","Thành Phẩm",IF($O$10="VL","Vật Liệu","")))</f>
        <v>Vật Liệu</v>
      </c>
      <c r="J7" s="370"/>
      <c r="K7" s="370"/>
      <c r="L7" s="370"/>
      <c r="M7" s="370"/>
      <c r="N7" s="371"/>
    </row>
    <row r="8" spans="1:17">
      <c r="B8" s="371"/>
      <c r="C8" s="370"/>
      <c r="D8" s="370"/>
      <c r="F8" s="371" t="s">
        <v>281</v>
      </c>
      <c r="H8" s="370"/>
      <c r="I8" s="370"/>
      <c r="J8" s="1085" t="s">
        <v>491</v>
      </c>
      <c r="K8" s="1085"/>
      <c r="L8" s="1085"/>
      <c r="M8" s="370"/>
      <c r="N8" s="370"/>
    </row>
    <row r="9" spans="1:17">
      <c r="D9" s="373"/>
      <c r="E9" s="374"/>
      <c r="F9" s="373"/>
      <c r="G9" s="373"/>
      <c r="H9" s="373"/>
      <c r="I9" s="373"/>
      <c r="J9" s="373"/>
      <c r="K9" s="373" t="s">
        <v>130</v>
      </c>
      <c r="M9" s="375"/>
      <c r="N9" s="376"/>
    </row>
    <row r="10" spans="1:17" ht="15.75" customHeight="1">
      <c r="A10" s="1075" t="s">
        <v>35</v>
      </c>
      <c r="B10" s="1076" t="s">
        <v>1</v>
      </c>
      <c r="C10" s="1076"/>
      <c r="D10" s="1077" t="s">
        <v>0</v>
      </c>
      <c r="E10" s="1077" t="s">
        <v>282</v>
      </c>
      <c r="F10" s="1077" t="s">
        <v>270</v>
      </c>
      <c r="G10" s="1079" t="s">
        <v>283</v>
      </c>
      <c r="H10" s="1080"/>
      <c r="I10" s="1079" t="s">
        <v>284</v>
      </c>
      <c r="J10" s="1080"/>
      <c r="K10" s="1079" t="s">
        <v>285</v>
      </c>
      <c r="L10" s="1080"/>
      <c r="M10" s="1077" t="s">
        <v>134</v>
      </c>
      <c r="N10" s="377"/>
      <c r="O10" s="378" t="s">
        <v>286</v>
      </c>
    </row>
    <row r="11" spans="1:17" ht="31.5" customHeight="1">
      <c r="A11" s="1075"/>
      <c r="B11" s="379" t="s">
        <v>15</v>
      </c>
      <c r="C11" s="379" t="s">
        <v>32</v>
      </c>
      <c r="D11" s="1077"/>
      <c r="E11" s="1077"/>
      <c r="F11" s="1077"/>
      <c r="G11" s="379" t="s">
        <v>269</v>
      </c>
      <c r="H11" s="379" t="s">
        <v>271</v>
      </c>
      <c r="I11" s="379" t="s">
        <v>269</v>
      </c>
      <c r="J11" s="379" t="s">
        <v>271</v>
      </c>
      <c r="K11" s="379" t="s">
        <v>269</v>
      </c>
      <c r="L11" s="379" t="s">
        <v>271</v>
      </c>
      <c r="M11" s="1077"/>
      <c r="N11" s="377"/>
    </row>
    <row r="12" spans="1:17" s="371" customFormat="1">
      <c r="A12" s="380"/>
      <c r="B12" s="381" t="s">
        <v>2</v>
      </c>
      <c r="C12" s="382" t="s">
        <v>3</v>
      </c>
      <c r="D12" s="382" t="s">
        <v>4</v>
      </c>
      <c r="E12" s="381" t="s">
        <v>5</v>
      </c>
      <c r="F12" s="381">
        <v>1</v>
      </c>
      <c r="G12" s="381">
        <v>2</v>
      </c>
      <c r="H12" s="381" t="s">
        <v>287</v>
      </c>
      <c r="I12" s="381">
        <v>4</v>
      </c>
      <c r="J12" s="381" t="s">
        <v>288</v>
      </c>
      <c r="K12" s="381">
        <v>6</v>
      </c>
      <c r="L12" s="381" t="s">
        <v>289</v>
      </c>
      <c r="M12" s="381"/>
      <c r="N12" s="383"/>
    </row>
    <row r="13" spans="1:17">
      <c r="A13" s="384"/>
      <c r="B13" s="384"/>
      <c r="C13" s="384"/>
      <c r="D13" s="385" t="s">
        <v>154</v>
      </c>
      <c r="E13" s="386"/>
      <c r="F13" s="387"/>
      <c r="G13" s="387"/>
      <c r="H13" s="387"/>
      <c r="I13" s="387"/>
      <c r="J13" s="387"/>
      <c r="K13" s="388">
        <f>VLOOKUP($J$8,NXT!$C$12:$L$112,3,0)</f>
        <v>0</v>
      </c>
      <c r="L13" s="388">
        <f>VLOOKUP($J$8,NXT!$C$12:$L$112,4,0)</f>
        <v>0</v>
      </c>
      <c r="M13" s="387"/>
      <c r="N13" s="383"/>
    </row>
    <row r="14" spans="1:17">
      <c r="A14" s="354">
        <f ca="1">IF(B14="","",ROW()-13)</f>
        <v>1</v>
      </c>
      <c r="B14" s="389">
        <f ca="1">IF(ROWS($1:1)&gt;COUNT(Dong11),"",OFFSET(TH!D$1,SMALL(Dong11,ROWS($1:1)),))</f>
        <v>0</v>
      </c>
      <c r="C14" s="390">
        <f ca="1">IF(ROWS($1:1)&gt;COUNT(Dong11),"",OFFSET(TH!E$1,SMALL(Dong11,ROWS($1:1)),))</f>
        <v>41281</v>
      </c>
      <c r="D14" s="391" t="str">
        <f ca="1">IF(ROWS($1:1)&gt;COUNT(Dong11),"",OFFSET(TH!H$1,SMALL(Dong11,ROWS($1:1)),))</f>
        <v>Cty TNHH Thành Thành Dũng</v>
      </c>
      <c r="E14" s="389" t="str">
        <f ca="1">IF(ROWS($1:1)&gt;COUNT(Dong11),"",IF(OFFSET(TH!L$1,SMALL(Dong11,ROWS($1:1)),)=$G$7,OFFSET(TH!M$1,SMALL(Dong11,ROWS($1:1)),),OFFSET(TH!L$1,SMALL(Dong11,ROWS($1:1)),)))</f>
        <v>331</v>
      </c>
      <c r="F14" s="392">
        <f ca="1">IF(ROWS($1:1)&gt;COUNT(Dong11),0,OFFSET(TH!J$1,SMALL(Dong11,ROWS($1:1)),))</f>
        <v>25000</v>
      </c>
      <c r="G14" s="392">
        <f ca="1">IF(ROWS($1:1)&gt;COUNT(Dong11),0,IF(MID(OFFSET(TH!D$1,SMALL(Dong11,ROWS($1:1)),),4,1)="N",OFFSET(TH!I$1,SMALL(Dong11,ROWS($1:1)),),0))</f>
        <v>0</v>
      </c>
      <c r="H14" s="393">
        <f ca="1">ROUND(F14*G14,0)</f>
        <v>0</v>
      </c>
      <c r="I14" s="392">
        <f ca="1">IF(ROWS($1:1)&gt;COUNT(Dong11),0,IF(MID(OFFSET(TH!D$1,SMALL(Dong11,ROWS($1:1)),),4,1)="X",OFFSET(TH!I$1,SMALL(Dong11,ROWS($1:1)),),0))</f>
        <v>0</v>
      </c>
      <c r="J14" s="393">
        <f ca="1">ROUND(F14*I14,0)</f>
        <v>0</v>
      </c>
      <c r="K14" s="393">
        <f ca="1">IF(D14&lt;&gt;"",K13+G14-I14,0)</f>
        <v>0</v>
      </c>
      <c r="L14" s="393">
        <f ca="1">IF(D14&lt;&gt;"",L13+H14-J14,0)</f>
        <v>0</v>
      </c>
      <c r="M14" s="393"/>
      <c r="N14" s="383"/>
    </row>
    <row r="15" spans="1:17">
      <c r="A15" s="354" t="str">
        <f t="shared" ref="A15:A24" ca="1" si="0">IF(B15="","",A14+1)</f>
        <v/>
      </c>
      <c r="B15" s="389" t="str">
        <f ca="1">IF(ROWS($1:2)&gt;COUNT(Dong11),"",OFFSET(TH!D$1,SMALL(Dong11,ROWS($1:2)),))</f>
        <v/>
      </c>
      <c r="C15" s="390" t="str">
        <f ca="1">IF(ROWS($1:2)&gt;COUNT(Dong11),"",OFFSET(TH!E$1,SMALL(Dong11,ROWS($1:2)),))</f>
        <v/>
      </c>
      <c r="D15" s="391" t="str">
        <f ca="1">IF(ROWS($1:2)&gt;COUNT(Dong11),"",OFFSET(TH!H$1,SMALL(Dong11,ROWS($1:2)),))</f>
        <v/>
      </c>
      <c r="E15" s="389" t="str">
        <f ca="1">IF(ROWS($1:2)&gt;COUNT(Dong11),"",IF(OFFSET(TH!L$1,SMALL(Dong11,ROWS($1:2)),)=$G$7,OFFSET(TH!M$1,SMALL(Dong11,ROWS($1:2)),),OFFSET(TH!L$1,SMALL(Dong11,ROWS($1:2)),)))</f>
        <v/>
      </c>
      <c r="F15" s="392">
        <f ca="1">IF(ROWS($1:2)&gt;COUNT(Dong11),0,OFFSET(TH!J$1,SMALL(Dong11,ROWS($1:2)),))</f>
        <v>0</v>
      </c>
      <c r="G15" s="392">
        <f ca="1">IF(ROWS($1:2)&gt;COUNT(Dong11),0,IF(MID(OFFSET(TH!D$1,SMALL(Dong11,ROWS($1:2)),),4,1)="N",OFFSET(TH!I$1,SMALL(Dong11,ROWS($1:2)),),0))</f>
        <v>0</v>
      </c>
      <c r="H15" s="393">
        <f t="shared" ref="H15:H24" ca="1" si="1">ROUND(F15*G15,0)</f>
        <v>0</v>
      </c>
      <c r="I15" s="392">
        <f ca="1">IF(ROWS($1:2)&gt;COUNT(Dong11),0,IF(MID(OFFSET(TH!D$1,SMALL(Dong11,ROWS($1:2)),),4,1)="X",OFFSET(TH!I$1,SMALL(Dong11,ROWS($1:2)),),0))</f>
        <v>0</v>
      </c>
      <c r="J15" s="393">
        <f t="shared" ref="J15:J24" ca="1" si="2">ROUND(F15*I15,0)</f>
        <v>0</v>
      </c>
      <c r="K15" s="393">
        <f t="shared" ref="K15:K24" ca="1" si="3">IF(D15&lt;&gt;"",K14+G15-I15,0)</f>
        <v>0</v>
      </c>
      <c r="L15" s="393">
        <f t="shared" ref="L15:L24" ca="1" si="4">IF(D15&lt;&gt;"",L14+H15-J15,0)</f>
        <v>0</v>
      </c>
      <c r="M15" s="393"/>
      <c r="N15" s="383"/>
      <c r="Q15" s="394"/>
    </row>
    <row r="16" spans="1:17">
      <c r="A16" s="354" t="str">
        <f t="shared" ca="1" si="0"/>
        <v/>
      </c>
      <c r="B16" s="389" t="str">
        <f ca="1">IF(ROWS($1:3)&gt;COUNT(Dong11),"",OFFSET(TH!D$1,SMALL(Dong11,ROWS($1:3)),))</f>
        <v/>
      </c>
      <c r="C16" s="390" t="str">
        <f ca="1">IF(ROWS($1:3)&gt;COUNT(Dong11),"",OFFSET(TH!E$1,SMALL(Dong11,ROWS($1:3)),))</f>
        <v/>
      </c>
      <c r="D16" s="391" t="str">
        <f ca="1">IF(ROWS($1:3)&gt;COUNT(Dong11),"",OFFSET(TH!H$1,SMALL(Dong11,ROWS($1:3)),))</f>
        <v/>
      </c>
      <c r="E16" s="389" t="str">
        <f ca="1">IF(ROWS($1:3)&gt;COUNT(Dong11),"",IF(OFFSET(TH!L$1,SMALL(Dong11,ROWS($1:3)),)=$G$7,OFFSET(TH!M$1,SMALL(Dong11,ROWS($1:3)),),OFFSET(TH!L$1,SMALL(Dong11,ROWS($1:3)),)))</f>
        <v/>
      </c>
      <c r="F16" s="392">
        <f ca="1">IF(ROWS($1:3)&gt;COUNT(Dong11),0,OFFSET(TH!J$1,SMALL(Dong11,ROWS($1:3)),))</f>
        <v>0</v>
      </c>
      <c r="G16" s="392">
        <f ca="1">IF(ROWS($1:3)&gt;COUNT(Dong11),0,IF(MID(OFFSET(TH!D$1,SMALL(Dong11,ROWS($1:3)),),4,1)="N",OFFSET(TH!I$1,SMALL(Dong11,ROWS($1:3)),),0))</f>
        <v>0</v>
      </c>
      <c r="H16" s="393">
        <f t="shared" ca="1" si="1"/>
        <v>0</v>
      </c>
      <c r="I16" s="392">
        <f ca="1">IF(ROWS($1:3)&gt;COUNT(Dong11),0,IF(MID(OFFSET(TH!D$1,SMALL(Dong11,ROWS($1:3)),),4,1)="X",OFFSET(TH!I$1,SMALL(Dong11,ROWS($1:3)),),0))</f>
        <v>0</v>
      </c>
      <c r="J16" s="393">
        <f t="shared" ca="1" si="2"/>
        <v>0</v>
      </c>
      <c r="K16" s="393">
        <f t="shared" ca="1" si="3"/>
        <v>0</v>
      </c>
      <c r="L16" s="393">
        <f t="shared" ca="1" si="4"/>
        <v>0</v>
      </c>
      <c r="M16" s="393"/>
      <c r="N16" s="383"/>
    </row>
    <row r="17" spans="1:16">
      <c r="A17" s="354" t="str">
        <f t="shared" ca="1" si="0"/>
        <v/>
      </c>
      <c r="B17" s="389" t="str">
        <f ca="1">IF(ROWS($1:4)&gt;COUNT(Dong11),"",OFFSET(TH!D$1,SMALL(Dong11,ROWS($1:4)),))</f>
        <v/>
      </c>
      <c r="C17" s="390" t="str">
        <f ca="1">IF(ROWS($1:4)&gt;COUNT(Dong11),"",OFFSET(TH!E$1,SMALL(Dong11,ROWS($1:4)),))</f>
        <v/>
      </c>
      <c r="D17" s="391" t="str">
        <f ca="1">IF(ROWS($1:4)&gt;COUNT(Dong11),"",OFFSET(TH!H$1,SMALL(Dong11,ROWS($1:4)),))</f>
        <v/>
      </c>
      <c r="E17" s="389" t="str">
        <f ca="1">IF(ROWS($1:4)&gt;COUNT(Dong11),"",IF(OFFSET(TH!L$1,SMALL(Dong11,ROWS($1:4)),)=$G$7,OFFSET(TH!M$1,SMALL(Dong11,ROWS($1:4)),),OFFSET(TH!L$1,SMALL(Dong11,ROWS($1:4)),)))</f>
        <v/>
      </c>
      <c r="F17" s="392">
        <f ca="1">IF(ROWS($1:4)&gt;COUNT(Dong11),0,OFFSET(TH!J$1,SMALL(Dong11,ROWS($1:4)),))</f>
        <v>0</v>
      </c>
      <c r="G17" s="392">
        <f ca="1">IF(ROWS($1:4)&gt;COUNT(Dong11),0,IF(MID(OFFSET(TH!D$1,SMALL(Dong11,ROWS($1:4)),),4,1)="N",OFFSET(TH!I$1,SMALL(Dong11,ROWS($1:4)),),0))</f>
        <v>0</v>
      </c>
      <c r="H17" s="393">
        <f t="shared" ca="1" si="1"/>
        <v>0</v>
      </c>
      <c r="I17" s="392">
        <f ca="1">IF(ROWS($1:4)&gt;COUNT(Dong11),0,IF(MID(OFFSET(TH!D$1,SMALL(Dong11,ROWS($1:4)),),4,1)="X",OFFSET(TH!I$1,SMALL(Dong11,ROWS($1:4)),),0))</f>
        <v>0</v>
      </c>
      <c r="J17" s="393">
        <f t="shared" ca="1" si="2"/>
        <v>0</v>
      </c>
      <c r="K17" s="393">
        <f t="shared" ca="1" si="3"/>
        <v>0</v>
      </c>
      <c r="L17" s="393">
        <f t="shared" ca="1" si="4"/>
        <v>0</v>
      </c>
      <c r="M17" s="393"/>
      <c r="N17" s="383"/>
      <c r="P17" s="395"/>
    </row>
    <row r="18" spans="1:16">
      <c r="A18" s="354" t="str">
        <f t="shared" ca="1" si="0"/>
        <v/>
      </c>
      <c r="B18" s="389" t="str">
        <f ca="1">IF(ROWS($1:5)&gt;COUNT(Dong11),"",OFFSET(TH!D$1,SMALL(Dong11,ROWS($1:5)),))</f>
        <v/>
      </c>
      <c r="C18" s="390" t="str">
        <f ca="1">IF(ROWS($1:5)&gt;COUNT(Dong11),"",OFFSET(TH!E$1,SMALL(Dong11,ROWS($1:5)),))</f>
        <v/>
      </c>
      <c r="D18" s="391" t="str">
        <f ca="1">IF(ROWS($1:5)&gt;COUNT(Dong11),"",OFFSET(TH!H$1,SMALL(Dong11,ROWS($1:5)),))</f>
        <v/>
      </c>
      <c r="E18" s="389" t="str">
        <f ca="1">IF(ROWS($1:5)&gt;COUNT(Dong11),"",IF(OFFSET(TH!L$1,SMALL(Dong11,ROWS($1:5)),)=$G$7,OFFSET(TH!M$1,SMALL(Dong11,ROWS($1:5)),),OFFSET(TH!L$1,SMALL(Dong11,ROWS($1:5)),)))</f>
        <v/>
      </c>
      <c r="F18" s="392">
        <f ca="1">IF(ROWS($1:5)&gt;COUNT(Dong11),0,OFFSET(TH!J$1,SMALL(Dong11,ROWS($1:5)),))</f>
        <v>0</v>
      </c>
      <c r="G18" s="392">
        <f ca="1">IF(ROWS($1:5)&gt;COUNT(Dong11),0,IF(MID(OFFSET(TH!D$1,SMALL(Dong11,ROWS($1:5)),),4,1)="N",OFFSET(TH!I$1,SMALL(Dong11,ROWS($1:5)),),0))</f>
        <v>0</v>
      </c>
      <c r="H18" s="393">
        <f t="shared" ca="1" si="1"/>
        <v>0</v>
      </c>
      <c r="I18" s="392">
        <f ca="1">IF(ROWS($1:5)&gt;COUNT(Dong11),0,IF(MID(OFFSET(TH!D$1,SMALL(Dong11,ROWS($1:5)),),4,1)="X",OFFSET(TH!I$1,SMALL(Dong11,ROWS($1:5)),),0))</f>
        <v>0</v>
      </c>
      <c r="J18" s="393">
        <f t="shared" ca="1" si="2"/>
        <v>0</v>
      </c>
      <c r="K18" s="393">
        <f t="shared" ca="1" si="3"/>
        <v>0</v>
      </c>
      <c r="L18" s="393">
        <f t="shared" ca="1" si="4"/>
        <v>0</v>
      </c>
      <c r="M18" s="393"/>
      <c r="N18" s="383"/>
    </row>
    <row r="19" spans="1:16">
      <c r="A19" s="354" t="str">
        <f t="shared" ca="1" si="0"/>
        <v/>
      </c>
      <c r="B19" s="389" t="str">
        <f ca="1">IF(ROWS($1:6)&gt;COUNT(Dong11),"",OFFSET(TH!D$1,SMALL(Dong11,ROWS($1:6)),))</f>
        <v/>
      </c>
      <c r="C19" s="390" t="str">
        <f ca="1">IF(ROWS($1:6)&gt;COUNT(Dong11),"",OFFSET(TH!E$1,SMALL(Dong11,ROWS($1:6)),))</f>
        <v/>
      </c>
      <c r="D19" s="391" t="str">
        <f ca="1">IF(ROWS($1:6)&gt;COUNT(Dong11),"",OFFSET(TH!H$1,SMALL(Dong11,ROWS($1:6)),))</f>
        <v/>
      </c>
      <c r="E19" s="389" t="str">
        <f ca="1">IF(ROWS($1:6)&gt;COUNT(Dong11),"",IF(OFFSET(TH!L$1,SMALL(Dong11,ROWS($1:6)),)=$G$7,OFFSET(TH!M$1,SMALL(Dong11,ROWS($1:6)),),OFFSET(TH!L$1,SMALL(Dong11,ROWS($1:6)),)))</f>
        <v/>
      </c>
      <c r="F19" s="392">
        <f ca="1">IF(ROWS($1:6)&gt;COUNT(Dong11),0,OFFSET(TH!J$1,SMALL(Dong11,ROWS($1:6)),))</f>
        <v>0</v>
      </c>
      <c r="G19" s="392">
        <f ca="1">IF(ROWS($1:6)&gt;COUNT(Dong11),0,IF(MID(OFFSET(TH!D$1,SMALL(Dong11,ROWS($1:6)),),4,1)="N",OFFSET(TH!I$1,SMALL(Dong11,ROWS($1:6)),),0))</f>
        <v>0</v>
      </c>
      <c r="H19" s="393">
        <f t="shared" ca="1" si="1"/>
        <v>0</v>
      </c>
      <c r="I19" s="392">
        <f ca="1">IF(ROWS($1:6)&gt;COUNT(Dong11),0,IF(MID(OFFSET(TH!D$1,SMALL(Dong11,ROWS($1:6)),),4,1)="X",OFFSET(TH!I$1,SMALL(Dong11,ROWS($1:6)),),0))</f>
        <v>0</v>
      </c>
      <c r="J19" s="393">
        <f t="shared" ca="1" si="2"/>
        <v>0</v>
      </c>
      <c r="K19" s="393">
        <f t="shared" ca="1" si="3"/>
        <v>0</v>
      </c>
      <c r="L19" s="393">
        <f t="shared" ca="1" si="4"/>
        <v>0</v>
      </c>
      <c r="M19" s="393"/>
      <c r="N19" s="383"/>
    </row>
    <row r="20" spans="1:16">
      <c r="A20" s="354" t="str">
        <f t="shared" ca="1" si="0"/>
        <v/>
      </c>
      <c r="B20" s="389" t="str">
        <f ca="1">IF(ROWS($1:7)&gt;COUNT(Dong11),"",OFFSET(TH!D$1,SMALL(Dong11,ROWS($1:7)),))</f>
        <v/>
      </c>
      <c r="C20" s="390" t="str">
        <f ca="1">IF(ROWS($1:7)&gt;COUNT(Dong11),"",OFFSET(TH!E$1,SMALL(Dong11,ROWS($1:7)),))</f>
        <v/>
      </c>
      <c r="D20" s="391" t="str">
        <f ca="1">IF(ROWS($1:7)&gt;COUNT(Dong11),"",OFFSET(TH!H$1,SMALL(Dong11,ROWS($1:7)),))</f>
        <v/>
      </c>
      <c r="E20" s="389" t="str">
        <f ca="1">IF(ROWS($1:7)&gt;COUNT(Dong11),"",IF(OFFSET(TH!L$1,SMALL(Dong11,ROWS($1:7)),)=$G$7,OFFSET(TH!M$1,SMALL(Dong11,ROWS($1:7)),),OFFSET(TH!L$1,SMALL(Dong11,ROWS($1:7)),)))</f>
        <v/>
      </c>
      <c r="F20" s="392">
        <f ca="1">IF(ROWS($1:7)&gt;COUNT(Dong11),0,OFFSET(TH!J$1,SMALL(Dong11,ROWS($1:7)),))</f>
        <v>0</v>
      </c>
      <c r="G20" s="392">
        <f ca="1">IF(ROWS($1:7)&gt;COUNT(Dong11),0,IF(MID(OFFSET(TH!D$1,SMALL(Dong11,ROWS($1:7)),),4,1)="N",OFFSET(TH!I$1,SMALL(Dong11,ROWS($1:7)),),0))</f>
        <v>0</v>
      </c>
      <c r="H20" s="393">
        <f t="shared" ca="1" si="1"/>
        <v>0</v>
      </c>
      <c r="I20" s="392">
        <f ca="1">IF(ROWS($1:7)&gt;COUNT(Dong11),0,IF(MID(OFFSET(TH!D$1,SMALL(Dong11,ROWS($1:7)),),4,1)="X",OFFSET(TH!I$1,SMALL(Dong11,ROWS($1:7)),),0))</f>
        <v>0</v>
      </c>
      <c r="J20" s="393">
        <f t="shared" ca="1" si="2"/>
        <v>0</v>
      </c>
      <c r="K20" s="393">
        <f t="shared" ca="1" si="3"/>
        <v>0</v>
      </c>
      <c r="L20" s="393">
        <f t="shared" ca="1" si="4"/>
        <v>0</v>
      </c>
      <c r="M20" s="393"/>
      <c r="N20" s="383"/>
    </row>
    <row r="21" spans="1:16">
      <c r="A21" s="354" t="str">
        <f t="shared" ca="1" si="0"/>
        <v/>
      </c>
      <c r="B21" s="389" t="str">
        <f ca="1">IF(ROWS($1:8)&gt;COUNT(Dong11),"",OFFSET(TH!D$1,SMALL(Dong11,ROWS($1:8)),))</f>
        <v/>
      </c>
      <c r="C21" s="390" t="str">
        <f ca="1">IF(ROWS($1:8)&gt;COUNT(Dong11),"",OFFSET(TH!E$1,SMALL(Dong11,ROWS($1:8)),))</f>
        <v/>
      </c>
      <c r="D21" s="391" t="str">
        <f ca="1">IF(ROWS($1:8)&gt;COUNT(Dong11),"",OFFSET(TH!H$1,SMALL(Dong11,ROWS($1:8)),))</f>
        <v/>
      </c>
      <c r="E21" s="389" t="str">
        <f ca="1">IF(ROWS($1:8)&gt;COUNT(Dong11),"",IF(OFFSET(TH!L$1,SMALL(Dong11,ROWS($1:8)),)=$G$7,OFFSET(TH!M$1,SMALL(Dong11,ROWS($1:8)),),OFFSET(TH!L$1,SMALL(Dong11,ROWS($1:8)),)))</f>
        <v/>
      </c>
      <c r="F21" s="392">
        <f ca="1">IF(ROWS($1:8)&gt;COUNT(Dong11),0,OFFSET(TH!J$1,SMALL(Dong11,ROWS($1:8)),))</f>
        <v>0</v>
      </c>
      <c r="G21" s="392">
        <f ca="1">IF(ROWS($1:8)&gt;COUNT(Dong11),0,IF(MID(OFFSET(TH!D$1,SMALL(Dong11,ROWS($1:8)),),4,1)="N",OFFSET(TH!I$1,SMALL(Dong11,ROWS($1:8)),),0))</f>
        <v>0</v>
      </c>
      <c r="H21" s="393">
        <f t="shared" ca="1" si="1"/>
        <v>0</v>
      </c>
      <c r="I21" s="392">
        <f ca="1">IF(ROWS($1:8)&gt;COUNT(Dong11),0,IF(MID(OFFSET(TH!D$1,SMALL(Dong11,ROWS($1:8)),),4,1)="X",OFFSET(TH!I$1,SMALL(Dong11,ROWS($1:8)),),0))</f>
        <v>0</v>
      </c>
      <c r="J21" s="393">
        <f t="shared" ca="1" si="2"/>
        <v>0</v>
      </c>
      <c r="K21" s="393">
        <f t="shared" ca="1" si="3"/>
        <v>0</v>
      </c>
      <c r="L21" s="393">
        <f t="shared" ca="1" si="4"/>
        <v>0</v>
      </c>
      <c r="M21" s="393"/>
      <c r="N21" s="383"/>
    </row>
    <row r="22" spans="1:16">
      <c r="A22" s="354" t="str">
        <f t="shared" ca="1" si="0"/>
        <v/>
      </c>
      <c r="B22" s="389" t="str">
        <f ca="1">IF(ROWS($1:9)&gt;COUNT(Dong11),"",OFFSET(TH!D$1,SMALL(Dong11,ROWS($1:9)),))</f>
        <v/>
      </c>
      <c r="C22" s="390" t="str">
        <f ca="1">IF(ROWS($1:9)&gt;COUNT(Dong11),"",OFFSET(TH!E$1,SMALL(Dong11,ROWS($1:9)),))</f>
        <v/>
      </c>
      <c r="D22" s="391" t="str">
        <f ca="1">IF(ROWS($1:9)&gt;COUNT(Dong11),"",OFFSET(TH!H$1,SMALL(Dong11,ROWS($1:9)),))</f>
        <v/>
      </c>
      <c r="E22" s="389" t="str">
        <f ca="1">IF(ROWS($1:9)&gt;COUNT(Dong11),"",IF(OFFSET(TH!L$1,SMALL(Dong11,ROWS($1:9)),)=$G$7,OFFSET(TH!M$1,SMALL(Dong11,ROWS($1:9)),),OFFSET(TH!L$1,SMALL(Dong11,ROWS($1:9)),)))</f>
        <v/>
      </c>
      <c r="F22" s="392">
        <f ca="1">IF(ROWS($1:9)&gt;COUNT(Dong11),0,OFFSET(TH!J$1,SMALL(Dong11,ROWS($1:9)),))</f>
        <v>0</v>
      </c>
      <c r="G22" s="392">
        <f ca="1">IF(ROWS($1:9)&gt;COUNT(Dong11),0,IF(MID(OFFSET(TH!D$1,SMALL(Dong11,ROWS($1:9)),),4,1)="N",OFFSET(TH!I$1,SMALL(Dong11,ROWS($1:9)),),0))</f>
        <v>0</v>
      </c>
      <c r="H22" s="393">
        <f t="shared" ca="1" si="1"/>
        <v>0</v>
      </c>
      <c r="I22" s="392">
        <f ca="1">IF(ROWS($1:9)&gt;COUNT(Dong11),0,IF(MID(OFFSET(TH!D$1,SMALL(Dong11,ROWS($1:9)),),4,1)="X",OFFSET(TH!I$1,SMALL(Dong11,ROWS($1:9)),),0))</f>
        <v>0</v>
      </c>
      <c r="J22" s="393">
        <f t="shared" ca="1" si="2"/>
        <v>0</v>
      </c>
      <c r="K22" s="393">
        <f t="shared" ca="1" si="3"/>
        <v>0</v>
      </c>
      <c r="L22" s="393">
        <f t="shared" ca="1" si="4"/>
        <v>0</v>
      </c>
      <c r="M22" s="393"/>
      <c r="N22" s="383"/>
    </row>
    <row r="23" spans="1:16">
      <c r="A23" s="354" t="str">
        <f t="shared" ca="1" si="0"/>
        <v/>
      </c>
      <c r="B23" s="389" t="str">
        <f ca="1">IF(ROWS($1:10)&gt;COUNT(Dong11),"",OFFSET(TH!D$1,SMALL(Dong11,ROWS($1:10)),))</f>
        <v/>
      </c>
      <c r="C23" s="390" t="str">
        <f ca="1">IF(ROWS($1:10)&gt;COUNT(Dong11),"",OFFSET(TH!E$1,SMALL(Dong11,ROWS($1:10)),))</f>
        <v/>
      </c>
      <c r="D23" s="391" t="str">
        <f ca="1">IF(ROWS($1:10)&gt;COUNT(Dong11),"",OFFSET(TH!H$1,SMALL(Dong11,ROWS($1:10)),))</f>
        <v/>
      </c>
      <c r="E23" s="389" t="str">
        <f ca="1">IF(ROWS($1:10)&gt;COUNT(Dong11),"",IF(OFFSET(TH!L$1,SMALL(Dong11,ROWS($1:10)),)=$G$7,OFFSET(TH!M$1,SMALL(Dong11,ROWS($1:10)),),OFFSET(TH!L$1,SMALL(Dong11,ROWS($1:10)),)))</f>
        <v/>
      </c>
      <c r="F23" s="392">
        <f ca="1">IF(ROWS($1:10)&gt;COUNT(Dong11),0,OFFSET(TH!J$1,SMALL(Dong11,ROWS($1:10)),))</f>
        <v>0</v>
      </c>
      <c r="G23" s="392">
        <f ca="1">IF(ROWS($1:10)&gt;COUNT(Dong11),0,IF(MID(OFFSET(TH!D$1,SMALL(Dong11,ROWS($1:10)),),4,1)="N",OFFSET(TH!I$1,SMALL(Dong11,ROWS($1:10)),),0))</f>
        <v>0</v>
      </c>
      <c r="H23" s="393">
        <f t="shared" ca="1" si="1"/>
        <v>0</v>
      </c>
      <c r="I23" s="392">
        <f ca="1">IF(ROWS($1:10)&gt;COUNT(Dong11),0,IF(MID(OFFSET(TH!D$1,SMALL(Dong11,ROWS($1:10)),),4,1)="X",OFFSET(TH!I$1,SMALL(Dong11,ROWS($1:10)),),0))</f>
        <v>0</v>
      </c>
      <c r="J23" s="393">
        <f t="shared" ca="1" si="2"/>
        <v>0</v>
      </c>
      <c r="K23" s="393">
        <f t="shared" ca="1" si="3"/>
        <v>0</v>
      </c>
      <c r="L23" s="393">
        <f t="shared" ca="1" si="4"/>
        <v>0</v>
      </c>
      <c r="M23" s="393"/>
      <c r="N23" s="383"/>
    </row>
    <row r="24" spans="1:16">
      <c r="A24" s="354" t="str">
        <f t="shared" ca="1" si="0"/>
        <v/>
      </c>
      <c r="B24" s="389" t="str">
        <f ca="1">IF(ROWS($1:11)&gt;COUNT(Dong11),"",OFFSET(TH!D$1,SMALL(Dong11,ROWS($1:11)),))</f>
        <v/>
      </c>
      <c r="C24" s="390" t="str">
        <f ca="1">IF(ROWS($1:11)&gt;COUNT(Dong11),"",OFFSET(TH!E$1,SMALL(Dong11,ROWS($1:11)),))</f>
        <v/>
      </c>
      <c r="D24" s="391" t="str">
        <f ca="1">IF(ROWS($1:11)&gt;COUNT(Dong11),"",OFFSET(TH!H$1,SMALL(Dong11,ROWS($1:11)),))</f>
        <v/>
      </c>
      <c r="E24" s="389" t="str">
        <f ca="1">IF(ROWS($1:11)&gt;COUNT(Dong11),"",IF(OFFSET(TH!L$1,SMALL(Dong11,ROWS($1:11)),)=$G$7,OFFSET(TH!M$1,SMALL(Dong11,ROWS($1:11)),),OFFSET(TH!L$1,SMALL(Dong11,ROWS($1:11)),)))</f>
        <v/>
      </c>
      <c r="F24" s="392">
        <f ca="1">IF(ROWS($1:11)&gt;COUNT(Dong11),0,OFFSET(TH!J$1,SMALL(Dong11,ROWS($1:11)),))</f>
        <v>0</v>
      </c>
      <c r="G24" s="392">
        <f ca="1">IF(ROWS($1:11)&gt;COUNT(Dong11),0,IF(MID(OFFSET(TH!D$1,SMALL(Dong11,ROWS($1:11)),),4,1)="N",OFFSET(TH!I$1,SMALL(Dong11,ROWS($1:11)),),0))</f>
        <v>0</v>
      </c>
      <c r="H24" s="393">
        <f t="shared" ca="1" si="1"/>
        <v>0</v>
      </c>
      <c r="I24" s="392">
        <f ca="1">IF(ROWS($1:11)&gt;COUNT(Dong11),0,IF(MID(OFFSET(TH!D$1,SMALL(Dong11,ROWS($1:11)),),4,1)="X",OFFSET(TH!I$1,SMALL(Dong11,ROWS($1:11)),),0))</f>
        <v>0</v>
      </c>
      <c r="J24" s="393">
        <f t="shared" ca="1" si="2"/>
        <v>0</v>
      </c>
      <c r="K24" s="393">
        <f t="shared" ca="1" si="3"/>
        <v>0</v>
      </c>
      <c r="L24" s="393">
        <f t="shared" ca="1" si="4"/>
        <v>0</v>
      </c>
      <c r="M24" s="393"/>
      <c r="N24" s="383"/>
    </row>
    <row r="25" spans="1:16">
      <c r="A25" s="354" t="str">
        <f>IF(B25="","",#REF!+1)</f>
        <v/>
      </c>
      <c r="B25" s="396"/>
      <c r="C25" s="397"/>
      <c r="D25" s="391" t="str">
        <f ca="1">IF(ROWS($1:12)&gt;COUNT(Dong11),"",OFFSET(TH!H$1,SMALL(Dong11,ROWS($1:12)),))</f>
        <v/>
      </c>
      <c r="E25" s="398"/>
      <c r="F25" s="399"/>
      <c r="G25" s="385"/>
      <c r="H25" s="385"/>
      <c r="I25" s="385"/>
      <c r="J25" s="385"/>
      <c r="K25" s="385"/>
      <c r="L25" s="385"/>
      <c r="M25" s="400"/>
      <c r="N25" s="383"/>
    </row>
    <row r="26" spans="1:16">
      <c r="A26" s="401"/>
      <c r="B26" s="401"/>
      <c r="C26" s="401"/>
      <c r="D26" s="401" t="s">
        <v>290</v>
      </c>
      <c r="E26" s="381" t="s">
        <v>19</v>
      </c>
      <c r="F26" s="381" t="s">
        <v>19</v>
      </c>
      <c r="G26" s="402">
        <f ca="1">SUM(G14:G25)</f>
        <v>0</v>
      </c>
      <c r="H26" s="402">
        <f ca="1">SUM(H14:H25)</f>
        <v>0</v>
      </c>
      <c r="I26" s="402">
        <f ca="1">SUM(I14:I25)</f>
        <v>0</v>
      </c>
      <c r="J26" s="402">
        <f ca="1">SUM(J14:J25)</f>
        <v>0</v>
      </c>
      <c r="K26" s="402">
        <f ca="1">K13+G26-I26</f>
        <v>0</v>
      </c>
      <c r="L26" s="402">
        <f ca="1">L13+H26-J26</f>
        <v>0</v>
      </c>
      <c r="M26" s="401"/>
      <c r="N26" s="383"/>
    </row>
    <row r="27" spans="1:16">
      <c r="B27" s="403" t="s">
        <v>291</v>
      </c>
      <c r="G27" s="395"/>
      <c r="N27" s="383"/>
    </row>
    <row r="28" spans="1:16">
      <c r="B28" s="404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7 tháng 1 năm 2013</v>
      </c>
      <c r="G28" s="395"/>
      <c r="I28" s="395"/>
      <c r="N28" s="383"/>
    </row>
    <row r="29" spans="1:16">
      <c r="B29" s="370"/>
      <c r="C29" s="370"/>
      <c r="D29" s="370"/>
      <c r="F29" s="370"/>
      <c r="G29" s="405"/>
      <c r="H29" s="371"/>
      <c r="I29" s="406"/>
      <c r="J29" s="1078" t="s">
        <v>264</v>
      </c>
      <c r="K29" s="1078"/>
      <c r="L29" s="1078"/>
      <c r="M29" s="1078"/>
      <c r="N29" s="383"/>
    </row>
    <row r="30" spans="1:16">
      <c r="C30" s="370"/>
      <c r="D30" s="703" t="s">
        <v>11</v>
      </c>
      <c r="E30" s="1078" t="s">
        <v>12</v>
      </c>
      <c r="F30" s="1078"/>
      <c r="G30" s="1078"/>
      <c r="H30" s="1078"/>
      <c r="I30" s="1078"/>
      <c r="J30" s="1078" t="s">
        <v>113</v>
      </c>
      <c r="K30" s="1078"/>
      <c r="L30" s="1078"/>
      <c r="M30" s="1078"/>
      <c r="N30" s="383"/>
    </row>
    <row r="31" spans="1:16">
      <c r="C31" s="370"/>
      <c r="D31" s="703" t="s">
        <v>13</v>
      </c>
      <c r="E31" s="1078" t="s">
        <v>13</v>
      </c>
      <c r="F31" s="1078"/>
      <c r="G31" s="1078"/>
      <c r="H31" s="1078" t="s">
        <v>143</v>
      </c>
      <c r="I31" s="1078"/>
      <c r="J31" s="1078" t="s">
        <v>143</v>
      </c>
      <c r="K31" s="1078"/>
      <c r="L31" s="1078"/>
      <c r="M31" s="1078"/>
      <c r="N31" s="383"/>
    </row>
    <row r="32" spans="1:16">
      <c r="N32" s="407"/>
    </row>
    <row r="33" spans="4:14">
      <c r="E33" s="358"/>
    </row>
    <row r="35" spans="4:14" customFormat="1" ht="12.75">
      <c r="E35" s="408"/>
    </row>
    <row r="40" spans="4:14">
      <c r="D40" s="732" t="s">
        <v>172</v>
      </c>
      <c r="E40" s="732"/>
      <c r="J40" s="1074" t="s">
        <v>107</v>
      </c>
      <c r="K40" s="1074"/>
      <c r="L40" s="1074"/>
      <c r="M40" s="1074"/>
      <c r="N40" s="733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4" customWidth="1"/>
    <col min="2" max="2" width="9.140625" style="414"/>
    <col min="3" max="3" width="9.140625" style="475" customWidth="1"/>
    <col min="4" max="4" width="10.85546875" style="475" customWidth="1"/>
    <col min="5" max="5" width="39.42578125" style="476" customWidth="1"/>
    <col min="6" max="6" width="10.85546875" style="477" customWidth="1"/>
    <col min="7" max="7" width="9" style="478" customWidth="1"/>
    <col min="8" max="8" width="9.5703125" style="478" customWidth="1"/>
    <col min="9" max="9" width="10" style="478" customWidth="1"/>
    <col min="10" max="10" width="8" style="414" customWidth="1"/>
    <col min="11" max="11" width="2.42578125" style="414" customWidth="1"/>
    <col min="12" max="12" width="6.5703125" style="414" customWidth="1"/>
    <col min="13" max="16384" width="9.140625" style="414"/>
  </cols>
  <sheetData>
    <row r="1" spans="1:12" ht="15" customHeight="1">
      <c r="A1" s="409" t="str">
        <f>TH!A1</f>
        <v>Đơn vị: CÔNG TY TNHH HẢI SẢN AN LẠC</v>
      </c>
      <c r="B1" s="410"/>
      <c r="C1" s="410"/>
      <c r="D1" s="410"/>
      <c r="E1" s="411"/>
      <c r="F1" s="410"/>
      <c r="G1" s="412"/>
      <c r="H1" s="413" t="s">
        <v>292</v>
      </c>
      <c r="I1" s="414"/>
      <c r="J1" s="415"/>
      <c r="K1" s="415"/>
      <c r="L1" s="416"/>
    </row>
    <row r="2" spans="1:12" ht="15" customHeight="1">
      <c r="A2" s="822" t="str">
        <f>TH!A2</f>
        <v>Địa chỉ: Lô A14, Đường 4A, KCN Hải Sơn, Đức Hòa, Long An</v>
      </c>
      <c r="B2" s="417"/>
      <c r="C2" s="417"/>
      <c r="D2" s="417"/>
      <c r="E2" s="418"/>
      <c r="F2" s="419"/>
      <c r="G2" s="420"/>
      <c r="H2" s="421" t="s">
        <v>232</v>
      </c>
      <c r="I2" s="414"/>
      <c r="J2" s="415"/>
      <c r="K2" s="415"/>
    </row>
    <row r="3" spans="1:12" ht="15">
      <c r="A3" s="417"/>
      <c r="B3" s="417"/>
      <c r="C3" s="417"/>
      <c r="D3" s="417"/>
      <c r="E3" s="418"/>
      <c r="F3" s="419"/>
      <c r="G3" s="420"/>
      <c r="H3" s="421" t="s">
        <v>177</v>
      </c>
      <c r="I3" s="414"/>
      <c r="J3" s="415"/>
      <c r="K3" s="415"/>
    </row>
    <row r="4" spans="1:12" ht="18.75" customHeight="1">
      <c r="A4" s="422"/>
      <c r="B4" s="422"/>
      <c r="C4" s="422"/>
      <c r="D4" s="422"/>
      <c r="E4" s="423" t="s">
        <v>293</v>
      </c>
      <c r="F4" s="422"/>
      <c r="G4" s="422"/>
      <c r="H4" s="422"/>
      <c r="I4" s="422"/>
      <c r="J4" s="415"/>
      <c r="K4" s="415"/>
    </row>
    <row r="5" spans="1:12" ht="15">
      <c r="A5" s="424"/>
      <c r="B5" s="424"/>
      <c r="C5" s="424"/>
      <c r="D5" s="424"/>
      <c r="E5" s="425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7/1/2013</v>
      </c>
      <c r="F5" s="424"/>
      <c r="G5" s="424"/>
      <c r="H5" s="424"/>
      <c r="I5" s="424"/>
      <c r="J5" s="415"/>
      <c r="K5" s="415"/>
    </row>
    <row r="6" spans="1:12" ht="15">
      <c r="A6" s="424"/>
      <c r="B6" s="424"/>
      <c r="C6" s="424"/>
      <c r="D6" s="424"/>
      <c r="E6" s="425" t="s">
        <v>294</v>
      </c>
      <c r="F6" s="424"/>
      <c r="G6" s="424"/>
      <c r="H6" s="424"/>
      <c r="I6" s="424"/>
      <c r="J6" s="415"/>
      <c r="K6" s="415"/>
    </row>
    <row r="7" spans="1:12" ht="15">
      <c r="A7" s="404" t="s">
        <v>295</v>
      </c>
      <c r="B7" s="404"/>
      <c r="C7" s="426"/>
      <c r="D7" s="426"/>
      <c r="E7" s="427" t="s">
        <v>491</v>
      </c>
      <c r="F7" s="419"/>
      <c r="G7" s="428"/>
      <c r="H7" s="428"/>
      <c r="I7" s="428"/>
      <c r="J7" s="415"/>
      <c r="K7" s="415"/>
    </row>
    <row r="8" spans="1:12" ht="15">
      <c r="A8" s="404" t="s">
        <v>296</v>
      </c>
      <c r="B8" s="404"/>
      <c r="C8" s="415" t="str">
        <f>VLOOKUP($E$7,NXT!$C$12:$L$113,2,0)</f>
        <v>kg</v>
      </c>
      <c r="D8" s="404"/>
      <c r="E8" s="427"/>
      <c r="F8" s="419"/>
      <c r="G8" s="428"/>
      <c r="H8" s="428"/>
      <c r="I8" s="428"/>
      <c r="J8" s="415"/>
      <c r="K8" s="415"/>
    </row>
    <row r="9" spans="1:12" ht="15">
      <c r="A9" s="1086" t="s">
        <v>297</v>
      </c>
      <c r="B9" s="1087"/>
      <c r="C9" s="1087"/>
      <c r="D9" s="1087"/>
      <c r="E9" s="427"/>
      <c r="F9" s="419"/>
      <c r="G9" s="428"/>
      <c r="H9" s="428"/>
      <c r="I9" s="428"/>
      <c r="J9" s="429"/>
      <c r="K9" s="429"/>
    </row>
    <row r="10" spans="1:12" ht="19.5" customHeight="1">
      <c r="A10" s="1088" t="s">
        <v>298</v>
      </c>
      <c r="B10" s="1089" t="s">
        <v>299</v>
      </c>
      <c r="C10" s="1091" t="s">
        <v>15</v>
      </c>
      <c r="D10" s="1092"/>
      <c r="E10" s="1093" t="s">
        <v>0</v>
      </c>
      <c r="F10" s="1102" t="s">
        <v>300</v>
      </c>
      <c r="G10" s="1096" t="s">
        <v>269</v>
      </c>
      <c r="H10" s="1096"/>
      <c r="I10" s="1092"/>
      <c r="J10" s="1097" t="s">
        <v>301</v>
      </c>
      <c r="K10" s="430"/>
      <c r="L10" s="431" t="s">
        <v>286</v>
      </c>
    </row>
    <row r="11" spans="1:12" ht="19.5" customHeight="1">
      <c r="A11" s="1088"/>
      <c r="B11" s="1090"/>
      <c r="C11" s="432" t="s">
        <v>283</v>
      </c>
      <c r="D11" s="432" t="s">
        <v>284</v>
      </c>
      <c r="E11" s="1094"/>
      <c r="F11" s="1103"/>
      <c r="G11" s="433" t="s">
        <v>283</v>
      </c>
      <c r="H11" s="433" t="s">
        <v>284</v>
      </c>
      <c r="I11" s="433" t="s">
        <v>285</v>
      </c>
      <c r="J11" s="1098"/>
      <c r="K11" s="430"/>
    </row>
    <row r="12" spans="1:12" ht="15">
      <c r="A12" s="434" t="s">
        <v>2</v>
      </c>
      <c r="B12" s="435" t="s">
        <v>3</v>
      </c>
      <c r="C12" s="436" t="s">
        <v>4</v>
      </c>
      <c r="D12" s="436" t="s">
        <v>5</v>
      </c>
      <c r="E12" s="437" t="s">
        <v>6</v>
      </c>
      <c r="F12" s="435" t="s">
        <v>137</v>
      </c>
      <c r="G12" s="438">
        <v>1</v>
      </c>
      <c r="H12" s="438">
        <v>2</v>
      </c>
      <c r="I12" s="438">
        <v>3</v>
      </c>
      <c r="J12" s="436" t="s">
        <v>138</v>
      </c>
      <c r="K12" s="439"/>
    </row>
    <row r="13" spans="1:12" ht="16.5" customHeight="1">
      <c r="A13" s="440"/>
      <c r="B13" s="441"/>
      <c r="C13" s="442"/>
      <c r="D13" s="442"/>
      <c r="E13" s="443" t="s">
        <v>240</v>
      </c>
      <c r="F13" s="441"/>
      <c r="G13" s="444"/>
      <c r="H13" s="444"/>
      <c r="I13" s="445">
        <f>VLOOKUP($E$7,NXT!$C$12:$L$113,3,0)</f>
        <v>0</v>
      </c>
      <c r="J13" s="440"/>
      <c r="K13" s="446"/>
    </row>
    <row r="14" spans="1:12" ht="16.5" customHeight="1">
      <c r="A14" s="447">
        <f ca="1">IF(B14&lt;&gt;"",ROW()-(ROW()-1),"")</f>
        <v>1</v>
      </c>
      <c r="B14" s="448">
        <f ca="1">IF(ROWS($1:1)&gt;COUNT(Dong12),"",OFFSET(TH!E$1,SMALL(Dong12,ROWS($1:1)),))</f>
        <v>41281</v>
      </c>
      <c r="C14" s="601" t="str">
        <f ca="1">IF(ROWS($1:1)&gt;COUNT(Dong12),"",IF(MID(OFFSET(TH!D$1,SMALL(Dong12,ROWS($1:1)),),4,1)="N",OFFSET(TH!D$1,SMALL(Dong12,ROWS($1:1)),),""))</f>
        <v/>
      </c>
      <c r="D14" s="448" t="str">
        <f ca="1">IF(ROWS($1:1)&gt;COUNT(Dong12),"",IF(MID(OFFSET(TH!D$1,SMALL(Dong12,ROWS($1:1)),),4,1)="X",OFFSET(TH!D$1,SMALL(Dong12,ROWS($1:1)),),""))</f>
        <v/>
      </c>
      <c r="E14" s="895" t="str">
        <f ca="1">IF(ROWS($1:1)&gt;COUNT(Dong12),"",OFFSET(TH!H$1,SMALL(Dong12,ROWS($1:1)),))</f>
        <v>Cty TNHH Thành Thành Dũng</v>
      </c>
      <c r="F14" s="448">
        <f ca="1">B14</f>
        <v>41281</v>
      </c>
      <c r="G14" s="449">
        <f ca="1">IF(ROWS($1:1)&gt;COUNT(Dong12),0,IF(MID(OFFSET(TH!D$1,SMALL(Dong12,ROWS($1:1)),),4,1)="N",OFFSET(TH!I$1,SMALL(Dong12,ROWS($1:1)),),0))</f>
        <v>0</v>
      </c>
      <c r="H14" s="449">
        <f ca="1">IF(ROWS($1:1)&gt;COUNT(Dong12),0,IF(MID(OFFSET(TH!D$1,SMALL(Dong12,ROWS($1:1)),),4,1)="X",OFFSET(TH!I$1,SMALL(Dong12,ROWS($1:1)),),0))</f>
        <v>0</v>
      </c>
      <c r="I14" s="450">
        <f ca="1">IF(E14&lt;&gt;"",I13+G14-H14,0)</f>
        <v>0</v>
      </c>
      <c r="J14" s="451"/>
      <c r="K14" s="452"/>
    </row>
    <row r="15" spans="1:12" ht="16.5" customHeight="1">
      <c r="A15" s="453" t="str">
        <f ca="1">IF(B15&lt;&gt;"",A14+1,"")</f>
        <v/>
      </c>
      <c r="B15" s="448" t="str">
        <f ca="1">IF(ROWS($1:2)&gt;COUNT(Dong12),"",OFFSET(TH!E$1,SMALL(Dong12,ROWS($1:2)),))</f>
        <v/>
      </c>
      <c r="C15" s="601" t="str">
        <f ca="1">IF(ROWS($1:2)&gt;COUNT(Dong12),"",IF(MID(OFFSET(TH!D$1,SMALL(Dong12,ROWS($1:2)),),4,1)="N",OFFSET(TH!D$1,SMALL(Dong12,ROWS($1:2)),),""))</f>
        <v/>
      </c>
      <c r="D15" s="448" t="str">
        <f ca="1">IF(ROWS($1:2)&gt;COUNT(Dong12),"",IF(MID(OFFSET(TH!D$1,SMALL(Dong12,ROWS($1:2)),),4,1)="X",OFFSET(TH!D$1,SMALL(Dong12,ROWS($1:2)),),""))</f>
        <v/>
      </c>
      <c r="E15" s="895" t="str">
        <f ca="1">IF(ROWS($1:2)&gt;COUNT(Dong12),"",OFFSET(TH!H$1,SMALL(Dong12,ROWS($1:2)),))</f>
        <v/>
      </c>
      <c r="F15" s="448" t="str">
        <f t="shared" ref="F15:F30" ca="1" si="0">B15</f>
        <v/>
      </c>
      <c r="G15" s="449">
        <f ca="1">IF(ROWS($1:2)&gt;COUNT(Dong12),0,IF(MID(OFFSET(TH!D$1,SMALL(Dong12,ROWS($1:2)),),4,1)="N",OFFSET(TH!I$1,SMALL(Dong12,ROWS($1:2)),),0))</f>
        <v>0</v>
      </c>
      <c r="H15" s="449">
        <f ca="1">IF(ROWS($1:2)&gt;COUNT(Dong12),0,IF(MID(OFFSET(TH!D$1,SMALL(Dong12,ROWS($1:2)),),4,1)="X",OFFSET(TH!I$1,SMALL(Dong12,ROWS($1:2)),),0))</f>
        <v>0</v>
      </c>
      <c r="I15" s="450">
        <f t="shared" ref="I15:I30" ca="1" si="1">IF(E15&lt;&gt;"",I14+G15-H15,0)</f>
        <v>0</v>
      </c>
      <c r="J15" s="451"/>
      <c r="K15" s="452"/>
    </row>
    <row r="16" spans="1:12" ht="16.5" customHeight="1">
      <c r="A16" s="453" t="str">
        <f t="shared" ref="A16:A30" ca="1" si="2">IF(B16&lt;&gt;"",A15+1,"")</f>
        <v/>
      </c>
      <c r="B16" s="448" t="str">
        <f ca="1">IF(ROWS($1:3)&gt;COUNT(Dong12),"",OFFSET(TH!E$1,SMALL(Dong12,ROWS($1:3)),))</f>
        <v/>
      </c>
      <c r="C16" s="601" t="str">
        <f ca="1">IF(ROWS($1:3)&gt;COUNT(Dong12),"",IF(MID(OFFSET(TH!D$1,SMALL(Dong12,ROWS($1:3)),),4,1)="N",OFFSET(TH!D$1,SMALL(Dong12,ROWS($1:3)),),""))</f>
        <v/>
      </c>
      <c r="D16" s="448" t="str">
        <f ca="1">IF(ROWS($1:3)&gt;COUNT(Dong12),"",IF(MID(OFFSET(TH!D$1,SMALL(Dong12,ROWS($1:3)),),4,1)="X",OFFSET(TH!D$1,SMALL(Dong12,ROWS($1:3)),),""))</f>
        <v/>
      </c>
      <c r="E16" s="895" t="str">
        <f ca="1">IF(ROWS($1:3)&gt;COUNT(Dong12),"",OFFSET(TH!H$1,SMALL(Dong12,ROWS($1:3)),))</f>
        <v/>
      </c>
      <c r="F16" s="448" t="str">
        <f t="shared" ca="1" si="0"/>
        <v/>
      </c>
      <c r="G16" s="449">
        <f ca="1">IF(ROWS($1:3)&gt;COUNT(Dong12),0,IF(MID(OFFSET(TH!D$1,SMALL(Dong12,ROWS($1:3)),),4,1)="N",OFFSET(TH!I$1,SMALL(Dong12,ROWS($1:3)),),0))</f>
        <v>0</v>
      </c>
      <c r="H16" s="449">
        <f ca="1">IF(ROWS($1:3)&gt;COUNT(Dong12),0,IF(MID(OFFSET(TH!D$1,SMALL(Dong12,ROWS($1:3)),),4,1)="X",OFFSET(TH!I$1,SMALL(Dong12,ROWS($1:3)),),0))</f>
        <v>0</v>
      </c>
      <c r="I16" s="450">
        <f t="shared" ca="1" si="1"/>
        <v>0</v>
      </c>
      <c r="J16" s="451"/>
      <c r="K16" s="452"/>
    </row>
    <row r="17" spans="1:11" ht="16.5" customHeight="1">
      <c r="A17" s="453" t="str">
        <f t="shared" ca="1" si="2"/>
        <v/>
      </c>
      <c r="B17" s="448" t="str">
        <f ca="1">IF(ROWS($1:4)&gt;COUNT(Dong12),"",OFFSET(TH!E$1,SMALL(Dong12,ROWS($1:4)),))</f>
        <v/>
      </c>
      <c r="C17" s="601" t="str">
        <f ca="1">IF(ROWS($1:4)&gt;COUNT(Dong12),"",IF(MID(OFFSET(TH!D$1,SMALL(Dong12,ROWS($1:4)),),4,1)="N",OFFSET(TH!D$1,SMALL(Dong12,ROWS($1:4)),),""))</f>
        <v/>
      </c>
      <c r="D17" s="448" t="str">
        <f ca="1">IF(ROWS($1:4)&gt;COUNT(Dong12),"",IF(MID(OFFSET(TH!D$1,SMALL(Dong12,ROWS($1:4)),),4,1)="X",OFFSET(TH!D$1,SMALL(Dong12,ROWS($1:4)),),""))</f>
        <v/>
      </c>
      <c r="E17" s="895" t="str">
        <f ca="1">IF(ROWS($1:4)&gt;COUNT(Dong12),"",OFFSET(TH!H$1,SMALL(Dong12,ROWS($1:4)),))</f>
        <v/>
      </c>
      <c r="F17" s="448" t="str">
        <f t="shared" ca="1" si="0"/>
        <v/>
      </c>
      <c r="G17" s="449">
        <f ca="1">IF(ROWS($1:4)&gt;COUNT(Dong12),0,IF(MID(OFFSET(TH!D$1,SMALL(Dong12,ROWS($1:4)),),4,1)="N",OFFSET(TH!I$1,SMALL(Dong12,ROWS($1:4)),),0))</f>
        <v>0</v>
      </c>
      <c r="H17" s="449">
        <f ca="1">IF(ROWS($1:4)&gt;COUNT(Dong12),0,IF(MID(OFFSET(TH!D$1,SMALL(Dong12,ROWS($1:4)),),4,1)="X",OFFSET(TH!I$1,SMALL(Dong12,ROWS($1:4)),),0))</f>
        <v>0</v>
      </c>
      <c r="I17" s="450">
        <f t="shared" ca="1" si="1"/>
        <v>0</v>
      </c>
      <c r="J17" s="451"/>
      <c r="K17" s="452"/>
    </row>
    <row r="18" spans="1:11" ht="16.5" customHeight="1">
      <c r="A18" s="453" t="str">
        <f t="shared" ca="1" si="2"/>
        <v/>
      </c>
      <c r="B18" s="448" t="str">
        <f ca="1">IF(ROWS($1:5)&gt;COUNT(Dong12),"",OFFSET(TH!E$1,SMALL(Dong12,ROWS($1:5)),))</f>
        <v/>
      </c>
      <c r="C18" s="601" t="str">
        <f ca="1">IF(ROWS($1:5)&gt;COUNT(Dong12),"",IF(MID(OFFSET(TH!D$1,SMALL(Dong12,ROWS($1:5)),),4,1)="N",OFFSET(TH!D$1,SMALL(Dong12,ROWS($1:5)),),""))</f>
        <v/>
      </c>
      <c r="D18" s="448" t="str">
        <f ca="1">IF(ROWS($1:5)&gt;COUNT(Dong12),"",IF(MID(OFFSET(TH!D$1,SMALL(Dong12,ROWS($1:5)),),4,1)="X",OFFSET(TH!D$1,SMALL(Dong12,ROWS($1:5)),),""))</f>
        <v/>
      </c>
      <c r="E18" s="895" t="str">
        <f ca="1">IF(ROWS($1:5)&gt;COUNT(Dong12),"",OFFSET(TH!H$1,SMALL(Dong12,ROWS($1:5)),))</f>
        <v/>
      </c>
      <c r="F18" s="448" t="str">
        <f t="shared" ca="1" si="0"/>
        <v/>
      </c>
      <c r="G18" s="449">
        <f ca="1">IF(ROWS($1:5)&gt;COUNT(Dong12),0,IF(MID(OFFSET(TH!D$1,SMALL(Dong12,ROWS($1:5)),),4,1)="N",OFFSET(TH!I$1,SMALL(Dong12,ROWS($1:5)),),0))</f>
        <v>0</v>
      </c>
      <c r="H18" s="449">
        <f ca="1">IF(ROWS($1:5)&gt;COUNT(Dong12),0,IF(MID(OFFSET(TH!D$1,SMALL(Dong12,ROWS($1:5)),),4,1)="X",OFFSET(TH!I$1,SMALL(Dong12,ROWS($1:5)),),0))</f>
        <v>0</v>
      </c>
      <c r="I18" s="450">
        <f t="shared" ca="1" si="1"/>
        <v>0</v>
      </c>
      <c r="J18" s="451"/>
      <c r="K18" s="452"/>
    </row>
    <row r="19" spans="1:11" ht="16.5" customHeight="1">
      <c r="A19" s="453" t="str">
        <f t="shared" ca="1" si="2"/>
        <v/>
      </c>
      <c r="B19" s="448" t="str">
        <f ca="1">IF(ROWS($1:6)&gt;COUNT(Dong12),"",OFFSET(TH!E$1,SMALL(Dong12,ROWS($1:6)),))</f>
        <v/>
      </c>
      <c r="C19" s="601" t="str">
        <f ca="1">IF(ROWS($1:6)&gt;COUNT(Dong12),"",IF(MID(OFFSET(TH!D$1,SMALL(Dong12,ROWS($1:6)),),4,1)="N",OFFSET(TH!D$1,SMALL(Dong12,ROWS($1:6)),),""))</f>
        <v/>
      </c>
      <c r="D19" s="448" t="str">
        <f ca="1">IF(ROWS($1:6)&gt;COUNT(Dong12),"",IF(MID(OFFSET(TH!D$1,SMALL(Dong12,ROWS($1:6)),),4,1)="X",OFFSET(TH!D$1,SMALL(Dong12,ROWS($1:6)),),""))</f>
        <v/>
      </c>
      <c r="E19" s="895" t="str">
        <f ca="1">IF(ROWS($1:6)&gt;COUNT(Dong12),"",OFFSET(TH!H$1,SMALL(Dong12,ROWS($1:6)),))</f>
        <v/>
      </c>
      <c r="F19" s="448" t="str">
        <f t="shared" ca="1" si="0"/>
        <v/>
      </c>
      <c r="G19" s="449">
        <f ca="1">IF(ROWS($1:6)&gt;COUNT(Dong12),0,IF(MID(OFFSET(TH!D$1,SMALL(Dong12,ROWS($1:6)),),4,1)="N",OFFSET(TH!I$1,SMALL(Dong12,ROWS($1:6)),),0))</f>
        <v>0</v>
      </c>
      <c r="H19" s="449">
        <f ca="1">IF(ROWS($1:6)&gt;COUNT(Dong12),0,IF(MID(OFFSET(TH!D$1,SMALL(Dong12,ROWS($1:6)),),4,1)="X",OFFSET(TH!I$1,SMALL(Dong12,ROWS($1:6)),),0))</f>
        <v>0</v>
      </c>
      <c r="I19" s="450">
        <f t="shared" ca="1" si="1"/>
        <v>0</v>
      </c>
      <c r="J19" s="451"/>
      <c r="K19" s="452"/>
    </row>
    <row r="20" spans="1:11" ht="16.5" customHeight="1">
      <c r="A20" s="453" t="str">
        <f t="shared" ca="1" si="2"/>
        <v/>
      </c>
      <c r="B20" s="448" t="str">
        <f ca="1">IF(ROWS($1:7)&gt;COUNT(Dong12),"",OFFSET(TH!E$1,SMALL(Dong12,ROWS($1:7)),))</f>
        <v/>
      </c>
      <c r="C20" s="601" t="str">
        <f ca="1">IF(ROWS($1:7)&gt;COUNT(Dong12),"",IF(MID(OFFSET(TH!D$1,SMALL(Dong12,ROWS($1:7)),),4,1)="N",OFFSET(TH!D$1,SMALL(Dong12,ROWS($1:7)),),""))</f>
        <v/>
      </c>
      <c r="D20" s="448" t="str">
        <f ca="1">IF(ROWS($1:7)&gt;COUNT(Dong12),"",IF(MID(OFFSET(TH!D$1,SMALL(Dong12,ROWS($1:7)),),4,1)="X",OFFSET(TH!D$1,SMALL(Dong12,ROWS($1:7)),),""))</f>
        <v/>
      </c>
      <c r="E20" s="895" t="str">
        <f ca="1">IF(ROWS($1:7)&gt;COUNT(Dong12),"",OFFSET(TH!H$1,SMALL(Dong12,ROWS($1:7)),))</f>
        <v/>
      </c>
      <c r="F20" s="448" t="str">
        <f t="shared" ca="1" si="0"/>
        <v/>
      </c>
      <c r="G20" s="449">
        <f ca="1">IF(ROWS($1:7)&gt;COUNT(Dong12),0,IF(MID(OFFSET(TH!D$1,SMALL(Dong12,ROWS($1:7)),),4,1)="N",OFFSET(TH!I$1,SMALL(Dong12,ROWS($1:7)),),0))</f>
        <v>0</v>
      </c>
      <c r="H20" s="449">
        <f ca="1">IF(ROWS($1:7)&gt;COUNT(Dong12),0,IF(MID(OFFSET(TH!D$1,SMALL(Dong12,ROWS($1:7)),),4,1)="X",OFFSET(TH!I$1,SMALL(Dong12,ROWS($1:7)),),0))</f>
        <v>0</v>
      </c>
      <c r="I20" s="450">
        <f t="shared" ca="1" si="1"/>
        <v>0</v>
      </c>
      <c r="J20" s="451"/>
      <c r="K20" s="452"/>
    </row>
    <row r="21" spans="1:11" ht="16.5" customHeight="1">
      <c r="A21" s="453" t="str">
        <f t="shared" ca="1" si="2"/>
        <v/>
      </c>
      <c r="B21" s="448" t="str">
        <f ca="1">IF(ROWS($1:8)&gt;COUNT(Dong12),"",OFFSET(TH!E$1,SMALL(Dong12,ROWS($1:8)),))</f>
        <v/>
      </c>
      <c r="C21" s="601" t="str">
        <f ca="1">IF(ROWS($1:8)&gt;COUNT(Dong12),"",IF(MID(OFFSET(TH!D$1,SMALL(Dong12,ROWS($1:8)),),4,1)="N",OFFSET(TH!D$1,SMALL(Dong12,ROWS($1:8)),),""))</f>
        <v/>
      </c>
      <c r="D21" s="448" t="str">
        <f ca="1">IF(ROWS($1:8)&gt;COUNT(Dong12),"",IF(MID(OFFSET(TH!D$1,SMALL(Dong12,ROWS($1:8)),),4,1)="X",OFFSET(TH!D$1,SMALL(Dong12,ROWS($1:8)),),""))</f>
        <v/>
      </c>
      <c r="E21" s="895" t="str">
        <f ca="1">IF(ROWS($1:8)&gt;COUNT(Dong12),"",OFFSET(TH!H$1,SMALL(Dong12,ROWS($1:8)),))</f>
        <v/>
      </c>
      <c r="F21" s="448" t="str">
        <f t="shared" ca="1" si="0"/>
        <v/>
      </c>
      <c r="G21" s="449">
        <f ca="1">IF(ROWS($1:8)&gt;COUNT(Dong12),0,IF(MID(OFFSET(TH!D$1,SMALL(Dong12,ROWS($1:8)),),4,1)="N",OFFSET(TH!I$1,SMALL(Dong12,ROWS($1:8)),),0))</f>
        <v>0</v>
      </c>
      <c r="H21" s="449">
        <f ca="1">IF(ROWS($1:8)&gt;COUNT(Dong12),0,IF(MID(OFFSET(TH!D$1,SMALL(Dong12,ROWS($1:8)),),4,1)="X",OFFSET(TH!I$1,SMALL(Dong12,ROWS($1:8)),),0))</f>
        <v>0</v>
      </c>
      <c r="I21" s="450">
        <f t="shared" ca="1" si="1"/>
        <v>0</v>
      </c>
      <c r="J21" s="451"/>
      <c r="K21" s="452"/>
    </row>
    <row r="22" spans="1:11" ht="16.5" customHeight="1">
      <c r="A22" s="453" t="str">
        <f t="shared" ca="1" si="2"/>
        <v/>
      </c>
      <c r="B22" s="448" t="str">
        <f ca="1">IF(ROWS($1:9)&gt;COUNT(Dong12),"",OFFSET(TH!E$1,SMALL(Dong12,ROWS($1:9)),))</f>
        <v/>
      </c>
      <c r="C22" s="601" t="str">
        <f ca="1">IF(ROWS($1:9)&gt;COUNT(Dong12),"",IF(MID(OFFSET(TH!D$1,SMALL(Dong12,ROWS($1:9)),),4,1)="N",OFFSET(TH!D$1,SMALL(Dong12,ROWS($1:9)),),""))</f>
        <v/>
      </c>
      <c r="D22" s="448" t="str">
        <f ca="1">IF(ROWS($1:9)&gt;COUNT(Dong12),"",IF(MID(OFFSET(TH!D$1,SMALL(Dong12,ROWS($1:9)),),4,1)="X",OFFSET(TH!D$1,SMALL(Dong12,ROWS($1:9)),),""))</f>
        <v/>
      </c>
      <c r="E22" s="895" t="str">
        <f ca="1">IF(ROWS($1:9)&gt;COUNT(Dong12),"",OFFSET(TH!H$1,SMALL(Dong12,ROWS($1:9)),))</f>
        <v/>
      </c>
      <c r="F22" s="448" t="str">
        <f t="shared" ca="1" si="0"/>
        <v/>
      </c>
      <c r="G22" s="449">
        <f ca="1">IF(ROWS($1:9)&gt;COUNT(Dong12),0,IF(MID(OFFSET(TH!D$1,SMALL(Dong12,ROWS($1:9)),),4,1)="N",OFFSET(TH!I$1,SMALL(Dong12,ROWS($1:9)),),0))</f>
        <v>0</v>
      </c>
      <c r="H22" s="449">
        <f ca="1">IF(ROWS($1:9)&gt;COUNT(Dong12),0,IF(MID(OFFSET(TH!D$1,SMALL(Dong12,ROWS($1:9)),),4,1)="X",OFFSET(TH!I$1,SMALL(Dong12,ROWS($1:9)),),0))</f>
        <v>0</v>
      </c>
      <c r="I22" s="450">
        <f t="shared" ca="1" si="1"/>
        <v>0</v>
      </c>
      <c r="J22" s="451"/>
      <c r="K22" s="452"/>
    </row>
    <row r="23" spans="1:11" ht="16.5" customHeight="1">
      <c r="A23" s="453" t="str">
        <f t="shared" ca="1" si="2"/>
        <v/>
      </c>
      <c r="B23" s="448" t="str">
        <f ca="1">IF(ROWS($1:10)&gt;COUNT(Dong12),"",OFFSET(TH!E$1,SMALL(Dong12,ROWS($1:10)),))</f>
        <v/>
      </c>
      <c r="C23" s="601" t="str">
        <f ca="1">IF(ROWS($1:10)&gt;COUNT(Dong12),"",IF(MID(OFFSET(TH!D$1,SMALL(Dong12,ROWS($1:10)),),4,1)="N",OFFSET(TH!D$1,SMALL(Dong12,ROWS($1:10)),),""))</f>
        <v/>
      </c>
      <c r="D23" s="448" t="str">
        <f ca="1">IF(ROWS($1:10)&gt;COUNT(Dong12),"",IF(MID(OFFSET(TH!D$1,SMALL(Dong12,ROWS($1:10)),),4,1)="X",OFFSET(TH!D$1,SMALL(Dong12,ROWS($1:10)),),""))</f>
        <v/>
      </c>
      <c r="E23" s="895" t="str">
        <f ca="1">IF(ROWS($1:10)&gt;COUNT(Dong12),"",OFFSET(TH!H$1,SMALL(Dong12,ROWS($1:10)),))</f>
        <v/>
      </c>
      <c r="F23" s="448" t="str">
        <f t="shared" ca="1" si="0"/>
        <v/>
      </c>
      <c r="G23" s="449">
        <f ca="1">IF(ROWS($1:10)&gt;COUNT(Dong12),0,IF(MID(OFFSET(TH!D$1,SMALL(Dong12,ROWS($1:10)),),4,1)="N",OFFSET(TH!I$1,SMALL(Dong12,ROWS($1:10)),),0))</f>
        <v>0</v>
      </c>
      <c r="H23" s="449">
        <f ca="1">IF(ROWS($1:10)&gt;COUNT(Dong12),0,IF(MID(OFFSET(TH!D$1,SMALL(Dong12,ROWS($1:10)),),4,1)="X",OFFSET(TH!I$1,SMALL(Dong12,ROWS($1:10)),),0))</f>
        <v>0</v>
      </c>
      <c r="I23" s="450">
        <f t="shared" ca="1" si="1"/>
        <v>0</v>
      </c>
      <c r="J23" s="451"/>
      <c r="K23" s="452"/>
    </row>
    <row r="24" spans="1:11" ht="16.5" customHeight="1">
      <c r="A24" s="453" t="str">
        <f t="shared" ca="1" si="2"/>
        <v/>
      </c>
      <c r="B24" s="448" t="str">
        <f ca="1">IF(ROWS($1:11)&gt;COUNT(Dong12),"",OFFSET(TH!E$1,SMALL(Dong12,ROWS($1:11)),))</f>
        <v/>
      </c>
      <c r="C24" s="601" t="str">
        <f ca="1">IF(ROWS($1:11)&gt;COUNT(Dong12),"",IF(MID(OFFSET(TH!D$1,SMALL(Dong12,ROWS($1:11)),),4,1)="N",OFFSET(TH!D$1,SMALL(Dong12,ROWS($1:11)),),""))</f>
        <v/>
      </c>
      <c r="D24" s="448" t="str">
        <f ca="1">IF(ROWS($1:11)&gt;COUNT(Dong12),"",IF(MID(OFFSET(TH!D$1,SMALL(Dong12,ROWS($1:11)),),4,1)="X",OFFSET(TH!D$1,SMALL(Dong12,ROWS($1:11)),),""))</f>
        <v/>
      </c>
      <c r="E24" s="895" t="str">
        <f ca="1">IF(ROWS($1:11)&gt;COUNT(Dong12),"",OFFSET(TH!H$1,SMALL(Dong12,ROWS($1:11)),))</f>
        <v/>
      </c>
      <c r="F24" s="448" t="str">
        <f t="shared" ca="1" si="0"/>
        <v/>
      </c>
      <c r="G24" s="449">
        <f ca="1">IF(ROWS($1:11)&gt;COUNT(Dong12),0,IF(MID(OFFSET(TH!D$1,SMALL(Dong12,ROWS($1:11)),),4,1)="N",OFFSET(TH!I$1,SMALL(Dong12,ROWS($1:11)),),0))</f>
        <v>0</v>
      </c>
      <c r="H24" s="449">
        <f ca="1">IF(ROWS($1:11)&gt;COUNT(Dong12),0,IF(MID(OFFSET(TH!D$1,SMALL(Dong12,ROWS($1:11)),),4,1)="X",OFFSET(TH!I$1,SMALL(Dong12,ROWS($1:11)),),0))</f>
        <v>0</v>
      </c>
      <c r="I24" s="450">
        <f t="shared" ca="1" si="1"/>
        <v>0</v>
      </c>
      <c r="J24" s="451"/>
      <c r="K24" s="452"/>
    </row>
    <row r="25" spans="1:11" ht="16.5" customHeight="1">
      <c r="A25" s="453" t="str">
        <f t="shared" ca="1" si="2"/>
        <v/>
      </c>
      <c r="B25" s="448" t="str">
        <f ca="1">IF(ROWS($1:12)&gt;COUNT(Dong12),"",OFFSET(TH!E$1,SMALL(Dong12,ROWS($1:12)),))</f>
        <v/>
      </c>
      <c r="C25" s="601" t="str">
        <f ca="1">IF(ROWS($1:12)&gt;COUNT(Dong12),"",IF(MID(OFFSET(TH!D$1,SMALL(Dong12,ROWS($1:12)),),4,1)="N",OFFSET(TH!D$1,SMALL(Dong12,ROWS($1:12)),),""))</f>
        <v/>
      </c>
      <c r="D25" s="448" t="str">
        <f ca="1">IF(ROWS($1:12)&gt;COUNT(Dong12),"",IF(MID(OFFSET(TH!D$1,SMALL(Dong12,ROWS($1:12)),),4,1)="X",OFFSET(TH!D$1,SMALL(Dong12,ROWS($1:12)),),""))</f>
        <v/>
      </c>
      <c r="E25" s="895" t="str">
        <f ca="1">IF(ROWS($1:12)&gt;COUNT(Dong12),"",OFFSET(TH!H$1,SMALL(Dong12,ROWS($1:12)),))</f>
        <v/>
      </c>
      <c r="F25" s="448" t="str">
        <f t="shared" ca="1" si="0"/>
        <v/>
      </c>
      <c r="G25" s="449">
        <f ca="1">IF(ROWS($1:12)&gt;COUNT(Dong12),0,IF(MID(OFFSET(TH!D$1,SMALL(Dong12,ROWS($1:12)),),4,1)="N",OFFSET(TH!I$1,SMALL(Dong12,ROWS($1:12)),),0))</f>
        <v>0</v>
      </c>
      <c r="H25" s="449">
        <f ca="1">IF(ROWS($1:12)&gt;COUNT(Dong12),0,IF(MID(OFFSET(TH!D$1,SMALL(Dong12,ROWS($1:12)),),4,1)="X",OFFSET(TH!I$1,SMALL(Dong12,ROWS($1:12)),),0))</f>
        <v>0</v>
      </c>
      <c r="I25" s="450">
        <f t="shared" ca="1" si="1"/>
        <v>0</v>
      </c>
      <c r="J25" s="451"/>
      <c r="K25" s="452"/>
    </row>
    <row r="26" spans="1:11" ht="16.5" customHeight="1">
      <c r="A26" s="453" t="str">
        <f t="shared" ca="1" si="2"/>
        <v/>
      </c>
      <c r="B26" s="448" t="str">
        <f ca="1">IF(ROWS($1:13)&gt;COUNT(Dong12),"",OFFSET(TH!E$1,SMALL(Dong12,ROWS($1:13)),))</f>
        <v/>
      </c>
      <c r="C26" s="601" t="str">
        <f ca="1">IF(ROWS($1:13)&gt;COUNT(Dong12),"",IF(MID(OFFSET(TH!D$1,SMALL(Dong12,ROWS($1:13)),),4,1)="N",OFFSET(TH!D$1,SMALL(Dong12,ROWS($1:13)),),""))</f>
        <v/>
      </c>
      <c r="D26" s="448" t="str">
        <f ca="1">IF(ROWS($1:13)&gt;COUNT(Dong12),"",IF(MID(OFFSET(TH!D$1,SMALL(Dong12,ROWS($1:13)),),4,1)="X",OFFSET(TH!D$1,SMALL(Dong12,ROWS($1:13)),),""))</f>
        <v/>
      </c>
      <c r="E26" s="895" t="str">
        <f ca="1">IF(ROWS($1:13)&gt;COUNT(Dong12),"",OFFSET(TH!H$1,SMALL(Dong12,ROWS($1:13)),))</f>
        <v/>
      </c>
      <c r="F26" s="448" t="str">
        <f t="shared" ca="1" si="0"/>
        <v/>
      </c>
      <c r="G26" s="449">
        <f ca="1">IF(ROWS($1:13)&gt;COUNT(Dong12),0,IF(MID(OFFSET(TH!D$1,SMALL(Dong12,ROWS($1:13)),),4,1)="N",OFFSET(TH!I$1,SMALL(Dong12,ROWS($1:13)),),0))</f>
        <v>0</v>
      </c>
      <c r="H26" s="449">
        <f ca="1">IF(ROWS($1:13)&gt;COUNT(Dong12),0,IF(MID(OFFSET(TH!D$1,SMALL(Dong12,ROWS($1:13)),),4,1)="X",OFFSET(TH!I$1,SMALL(Dong12,ROWS($1:13)),),0))</f>
        <v>0</v>
      </c>
      <c r="I26" s="450">
        <f t="shared" ca="1" si="1"/>
        <v>0</v>
      </c>
      <c r="J26" s="451"/>
      <c r="K26" s="452"/>
    </row>
    <row r="27" spans="1:11" ht="16.5" customHeight="1">
      <c r="A27" s="453" t="str">
        <f t="shared" ca="1" si="2"/>
        <v/>
      </c>
      <c r="B27" s="448" t="str">
        <f ca="1">IF(ROWS($1:14)&gt;COUNT(Dong12),"",OFFSET(TH!E$1,SMALL(Dong12,ROWS($1:14)),))</f>
        <v/>
      </c>
      <c r="C27" s="601" t="str">
        <f ca="1">IF(ROWS($1:14)&gt;COUNT(Dong12),"",IF(MID(OFFSET(TH!D$1,SMALL(Dong12,ROWS($1:14)),),4,1)="N",OFFSET(TH!D$1,SMALL(Dong12,ROWS($1:14)),),""))</f>
        <v/>
      </c>
      <c r="D27" s="448" t="str">
        <f ca="1">IF(ROWS($1:14)&gt;COUNT(Dong12),"",IF(MID(OFFSET(TH!D$1,SMALL(Dong12,ROWS($1:14)),),4,1)="X",OFFSET(TH!D$1,SMALL(Dong12,ROWS($1:14)),),""))</f>
        <v/>
      </c>
      <c r="E27" s="895" t="str">
        <f ca="1">IF(ROWS($1:14)&gt;COUNT(Dong12),"",OFFSET(TH!H$1,SMALL(Dong12,ROWS($1:14)),))</f>
        <v/>
      </c>
      <c r="F27" s="448" t="str">
        <f t="shared" ca="1" si="0"/>
        <v/>
      </c>
      <c r="G27" s="449">
        <f ca="1">IF(ROWS($1:14)&gt;COUNT(Dong12),0,IF(MID(OFFSET(TH!D$1,SMALL(Dong12,ROWS($1:14)),),4,1)="N",OFFSET(TH!I$1,SMALL(Dong12,ROWS($1:14)),),0))</f>
        <v>0</v>
      </c>
      <c r="H27" s="449">
        <f ca="1">IF(ROWS($1:14)&gt;COUNT(Dong12),0,IF(MID(OFFSET(TH!D$1,SMALL(Dong12,ROWS($1:14)),),4,1)="X",OFFSET(TH!I$1,SMALL(Dong12,ROWS($1:14)),),0))</f>
        <v>0</v>
      </c>
      <c r="I27" s="450">
        <f t="shared" ca="1" si="1"/>
        <v>0</v>
      </c>
      <c r="J27" s="451"/>
      <c r="K27" s="452"/>
    </row>
    <row r="28" spans="1:11" ht="16.5" customHeight="1">
      <c r="A28" s="453" t="str">
        <f t="shared" ca="1" si="2"/>
        <v/>
      </c>
      <c r="B28" s="448" t="str">
        <f ca="1">IF(ROWS($1:15)&gt;COUNT(Dong12),"",OFFSET(TH!E$1,SMALL(Dong12,ROWS($1:15)),))</f>
        <v/>
      </c>
      <c r="C28" s="601" t="str">
        <f ca="1">IF(ROWS($1:15)&gt;COUNT(Dong12),"",IF(MID(OFFSET(TH!D$1,SMALL(Dong12,ROWS($1:15)),),4,1)="N",OFFSET(TH!D$1,SMALL(Dong12,ROWS($1:15)),),""))</f>
        <v/>
      </c>
      <c r="D28" s="448" t="str">
        <f ca="1">IF(ROWS($1:15)&gt;COUNT(Dong12),"",IF(MID(OFFSET(TH!D$1,SMALL(Dong12,ROWS($1:15)),),4,1)="X",OFFSET(TH!D$1,SMALL(Dong12,ROWS($1:15)),),""))</f>
        <v/>
      </c>
      <c r="E28" s="895" t="str">
        <f ca="1">IF(ROWS($1:15)&gt;COUNT(Dong12),"",OFFSET(TH!H$1,SMALL(Dong12,ROWS($1:15)),))</f>
        <v/>
      </c>
      <c r="F28" s="448" t="str">
        <f t="shared" ca="1" si="0"/>
        <v/>
      </c>
      <c r="G28" s="449">
        <f ca="1">IF(ROWS($1:15)&gt;COUNT(Dong12),0,IF(MID(OFFSET(TH!D$1,SMALL(Dong12,ROWS($1:15)),),4,1)="N",OFFSET(TH!I$1,SMALL(Dong12,ROWS($1:15)),),0))</f>
        <v>0</v>
      </c>
      <c r="H28" s="449">
        <f ca="1">IF(ROWS($1:15)&gt;COUNT(Dong12),0,IF(MID(OFFSET(TH!D$1,SMALL(Dong12,ROWS($1:15)),),4,1)="X",OFFSET(TH!I$1,SMALL(Dong12,ROWS($1:15)),),0))</f>
        <v>0</v>
      </c>
      <c r="I28" s="450">
        <f t="shared" ca="1" si="1"/>
        <v>0</v>
      </c>
      <c r="J28" s="451"/>
      <c r="K28" s="452"/>
    </row>
    <row r="29" spans="1:11" ht="16.5" customHeight="1">
      <c r="A29" s="453" t="str">
        <f t="shared" ca="1" si="2"/>
        <v/>
      </c>
      <c r="B29" s="448" t="str">
        <f ca="1">IF(ROWS($1:16)&gt;COUNT(Dong12),"",OFFSET(TH!E$1,SMALL(Dong12,ROWS($1:16)),))</f>
        <v/>
      </c>
      <c r="C29" s="601" t="str">
        <f ca="1">IF(ROWS($1:16)&gt;COUNT(Dong12),"",IF(MID(OFFSET(TH!D$1,SMALL(Dong12,ROWS($1:16)),),4,1)="N",OFFSET(TH!D$1,SMALL(Dong12,ROWS($1:16)),),""))</f>
        <v/>
      </c>
      <c r="D29" s="448" t="str">
        <f ca="1">IF(ROWS($1:16)&gt;COUNT(Dong12),"",IF(MID(OFFSET(TH!D$1,SMALL(Dong12,ROWS($1:16)),),4,1)="X",OFFSET(TH!D$1,SMALL(Dong12,ROWS($1:16)),),""))</f>
        <v/>
      </c>
      <c r="E29" s="895" t="str">
        <f ca="1">IF(ROWS($1:16)&gt;COUNT(Dong12),"",OFFSET(TH!H$1,SMALL(Dong12,ROWS($1:16)),))</f>
        <v/>
      </c>
      <c r="F29" s="448" t="str">
        <f t="shared" ca="1" si="0"/>
        <v/>
      </c>
      <c r="G29" s="449">
        <f ca="1">IF(ROWS($1:16)&gt;COUNT(Dong12),0,IF(MID(OFFSET(TH!D$1,SMALL(Dong12,ROWS($1:16)),),4,1)="N",OFFSET(TH!I$1,SMALL(Dong12,ROWS($1:16)),),0))</f>
        <v>0</v>
      </c>
      <c r="H29" s="449">
        <f ca="1">IF(ROWS($1:16)&gt;COUNT(Dong12),0,IF(MID(OFFSET(TH!D$1,SMALL(Dong12,ROWS($1:16)),),4,1)="X",OFFSET(TH!I$1,SMALL(Dong12,ROWS($1:16)),),0))</f>
        <v>0</v>
      </c>
      <c r="I29" s="450">
        <f t="shared" ca="1" si="1"/>
        <v>0</v>
      </c>
      <c r="J29" s="451"/>
      <c r="K29" s="452"/>
    </row>
    <row r="30" spans="1:11" ht="16.5" customHeight="1">
      <c r="A30" s="453" t="str">
        <f t="shared" ca="1" si="2"/>
        <v/>
      </c>
      <c r="B30" s="448" t="str">
        <f ca="1">IF(ROWS($1:17)&gt;COUNT(Dong12),"",OFFSET(TH!E$1,SMALL(Dong12,ROWS($1:17)),))</f>
        <v/>
      </c>
      <c r="C30" s="601" t="str">
        <f ca="1">IF(ROWS($1:17)&gt;COUNT(Dong12),"",IF(MID(OFFSET(TH!D$1,SMALL(Dong12,ROWS($1:17)),),4,1)="N",OFFSET(TH!D$1,SMALL(Dong12,ROWS($1:17)),),""))</f>
        <v/>
      </c>
      <c r="D30" s="448" t="str">
        <f ca="1">IF(ROWS($1:17)&gt;COUNT(Dong12),"",IF(MID(OFFSET(TH!D$1,SMALL(Dong12,ROWS($1:17)),),4,1)="X",OFFSET(TH!D$1,SMALL(Dong12,ROWS($1:17)),),""))</f>
        <v/>
      </c>
      <c r="E30" s="895" t="str">
        <f ca="1">IF(ROWS($1:17)&gt;COUNT(Dong12),"",OFFSET(TH!H$1,SMALL(Dong12,ROWS($1:17)),))</f>
        <v/>
      </c>
      <c r="F30" s="448" t="str">
        <f t="shared" ca="1" si="0"/>
        <v/>
      </c>
      <c r="G30" s="449">
        <f ca="1">IF(ROWS($1:17)&gt;COUNT(Dong12),0,IF(MID(OFFSET(TH!D$1,SMALL(Dong12,ROWS($1:17)),),4,1)="N",OFFSET(TH!I$1,SMALL(Dong12,ROWS($1:17)),),0))</f>
        <v>0</v>
      </c>
      <c r="H30" s="449">
        <f ca="1">IF(ROWS($1:17)&gt;COUNT(Dong12),0,IF(MID(OFFSET(TH!D$1,SMALL(Dong12,ROWS($1:17)),),4,1)="X",OFFSET(TH!I$1,SMALL(Dong12,ROWS($1:17)),),0))</f>
        <v>0</v>
      </c>
      <c r="I30" s="450">
        <f t="shared" ca="1" si="1"/>
        <v>0</v>
      </c>
      <c r="J30" s="451"/>
      <c r="K30" s="452"/>
    </row>
    <row r="31" spans="1:11" ht="16.5" customHeight="1">
      <c r="A31" s="454" t="str">
        <f>IF(D31&lt;&gt;"",A21+1,"")</f>
        <v/>
      </c>
      <c r="B31" s="455"/>
      <c r="C31" s="456"/>
      <c r="D31" s="456"/>
      <c r="E31" s="896"/>
      <c r="F31" s="455"/>
      <c r="G31" s="457"/>
      <c r="H31" s="457"/>
      <c r="I31" s="457"/>
      <c r="J31" s="458"/>
      <c r="K31" s="452"/>
    </row>
    <row r="32" spans="1:11" ht="16.5" customHeight="1">
      <c r="A32" s="442"/>
      <c r="B32" s="459"/>
      <c r="C32" s="442"/>
      <c r="D32" s="442"/>
      <c r="E32" s="443" t="s">
        <v>302</v>
      </c>
      <c r="F32" s="460" t="s">
        <v>19</v>
      </c>
      <c r="G32" s="461">
        <f ca="1">SUM(G14:G31)</f>
        <v>0</v>
      </c>
      <c r="H32" s="461">
        <f ca="1">SUM(H14:H31)</f>
        <v>0</v>
      </c>
      <c r="I32" s="461">
        <f ca="1">I13+G32-H32</f>
        <v>0</v>
      </c>
      <c r="J32" s="442" t="s">
        <v>19</v>
      </c>
      <c r="K32" s="462"/>
    </row>
    <row r="33" spans="1:11" ht="12.75" customHeight="1">
      <c r="A33" s="463"/>
      <c r="B33" s="419"/>
      <c r="C33" s="463"/>
      <c r="D33" s="463"/>
      <c r="E33" s="427"/>
      <c r="F33" s="419"/>
      <c r="G33" s="428"/>
      <c r="H33" s="428"/>
      <c r="I33" s="428"/>
      <c r="J33" s="415"/>
      <c r="K33" s="415"/>
    </row>
    <row r="34" spans="1:11" ht="15">
      <c r="A34" s="464" t="s">
        <v>303</v>
      </c>
      <c r="B34" s="464"/>
      <c r="C34" s="465"/>
      <c r="D34" s="465"/>
      <c r="E34" s="427"/>
      <c r="F34" s="419"/>
      <c r="G34" s="428"/>
      <c r="H34" s="428"/>
      <c r="I34" s="428"/>
      <c r="J34" s="415"/>
      <c r="K34" s="415"/>
    </row>
    <row r="35" spans="1:11" ht="15">
      <c r="A35" s="1099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7 tháng 1 năm 2013</v>
      </c>
      <c r="B35" s="1100"/>
      <c r="C35" s="1100"/>
      <c r="D35" s="1100"/>
      <c r="E35" s="1100"/>
      <c r="F35" s="419"/>
      <c r="G35" s="428"/>
      <c r="H35" s="428"/>
      <c r="I35" s="428"/>
      <c r="J35" s="415"/>
      <c r="K35" s="415"/>
    </row>
    <row r="36" spans="1:11" ht="15">
      <c r="A36" s="466"/>
      <c r="B36" s="467"/>
      <c r="C36" s="468"/>
      <c r="D36" s="463"/>
      <c r="E36" s="427"/>
      <c r="F36" s="419"/>
      <c r="H36" s="345"/>
      <c r="I36" s="702" t="s">
        <v>264</v>
      </c>
      <c r="J36" s="345"/>
      <c r="K36" s="346"/>
    </row>
    <row r="37" spans="1:11" ht="15" customHeight="1">
      <c r="A37" s="466"/>
      <c r="C37" s="469" t="s">
        <v>304</v>
      </c>
      <c r="D37" s="463"/>
      <c r="E37" s="1101" t="s">
        <v>12</v>
      </c>
      <c r="F37" s="1101"/>
      <c r="G37" s="428"/>
      <c r="I37" s="736" t="s">
        <v>113</v>
      </c>
      <c r="J37" s="417"/>
      <c r="K37" s="466"/>
    </row>
    <row r="38" spans="1:11" ht="15" customHeight="1">
      <c r="A38" s="470"/>
      <c r="C38" s="471" t="s">
        <v>13</v>
      </c>
      <c r="D38" s="472"/>
      <c r="E38" s="1095" t="s">
        <v>13</v>
      </c>
      <c r="F38" s="1095"/>
      <c r="G38" s="428"/>
      <c r="I38" s="737" t="s">
        <v>143</v>
      </c>
      <c r="J38" s="735"/>
      <c r="K38" s="470"/>
    </row>
    <row r="39" spans="1:11" ht="15">
      <c r="A39" s="470"/>
      <c r="C39" s="471"/>
      <c r="D39" s="463"/>
      <c r="E39" s="473"/>
      <c r="F39" s="474"/>
      <c r="G39" s="428"/>
      <c r="H39" s="470"/>
      <c r="I39" s="470"/>
      <c r="J39" s="470"/>
      <c r="K39" s="470"/>
    </row>
    <row r="40" spans="1:11" ht="15">
      <c r="A40" s="470"/>
      <c r="B40" s="471"/>
      <c r="C40" s="470"/>
      <c r="D40" s="463"/>
      <c r="E40" s="473"/>
      <c r="F40" s="474"/>
      <c r="G40" s="428"/>
      <c r="H40" s="470"/>
      <c r="I40" s="470"/>
      <c r="J40" s="470"/>
      <c r="K40" s="470"/>
    </row>
    <row r="41" spans="1:11" ht="15">
      <c r="A41" s="470"/>
      <c r="B41" s="471"/>
      <c r="C41" s="470"/>
      <c r="D41" s="463"/>
      <c r="E41" s="473"/>
      <c r="F41" s="474"/>
      <c r="G41" s="428"/>
      <c r="H41" s="470"/>
      <c r="I41" s="470"/>
      <c r="J41" s="470"/>
      <c r="K41" s="470"/>
    </row>
    <row r="46" spans="1:11" ht="15">
      <c r="C46" s="738" t="s">
        <v>436</v>
      </c>
      <c r="H46" s="734"/>
      <c r="I46" s="733" t="s">
        <v>107</v>
      </c>
      <c r="J46" s="734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1" customWidth="1"/>
    <col min="2" max="2" width="23" style="481" customWidth="1"/>
    <col min="3" max="3" width="6.7109375" style="481" customWidth="1"/>
    <col min="4" max="5" width="8.85546875" style="481" customWidth="1"/>
    <col min="6" max="6" width="9.140625" style="481" customWidth="1"/>
    <col min="7" max="7" width="14.28515625" style="481" customWidth="1"/>
    <col min="8" max="11" width="13.7109375" style="481" customWidth="1"/>
    <col min="12" max="12" width="11.85546875" style="481" customWidth="1"/>
    <col min="13" max="13" width="13.7109375" style="481" hidden="1" customWidth="1"/>
    <col min="14" max="14" width="14.5703125" style="481" customWidth="1"/>
    <col min="15" max="15" width="7.28515625" style="481" customWidth="1"/>
    <col min="16" max="16" width="7.7109375" style="481" customWidth="1"/>
    <col min="17" max="17" width="3.42578125" style="482" customWidth="1"/>
    <col min="18" max="18" width="23" style="481" customWidth="1"/>
    <col min="19" max="19" width="10.140625" style="483" customWidth="1"/>
    <col min="20" max="21" width="7.5703125" style="484" customWidth="1"/>
    <col min="22" max="22" width="12.140625" style="481" customWidth="1"/>
    <col min="23" max="23" width="7.7109375" style="481" customWidth="1"/>
    <col min="24" max="16384" width="10.28515625" style="481"/>
  </cols>
  <sheetData>
    <row r="1" spans="1:25">
      <c r="B1" s="481">
        <v>1</v>
      </c>
      <c r="C1" s="481">
        <v>2</v>
      </c>
      <c r="D1" s="481">
        <v>3</v>
      </c>
      <c r="E1" s="481">
        <v>4</v>
      </c>
      <c r="F1" s="481">
        <v>5</v>
      </c>
      <c r="G1" s="481">
        <v>6</v>
      </c>
      <c r="H1" s="481">
        <v>8</v>
      </c>
      <c r="I1" s="481">
        <v>7</v>
      </c>
      <c r="J1" s="481">
        <v>9</v>
      </c>
      <c r="K1" s="481">
        <v>10</v>
      </c>
      <c r="L1" s="481">
        <v>11</v>
      </c>
      <c r="M1" s="481">
        <v>12</v>
      </c>
      <c r="N1" s="481">
        <v>13</v>
      </c>
      <c r="O1" s="481">
        <v>14</v>
      </c>
      <c r="P1" s="481">
        <v>15</v>
      </c>
    </row>
    <row r="2" spans="1:25" ht="18" customHeight="1">
      <c r="A2" s="485" t="s">
        <v>305</v>
      </c>
      <c r="B2" s="485"/>
      <c r="C2" s="486"/>
      <c r="D2" s="487"/>
      <c r="E2" s="487"/>
      <c r="F2" s="487"/>
      <c r="G2" s="484"/>
      <c r="H2" s="484"/>
      <c r="I2" s="484"/>
      <c r="J2" s="484"/>
      <c r="K2" s="484"/>
      <c r="L2" s="488"/>
      <c r="M2" s="484"/>
      <c r="N2" s="484"/>
      <c r="O2" s="489"/>
      <c r="P2" s="484"/>
      <c r="Q2" s="490"/>
      <c r="R2" s="484"/>
      <c r="S2" s="491"/>
    </row>
    <row r="3" spans="1:25" ht="18.75" customHeight="1">
      <c r="A3" s="492" t="s">
        <v>306</v>
      </c>
      <c r="B3" s="492"/>
      <c r="C3" s="492"/>
      <c r="D3" s="492"/>
      <c r="E3" s="492"/>
      <c r="F3" s="492"/>
      <c r="G3" s="492"/>
      <c r="H3" s="492"/>
      <c r="I3" s="492"/>
      <c r="J3" s="492"/>
      <c r="K3" s="492"/>
      <c r="L3" s="492"/>
      <c r="M3" s="492"/>
      <c r="N3" s="492"/>
      <c r="O3" s="492"/>
      <c r="P3" s="492"/>
      <c r="Q3" s="490"/>
      <c r="R3" s="484"/>
      <c r="S3" s="491"/>
    </row>
    <row r="4" spans="1:25" ht="18.75" customHeight="1">
      <c r="A4" s="493"/>
      <c r="B4" s="493"/>
      <c r="C4" s="494"/>
      <c r="D4" s="493"/>
      <c r="E4" s="493"/>
      <c r="F4" s="493"/>
      <c r="G4" s="493"/>
      <c r="H4" s="493"/>
      <c r="I4" s="493"/>
      <c r="J4" s="493"/>
      <c r="K4" s="493"/>
      <c r="L4" s="492"/>
      <c r="M4" s="493"/>
      <c r="N4" s="493"/>
      <c r="O4" s="495"/>
      <c r="P4" s="493"/>
      <c r="Q4" s="490"/>
      <c r="R4" s="484"/>
      <c r="S4" s="491"/>
    </row>
    <row r="5" spans="1:25" ht="12.75" customHeight="1">
      <c r="A5" s="496"/>
      <c r="B5" s="496"/>
      <c r="C5" s="497"/>
      <c r="D5" s="496"/>
      <c r="E5" s="496"/>
      <c r="F5" s="496"/>
      <c r="G5" s="496"/>
      <c r="H5" s="496"/>
      <c r="I5" s="496"/>
      <c r="J5" s="496"/>
      <c r="K5" s="496"/>
      <c r="L5" s="496"/>
      <c r="M5" s="496"/>
      <c r="N5" s="496"/>
      <c r="O5" s="498"/>
      <c r="P5" s="496"/>
      <c r="Q5" s="490"/>
      <c r="R5" s="499"/>
      <c r="S5" s="1104"/>
      <c r="T5" s="1104"/>
      <c r="U5" s="500"/>
      <c r="V5" s="1104"/>
      <c r="W5" s="1104"/>
      <c r="X5" s="499"/>
      <c r="Y5" s="499"/>
    </row>
    <row r="6" spans="1:25" s="507" customFormat="1" ht="30.75" customHeight="1">
      <c r="A6" s="501" t="s">
        <v>35</v>
      </c>
      <c r="B6" s="501" t="s">
        <v>307</v>
      </c>
      <c r="C6" s="502" t="s">
        <v>308</v>
      </c>
      <c r="D6" s="503" t="s">
        <v>309</v>
      </c>
      <c r="E6" s="503" t="s">
        <v>310</v>
      </c>
      <c r="F6" s="503" t="s">
        <v>311</v>
      </c>
      <c r="G6" s="503" t="s">
        <v>312</v>
      </c>
      <c r="H6" s="503" t="s">
        <v>313</v>
      </c>
      <c r="I6" s="503" t="s">
        <v>314</v>
      </c>
      <c r="J6" s="503" t="s">
        <v>315</v>
      </c>
      <c r="K6" s="504" t="s">
        <v>316</v>
      </c>
      <c r="L6" s="503" t="s">
        <v>317</v>
      </c>
      <c r="M6" s="504" t="s">
        <v>318</v>
      </c>
      <c r="N6" s="503" t="s">
        <v>319</v>
      </c>
      <c r="O6" s="505" t="s">
        <v>310</v>
      </c>
      <c r="P6" s="503" t="s">
        <v>320</v>
      </c>
      <c r="Q6" s="506"/>
      <c r="R6" s="501" t="s">
        <v>307</v>
      </c>
      <c r="S6" s="503" t="s">
        <v>299</v>
      </c>
      <c r="T6" s="503" t="s">
        <v>244</v>
      </c>
      <c r="U6" s="503" t="s">
        <v>311</v>
      </c>
      <c r="V6" s="503" t="s">
        <v>321</v>
      </c>
      <c r="W6" s="501" t="s">
        <v>321</v>
      </c>
    </row>
    <row r="7" spans="1:25">
      <c r="A7" s="508">
        <f>IF(B7&lt;&gt;"",ROW()-(ROW()-1),"")</f>
        <v>1</v>
      </c>
      <c r="B7" s="329" t="s">
        <v>260</v>
      </c>
      <c r="C7" s="509">
        <v>11</v>
      </c>
      <c r="D7" s="399">
        <f>ROUND(C7*O7,0)</f>
        <v>78100</v>
      </c>
      <c r="E7" s="399"/>
      <c r="F7" s="399">
        <v>16000</v>
      </c>
      <c r="G7" s="510">
        <f>(D7+E7)*F7</f>
        <v>1249600000</v>
      </c>
      <c r="H7" s="399">
        <f>IF($D$11&lt;&gt;0,H$11/($D$11+$E$11/5)*($D7+$E7/5),0)</f>
        <v>45374327.428571433</v>
      </c>
      <c r="I7" s="399">
        <f>IF($D$11&lt;&gt;0,I$11/$D$11*$D7,0)</f>
        <v>16528039.314285716</v>
      </c>
      <c r="J7" s="399">
        <f t="shared" ref="J7:K9" si="0">IF($D$11&lt;&gt;0,J$11/$D$11*$D7,0)</f>
        <v>26076882.857142854</v>
      </c>
      <c r="K7" s="399">
        <f t="shared" si="0"/>
        <v>17957921.771428574</v>
      </c>
      <c r="L7" s="399">
        <f>V18+V19</f>
        <v>7800000</v>
      </c>
      <c r="M7" s="399"/>
      <c r="N7" s="510">
        <f>G7+I7+H7+J7+L7+K7+M7</f>
        <v>1363337171.3714287</v>
      </c>
      <c r="O7" s="399">
        <v>7100</v>
      </c>
      <c r="P7" s="399">
        <f>IF(O7&lt;&gt;"",N7/O7,"")</f>
        <v>192019.31991146883</v>
      </c>
      <c r="Q7" s="511"/>
      <c r="R7" s="512" t="s">
        <v>246</v>
      </c>
      <c r="S7" s="513">
        <v>42371</v>
      </c>
      <c r="T7" s="190">
        <v>100</v>
      </c>
      <c r="U7" s="514">
        <v>35444.444444444445</v>
      </c>
      <c r="V7" s="510">
        <f>ROUND(T7*U7,0)</f>
        <v>3544444</v>
      </c>
      <c r="W7" s="515"/>
    </row>
    <row r="8" spans="1:25">
      <c r="A8" s="508">
        <f>IF(B8&lt;&gt;"",A7+1,"")</f>
        <v>2</v>
      </c>
      <c r="B8" s="329" t="s">
        <v>262</v>
      </c>
      <c r="C8" s="509">
        <v>8</v>
      </c>
      <c r="D8" s="399">
        <f>ROUND(C8*O8,0)</f>
        <v>38400</v>
      </c>
      <c r="E8" s="399"/>
      <c r="F8" s="399">
        <v>18500</v>
      </c>
      <c r="G8" s="510">
        <f>(D8+E8)*F8</f>
        <v>710400000</v>
      </c>
      <c r="H8" s="399">
        <f>IF($D$11&lt;&gt;0,H$11/($D$11+$E$11/5)*($D8+$E8/5),0)</f>
        <v>22309528.466800805</v>
      </c>
      <c r="I8" s="399">
        <f>IF($D$11&lt;&gt;0,I$11/$D$11*$D8,0)</f>
        <v>8126462.3517102618</v>
      </c>
      <c r="J8" s="399">
        <f t="shared" si="0"/>
        <v>12821412.313883299</v>
      </c>
      <c r="K8" s="399">
        <f t="shared" si="0"/>
        <v>8829503.1501006037</v>
      </c>
      <c r="L8" s="399">
        <f>V20+V21</f>
        <v>46346000</v>
      </c>
      <c r="M8" s="399"/>
      <c r="N8" s="510">
        <f>G8+I8+H8+J8+L8+K8+M8</f>
        <v>808832906.28249502</v>
      </c>
      <c r="O8" s="516">
        <v>4800</v>
      </c>
      <c r="P8" s="399">
        <f>IF(O8&lt;&gt;"",N8/O8,"")</f>
        <v>168506.85547551978</v>
      </c>
      <c r="Q8" s="511"/>
      <c r="R8" s="517" t="s">
        <v>247</v>
      </c>
      <c r="S8" s="513">
        <v>42371</v>
      </c>
      <c r="T8" s="190">
        <v>20</v>
      </c>
      <c r="U8" s="518">
        <v>46741.2</v>
      </c>
      <c r="V8" s="510">
        <f t="shared" ref="V8:V14" si="1">ROUND(T8*U8,0)</f>
        <v>934824</v>
      </c>
      <c r="W8" s="519"/>
    </row>
    <row r="9" spans="1:25">
      <c r="A9" s="508">
        <f>IF(B9&lt;&gt;"",A8+1,"")</f>
        <v>3</v>
      </c>
      <c r="B9" s="520" t="s">
        <v>261</v>
      </c>
      <c r="C9" s="509">
        <v>11</v>
      </c>
      <c r="D9" s="399">
        <f>ROUND(C9*O9,0)</f>
        <v>132000</v>
      </c>
      <c r="E9" s="399"/>
      <c r="F9" s="399">
        <v>14500</v>
      </c>
      <c r="G9" s="510">
        <f>(D9+E9)*F9</f>
        <v>1914000000</v>
      </c>
      <c r="H9" s="399">
        <f>IF($D$11&lt;&gt;0,H$11/($D$11+$E$11/5)*($D9+$E9/5),0)</f>
        <v>76689004.104627773</v>
      </c>
      <c r="I9" s="399">
        <f>IF($D$11&lt;&gt;0,I$11/$D$11*$D9,0)</f>
        <v>27934714.334004026</v>
      </c>
      <c r="J9" s="399">
        <f t="shared" si="0"/>
        <v>44073604.828973837</v>
      </c>
      <c r="K9" s="399">
        <f t="shared" si="0"/>
        <v>30351417.078470826</v>
      </c>
      <c r="L9" s="399">
        <f>V22+V23</f>
        <v>15225000</v>
      </c>
      <c r="M9" s="399"/>
      <c r="N9" s="510">
        <f>G9+I9+H9+J9+L9+K9+M9</f>
        <v>2108273740.3460765</v>
      </c>
      <c r="O9" s="516">
        <v>12000</v>
      </c>
      <c r="P9" s="399">
        <f>IF(O9&lt;&gt;"",N9/O9,"")</f>
        <v>175689.47836217305</v>
      </c>
      <c r="Q9" s="511"/>
      <c r="R9" s="517" t="s">
        <v>248</v>
      </c>
      <c r="S9" s="513">
        <v>42371</v>
      </c>
      <c r="T9" s="190">
        <v>150</v>
      </c>
      <c r="U9" s="518">
        <v>11666.673333333334</v>
      </c>
      <c r="V9" s="510">
        <f t="shared" si="1"/>
        <v>1750001</v>
      </c>
      <c r="W9" s="519"/>
    </row>
    <row r="10" spans="1:25" s="530" customFormat="1">
      <c r="A10" s="508" t="str">
        <f>IF(B10&lt;&gt;"",#REF!+1,"")</f>
        <v/>
      </c>
      <c r="B10" s="521"/>
      <c r="C10" s="522"/>
      <c r="D10" s="399"/>
      <c r="E10" s="523"/>
      <c r="F10" s="524"/>
      <c r="G10" s="525"/>
      <c r="H10" s="399"/>
      <c r="I10" s="524"/>
      <c r="J10" s="526"/>
      <c r="K10" s="524"/>
      <c r="L10" s="527"/>
      <c r="M10" s="524"/>
      <c r="N10" s="510"/>
      <c r="O10" s="528"/>
      <c r="P10" s="399" t="str">
        <f>IF(B10&lt;&gt;"",N10/O10,"")</f>
        <v/>
      </c>
      <c r="Q10" s="529"/>
      <c r="R10" s="517" t="s">
        <v>170</v>
      </c>
      <c r="S10" s="513">
        <v>42376</v>
      </c>
      <c r="T10" s="190">
        <v>100</v>
      </c>
      <c r="U10" s="518">
        <v>21979.791919191921</v>
      </c>
      <c r="V10" s="510">
        <f t="shared" si="1"/>
        <v>2197979</v>
      </c>
      <c r="W10" s="519"/>
    </row>
    <row r="11" spans="1:25" s="485" customFormat="1">
      <c r="A11" s="531"/>
      <c r="B11" s="532" t="s">
        <v>322</v>
      </c>
      <c r="C11" s="533"/>
      <c r="D11" s="534">
        <f>SUM(D7:D10)</f>
        <v>248500</v>
      </c>
      <c r="E11" s="534"/>
      <c r="F11" s="534"/>
      <c r="G11" s="534">
        <f>SUM(G7:G10)</f>
        <v>3874000000</v>
      </c>
      <c r="H11" s="535">
        <v>144372860</v>
      </c>
      <c r="I11" s="535">
        <f>V17</f>
        <v>52589216</v>
      </c>
      <c r="J11" s="535">
        <v>82971900</v>
      </c>
      <c r="K11" s="535">
        <v>57138842</v>
      </c>
      <c r="L11" s="534">
        <f>ROUND(SUM(L7:L10),0)</f>
        <v>69371000</v>
      </c>
      <c r="M11" s="534">
        <f>ROUND(SUM(M7:M10),0)</f>
        <v>0</v>
      </c>
      <c r="N11" s="534">
        <f>ROUND(SUM(N7:N10),0)</f>
        <v>4280443818</v>
      </c>
      <c r="O11" s="534">
        <f>ROUND(SUM(O7:O10),0)</f>
        <v>23900</v>
      </c>
      <c r="P11" s="534"/>
      <c r="Q11" s="490"/>
      <c r="R11" s="517" t="s">
        <v>249</v>
      </c>
      <c r="S11" s="513"/>
      <c r="T11" s="190"/>
      <c r="U11" s="518">
        <v>3500</v>
      </c>
      <c r="V11" s="510">
        <f t="shared" si="1"/>
        <v>0</v>
      </c>
      <c r="W11" s="519"/>
    </row>
    <row r="12" spans="1:25" s="485" customFormat="1">
      <c r="A12" s="536"/>
      <c r="B12" s="537"/>
      <c r="C12" s="494"/>
      <c r="D12" s="538"/>
      <c r="E12" s="538"/>
      <c r="F12" s="538"/>
      <c r="G12" s="538"/>
      <c r="H12" s="538"/>
      <c r="I12" s="492"/>
      <c r="J12" s="538"/>
      <c r="K12" s="538"/>
      <c r="L12" s="538"/>
      <c r="M12" s="538"/>
      <c r="N12" s="538"/>
      <c r="O12" s="538"/>
      <c r="P12" s="538"/>
      <c r="Q12" s="490"/>
      <c r="R12" s="517" t="s">
        <v>250</v>
      </c>
      <c r="S12" s="513">
        <v>42376</v>
      </c>
      <c r="T12" s="190">
        <v>2700</v>
      </c>
      <c r="U12" s="518">
        <v>14899.99962962963</v>
      </c>
      <c r="V12" s="510">
        <f t="shared" si="1"/>
        <v>40229999</v>
      </c>
      <c r="W12" s="519"/>
    </row>
    <row r="13" spans="1:25" s="485" customFormat="1">
      <c r="A13" s="536"/>
      <c r="B13" s="537"/>
      <c r="C13" s="494"/>
      <c r="D13" s="538"/>
      <c r="E13" s="538"/>
      <c r="F13" s="538"/>
      <c r="G13" s="539"/>
      <c r="H13" s="538"/>
      <c r="I13" s="492"/>
      <c r="J13" s="538"/>
      <c r="K13" s="538"/>
      <c r="L13" s="538"/>
      <c r="M13" s="538"/>
      <c r="N13" s="538"/>
      <c r="O13" s="538"/>
      <c r="P13" s="538"/>
      <c r="Q13" s="490"/>
      <c r="R13" s="517" t="s">
        <v>251</v>
      </c>
      <c r="S13" s="513">
        <v>42384</v>
      </c>
      <c r="T13" s="190">
        <v>400</v>
      </c>
      <c r="U13" s="518">
        <v>8500</v>
      </c>
      <c r="V13" s="510">
        <f t="shared" si="1"/>
        <v>3400000</v>
      </c>
      <c r="W13" s="519"/>
    </row>
    <row r="14" spans="1:25" s="485" customFormat="1">
      <c r="A14" s="536"/>
      <c r="B14" s="537"/>
      <c r="C14" s="494"/>
      <c r="D14" s="538"/>
      <c r="E14" s="538"/>
      <c r="F14" s="538"/>
      <c r="G14" s="539"/>
      <c r="H14" s="538"/>
      <c r="I14" s="492"/>
      <c r="J14" s="538"/>
      <c r="K14" s="538"/>
      <c r="L14" s="538"/>
      <c r="M14" s="538"/>
      <c r="N14" s="538"/>
      <c r="O14" s="538"/>
      <c r="P14" s="538"/>
      <c r="Q14" s="490"/>
      <c r="R14" s="517" t="s">
        <v>252</v>
      </c>
      <c r="S14" s="513">
        <v>42384</v>
      </c>
      <c r="T14" s="540">
        <v>1647</v>
      </c>
      <c r="U14" s="540">
        <v>322.9927140255009</v>
      </c>
      <c r="V14" s="510">
        <f t="shared" si="1"/>
        <v>531969</v>
      </c>
      <c r="W14" s="519"/>
    </row>
    <row r="15" spans="1:25" s="485" customFormat="1">
      <c r="A15" s="536"/>
      <c r="B15" s="537"/>
      <c r="C15" s="494"/>
      <c r="D15" s="538"/>
      <c r="E15" s="538"/>
      <c r="F15" s="538"/>
      <c r="G15" s="539"/>
      <c r="H15" s="538"/>
      <c r="I15" s="492"/>
      <c r="J15" s="538"/>
      <c r="K15" s="538"/>
      <c r="L15" s="538"/>
      <c r="M15" s="538"/>
      <c r="N15" s="538"/>
      <c r="O15" s="538"/>
      <c r="P15" s="538"/>
      <c r="Q15" s="481"/>
      <c r="R15" s="541"/>
      <c r="S15" s="513"/>
      <c r="T15" s="542"/>
      <c r="U15" s="542"/>
      <c r="V15" s="542"/>
      <c r="W15" s="519"/>
    </row>
    <row r="16" spans="1:25" s="485" customFormat="1">
      <c r="A16" s="536"/>
      <c r="B16" s="537"/>
      <c r="C16" s="494"/>
      <c r="D16" s="538"/>
      <c r="E16" s="538"/>
      <c r="F16" s="538"/>
      <c r="G16" s="539"/>
      <c r="H16" s="538"/>
      <c r="I16" s="492"/>
      <c r="J16" s="538"/>
      <c r="K16" s="538"/>
      <c r="L16" s="538"/>
      <c r="M16" s="538"/>
      <c r="N16" s="538"/>
      <c r="O16" s="538"/>
      <c r="P16" s="538"/>
      <c r="Q16" s="481"/>
      <c r="R16" s="541"/>
      <c r="S16" s="513"/>
      <c r="T16" s="542"/>
      <c r="U16" s="542"/>
      <c r="V16" s="542"/>
      <c r="W16" s="519"/>
    </row>
    <row r="17" spans="1:24" s="485" customFormat="1">
      <c r="A17" s="536"/>
      <c r="B17" s="537"/>
      <c r="C17" s="494"/>
      <c r="D17" s="538"/>
      <c r="E17" s="538"/>
      <c r="F17" s="538"/>
      <c r="G17" s="538"/>
      <c r="H17" s="538"/>
      <c r="I17" s="492"/>
      <c r="J17" s="538"/>
      <c r="K17" s="538"/>
      <c r="L17" s="538"/>
      <c r="M17" s="538"/>
      <c r="N17" s="538"/>
      <c r="O17" s="538"/>
      <c r="P17" s="538"/>
      <c r="Q17" s="481"/>
      <c r="R17" s="1105"/>
      <c r="S17" s="1105"/>
      <c r="T17" s="1105"/>
      <c r="U17" s="614"/>
      <c r="V17" s="544">
        <f>SUM(V7:V16)</f>
        <v>52589216</v>
      </c>
      <c r="W17" s="544">
        <f>SUM(W7:W16)</f>
        <v>0</v>
      </c>
    </row>
    <row r="18" spans="1:24">
      <c r="G18" s="499"/>
      <c r="H18" s="499"/>
      <c r="I18" s="545"/>
      <c r="N18" s="546"/>
      <c r="O18" s="538"/>
      <c r="R18" s="540" t="s">
        <v>257</v>
      </c>
      <c r="S18" s="513">
        <v>42388</v>
      </c>
      <c r="T18" s="190">
        <v>400</v>
      </c>
      <c r="U18" s="190">
        <v>17000</v>
      </c>
      <c r="V18" s="510">
        <f t="shared" ref="V18:V23" si="2">ROUND(T18*U18,0)</f>
        <v>6800000</v>
      </c>
      <c r="W18" s="526"/>
    </row>
    <row r="19" spans="1:24">
      <c r="G19" s="499"/>
      <c r="H19" s="499"/>
      <c r="I19" s="545"/>
      <c r="N19" s="546"/>
      <c r="O19" s="538"/>
      <c r="R19" s="540" t="s">
        <v>258</v>
      </c>
      <c r="S19" s="513">
        <v>42388</v>
      </c>
      <c r="T19" s="190">
        <v>400</v>
      </c>
      <c r="U19" s="518">
        <v>2500</v>
      </c>
      <c r="V19" s="510">
        <f t="shared" si="2"/>
        <v>1000000</v>
      </c>
      <c r="W19" s="526"/>
    </row>
    <row r="20" spans="1:24">
      <c r="G20" s="499"/>
      <c r="H20" s="499"/>
      <c r="I20" s="545"/>
      <c r="N20" s="546"/>
      <c r="O20" s="538"/>
      <c r="R20" s="540" t="s">
        <v>259</v>
      </c>
      <c r="S20" s="513">
        <v>42391</v>
      </c>
      <c r="T20" s="518">
        <v>620</v>
      </c>
      <c r="U20" s="518">
        <v>18300</v>
      </c>
      <c r="V20" s="510">
        <f t="shared" si="2"/>
        <v>11346000</v>
      </c>
      <c r="W20" s="526"/>
    </row>
    <row r="21" spans="1:24">
      <c r="G21" s="499"/>
      <c r="H21" s="499"/>
      <c r="I21" s="545"/>
      <c r="N21" s="546"/>
      <c r="O21" s="538"/>
      <c r="R21" s="540" t="s">
        <v>360</v>
      </c>
      <c r="S21" s="513">
        <v>42391</v>
      </c>
      <c r="T21" s="518">
        <v>2500</v>
      </c>
      <c r="U21" s="518">
        <v>14000</v>
      </c>
      <c r="V21" s="510">
        <f t="shared" si="2"/>
        <v>35000000</v>
      </c>
      <c r="W21" s="526"/>
    </row>
    <row r="22" spans="1:24">
      <c r="G22" s="499"/>
      <c r="H22" s="499"/>
      <c r="I22" s="545"/>
      <c r="N22" s="546"/>
      <c r="O22" s="538"/>
      <c r="R22" s="517" t="s">
        <v>255</v>
      </c>
      <c r="S22" s="513">
        <v>42398</v>
      </c>
      <c r="T22" s="518">
        <v>1150</v>
      </c>
      <c r="U22" s="518">
        <v>12000</v>
      </c>
      <c r="V22" s="510">
        <f t="shared" si="2"/>
        <v>13800000</v>
      </c>
      <c r="W22" s="526"/>
    </row>
    <row r="23" spans="1:24">
      <c r="G23" s="499"/>
      <c r="H23" s="499"/>
      <c r="I23" s="545"/>
      <c r="N23" s="546"/>
      <c r="O23" s="538"/>
      <c r="R23" s="540" t="s">
        <v>256</v>
      </c>
      <c r="S23" s="513">
        <v>42398</v>
      </c>
      <c r="T23" s="518">
        <v>150</v>
      </c>
      <c r="U23" s="518">
        <v>9500</v>
      </c>
      <c r="V23" s="510">
        <f t="shared" si="2"/>
        <v>1425000</v>
      </c>
      <c r="W23" s="526"/>
    </row>
    <row r="24" spans="1:24" ht="18" customHeight="1">
      <c r="A24" s="485" t="s">
        <v>305</v>
      </c>
      <c r="B24" s="485"/>
      <c r="C24" s="486"/>
      <c r="D24" s="487"/>
      <c r="E24" s="487"/>
      <c r="F24" s="487"/>
      <c r="G24" s="484"/>
      <c r="H24" s="484"/>
      <c r="I24" s="484"/>
      <c r="J24" s="484"/>
      <c r="K24" s="484"/>
      <c r="L24" s="488"/>
      <c r="M24" s="484"/>
      <c r="N24" s="484"/>
      <c r="O24" s="489"/>
      <c r="P24" s="484"/>
      <c r="Q24" s="490"/>
      <c r="R24" s="547"/>
      <c r="S24" s="548"/>
      <c r="T24" s="549"/>
      <c r="U24" s="549"/>
      <c r="V24" s="549"/>
      <c r="W24" s="550"/>
      <c r="X24" s="499"/>
    </row>
    <row r="25" spans="1:24" ht="18.75" customHeight="1">
      <c r="A25" s="492" t="s">
        <v>323</v>
      </c>
      <c r="B25" s="492"/>
      <c r="C25" s="492"/>
      <c r="D25" s="492"/>
      <c r="E25" s="492"/>
      <c r="F25" s="492"/>
      <c r="G25" s="492"/>
      <c r="H25" s="492"/>
      <c r="I25" s="492"/>
      <c r="J25" s="492"/>
      <c r="K25" s="492"/>
      <c r="L25" s="492"/>
      <c r="M25" s="492"/>
      <c r="N25" s="492"/>
      <c r="O25" s="492"/>
      <c r="P25" s="492"/>
      <c r="Q25" s="490"/>
      <c r="R25" s="551"/>
      <c r="S25" s="552"/>
      <c r="T25" s="500"/>
      <c r="U25" s="500"/>
      <c r="V25" s="553"/>
    </row>
    <row r="26" spans="1:24" ht="18.75" customHeight="1">
      <c r="A26" s="493"/>
      <c r="B26" s="493"/>
      <c r="C26" s="494"/>
      <c r="D26" s="493"/>
      <c r="E26" s="493"/>
      <c r="F26" s="493"/>
      <c r="G26" s="493"/>
      <c r="H26" s="493"/>
      <c r="I26" s="493"/>
      <c r="J26" s="493"/>
      <c r="K26" s="493"/>
      <c r="L26" s="492"/>
      <c r="M26" s="493"/>
      <c r="N26" s="493"/>
      <c r="O26" s="495"/>
      <c r="P26" s="493"/>
      <c r="Q26" s="490"/>
      <c r="R26" s="484"/>
      <c r="S26" s="491"/>
    </row>
    <row r="27" spans="1:24" ht="12.75" customHeight="1">
      <c r="A27" s="496"/>
      <c r="B27" s="496"/>
      <c r="C27" s="497"/>
      <c r="D27" s="496"/>
      <c r="E27" s="496"/>
      <c r="F27" s="496"/>
      <c r="G27" s="496"/>
      <c r="H27" s="496"/>
      <c r="I27" s="496"/>
      <c r="J27" s="496"/>
      <c r="K27" s="496"/>
      <c r="L27" s="496"/>
      <c r="M27" s="496"/>
      <c r="N27" s="496"/>
      <c r="O27" s="498"/>
      <c r="P27" s="496"/>
      <c r="Q27" s="490"/>
      <c r="R27" s="484"/>
      <c r="S27" s="491"/>
    </row>
    <row r="28" spans="1:24" s="507" customFormat="1" ht="30.75" customHeight="1">
      <c r="A28" s="501" t="s">
        <v>35</v>
      </c>
      <c r="B28" s="501" t="s">
        <v>307</v>
      </c>
      <c r="C28" s="502" t="s">
        <v>308</v>
      </c>
      <c r="D28" s="503" t="s">
        <v>309</v>
      </c>
      <c r="E28" s="503" t="s">
        <v>310</v>
      </c>
      <c r="F28" s="503" t="s">
        <v>311</v>
      </c>
      <c r="G28" s="503" t="s">
        <v>312</v>
      </c>
      <c r="H28" s="503" t="s">
        <v>313</v>
      </c>
      <c r="I28" s="503" t="s">
        <v>314</v>
      </c>
      <c r="J28" s="503" t="s">
        <v>315</v>
      </c>
      <c r="K28" s="504" t="s">
        <v>316</v>
      </c>
      <c r="L28" s="503" t="s">
        <v>317</v>
      </c>
      <c r="M28" s="504" t="s">
        <v>318</v>
      </c>
      <c r="N28" s="503" t="s">
        <v>319</v>
      </c>
      <c r="O28" s="505" t="s">
        <v>310</v>
      </c>
      <c r="P28" s="503" t="s">
        <v>320</v>
      </c>
      <c r="Q28" s="506"/>
      <c r="R28" s="501" t="s">
        <v>307</v>
      </c>
      <c r="S28" s="503" t="s">
        <v>299</v>
      </c>
      <c r="T28" s="503" t="s">
        <v>244</v>
      </c>
      <c r="U28" s="503" t="s">
        <v>311</v>
      </c>
      <c r="V28" s="503" t="s">
        <v>321</v>
      </c>
      <c r="W28" s="501" t="s">
        <v>321</v>
      </c>
    </row>
    <row r="29" spans="1:24">
      <c r="A29" s="508">
        <f>IF(B29&lt;&gt;"",ROW()-(ROW()-1),"")</f>
        <v>1</v>
      </c>
      <c r="B29" s="520" t="s">
        <v>261</v>
      </c>
      <c r="C29" s="509">
        <v>11</v>
      </c>
      <c r="D29" s="399">
        <f>ROUND(C29*O29,0)</f>
        <v>88000</v>
      </c>
      <c r="E29" s="399"/>
      <c r="F29" s="399">
        <v>13200</v>
      </c>
      <c r="G29" s="510">
        <f>(D29+E29)*F29</f>
        <v>1161600000</v>
      </c>
      <c r="H29" s="399">
        <f>IF($D$32&lt;&gt;0,H$32/($D$32+$E$32/5)*($D29+$E29/5),0)</f>
        <v>121393280</v>
      </c>
      <c r="I29" s="399">
        <f t="shared" ref="I29:K30" si="3">IF($D$32&lt;&gt;0,I$32/$D$32*$D29,0)</f>
        <v>17952687</v>
      </c>
      <c r="J29" s="399">
        <f t="shared" si="3"/>
        <v>66582899.999999993</v>
      </c>
      <c r="K29" s="399">
        <f t="shared" si="3"/>
        <v>57138841.999999993</v>
      </c>
      <c r="L29" s="399">
        <f>V39</f>
        <v>12139811</v>
      </c>
      <c r="M29" s="399"/>
      <c r="N29" s="510">
        <f>SUM(G29:L29)</f>
        <v>1436807520</v>
      </c>
      <c r="O29" s="399">
        <v>8000</v>
      </c>
      <c r="P29" s="399">
        <f>IF(O29&lt;&gt;"",N29/O29,"")</f>
        <v>179600.94</v>
      </c>
      <c r="Q29" s="529"/>
      <c r="R29" s="512" t="s">
        <v>246</v>
      </c>
      <c r="S29" s="513">
        <v>42415</v>
      </c>
      <c r="T29" s="190">
        <v>20</v>
      </c>
      <c r="U29" s="514">
        <v>35444.444444444445</v>
      </c>
      <c r="V29" s="510">
        <f t="shared" ref="V29:V36" si="4">ROUND(T29*U29,0)</f>
        <v>708889</v>
      </c>
      <c r="W29" s="515"/>
    </row>
    <row r="30" spans="1:24">
      <c r="A30" s="508" t="str">
        <f>IF(B30&lt;&gt;"",A29+1,"")</f>
        <v/>
      </c>
      <c r="B30" s="517"/>
      <c r="C30" s="509">
        <f>IF(ISNA(VLOOKUP(B30,[2]NXT!$Q$61:$S$81,2,0)),0,VLOOKUP(B30,[2]NXT!$Q$61:$S$81,2,0))</f>
        <v>0</v>
      </c>
      <c r="D30" s="399">
        <f>ROUND(C30*O30,0)</f>
        <v>0</v>
      </c>
      <c r="E30" s="399"/>
      <c r="F30" s="399"/>
      <c r="G30" s="510">
        <f>(D30+E30)*F30</f>
        <v>0</v>
      </c>
      <c r="H30" s="399">
        <f>IF($D$32&lt;&gt;0,H$32/($D$32+$E$32/5)*($D30+$E30/5),0)</f>
        <v>0</v>
      </c>
      <c r="I30" s="399">
        <f t="shared" si="3"/>
        <v>0</v>
      </c>
      <c r="J30" s="399">
        <f t="shared" si="3"/>
        <v>0</v>
      </c>
      <c r="K30" s="399">
        <f t="shared" si="3"/>
        <v>0</v>
      </c>
      <c r="L30" s="399"/>
      <c r="M30" s="399"/>
      <c r="N30" s="510">
        <f>SUM(G30:L30)</f>
        <v>0</v>
      </c>
      <c r="O30" s="516"/>
      <c r="P30" s="399" t="str">
        <f>IF(O30&lt;&gt;"",N30/O30,"")</f>
        <v/>
      </c>
      <c r="Q30" s="529"/>
      <c r="R30" s="517" t="s">
        <v>247</v>
      </c>
      <c r="S30" s="513">
        <v>42415</v>
      </c>
      <c r="T30" s="190">
        <v>5</v>
      </c>
      <c r="U30" s="190">
        <v>46741.2</v>
      </c>
      <c r="V30" s="510">
        <f t="shared" si="4"/>
        <v>233706</v>
      </c>
      <c r="W30" s="519"/>
    </row>
    <row r="31" spans="1:24" s="530" customFormat="1">
      <c r="A31" s="508" t="str">
        <f>IF(B31&lt;&gt;"",#REF!+1,"")</f>
        <v/>
      </c>
      <c r="B31" s="554"/>
      <c r="C31" s="555"/>
      <c r="D31" s="556"/>
      <c r="E31" s="556"/>
      <c r="F31" s="556"/>
      <c r="G31" s="557"/>
      <c r="H31" s="558"/>
      <c r="I31" s="556"/>
      <c r="J31" s="559"/>
      <c r="K31" s="556"/>
      <c r="L31" s="560"/>
      <c r="M31" s="556"/>
      <c r="N31" s="558"/>
      <c r="O31" s="561"/>
      <c r="P31" s="556"/>
      <c r="Q31" s="529"/>
      <c r="R31" s="517" t="s">
        <v>248</v>
      </c>
      <c r="S31" s="513">
        <v>42415</v>
      </c>
      <c r="T31" s="190">
        <v>150</v>
      </c>
      <c r="U31" s="518">
        <v>11666.673333333334</v>
      </c>
      <c r="V31" s="510">
        <f t="shared" si="4"/>
        <v>1750001</v>
      </c>
      <c r="W31" s="519"/>
    </row>
    <row r="32" spans="1:24" s="485" customFormat="1">
      <c r="A32" s="531"/>
      <c r="B32" s="532" t="s">
        <v>322</v>
      </c>
      <c r="C32" s="533"/>
      <c r="D32" s="534">
        <f>SUM(D29:D31)</f>
        <v>88000</v>
      </c>
      <c r="E32" s="534">
        <f>SUM(E29:E31)</f>
        <v>0</v>
      </c>
      <c r="F32" s="534"/>
      <c r="G32" s="534">
        <f>SUM(G29:G31)</f>
        <v>1161600000</v>
      </c>
      <c r="H32" s="535">
        <v>121393280</v>
      </c>
      <c r="I32" s="535">
        <f>$V$38</f>
        <v>17952687</v>
      </c>
      <c r="J32" s="535">
        <v>66582900</v>
      </c>
      <c r="K32" s="535">
        <v>57138842</v>
      </c>
      <c r="L32" s="534">
        <f>ROUND(SUM(L29:L31),0)</f>
        <v>12139811</v>
      </c>
      <c r="M32" s="534">
        <f>ROUND(SUM(M29:M31),0)</f>
        <v>0</v>
      </c>
      <c r="N32" s="534">
        <f>ROUND(SUM(N29:N31),0)</f>
        <v>1436807520</v>
      </c>
      <c r="O32" s="534">
        <f>ROUND(SUM(O29:O31),0)</f>
        <v>8000</v>
      </c>
      <c r="P32" s="534"/>
      <c r="Q32" s="490"/>
      <c r="R32" s="517" t="s">
        <v>170</v>
      </c>
      <c r="S32" s="513">
        <v>42415</v>
      </c>
      <c r="T32" s="190">
        <v>45</v>
      </c>
      <c r="U32" s="518">
        <v>21979.791919191921</v>
      </c>
      <c r="V32" s="510">
        <f t="shared" si="4"/>
        <v>989091</v>
      </c>
      <c r="W32" s="519"/>
    </row>
    <row r="33" spans="1:23" s="485" customFormat="1">
      <c r="A33" s="536"/>
      <c r="B33" s="537"/>
      <c r="C33" s="494"/>
      <c r="D33" s="538"/>
      <c r="E33" s="538"/>
      <c r="F33" s="538"/>
      <c r="G33" s="538"/>
      <c r="H33" s="538"/>
      <c r="I33" s="492"/>
      <c r="J33" s="538"/>
      <c r="K33" s="538"/>
      <c r="L33" s="538"/>
      <c r="M33" s="538"/>
      <c r="N33" s="538"/>
      <c r="O33" s="538"/>
      <c r="P33" s="538"/>
      <c r="Q33" s="490"/>
      <c r="R33" s="517" t="s">
        <v>249</v>
      </c>
      <c r="S33" s="513"/>
      <c r="T33" s="190"/>
      <c r="U33" s="190">
        <v>3500</v>
      </c>
      <c r="V33" s="510">
        <f t="shared" si="4"/>
        <v>0</v>
      </c>
      <c r="W33" s="562"/>
    </row>
    <row r="34" spans="1:23" s="485" customFormat="1">
      <c r="A34" s="536"/>
      <c r="B34" s="537"/>
      <c r="C34" s="494"/>
      <c r="D34" s="538"/>
      <c r="E34" s="538"/>
      <c r="F34" s="538"/>
      <c r="G34" s="538"/>
      <c r="H34" s="538"/>
      <c r="I34" s="492"/>
      <c r="J34" s="538"/>
      <c r="K34" s="538"/>
      <c r="L34" s="538"/>
      <c r="M34" s="538"/>
      <c r="N34" s="538"/>
      <c r="O34" s="538"/>
      <c r="P34" s="538"/>
      <c r="Q34" s="490"/>
      <c r="R34" s="517" t="s">
        <v>250</v>
      </c>
      <c r="S34" s="513">
        <v>42415</v>
      </c>
      <c r="T34" s="190">
        <v>540</v>
      </c>
      <c r="U34" s="190">
        <v>14900</v>
      </c>
      <c r="V34" s="510">
        <f t="shared" si="4"/>
        <v>8046000</v>
      </c>
      <c r="W34" s="562"/>
    </row>
    <row r="35" spans="1:23" s="485" customFormat="1">
      <c r="A35" s="536"/>
      <c r="B35" s="537"/>
      <c r="C35" s="494"/>
      <c r="D35" s="538"/>
      <c r="E35" s="538"/>
      <c r="F35" s="538"/>
      <c r="G35" s="538"/>
      <c r="H35" s="538"/>
      <c r="I35" s="492"/>
      <c r="J35" s="538"/>
      <c r="K35" s="538"/>
      <c r="L35" s="538"/>
      <c r="M35" s="538"/>
      <c r="N35" s="538"/>
      <c r="O35" s="538"/>
      <c r="P35" s="538"/>
      <c r="Q35" s="490"/>
      <c r="R35" s="517" t="s">
        <v>251</v>
      </c>
      <c r="S35" s="513">
        <v>42425</v>
      </c>
      <c r="T35" s="190">
        <v>150</v>
      </c>
      <c r="U35" s="190">
        <v>8500</v>
      </c>
      <c r="V35" s="510">
        <f t="shared" si="4"/>
        <v>1275000</v>
      </c>
      <c r="W35" s="562"/>
    </row>
    <row r="36" spans="1:23" s="485" customFormat="1">
      <c r="A36" s="536"/>
      <c r="B36" s="537"/>
      <c r="C36" s="494"/>
      <c r="D36" s="538"/>
      <c r="E36" s="538"/>
      <c r="F36" s="538"/>
      <c r="G36" s="538"/>
      <c r="H36" s="538"/>
      <c r="I36" s="492"/>
      <c r="J36" s="538"/>
      <c r="K36" s="538"/>
      <c r="L36" s="538"/>
      <c r="M36" s="538"/>
      <c r="N36" s="538"/>
      <c r="O36" s="538"/>
      <c r="P36" s="538"/>
      <c r="Q36" s="490"/>
      <c r="R36" s="517" t="s">
        <v>252</v>
      </c>
      <c r="S36" s="513">
        <v>42425</v>
      </c>
      <c r="T36" s="190">
        <v>150</v>
      </c>
      <c r="U36" s="540">
        <v>33000</v>
      </c>
      <c r="V36" s="510">
        <f t="shared" si="4"/>
        <v>4950000</v>
      </c>
      <c r="W36" s="562"/>
    </row>
    <row r="37" spans="1:23">
      <c r="R37" s="541"/>
      <c r="S37" s="513"/>
      <c r="T37" s="542"/>
      <c r="U37" s="190"/>
      <c r="V37" s="542"/>
      <c r="W37" s="562"/>
    </row>
    <row r="38" spans="1:23">
      <c r="R38" s="563"/>
      <c r="S38" s="564"/>
      <c r="T38" s="565"/>
      <c r="U38" s="614"/>
      <c r="V38" s="544">
        <f>SUM(V29:V37)</f>
        <v>17952687</v>
      </c>
      <c r="W38" s="544">
        <f>SUM(W29:W37)</f>
        <v>0</v>
      </c>
    </row>
    <row r="39" spans="1:23">
      <c r="R39" s="566" t="s">
        <v>253</v>
      </c>
      <c r="S39" s="513">
        <v>42401</v>
      </c>
      <c r="T39" s="190">
        <v>2100</v>
      </c>
      <c r="U39" s="190">
        <v>5780.8622078968574</v>
      </c>
      <c r="V39" s="510">
        <f>ROUND(T39*U39,0)</f>
        <v>12139811</v>
      </c>
      <c r="W39" s="515"/>
    </row>
    <row r="40" spans="1:23">
      <c r="R40" s="566"/>
      <c r="S40" s="513"/>
      <c r="T40" s="190"/>
      <c r="U40" s="190"/>
      <c r="V40" s="510">
        <f>ROUND(T40*U40,0)</f>
        <v>0</v>
      </c>
      <c r="W40" s="515"/>
    </row>
    <row r="41" spans="1:23">
      <c r="R41" s="566"/>
      <c r="S41" s="513"/>
      <c r="T41" s="190"/>
      <c r="U41" s="190"/>
      <c r="V41" s="510">
        <f>ROUND(T41*U41,0)</f>
        <v>0</v>
      </c>
      <c r="W41" s="515"/>
    </row>
    <row r="42" spans="1:23" ht="18" customHeight="1">
      <c r="A42" s="485" t="s">
        <v>305</v>
      </c>
      <c r="B42" s="485"/>
      <c r="C42" s="486"/>
      <c r="D42" s="487"/>
      <c r="E42" s="487"/>
      <c r="F42" s="487"/>
      <c r="G42" s="484"/>
      <c r="H42" s="484"/>
      <c r="I42" s="484"/>
      <c r="J42" s="484"/>
      <c r="K42" s="484"/>
      <c r="L42" s="488"/>
      <c r="M42" s="484"/>
      <c r="N42" s="484"/>
      <c r="O42" s="489"/>
      <c r="P42" s="484"/>
      <c r="Q42" s="490"/>
      <c r="R42" s="490"/>
      <c r="S42" s="567"/>
      <c r="T42" s="500"/>
      <c r="U42" s="500"/>
      <c r="V42" s="500"/>
      <c r="W42" s="568"/>
    </row>
    <row r="43" spans="1:23" ht="18.75" customHeight="1">
      <c r="A43" s="492" t="s">
        <v>324</v>
      </c>
      <c r="B43" s="492"/>
      <c r="C43" s="492"/>
      <c r="D43" s="492"/>
      <c r="E43" s="492"/>
      <c r="F43" s="492"/>
      <c r="G43" s="492"/>
      <c r="H43" s="492"/>
      <c r="I43" s="492"/>
      <c r="J43" s="492"/>
      <c r="K43" s="492"/>
      <c r="L43" s="492"/>
      <c r="M43" s="492"/>
      <c r="N43" s="492"/>
      <c r="O43" s="492"/>
      <c r="P43" s="492"/>
      <c r="Q43" s="490"/>
      <c r="R43" s="551"/>
      <c r="S43" s="552"/>
      <c r="T43" s="500"/>
      <c r="U43" s="500"/>
      <c r="V43" s="553"/>
      <c r="W43" s="568"/>
    </row>
    <row r="44" spans="1:23" ht="18.75" customHeight="1">
      <c r="A44" s="493"/>
      <c r="B44" s="493"/>
      <c r="C44" s="494"/>
      <c r="D44" s="493"/>
      <c r="E44" s="493"/>
      <c r="F44" s="493"/>
      <c r="G44" s="493"/>
      <c r="H44" s="493"/>
      <c r="I44" s="493"/>
      <c r="J44" s="493"/>
      <c r="K44" s="493"/>
      <c r="L44" s="492"/>
      <c r="M44" s="493"/>
      <c r="N44" s="493"/>
      <c r="O44" s="495"/>
      <c r="P44" s="493"/>
      <c r="Q44" s="490"/>
      <c r="R44" s="551"/>
      <c r="S44" s="552"/>
      <c r="T44" s="500"/>
      <c r="U44" s="500"/>
      <c r="V44" s="553"/>
      <c r="W44" s="568"/>
    </row>
    <row r="45" spans="1:23" ht="12.75" customHeight="1">
      <c r="A45" s="496"/>
      <c r="B45" s="496"/>
      <c r="C45" s="497"/>
      <c r="D45" s="496"/>
      <c r="E45" s="496"/>
      <c r="F45" s="496"/>
      <c r="G45" s="496"/>
      <c r="H45" s="496"/>
      <c r="I45" s="496"/>
      <c r="J45" s="496"/>
      <c r="K45" s="496"/>
      <c r="L45" s="496"/>
      <c r="M45" s="496"/>
      <c r="N45" s="496"/>
      <c r="O45" s="498"/>
      <c r="P45" s="496"/>
      <c r="Q45" s="490"/>
      <c r="R45" s="551"/>
      <c r="S45" s="552"/>
      <c r="T45" s="500"/>
      <c r="U45" s="500"/>
      <c r="V45" s="553"/>
      <c r="W45" s="499"/>
    </row>
    <row r="46" spans="1:23" s="507" customFormat="1" ht="30.75" customHeight="1">
      <c r="A46" s="501" t="s">
        <v>35</v>
      </c>
      <c r="B46" s="501" t="s">
        <v>307</v>
      </c>
      <c r="C46" s="502" t="s">
        <v>308</v>
      </c>
      <c r="D46" s="503" t="s">
        <v>309</v>
      </c>
      <c r="E46" s="503" t="s">
        <v>310</v>
      </c>
      <c r="F46" s="503" t="s">
        <v>311</v>
      </c>
      <c r="G46" s="503" t="s">
        <v>312</v>
      </c>
      <c r="H46" s="503" t="s">
        <v>313</v>
      </c>
      <c r="I46" s="503" t="s">
        <v>314</v>
      </c>
      <c r="J46" s="503" t="s">
        <v>315</v>
      </c>
      <c r="K46" s="504" t="s">
        <v>316</v>
      </c>
      <c r="L46" s="503" t="s">
        <v>317</v>
      </c>
      <c r="M46" s="504" t="s">
        <v>318</v>
      </c>
      <c r="N46" s="503" t="s">
        <v>319</v>
      </c>
      <c r="O46" s="505" t="s">
        <v>310</v>
      </c>
      <c r="P46" s="503" t="s">
        <v>320</v>
      </c>
      <c r="Q46" s="506"/>
      <c r="R46" s="501" t="s">
        <v>307</v>
      </c>
      <c r="S46" s="503" t="s">
        <v>299</v>
      </c>
      <c r="T46" s="503" t="s">
        <v>244</v>
      </c>
      <c r="U46" s="503" t="s">
        <v>311</v>
      </c>
      <c r="V46" s="503" t="s">
        <v>321</v>
      </c>
      <c r="W46" s="501" t="s">
        <v>321</v>
      </c>
    </row>
    <row r="47" spans="1:23">
      <c r="A47" s="508">
        <f>IF(B47&lt;&gt;"",ROW()-(ROW()-1),"")</f>
        <v>1</v>
      </c>
      <c r="B47" s="520" t="s">
        <v>261</v>
      </c>
      <c r="C47" s="509">
        <v>0</v>
      </c>
      <c r="D47" s="399">
        <f>ROUND(C47*O47,0)</f>
        <v>0</v>
      </c>
      <c r="E47" s="399">
        <v>8000</v>
      </c>
      <c r="F47" s="399">
        <f>P29</f>
        <v>179600.94</v>
      </c>
      <c r="G47" s="510">
        <f>(D47+E47)*F47</f>
        <v>1436807520</v>
      </c>
      <c r="H47" s="399">
        <f>IF($D$52&lt;&gt;0,H$52/($D$52+$E$52/5)*($D47+$E47/5),0)</f>
        <v>2497109.0581778265</v>
      </c>
      <c r="I47" s="399">
        <f t="shared" ref="I47:K49" si="5">IF($D$52&lt;&gt;0,I$52/$D$52*$D47,0)</f>
        <v>0</v>
      </c>
      <c r="J47" s="399">
        <f t="shared" si="5"/>
        <v>0</v>
      </c>
      <c r="K47" s="399">
        <f t="shared" si="5"/>
        <v>0</v>
      </c>
      <c r="L47" s="399">
        <f>SUM($V$57:$V$58)/SUM($O$47:$O$48)*O47</f>
        <v>10075200</v>
      </c>
      <c r="M47" s="399"/>
      <c r="N47" s="510">
        <f>SUM(G47:L47)</f>
        <v>1449379829.0581777</v>
      </c>
      <c r="O47" s="516">
        <v>8000</v>
      </c>
      <c r="P47" s="399">
        <f>IF(O47&lt;&gt;"",N47/O47,"")</f>
        <v>181172.47863227222</v>
      </c>
      <c r="Q47" s="529"/>
      <c r="R47" s="512" t="s">
        <v>246</v>
      </c>
      <c r="S47" s="513">
        <v>42431</v>
      </c>
      <c r="T47" s="190">
        <v>50</v>
      </c>
      <c r="U47" s="514">
        <v>35444.444444444445</v>
      </c>
      <c r="V47" s="510">
        <f t="shared" ref="V47:V54" si="6">ROUND(T47*U47,0)</f>
        <v>1772222</v>
      </c>
      <c r="W47" s="519"/>
    </row>
    <row r="48" spans="1:23">
      <c r="A48" s="508">
        <f>IF(B48&lt;&gt;"",A47+1,"")</f>
        <v>2</v>
      </c>
      <c r="B48" s="569" t="s">
        <v>384</v>
      </c>
      <c r="C48" s="509">
        <v>11</v>
      </c>
      <c r="D48" s="399">
        <f>ROUND(C48*O48,0)</f>
        <v>49500</v>
      </c>
      <c r="E48" s="399"/>
      <c r="F48" s="399">
        <v>13200</v>
      </c>
      <c r="G48" s="510">
        <f>(D48+E48)*F48</f>
        <v>653400000</v>
      </c>
      <c r="H48" s="399">
        <f>IF($D$52&lt;&gt;0,H$52/($D$52+$E$52/5)*($D48+$E48/5),0)</f>
        <v>77254311.487376511</v>
      </c>
      <c r="I48" s="399">
        <f t="shared" si="5"/>
        <v>26767452.972067039</v>
      </c>
      <c r="J48" s="399">
        <f t="shared" si="5"/>
        <v>34356926.815642461</v>
      </c>
      <c r="K48" s="399">
        <f t="shared" si="5"/>
        <v>31601929.374301676</v>
      </c>
      <c r="L48" s="399">
        <f>SUM($V$57:$V$58)/SUM($O$47:$O$48)*O48</f>
        <v>5667300</v>
      </c>
      <c r="M48" s="399"/>
      <c r="N48" s="510">
        <f>SUM(G48:L48)+1</f>
        <v>829047921.6493876</v>
      </c>
      <c r="O48" s="516">
        <v>4500</v>
      </c>
      <c r="P48" s="399">
        <f>IF(O48&lt;&gt;"",N48/O48,"")</f>
        <v>184232.87147764169</v>
      </c>
      <c r="Q48" s="529"/>
      <c r="R48" s="517" t="s">
        <v>247</v>
      </c>
      <c r="S48" s="513">
        <v>42431</v>
      </c>
      <c r="T48" s="190">
        <v>20</v>
      </c>
      <c r="U48" s="190">
        <v>46741.2</v>
      </c>
      <c r="V48" s="510">
        <f t="shared" si="6"/>
        <v>934824</v>
      </c>
      <c r="W48" s="519"/>
    </row>
    <row r="49" spans="1:23">
      <c r="A49" s="508">
        <f>IF(B49&lt;&gt;"",A48+1,"")</f>
        <v>3</v>
      </c>
      <c r="B49" s="569" t="s">
        <v>262</v>
      </c>
      <c r="C49" s="509">
        <v>8</v>
      </c>
      <c r="D49" s="399">
        <f>ROUND(C49*O49,0)</f>
        <v>40000</v>
      </c>
      <c r="E49" s="399"/>
      <c r="F49" s="399">
        <v>18500</v>
      </c>
      <c r="G49" s="510">
        <f>(D49+E49)*F49</f>
        <v>740000000</v>
      </c>
      <c r="H49" s="399">
        <f>IF($D$52&lt;&gt;0,H$52/($D$52+$E$52/5)*($D49+$E49/5),0)</f>
        <v>62427726.454445668</v>
      </c>
      <c r="I49" s="399">
        <f t="shared" si="5"/>
        <v>21630265.027932961</v>
      </c>
      <c r="J49" s="399">
        <f t="shared" si="5"/>
        <v>27763173.184357543</v>
      </c>
      <c r="K49" s="399">
        <f t="shared" si="5"/>
        <v>25536912.625698324</v>
      </c>
      <c r="L49" s="399">
        <f>V59</f>
        <v>12059070</v>
      </c>
      <c r="M49" s="399"/>
      <c r="N49" s="510">
        <f>SUM(G49:L49)</f>
        <v>889417147.29243457</v>
      </c>
      <c r="O49" s="516">
        <v>5000</v>
      </c>
      <c r="P49" s="399">
        <f>IF(O49&lt;&gt;"",N49/O49,"")</f>
        <v>177883.42945848691</v>
      </c>
      <c r="Q49" s="529"/>
      <c r="R49" s="517" t="s">
        <v>248</v>
      </c>
      <c r="S49" s="513">
        <v>42431</v>
      </c>
      <c r="T49" s="540">
        <v>150</v>
      </c>
      <c r="U49" s="518">
        <v>13571.429</v>
      </c>
      <c r="V49" s="510">
        <f t="shared" si="6"/>
        <v>2035714</v>
      </c>
      <c r="W49" s="519"/>
    </row>
    <row r="50" spans="1:23">
      <c r="A50" s="508" t="str">
        <f>IF(B50&lt;&gt;"",#REF!+1,"")</f>
        <v/>
      </c>
      <c r="B50" s="569"/>
      <c r="C50" s="509"/>
      <c r="D50" s="399"/>
      <c r="E50" s="399"/>
      <c r="F50" s="399"/>
      <c r="G50" s="510"/>
      <c r="H50" s="399"/>
      <c r="I50" s="399"/>
      <c r="J50" s="399"/>
      <c r="K50" s="399"/>
      <c r="L50" s="399"/>
      <c r="M50" s="399"/>
      <c r="N50" s="510">
        <f>SUM(G50:L50)</f>
        <v>0</v>
      </c>
      <c r="O50" s="516"/>
      <c r="P50" s="399"/>
      <c r="Q50" s="529"/>
      <c r="R50" s="517" t="s">
        <v>170</v>
      </c>
      <c r="S50" s="513">
        <v>42431</v>
      </c>
      <c r="T50" s="540">
        <v>200</v>
      </c>
      <c r="U50" s="518">
        <v>21979.791919191921</v>
      </c>
      <c r="V50" s="510">
        <f t="shared" si="6"/>
        <v>4395958</v>
      </c>
      <c r="W50" s="519"/>
    </row>
    <row r="51" spans="1:23" s="530" customFormat="1">
      <c r="A51" s="508" t="str">
        <f>IF(B51&lt;&gt;"",#REF!+1,"")</f>
        <v/>
      </c>
      <c r="B51" s="569"/>
      <c r="C51" s="509"/>
      <c r="D51" s="399"/>
      <c r="E51" s="399"/>
      <c r="F51" s="399"/>
      <c r="G51" s="510"/>
      <c r="H51" s="399"/>
      <c r="I51" s="399"/>
      <c r="J51" s="399"/>
      <c r="K51" s="399"/>
      <c r="L51" s="399"/>
      <c r="M51" s="399"/>
      <c r="N51" s="510"/>
      <c r="O51" s="516"/>
      <c r="P51" s="399"/>
      <c r="Q51" s="529"/>
      <c r="R51" s="517" t="s">
        <v>249</v>
      </c>
      <c r="S51" s="513"/>
      <c r="T51" s="540"/>
      <c r="U51" s="190">
        <v>3500</v>
      </c>
      <c r="V51" s="510">
        <f t="shared" si="6"/>
        <v>0</v>
      </c>
      <c r="W51" s="519"/>
    </row>
    <row r="52" spans="1:23" s="485" customFormat="1">
      <c r="A52" s="531"/>
      <c r="B52" s="532" t="s">
        <v>322</v>
      </c>
      <c r="C52" s="533"/>
      <c r="D52" s="534">
        <f>SUM(D47:D51)</f>
        <v>89500</v>
      </c>
      <c r="E52" s="534">
        <f>SUM(E47:E51)</f>
        <v>8000</v>
      </c>
      <c r="F52" s="534"/>
      <c r="G52" s="534">
        <f>SUM(G47:G51)</f>
        <v>2830207520</v>
      </c>
      <c r="H52" s="535">
        <v>142179147</v>
      </c>
      <c r="I52" s="535">
        <f>V56</f>
        <v>48397718</v>
      </c>
      <c r="J52" s="535">
        <v>62120100</v>
      </c>
      <c r="K52" s="535">
        <v>57138842</v>
      </c>
      <c r="L52" s="534">
        <f>ROUND(SUM(L47:L51),0)</f>
        <v>27801570</v>
      </c>
      <c r="M52" s="534">
        <f>ROUND(SUM(M47:M51),0)</f>
        <v>0</v>
      </c>
      <c r="N52" s="534">
        <f>ROUND(SUM(N47:N51),0)</f>
        <v>3167844898</v>
      </c>
      <c r="O52" s="534">
        <f>ROUND(SUM(O47:O51),0)</f>
        <v>17500</v>
      </c>
      <c r="P52" s="534"/>
      <c r="Q52" s="490"/>
      <c r="R52" s="517" t="s">
        <v>250</v>
      </c>
      <c r="S52" s="513">
        <v>42434</v>
      </c>
      <c r="T52" s="540">
        <v>2160</v>
      </c>
      <c r="U52" s="190">
        <v>14900</v>
      </c>
      <c r="V52" s="510">
        <f t="shared" si="6"/>
        <v>32184000</v>
      </c>
      <c r="W52" s="519"/>
    </row>
    <row r="53" spans="1:23" s="485" customFormat="1">
      <c r="A53" s="536"/>
      <c r="B53" s="537"/>
      <c r="C53" s="494"/>
      <c r="D53" s="538"/>
      <c r="E53" s="538"/>
      <c r="F53" s="538"/>
      <c r="G53" s="538"/>
      <c r="H53" s="492"/>
      <c r="I53" s="492"/>
      <c r="J53" s="492"/>
      <c r="K53" s="492"/>
      <c r="L53" s="492"/>
      <c r="M53" s="538"/>
      <c r="N53" s="538"/>
      <c r="O53" s="538"/>
      <c r="P53" s="538"/>
      <c r="Q53" s="490"/>
      <c r="R53" s="517" t="s">
        <v>251</v>
      </c>
      <c r="S53" s="513">
        <v>42434</v>
      </c>
      <c r="T53" s="540">
        <v>250</v>
      </c>
      <c r="U53" s="190">
        <v>8500</v>
      </c>
      <c r="V53" s="510">
        <f t="shared" si="6"/>
        <v>2125000</v>
      </c>
      <c r="W53" s="519"/>
    </row>
    <row r="54" spans="1:23" s="485" customFormat="1">
      <c r="A54" s="536"/>
      <c r="B54" s="537"/>
      <c r="C54" s="494"/>
      <c r="D54" s="538"/>
      <c r="E54" s="538"/>
      <c r="F54" s="538"/>
      <c r="G54" s="538"/>
      <c r="H54" s="492"/>
      <c r="I54" s="492"/>
      <c r="J54" s="492"/>
      <c r="K54" s="492"/>
      <c r="L54" s="492"/>
      <c r="M54" s="538"/>
      <c r="N54" s="538"/>
      <c r="O54" s="538"/>
      <c r="P54" s="538"/>
      <c r="Q54" s="490"/>
      <c r="R54" s="517" t="s">
        <v>252</v>
      </c>
      <c r="S54" s="513">
        <v>42434</v>
      </c>
      <c r="T54" s="540">
        <v>150</v>
      </c>
      <c r="U54" s="540">
        <v>33000</v>
      </c>
      <c r="V54" s="510">
        <f t="shared" si="6"/>
        <v>4950000</v>
      </c>
      <c r="W54" s="519"/>
    </row>
    <row r="55" spans="1:23" s="485" customFormat="1">
      <c r="A55" s="536"/>
      <c r="B55" s="537"/>
      <c r="C55" s="494"/>
      <c r="D55" s="538"/>
      <c r="E55" s="538"/>
      <c r="F55" s="538"/>
      <c r="G55" s="538"/>
      <c r="H55" s="492"/>
      <c r="I55" s="492"/>
      <c r="J55" s="492"/>
      <c r="K55" s="492"/>
      <c r="L55" s="492"/>
      <c r="M55" s="538"/>
      <c r="N55" s="538"/>
      <c r="O55" s="538"/>
      <c r="P55" s="538"/>
      <c r="Q55" s="490"/>
      <c r="R55" s="571"/>
      <c r="S55" s="513"/>
      <c r="T55" s="572"/>
      <c r="U55" s="572"/>
      <c r="V55" s="572"/>
      <c r="W55" s="573"/>
    </row>
    <row r="56" spans="1:23" s="485" customFormat="1">
      <c r="A56" s="536"/>
      <c r="B56" s="537"/>
      <c r="C56" s="494"/>
      <c r="D56" s="538"/>
      <c r="E56" s="538"/>
      <c r="F56" s="538"/>
      <c r="G56" s="538"/>
      <c r="H56" s="538"/>
      <c r="I56" s="492"/>
      <c r="J56" s="538"/>
      <c r="K56" s="538"/>
      <c r="L56" s="538"/>
      <c r="M56" s="538"/>
      <c r="N56" s="538"/>
      <c r="O56" s="538"/>
      <c r="P56" s="538"/>
      <c r="Q56" s="490"/>
      <c r="R56" s="563"/>
      <c r="S56" s="564"/>
      <c r="T56" s="565"/>
      <c r="U56" s="543"/>
      <c r="V56" s="544">
        <f>SUM(V47:V55)</f>
        <v>48397718</v>
      </c>
      <c r="W56" s="544">
        <f>SUM(W47:W52)</f>
        <v>0</v>
      </c>
    </row>
    <row r="57" spans="1:23" s="485" customFormat="1">
      <c r="A57" s="536"/>
      <c r="B57" s="537"/>
      <c r="C57" s="494"/>
      <c r="D57" s="538"/>
      <c r="E57" s="538"/>
      <c r="F57" s="538"/>
      <c r="G57" s="538"/>
      <c r="H57" s="538"/>
      <c r="I57" s="492"/>
      <c r="J57" s="538"/>
      <c r="K57" s="538"/>
      <c r="L57" s="538"/>
      <c r="M57" s="538"/>
      <c r="N57" s="538"/>
      <c r="O57" s="538"/>
      <c r="P57" s="538"/>
      <c r="Q57" s="490"/>
      <c r="R57" s="566" t="s">
        <v>255</v>
      </c>
      <c r="S57" s="513">
        <v>42439</v>
      </c>
      <c r="T57" s="190">
        <v>1015</v>
      </c>
      <c r="U57" s="190">
        <v>12000</v>
      </c>
      <c r="V57" s="510">
        <f t="shared" ref="V57:V62" si="7">ROUND(T57*U57,0)</f>
        <v>12180000</v>
      </c>
      <c r="W57" s="510"/>
    </row>
    <row r="58" spans="1:23" s="485" customFormat="1">
      <c r="A58" s="536"/>
      <c r="B58" s="537"/>
      <c r="C58" s="494"/>
      <c r="D58" s="538"/>
      <c r="E58" s="538"/>
      <c r="F58" s="538"/>
      <c r="G58" s="539"/>
      <c r="H58" s="538"/>
      <c r="I58" s="492"/>
      <c r="J58" s="538"/>
      <c r="K58" s="538"/>
      <c r="L58" s="538"/>
      <c r="M58" s="538"/>
      <c r="N58" s="574"/>
      <c r="O58" s="538"/>
      <c r="P58" s="538"/>
      <c r="Q58" s="490"/>
      <c r="R58" s="566" t="s">
        <v>256</v>
      </c>
      <c r="S58" s="513">
        <v>42439</v>
      </c>
      <c r="T58" s="518">
        <v>375</v>
      </c>
      <c r="U58" s="518">
        <v>9500</v>
      </c>
      <c r="V58" s="510">
        <f t="shared" si="7"/>
        <v>3562500</v>
      </c>
      <c r="W58" s="526"/>
    </row>
    <row r="59" spans="1:23" s="485" customFormat="1">
      <c r="A59" s="536"/>
      <c r="B59" s="537"/>
      <c r="C59" s="494"/>
      <c r="D59" s="538"/>
      <c r="E59" s="538"/>
      <c r="F59" s="538"/>
      <c r="G59" s="539"/>
      <c r="H59" s="538"/>
      <c r="I59" s="492"/>
      <c r="J59" s="538"/>
      <c r="K59" s="538"/>
      <c r="L59" s="538"/>
      <c r="M59" s="538"/>
      <c r="N59" s="574"/>
      <c r="O59" s="538"/>
      <c r="P59" s="538"/>
      <c r="Q59" s="490"/>
      <c r="R59" s="566" t="s">
        <v>254</v>
      </c>
      <c r="S59" s="513">
        <v>42459</v>
      </c>
      <c r="T59" s="190">
        <v>2700</v>
      </c>
      <c r="U59" s="190">
        <v>4466.322284402353</v>
      </c>
      <c r="V59" s="510">
        <f t="shared" si="7"/>
        <v>12059070</v>
      </c>
      <c r="W59" s="526"/>
    </row>
    <row r="60" spans="1:23" s="485" customFormat="1">
      <c r="A60" s="536"/>
      <c r="B60" s="537"/>
      <c r="C60" s="494"/>
      <c r="D60" s="538"/>
      <c r="E60" s="538"/>
      <c r="F60" s="538"/>
      <c r="G60" s="538"/>
      <c r="H60" s="538"/>
      <c r="I60" s="492"/>
      <c r="J60" s="538"/>
      <c r="K60" s="538"/>
      <c r="L60" s="538"/>
      <c r="M60" s="538"/>
      <c r="N60" s="538"/>
      <c r="O60" s="538"/>
      <c r="P60" s="538"/>
      <c r="Q60" s="490"/>
      <c r="R60" s="566"/>
      <c r="S60" s="513"/>
      <c r="T60" s="518"/>
      <c r="U60" s="518"/>
      <c r="V60" s="510">
        <f t="shared" si="7"/>
        <v>0</v>
      </c>
      <c r="W60" s="526"/>
    </row>
    <row r="61" spans="1:23">
      <c r="R61" s="566"/>
      <c r="S61" s="513"/>
      <c r="T61" s="518"/>
      <c r="U61" s="518"/>
      <c r="V61" s="510">
        <f t="shared" si="7"/>
        <v>0</v>
      </c>
      <c r="W61" s="526"/>
    </row>
    <row r="62" spans="1:23">
      <c r="R62" s="566"/>
      <c r="S62" s="513"/>
      <c r="T62" s="190"/>
      <c r="U62" s="190"/>
      <c r="V62" s="510">
        <f t="shared" si="7"/>
        <v>0</v>
      </c>
      <c r="W62" s="526"/>
    </row>
    <row r="63" spans="1:23" ht="18" customHeight="1">
      <c r="A63" s="485" t="s">
        <v>305</v>
      </c>
      <c r="B63" s="485"/>
      <c r="C63" s="486"/>
      <c r="D63" s="487"/>
      <c r="E63" s="487"/>
      <c r="F63" s="487"/>
      <c r="G63" s="484"/>
      <c r="H63" s="484"/>
      <c r="I63" s="484"/>
      <c r="J63" s="484"/>
      <c r="K63" s="484"/>
      <c r="L63" s="488"/>
      <c r="M63" s="484"/>
      <c r="N63" s="484"/>
      <c r="O63" s="489"/>
      <c r="P63" s="484"/>
      <c r="Q63" s="490"/>
      <c r="R63" s="484"/>
      <c r="S63" s="491"/>
    </row>
    <row r="64" spans="1:23" ht="18.75" customHeight="1">
      <c r="A64" s="492" t="s">
        <v>325</v>
      </c>
      <c r="B64" s="492"/>
      <c r="C64" s="492"/>
      <c r="D64" s="492"/>
      <c r="E64" s="492"/>
      <c r="F64" s="492"/>
      <c r="G64" s="492"/>
      <c r="H64" s="492"/>
      <c r="I64" s="492"/>
      <c r="J64" s="492"/>
      <c r="K64" s="492"/>
      <c r="L64" s="492"/>
      <c r="M64" s="492"/>
      <c r="N64" s="492"/>
      <c r="O64" s="492"/>
      <c r="P64" s="492"/>
      <c r="Q64" s="490"/>
      <c r="R64" s="484"/>
      <c r="S64" s="491"/>
    </row>
    <row r="65" spans="1:23" ht="18.75" customHeight="1">
      <c r="A65" s="493"/>
      <c r="B65" s="493"/>
      <c r="C65" s="494"/>
      <c r="D65" s="493"/>
      <c r="E65" s="493"/>
      <c r="F65" s="493"/>
      <c r="G65" s="493"/>
      <c r="H65" s="493"/>
      <c r="I65" s="493"/>
      <c r="J65" s="493"/>
      <c r="K65" s="493"/>
      <c r="L65" s="492"/>
      <c r="M65" s="493"/>
      <c r="N65" s="493"/>
      <c r="O65" s="495"/>
      <c r="P65" s="493"/>
      <c r="Q65" s="490"/>
      <c r="R65" s="484"/>
      <c r="S65" s="491"/>
    </row>
    <row r="66" spans="1:23" ht="12.75" customHeight="1">
      <c r="A66" s="496"/>
      <c r="B66" s="496"/>
      <c r="C66" s="497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8"/>
      <c r="P66" s="496"/>
      <c r="Q66" s="490"/>
      <c r="R66" s="484"/>
      <c r="S66" s="491"/>
    </row>
    <row r="67" spans="1:23" s="507" customFormat="1" ht="30.75" customHeight="1">
      <c r="A67" s="501" t="s">
        <v>35</v>
      </c>
      <c r="B67" s="501" t="s">
        <v>307</v>
      </c>
      <c r="C67" s="502" t="s">
        <v>308</v>
      </c>
      <c r="D67" s="503" t="s">
        <v>309</v>
      </c>
      <c r="E67" s="503" t="s">
        <v>310</v>
      </c>
      <c r="F67" s="503" t="s">
        <v>311</v>
      </c>
      <c r="G67" s="503" t="s">
        <v>312</v>
      </c>
      <c r="H67" s="503" t="s">
        <v>313</v>
      </c>
      <c r="I67" s="503" t="s">
        <v>314</v>
      </c>
      <c r="J67" s="503" t="s">
        <v>315</v>
      </c>
      <c r="K67" s="504" t="s">
        <v>316</v>
      </c>
      <c r="L67" s="503" t="s">
        <v>317</v>
      </c>
      <c r="M67" s="504" t="s">
        <v>318</v>
      </c>
      <c r="N67" s="503" t="s">
        <v>319</v>
      </c>
      <c r="O67" s="505" t="s">
        <v>310</v>
      </c>
      <c r="P67" s="503" t="s">
        <v>320</v>
      </c>
      <c r="Q67" s="506"/>
      <c r="R67" s="501" t="s">
        <v>307</v>
      </c>
      <c r="S67" s="503" t="s">
        <v>299</v>
      </c>
      <c r="T67" s="503" t="s">
        <v>244</v>
      </c>
      <c r="U67" s="503" t="s">
        <v>311</v>
      </c>
      <c r="V67" s="503" t="s">
        <v>321</v>
      </c>
      <c r="W67" s="501" t="s">
        <v>321</v>
      </c>
    </row>
    <row r="68" spans="1:23">
      <c r="A68" s="575">
        <f>IF(B68&lt;&gt;"",ROW()-(ROW()-1),"")</f>
        <v>1</v>
      </c>
      <c r="B68" s="569" t="s">
        <v>262</v>
      </c>
      <c r="C68" s="509"/>
      <c r="D68" s="399">
        <f>ROUND(C68*O68,0)</f>
        <v>0</v>
      </c>
      <c r="E68" s="399">
        <f>O49</f>
        <v>5000</v>
      </c>
      <c r="F68" s="399">
        <f>P49</f>
        <v>177883.42945848691</v>
      </c>
      <c r="G68" s="510">
        <f>(D68+E68)*F68</f>
        <v>889417147.29243457</v>
      </c>
      <c r="H68" s="399">
        <f>IF($D$72&lt;&gt;0,H$72/($D$72+$E$72/5)*($D68+$E68/5),0)</f>
        <v>0</v>
      </c>
      <c r="I68" s="399">
        <f t="shared" ref="I68:K69" si="8">IF($D$72&lt;&gt;0,I$72/$D$72*$D68,0)</f>
        <v>0</v>
      </c>
      <c r="J68" s="399">
        <f t="shared" si="8"/>
        <v>0</v>
      </c>
      <c r="K68" s="399">
        <f t="shared" si="8"/>
        <v>0</v>
      </c>
      <c r="L68" s="399">
        <f>($V$78+$V$79)/$O$72*O68</f>
        <v>48579545.454545453</v>
      </c>
      <c r="M68" s="399"/>
      <c r="N68" s="510">
        <f>ROUND(SUM(G68:L68),0)</f>
        <v>937996693</v>
      </c>
      <c r="O68" s="516">
        <v>5000</v>
      </c>
      <c r="P68" s="399">
        <f>IF(O68&lt;&gt;"",N68/O68,"")</f>
        <v>187599.33859999999</v>
      </c>
      <c r="Q68" s="529"/>
      <c r="R68" s="512" t="s">
        <v>246</v>
      </c>
      <c r="S68" s="576"/>
      <c r="T68" s="190"/>
      <c r="U68" s="514"/>
      <c r="V68" s="510">
        <f t="shared" ref="V68:V75" si="9">ROUND(T68*U68,0)</f>
        <v>0</v>
      </c>
      <c r="W68" s="510"/>
    </row>
    <row r="69" spans="1:23">
      <c r="A69" s="577">
        <f>IF(B69&lt;&gt;"",A68+1,"")</f>
        <v>2</v>
      </c>
      <c r="B69" s="569" t="s">
        <v>439</v>
      </c>
      <c r="C69" s="509">
        <v>8</v>
      </c>
      <c r="D69" s="399">
        <f>ROUND(C69*O69,0)</f>
        <v>30400</v>
      </c>
      <c r="E69" s="399"/>
      <c r="F69" s="399">
        <v>18500</v>
      </c>
      <c r="G69" s="510">
        <f>(D69+E69)*F69</f>
        <v>562400000</v>
      </c>
      <c r="H69" s="399">
        <f>IF($D$72&lt;&gt;0,H$72/($D$72+$E$72/5)*($D69+$E69/5),0)</f>
        <v>0</v>
      </c>
      <c r="I69" s="399">
        <f t="shared" si="8"/>
        <v>0</v>
      </c>
      <c r="J69" s="399">
        <f t="shared" si="8"/>
        <v>0</v>
      </c>
      <c r="K69" s="399">
        <f t="shared" si="8"/>
        <v>57138842</v>
      </c>
      <c r="L69" s="399">
        <f>($V$78+$V$79)/$O$72*O69</f>
        <v>36920454.545454539</v>
      </c>
      <c r="M69" s="399"/>
      <c r="N69" s="510">
        <f>ROUND(SUM(G69:L69),0)</f>
        <v>656459297</v>
      </c>
      <c r="O69" s="516">
        <v>3800</v>
      </c>
      <c r="P69" s="399">
        <f>IF(O69&lt;&gt;"",N69/O69,"")</f>
        <v>172752.44657894736</v>
      </c>
      <c r="Q69" s="529"/>
      <c r="R69" s="517" t="s">
        <v>247</v>
      </c>
      <c r="S69" s="576"/>
      <c r="T69" s="190"/>
      <c r="U69" s="518"/>
      <c r="V69" s="510">
        <f t="shared" si="9"/>
        <v>0</v>
      </c>
      <c r="W69" s="526"/>
    </row>
    <row r="70" spans="1:23">
      <c r="A70" s="577" t="str">
        <f>IF(B70&lt;&gt;"",A69+1,"")</f>
        <v/>
      </c>
      <c r="B70" s="569"/>
      <c r="C70" s="509"/>
      <c r="D70" s="399">
        <f>ROUND(C70*O70,0)</f>
        <v>0</v>
      </c>
      <c r="E70" s="399"/>
      <c r="F70" s="399"/>
      <c r="G70" s="510">
        <f>(D70+E70)*F70</f>
        <v>0</v>
      </c>
      <c r="H70" s="399">
        <f>IF($D$72&lt;&gt;0,H$72/($D$72+$E$72/5)*($D70+$E70/5),0)</f>
        <v>0</v>
      </c>
      <c r="I70" s="399">
        <f t="shared" ref="I70:K71" si="10">IF($D$72&lt;&gt;0,I$72/$D$72*$D70,0)</f>
        <v>0</v>
      </c>
      <c r="J70" s="399">
        <f t="shared" si="10"/>
        <v>0</v>
      </c>
      <c r="K70" s="399">
        <f t="shared" si="10"/>
        <v>0</v>
      </c>
      <c r="L70" s="399">
        <f>($V$78+$V$79)/$O$72*O70</f>
        <v>0</v>
      </c>
      <c r="M70" s="399"/>
      <c r="N70" s="510">
        <f>ROUND(SUM(G70:L70),0)</f>
        <v>0</v>
      </c>
      <c r="O70" s="516"/>
      <c r="P70" s="399" t="str">
        <f>IF(O70&lt;&gt;"",N70/O70,"")</f>
        <v/>
      </c>
      <c r="Q70" s="529"/>
      <c r="R70" s="517" t="s">
        <v>248</v>
      </c>
      <c r="S70" s="576"/>
      <c r="T70" s="190"/>
      <c r="U70" s="518"/>
      <c r="V70" s="510"/>
      <c r="W70" s="526"/>
    </row>
    <row r="71" spans="1:23">
      <c r="A71" s="577" t="str">
        <f>IF(B71&lt;&gt;"",A70+1,"")</f>
        <v/>
      </c>
      <c r="B71" s="569"/>
      <c r="C71" s="509"/>
      <c r="D71" s="399">
        <f>ROUND(C71*O71,0)</f>
        <v>0</v>
      </c>
      <c r="E71" s="399"/>
      <c r="F71" s="399"/>
      <c r="G71" s="510">
        <f>(D71+E71)*F71</f>
        <v>0</v>
      </c>
      <c r="H71" s="399">
        <f>IF($D$72&lt;&gt;0,H$72/($D$72+$E$72/5)*($D71+$E71/5),0)</f>
        <v>0</v>
      </c>
      <c r="I71" s="399">
        <f t="shared" si="10"/>
        <v>0</v>
      </c>
      <c r="J71" s="399">
        <f t="shared" si="10"/>
        <v>0</v>
      </c>
      <c r="K71" s="399">
        <f t="shared" si="10"/>
        <v>0</v>
      </c>
      <c r="L71" s="399">
        <f>($V$78+$V$79)/$O$72*O71</f>
        <v>0</v>
      </c>
      <c r="M71" s="399"/>
      <c r="N71" s="510">
        <f>ROUND(SUM(G71:L71),0)</f>
        <v>0</v>
      </c>
      <c r="O71" s="516"/>
      <c r="P71" s="399" t="str">
        <f>IF(O71&lt;&gt;"",N71/O71,"")</f>
        <v/>
      </c>
      <c r="Q71" s="529"/>
      <c r="R71" s="517" t="s">
        <v>170</v>
      </c>
      <c r="S71" s="576"/>
      <c r="T71" s="190"/>
      <c r="U71" s="518"/>
      <c r="V71" s="510">
        <f t="shared" si="9"/>
        <v>0</v>
      </c>
      <c r="W71" s="526"/>
    </row>
    <row r="72" spans="1:23" s="530" customFormat="1">
      <c r="A72" s="531"/>
      <c r="B72" s="532" t="s">
        <v>322</v>
      </c>
      <c r="C72" s="533"/>
      <c r="D72" s="534">
        <f>SUM(D68:D69)</f>
        <v>30400</v>
      </c>
      <c r="E72" s="534">
        <f>SUM(E68:E69)</f>
        <v>5000</v>
      </c>
      <c r="F72" s="534"/>
      <c r="G72" s="534">
        <f>SUM(G68:G69)</f>
        <v>1451817147.2924347</v>
      </c>
      <c r="H72" s="535"/>
      <c r="I72" s="535">
        <f>V77</f>
        <v>0</v>
      </c>
      <c r="J72" s="535"/>
      <c r="K72" s="535">
        <v>57138842</v>
      </c>
      <c r="L72" s="534">
        <f>ROUND(SUM(L68:L71),0)</f>
        <v>85500000</v>
      </c>
      <c r="M72" s="534">
        <f>ROUND(SUM(M68:M71),0)</f>
        <v>0</v>
      </c>
      <c r="N72" s="534">
        <f>ROUND(SUM(N68:N71),0)</f>
        <v>1594455990</v>
      </c>
      <c r="O72" s="534">
        <f>ROUND(SUM(O68:O71),0)</f>
        <v>8800</v>
      </c>
      <c r="P72" s="534"/>
      <c r="Q72" s="529"/>
      <c r="R72" s="517" t="s">
        <v>249</v>
      </c>
      <c r="S72" s="576"/>
      <c r="T72" s="540"/>
      <c r="U72" s="518"/>
      <c r="V72" s="510">
        <f t="shared" si="9"/>
        <v>0</v>
      </c>
      <c r="W72" s="526"/>
    </row>
    <row r="73" spans="1:23" s="485" customFormat="1">
      <c r="A73" s="481"/>
      <c r="B73" s="481"/>
      <c r="C73" s="481"/>
      <c r="D73" s="481"/>
      <c r="E73" s="481"/>
      <c r="F73" s="481"/>
      <c r="G73" s="481"/>
      <c r="H73" s="481"/>
      <c r="I73" s="481"/>
      <c r="J73" s="481"/>
      <c r="K73" s="481"/>
      <c r="L73" s="481"/>
      <c r="M73" s="481"/>
      <c r="N73" s="481"/>
      <c r="O73" s="481"/>
      <c r="P73" s="481"/>
      <c r="Q73" s="529"/>
      <c r="R73" s="517" t="s">
        <v>250</v>
      </c>
      <c r="S73" s="576"/>
      <c r="T73" s="190"/>
      <c r="U73" s="518"/>
      <c r="V73" s="510">
        <f t="shared" si="9"/>
        <v>0</v>
      </c>
      <c r="W73" s="526"/>
    </row>
    <row r="74" spans="1:23">
      <c r="Q74" s="529"/>
      <c r="R74" s="517" t="s">
        <v>251</v>
      </c>
      <c r="S74" s="576"/>
      <c r="T74" s="190"/>
      <c r="U74" s="518"/>
      <c r="V74" s="510">
        <f t="shared" si="9"/>
        <v>0</v>
      </c>
      <c r="W74" s="526"/>
    </row>
    <row r="75" spans="1:23">
      <c r="Q75" s="529"/>
      <c r="R75" s="517" t="s">
        <v>252</v>
      </c>
      <c r="S75" s="576"/>
      <c r="T75" s="190"/>
      <c r="U75" s="518"/>
      <c r="V75" s="510">
        <f t="shared" si="9"/>
        <v>0</v>
      </c>
      <c r="W75" s="526"/>
    </row>
    <row r="76" spans="1:23">
      <c r="Q76" s="529"/>
      <c r="R76" s="580"/>
      <c r="S76" s="513"/>
      <c r="T76" s="190"/>
      <c r="U76" s="190"/>
      <c r="V76" s="526"/>
      <c r="W76" s="526"/>
    </row>
    <row r="77" spans="1:23">
      <c r="R77" s="563"/>
      <c r="S77" s="564"/>
      <c r="T77" s="565"/>
      <c r="U77" s="581"/>
      <c r="V77" s="544">
        <f>SUM(V68:V76)</f>
        <v>0</v>
      </c>
      <c r="W77" s="544">
        <f>SUM(W68:W76)</f>
        <v>0</v>
      </c>
    </row>
    <row r="78" spans="1:23">
      <c r="R78" s="540" t="s">
        <v>259</v>
      </c>
      <c r="S78" s="576"/>
      <c r="T78" s="190">
        <v>1250</v>
      </c>
      <c r="U78" s="190">
        <v>18000</v>
      </c>
      <c r="V78" s="510">
        <f>ROUND(T78*U78,0)</f>
        <v>22500000</v>
      </c>
      <c r="W78" s="510"/>
    </row>
    <row r="79" spans="1:23">
      <c r="R79" s="540" t="s">
        <v>360</v>
      </c>
      <c r="S79" s="576"/>
      <c r="T79" s="190">
        <v>4500</v>
      </c>
      <c r="U79" s="190">
        <v>14000</v>
      </c>
      <c r="V79" s="510">
        <f>ROUND(T79*U79,0)</f>
        <v>63000000</v>
      </c>
      <c r="W79" s="526"/>
    </row>
    <row r="80" spans="1:23">
      <c r="R80" s="540"/>
      <c r="S80" s="513"/>
      <c r="T80" s="518"/>
      <c r="U80" s="518"/>
      <c r="V80" s="510">
        <f>ROUND(T80*U80,0)</f>
        <v>0</v>
      </c>
      <c r="W80" s="526"/>
    </row>
    <row r="81" spans="1:23">
      <c r="R81" s="540"/>
      <c r="S81" s="513"/>
      <c r="T81" s="518"/>
      <c r="U81" s="518"/>
      <c r="V81" s="510">
        <f>ROUND(T81*U81,0)</f>
        <v>0</v>
      </c>
      <c r="W81" s="526"/>
    </row>
    <row r="82" spans="1:23" ht="18" customHeight="1">
      <c r="A82" s="485" t="s">
        <v>305</v>
      </c>
      <c r="B82" s="485"/>
      <c r="C82" s="486"/>
      <c r="D82" s="487"/>
      <c r="E82" s="487"/>
      <c r="F82" s="487"/>
      <c r="G82" s="484"/>
      <c r="H82" s="484"/>
      <c r="I82" s="484"/>
      <c r="J82" s="484"/>
      <c r="K82" s="484"/>
      <c r="L82" s="488"/>
      <c r="M82" s="484"/>
      <c r="N82" s="484"/>
      <c r="O82" s="489"/>
      <c r="P82" s="484"/>
      <c r="Q82" s="490"/>
      <c r="R82" s="484"/>
      <c r="S82" s="491"/>
    </row>
    <row r="83" spans="1:23" ht="18.75" customHeight="1">
      <c r="A83" s="492" t="s">
        <v>326</v>
      </c>
      <c r="B83" s="492"/>
      <c r="C83" s="492"/>
      <c r="D83" s="492"/>
      <c r="E83" s="492"/>
      <c r="F83" s="492"/>
      <c r="G83" s="492"/>
      <c r="H83" s="492"/>
      <c r="I83" s="492"/>
      <c r="J83" s="492"/>
      <c r="K83" s="492"/>
      <c r="L83" s="492"/>
      <c r="M83" s="492"/>
      <c r="N83" s="492"/>
      <c r="O83" s="492"/>
      <c r="P83" s="492"/>
      <c r="Q83" s="490"/>
      <c r="R83" s="484"/>
      <c r="S83" s="491"/>
    </row>
    <row r="84" spans="1:23" ht="18.75" customHeight="1">
      <c r="A84" s="493"/>
      <c r="B84" s="493"/>
      <c r="C84" s="494"/>
      <c r="D84" s="493"/>
      <c r="E84" s="493"/>
      <c r="F84" s="493"/>
      <c r="G84" s="493"/>
      <c r="H84" s="493"/>
      <c r="I84" s="493"/>
      <c r="J84" s="493"/>
      <c r="K84" s="493"/>
      <c r="L84" s="492"/>
      <c r="M84" s="493"/>
      <c r="N84" s="493"/>
      <c r="O84" s="495"/>
      <c r="P84" s="493"/>
      <c r="Q84" s="490"/>
      <c r="R84" s="484"/>
      <c r="S84" s="491"/>
    </row>
    <row r="85" spans="1:23" ht="12.75" customHeight="1">
      <c r="A85" s="496"/>
      <c r="B85" s="496"/>
      <c r="C85" s="497"/>
      <c r="D85" s="496"/>
      <c r="E85" s="496"/>
      <c r="F85" s="496"/>
      <c r="G85" s="496"/>
      <c r="H85" s="496"/>
      <c r="I85" s="496"/>
      <c r="J85" s="496"/>
      <c r="K85" s="496"/>
      <c r="L85" s="496"/>
      <c r="M85" s="496"/>
      <c r="N85" s="496"/>
      <c r="O85" s="498"/>
      <c r="P85" s="496"/>
      <c r="Q85" s="490"/>
      <c r="R85" s="484"/>
      <c r="S85" s="491"/>
    </row>
    <row r="86" spans="1:23" s="507" customFormat="1" ht="30.75" customHeight="1">
      <c r="A86" s="501" t="s">
        <v>35</v>
      </c>
      <c r="B86" s="501" t="s">
        <v>307</v>
      </c>
      <c r="C86" s="502" t="s">
        <v>308</v>
      </c>
      <c r="D86" s="503" t="s">
        <v>309</v>
      </c>
      <c r="E86" s="503" t="s">
        <v>310</v>
      </c>
      <c r="F86" s="503" t="s">
        <v>311</v>
      </c>
      <c r="G86" s="503" t="s">
        <v>312</v>
      </c>
      <c r="H86" s="503" t="s">
        <v>313</v>
      </c>
      <c r="I86" s="503" t="s">
        <v>314</v>
      </c>
      <c r="J86" s="503" t="s">
        <v>315</v>
      </c>
      <c r="K86" s="504" t="s">
        <v>316</v>
      </c>
      <c r="L86" s="503" t="s">
        <v>317</v>
      </c>
      <c r="M86" s="504" t="s">
        <v>318</v>
      </c>
      <c r="N86" s="503" t="s">
        <v>319</v>
      </c>
      <c r="O86" s="505" t="s">
        <v>310</v>
      </c>
      <c r="P86" s="503" t="s">
        <v>320</v>
      </c>
      <c r="Q86" s="506"/>
      <c r="R86" s="501" t="s">
        <v>307</v>
      </c>
      <c r="S86" s="503" t="s">
        <v>299</v>
      </c>
      <c r="T86" s="503" t="s">
        <v>244</v>
      </c>
      <c r="U86" s="503" t="s">
        <v>311</v>
      </c>
      <c r="V86" s="503" t="s">
        <v>321</v>
      </c>
      <c r="W86" s="501" t="s">
        <v>321</v>
      </c>
    </row>
    <row r="87" spans="1:23">
      <c r="A87" s="508" t="str">
        <f>IF(B87&lt;&gt;"",ROW()-(ROW()-1),"")</f>
        <v/>
      </c>
      <c r="B87" s="329"/>
      <c r="C87" s="509"/>
      <c r="D87" s="399">
        <f>ROUND(C87*O87,0)</f>
        <v>0</v>
      </c>
      <c r="E87" s="399"/>
      <c r="F87" s="399"/>
      <c r="G87" s="510">
        <f>(D87+E87)*F87</f>
        <v>0</v>
      </c>
      <c r="H87" s="399">
        <f>IF($D$90&lt;&gt;0,H$90/($D$90+$E$90/5)*($D87+$E87/5),0)</f>
        <v>0</v>
      </c>
      <c r="I87" s="399">
        <f t="shared" ref="I87:K88" si="11">IF($D$90&lt;&gt;0,I$90/$D$90*$D87,0)</f>
        <v>0</v>
      </c>
      <c r="J87" s="399">
        <f t="shared" si="11"/>
        <v>0</v>
      </c>
      <c r="K87" s="399">
        <f t="shared" si="11"/>
        <v>0</v>
      </c>
      <c r="L87" s="510"/>
      <c r="M87" s="399" t="e">
        <f>34560000/($O$68+#REF!+#REF!)*O87</f>
        <v>#REF!</v>
      </c>
      <c r="N87" s="510">
        <f>ROUND(SUM(G87:L87),0)</f>
        <v>0</v>
      </c>
      <c r="O87" s="399"/>
      <c r="P87" s="399">
        <f>IF(N87&lt;&gt;0,N87/O87,0)</f>
        <v>0</v>
      </c>
      <c r="Q87" s="529"/>
      <c r="R87" s="517"/>
      <c r="S87" s="576"/>
      <c r="T87" s="190"/>
      <c r="U87" s="518"/>
      <c r="V87" s="510">
        <f t="shared" ref="V87:V93" si="12">ROUND(T87*U87,0)</f>
        <v>0</v>
      </c>
      <c r="W87" s="526"/>
    </row>
    <row r="88" spans="1:23">
      <c r="A88" s="508" t="str">
        <f>IF(B88&lt;&gt;"",A87+1,"")</f>
        <v/>
      </c>
      <c r="B88" s="326"/>
      <c r="C88" s="509"/>
      <c r="D88" s="399">
        <f>ROUND(C88*O88,0)</f>
        <v>0</v>
      </c>
      <c r="E88" s="399"/>
      <c r="F88" s="399"/>
      <c r="G88" s="510">
        <f>(D88+E88)*F88</f>
        <v>0</v>
      </c>
      <c r="H88" s="399">
        <f>IF($D$90&lt;&gt;0,H$90/($D$90+$E$90/5)*($D88+$E88/5),0)</f>
        <v>0</v>
      </c>
      <c r="I88" s="399">
        <f t="shared" si="11"/>
        <v>0</v>
      </c>
      <c r="J88" s="399">
        <f t="shared" si="11"/>
        <v>0</v>
      </c>
      <c r="K88" s="399">
        <f t="shared" si="11"/>
        <v>0</v>
      </c>
      <c r="L88" s="399"/>
      <c r="M88" s="399"/>
      <c r="N88" s="510">
        <f>ROUND(SUM(G88:L88),0)</f>
        <v>0</v>
      </c>
      <c r="O88" s="516"/>
      <c r="P88" s="399">
        <f>IF(N88&lt;&gt;0,N88/O88,0)</f>
        <v>0</v>
      </c>
      <c r="Q88" s="529"/>
      <c r="R88" s="517"/>
      <c r="S88" s="576"/>
      <c r="T88" s="190"/>
      <c r="U88" s="518"/>
      <c r="V88" s="510">
        <f t="shared" si="12"/>
        <v>0</v>
      </c>
      <c r="W88" s="526"/>
    </row>
    <row r="89" spans="1:23" s="530" customFormat="1">
      <c r="A89" s="508" t="str">
        <f>IF(B89&lt;&gt;"",#REF!+1,"")</f>
        <v/>
      </c>
      <c r="B89" s="521"/>
      <c r="C89" s="522"/>
      <c r="D89" s="524"/>
      <c r="E89" s="524"/>
      <c r="F89" s="524"/>
      <c r="G89" s="525"/>
      <c r="H89" s="570"/>
      <c r="I89" s="524"/>
      <c r="J89" s="526"/>
      <c r="K89" s="524"/>
      <c r="L89" s="527"/>
      <c r="M89" s="524"/>
      <c r="N89" s="558"/>
      <c r="O89" s="528"/>
      <c r="P89" s="524"/>
      <c r="Q89" s="529"/>
      <c r="R89" s="517"/>
      <c r="S89" s="576"/>
      <c r="T89" s="190"/>
      <c r="U89" s="518"/>
      <c r="V89" s="510">
        <f t="shared" si="12"/>
        <v>0</v>
      </c>
      <c r="W89" s="526"/>
    </row>
    <row r="90" spans="1:23" s="485" customFormat="1">
      <c r="A90" s="531"/>
      <c r="B90" s="532" t="s">
        <v>322</v>
      </c>
      <c r="C90" s="533"/>
      <c r="D90" s="534">
        <f>SUM(D87:D88)</f>
        <v>0</v>
      </c>
      <c r="E90" s="534">
        <f>SUM(E87:E88)</f>
        <v>0</v>
      </c>
      <c r="F90" s="534"/>
      <c r="G90" s="534">
        <f>SUM(G87:G88)</f>
        <v>0</v>
      </c>
      <c r="H90" s="535"/>
      <c r="I90" s="535">
        <f>V95</f>
        <v>0</v>
      </c>
      <c r="J90" s="535"/>
      <c r="K90" s="535">
        <v>57138842</v>
      </c>
      <c r="L90" s="534">
        <f>ROUND(SUM(L87:L89),0)</f>
        <v>0</v>
      </c>
      <c r="M90" s="534" t="e">
        <f>ROUND(SUM(M87:M89),0)</f>
        <v>#REF!</v>
      </c>
      <c r="N90" s="534">
        <f>ROUND(SUM(N87:N89),0)</f>
        <v>0</v>
      </c>
      <c r="O90" s="534">
        <f>ROUND(SUM(O87:O89),0)</f>
        <v>0</v>
      </c>
      <c r="P90" s="534"/>
      <c r="Q90" s="529"/>
      <c r="R90" s="517"/>
      <c r="S90" s="576"/>
      <c r="T90" s="540"/>
      <c r="U90" s="540"/>
      <c r="V90" s="510">
        <f t="shared" si="12"/>
        <v>0</v>
      </c>
      <c r="W90" s="526"/>
    </row>
    <row r="91" spans="1:23">
      <c r="Q91" s="529"/>
      <c r="R91" s="517"/>
      <c r="S91" s="578"/>
      <c r="T91" s="540"/>
      <c r="U91" s="518"/>
      <c r="V91" s="510">
        <f t="shared" si="12"/>
        <v>0</v>
      </c>
      <c r="W91" s="526"/>
    </row>
    <row r="92" spans="1:23">
      <c r="Q92" s="529"/>
      <c r="R92" s="579"/>
      <c r="S92" s="578"/>
      <c r="T92" s="540"/>
      <c r="U92" s="518"/>
      <c r="V92" s="510">
        <f t="shared" si="12"/>
        <v>0</v>
      </c>
      <c r="W92" s="526"/>
    </row>
    <row r="93" spans="1:23">
      <c r="Q93" s="529"/>
      <c r="R93" s="517"/>
      <c r="S93" s="578"/>
      <c r="T93" s="540"/>
      <c r="U93" s="518"/>
      <c r="V93" s="510">
        <f t="shared" si="12"/>
        <v>0</v>
      </c>
      <c r="W93" s="526"/>
    </row>
    <row r="94" spans="1:23">
      <c r="Q94" s="529"/>
      <c r="R94" s="580"/>
      <c r="S94" s="513"/>
      <c r="T94" s="190"/>
      <c r="U94" s="190"/>
      <c r="V94" s="526"/>
      <c r="W94" s="526"/>
    </row>
    <row r="95" spans="1:23">
      <c r="R95" s="563"/>
      <c r="S95" s="564"/>
      <c r="T95" s="565"/>
      <c r="U95" s="581"/>
      <c r="V95" s="534">
        <f>SUM(V87:V94)</f>
        <v>0</v>
      </c>
      <c r="W95" s="544">
        <f>SUM(W87:W94)</f>
        <v>0</v>
      </c>
    </row>
    <row r="96" spans="1:23">
      <c r="R96" s="566"/>
      <c r="S96" s="576"/>
      <c r="T96" s="190"/>
      <c r="U96" s="190"/>
      <c r="V96" s="510">
        <f>ROUND(T96*U96,0)</f>
        <v>0</v>
      </c>
      <c r="W96" s="510"/>
    </row>
    <row r="97" spans="1:23">
      <c r="R97" s="582"/>
      <c r="S97" s="576"/>
      <c r="T97" s="518"/>
      <c r="U97" s="518"/>
      <c r="V97" s="510">
        <f>ROUND(T97*U97,0)</f>
        <v>0</v>
      </c>
      <c r="W97" s="526"/>
    </row>
    <row r="98" spans="1:23">
      <c r="R98" s="517"/>
      <c r="S98" s="576"/>
      <c r="T98" s="518"/>
      <c r="U98" s="518"/>
      <c r="V98" s="510">
        <f>ROUND(T98*U98,0)</f>
        <v>0</v>
      </c>
      <c r="W98" s="526"/>
    </row>
    <row r="99" spans="1:23">
      <c r="R99" s="540"/>
      <c r="S99" s="513"/>
      <c r="T99" s="518"/>
      <c r="U99" s="518"/>
      <c r="V99" s="510">
        <f>ROUND(T99*U99,0)</f>
        <v>0</v>
      </c>
      <c r="W99" s="526"/>
    </row>
    <row r="100" spans="1:23">
      <c r="R100" s="540"/>
      <c r="S100" s="513"/>
      <c r="T100" s="518"/>
      <c r="U100" s="518"/>
      <c r="V100" s="510">
        <f>ROUND(T100*U100,0)</f>
        <v>0</v>
      </c>
      <c r="W100" s="526"/>
    </row>
    <row r="101" spans="1:23">
      <c r="R101" s="490"/>
      <c r="S101" s="567"/>
      <c r="T101" s="500"/>
      <c r="U101" s="500"/>
      <c r="V101" s="538"/>
      <c r="W101" s="568"/>
    </row>
    <row r="102" spans="1:23" ht="18" customHeight="1">
      <c r="A102" s="485" t="s">
        <v>305</v>
      </c>
      <c r="B102" s="485"/>
      <c r="C102" s="486"/>
      <c r="D102" s="487"/>
      <c r="E102" s="487"/>
      <c r="F102" s="487"/>
      <c r="G102" s="484"/>
      <c r="H102" s="484"/>
      <c r="I102" s="484"/>
      <c r="J102" s="484"/>
      <c r="K102" s="484"/>
      <c r="L102" s="488"/>
      <c r="M102" s="484"/>
      <c r="N102" s="484"/>
      <c r="O102" s="489"/>
      <c r="P102" s="484"/>
      <c r="Q102" s="490"/>
      <c r="R102" s="484"/>
      <c r="S102" s="491"/>
    </row>
    <row r="103" spans="1:23" ht="18.75" customHeight="1">
      <c r="A103" s="492" t="s">
        <v>327</v>
      </c>
      <c r="B103" s="492"/>
      <c r="C103" s="492"/>
      <c r="D103" s="492"/>
      <c r="E103" s="492"/>
      <c r="F103" s="492"/>
      <c r="G103" s="492"/>
      <c r="H103" s="492"/>
      <c r="I103" s="492"/>
      <c r="J103" s="492"/>
      <c r="K103" s="492"/>
      <c r="L103" s="492"/>
      <c r="M103" s="492"/>
      <c r="N103" s="492"/>
      <c r="O103" s="492"/>
      <c r="P103" s="492"/>
      <c r="Q103" s="490"/>
      <c r="R103" s="484"/>
      <c r="S103" s="491"/>
    </row>
    <row r="104" spans="1:23" ht="18.75" customHeight="1">
      <c r="A104" s="493"/>
      <c r="B104" s="493"/>
      <c r="C104" s="494"/>
      <c r="D104" s="493"/>
      <c r="E104" s="493"/>
      <c r="F104" s="493"/>
      <c r="G104" s="493"/>
      <c r="H104" s="493"/>
      <c r="I104" s="493"/>
      <c r="J104" s="493"/>
      <c r="K104" s="493"/>
      <c r="L104" s="492"/>
      <c r="M104" s="493"/>
      <c r="N104" s="493"/>
      <c r="O104" s="495"/>
      <c r="P104" s="493"/>
      <c r="Q104" s="490"/>
      <c r="R104" s="484"/>
      <c r="S104" s="491"/>
    </row>
    <row r="105" spans="1:23" ht="12.75" customHeight="1">
      <c r="A105" s="496"/>
      <c r="B105" s="496"/>
      <c r="C105" s="497"/>
      <c r="D105" s="496"/>
      <c r="E105" s="496"/>
      <c r="F105" s="496"/>
      <c r="G105" s="496"/>
      <c r="H105" s="496"/>
      <c r="I105" s="496"/>
      <c r="J105" s="496"/>
      <c r="K105" s="496"/>
      <c r="L105" s="496"/>
      <c r="M105" s="496"/>
      <c r="N105" s="496"/>
      <c r="O105" s="498"/>
      <c r="P105" s="496"/>
      <c r="Q105" s="490"/>
      <c r="R105" s="484"/>
      <c r="S105" s="491"/>
    </row>
    <row r="106" spans="1:23" s="507" customFormat="1" ht="30.75" customHeight="1">
      <c r="A106" s="501" t="s">
        <v>35</v>
      </c>
      <c r="B106" s="501" t="s">
        <v>307</v>
      </c>
      <c r="C106" s="502" t="s">
        <v>308</v>
      </c>
      <c r="D106" s="503" t="s">
        <v>309</v>
      </c>
      <c r="E106" s="503" t="s">
        <v>310</v>
      </c>
      <c r="F106" s="503" t="s">
        <v>311</v>
      </c>
      <c r="G106" s="503" t="s">
        <v>312</v>
      </c>
      <c r="H106" s="503" t="s">
        <v>313</v>
      </c>
      <c r="I106" s="503" t="s">
        <v>314</v>
      </c>
      <c r="J106" s="503" t="s">
        <v>315</v>
      </c>
      <c r="K106" s="504" t="s">
        <v>316</v>
      </c>
      <c r="L106" s="503" t="s">
        <v>317</v>
      </c>
      <c r="M106" s="504" t="s">
        <v>318</v>
      </c>
      <c r="N106" s="503" t="s">
        <v>319</v>
      </c>
      <c r="O106" s="505" t="s">
        <v>310</v>
      </c>
      <c r="P106" s="503" t="s">
        <v>320</v>
      </c>
      <c r="Q106" s="506"/>
      <c r="R106" s="501" t="s">
        <v>307</v>
      </c>
      <c r="S106" s="503" t="s">
        <v>299</v>
      </c>
      <c r="T106" s="503" t="s">
        <v>244</v>
      </c>
      <c r="U106" s="503" t="s">
        <v>311</v>
      </c>
      <c r="V106" s="503" t="s">
        <v>321</v>
      </c>
      <c r="W106" s="501" t="s">
        <v>321</v>
      </c>
    </row>
    <row r="107" spans="1:23">
      <c r="A107" s="508" t="str">
        <f>IF(B107&lt;&gt;"",ROW()-(ROW()-1),"")</f>
        <v/>
      </c>
      <c r="B107" s="583"/>
      <c r="C107" s="509"/>
      <c r="D107" s="399">
        <f>ROUND(C107*O107,0)</f>
        <v>0</v>
      </c>
      <c r="E107" s="399"/>
      <c r="F107" s="399"/>
      <c r="G107" s="510">
        <f>D107*F107</f>
        <v>0</v>
      </c>
      <c r="H107" s="399">
        <f>IF($D$112&lt;&gt;0,H$112/($D$112+$E$112/5)*($D107+$E107/5),0)</f>
        <v>0</v>
      </c>
      <c r="I107" s="399">
        <f t="shared" ref="I107:K110" si="13">IF($D$112&lt;&gt;0,I$112/$D$112*$D107,0)</f>
        <v>0</v>
      </c>
      <c r="J107" s="399">
        <f t="shared" si="13"/>
        <v>0</v>
      </c>
      <c r="K107" s="399">
        <f t="shared" si="13"/>
        <v>0</v>
      </c>
      <c r="L107" s="510"/>
      <c r="M107" s="399" t="e">
        <f>34560000/($O$68+#REF!+#REF!)*O107</f>
        <v>#REF!</v>
      </c>
      <c r="N107" s="510">
        <f>ROUND(SUM(G107:L107),0)</f>
        <v>0</v>
      </c>
      <c r="O107" s="399"/>
      <c r="P107" s="399">
        <f>IF(N107&lt;&gt;0,N107/O107,0)</f>
        <v>0</v>
      </c>
      <c r="Q107" s="529"/>
      <c r="R107" s="512"/>
      <c r="S107" s="576"/>
      <c r="T107" s="190"/>
      <c r="U107" s="514"/>
      <c r="V107" s="510">
        <f t="shared" ref="V107:V119" si="14">ROUND(T107*U107,0)</f>
        <v>0</v>
      </c>
      <c r="W107" s="510"/>
    </row>
    <row r="108" spans="1:23">
      <c r="A108" s="508" t="str">
        <f>IF(B108&lt;&gt;"",A107+1,"")</f>
        <v/>
      </c>
      <c r="B108" s="520"/>
      <c r="C108" s="509"/>
      <c r="D108" s="399">
        <f>ROUND(C108*O108,0)</f>
        <v>0</v>
      </c>
      <c r="E108" s="399"/>
      <c r="F108" s="399"/>
      <c r="G108" s="510">
        <f>D108*F108</f>
        <v>0</v>
      </c>
      <c r="H108" s="399">
        <f>IF($D$112&lt;&gt;0,H$112/($D$112+$E$112/5)*($D108+$E108/5),0)</f>
        <v>0</v>
      </c>
      <c r="I108" s="399">
        <f t="shared" si="13"/>
        <v>0</v>
      </c>
      <c r="J108" s="399">
        <f t="shared" si="13"/>
        <v>0</v>
      </c>
      <c r="K108" s="399">
        <f t="shared" si="13"/>
        <v>0</v>
      </c>
      <c r="L108" s="399"/>
      <c r="M108" s="399"/>
      <c r="N108" s="510">
        <f>ROUND(SUM(G108:L108),0)</f>
        <v>0</v>
      </c>
      <c r="O108" s="516"/>
      <c r="P108" s="399">
        <f>IF(N108&lt;&gt;0,N108/O108,0)</f>
        <v>0</v>
      </c>
      <c r="Q108" s="529"/>
      <c r="R108" s="517"/>
      <c r="S108" s="576"/>
      <c r="T108" s="190"/>
      <c r="U108" s="518"/>
      <c r="V108" s="510">
        <f t="shared" si="14"/>
        <v>0</v>
      </c>
      <c r="W108" s="526"/>
    </row>
    <row r="109" spans="1:23">
      <c r="A109" s="508" t="str">
        <f>IF(B109&lt;&gt;"",A108+1,"")</f>
        <v/>
      </c>
      <c r="B109" s="520"/>
      <c r="C109" s="509"/>
      <c r="D109" s="399">
        <f>ROUND(C109*O109,0)</f>
        <v>0</v>
      </c>
      <c r="E109" s="399"/>
      <c r="F109" s="399"/>
      <c r="G109" s="510">
        <f>D109*F109</f>
        <v>0</v>
      </c>
      <c r="H109" s="399">
        <f>IF($D$112&lt;&gt;0,H$112/($D$112+$E$112/5)*($D109+$E109/5),0)</f>
        <v>0</v>
      </c>
      <c r="I109" s="399">
        <f t="shared" si="13"/>
        <v>0</v>
      </c>
      <c r="J109" s="399">
        <f t="shared" si="13"/>
        <v>0</v>
      </c>
      <c r="K109" s="399">
        <f t="shared" si="13"/>
        <v>0</v>
      </c>
      <c r="L109" s="399"/>
      <c r="M109" s="399">
        <v>25840000</v>
      </c>
      <c r="N109" s="510">
        <f>ROUND(SUM(G109:L109),0)</f>
        <v>0</v>
      </c>
      <c r="O109" s="516"/>
      <c r="P109" s="399">
        <f>IF(N109&lt;&gt;0,N109/O109,0)</f>
        <v>0</v>
      </c>
      <c r="Q109" s="529"/>
      <c r="R109" s="517"/>
      <c r="S109" s="576"/>
      <c r="T109" s="190"/>
      <c r="U109" s="518"/>
      <c r="V109" s="510">
        <f t="shared" si="14"/>
        <v>0</v>
      </c>
      <c r="W109" s="526"/>
    </row>
    <row r="110" spans="1:23">
      <c r="A110" s="508" t="str">
        <f>IF(B110&lt;&gt;"",A109+1,"")</f>
        <v/>
      </c>
      <c r="B110" s="326"/>
      <c r="C110" s="509"/>
      <c r="D110" s="399">
        <f>ROUND(C110*O110,0)</f>
        <v>0</v>
      </c>
      <c r="E110" s="399"/>
      <c r="F110" s="399"/>
      <c r="G110" s="510">
        <f>D110*F110</f>
        <v>0</v>
      </c>
      <c r="H110" s="399">
        <f>IF($D$112&lt;&gt;0,H$112/($D$112+$E$112/5)*($D110+$E110/5),0)</f>
        <v>0</v>
      </c>
      <c r="I110" s="399">
        <f t="shared" si="13"/>
        <v>0</v>
      </c>
      <c r="J110" s="399">
        <f t="shared" si="13"/>
        <v>0</v>
      </c>
      <c r="K110" s="399">
        <f t="shared" si="13"/>
        <v>0</v>
      </c>
      <c r="L110" s="399"/>
      <c r="M110" s="399" t="e">
        <f>34560000/($O$68+#REF!+#REF!)*O110</f>
        <v>#REF!</v>
      </c>
      <c r="N110" s="510">
        <f>ROUND(SUM(G110:L110),0)</f>
        <v>0</v>
      </c>
      <c r="O110" s="516"/>
      <c r="P110" s="399">
        <f>IF(N110&lt;&gt;0,N110/O110,0)</f>
        <v>0</v>
      </c>
      <c r="Q110" s="529"/>
      <c r="R110" s="517"/>
      <c r="S110" s="576"/>
      <c r="T110" s="540"/>
      <c r="U110" s="518"/>
      <c r="V110" s="510">
        <f t="shared" si="14"/>
        <v>0</v>
      </c>
      <c r="W110" s="526"/>
    </row>
    <row r="111" spans="1:23">
      <c r="A111" s="508" t="str">
        <f>IF(B111&lt;&gt;"",#REF!+1,"")</f>
        <v/>
      </c>
      <c r="B111" s="521"/>
      <c r="C111" s="522"/>
      <c r="D111" s="524"/>
      <c r="E111" s="524"/>
      <c r="F111" s="524"/>
      <c r="G111" s="525"/>
      <c r="H111" s="570"/>
      <c r="I111" s="524"/>
      <c r="J111" s="526"/>
      <c r="K111" s="524"/>
      <c r="L111" s="527"/>
      <c r="M111" s="524"/>
      <c r="N111" s="510"/>
      <c r="O111" s="528"/>
      <c r="P111" s="524"/>
      <c r="Q111" s="529"/>
      <c r="R111" s="517"/>
      <c r="S111" s="576"/>
      <c r="T111" s="190"/>
      <c r="U111" s="518"/>
      <c r="V111" s="510">
        <f t="shared" si="14"/>
        <v>0</v>
      </c>
      <c r="W111" s="526"/>
    </row>
    <row r="112" spans="1:23">
      <c r="A112" s="531"/>
      <c r="B112" s="532" t="s">
        <v>322</v>
      </c>
      <c r="C112" s="533"/>
      <c r="D112" s="534">
        <f>SUM(D107:D110)</f>
        <v>0</v>
      </c>
      <c r="E112" s="534"/>
      <c r="F112" s="534"/>
      <c r="G112" s="534">
        <f>SUM(G107:G110)</f>
        <v>0</v>
      </c>
      <c r="H112" s="535"/>
      <c r="I112" s="535">
        <f>V121</f>
        <v>0</v>
      </c>
      <c r="J112" s="535"/>
      <c r="K112" s="535">
        <v>57138842</v>
      </c>
      <c r="L112" s="534">
        <f>ROUND(SUM(L107:L111),0)</f>
        <v>0</v>
      </c>
      <c r="M112" s="534" t="e">
        <f>ROUND(SUM(M107:M111),0)</f>
        <v>#REF!</v>
      </c>
      <c r="N112" s="534">
        <f>ROUND(SUM(N107:N111),0)</f>
        <v>0</v>
      </c>
      <c r="O112" s="534">
        <f>ROUND(SUM(O107:O111),0)</f>
        <v>0</v>
      </c>
      <c r="P112" s="534"/>
      <c r="Q112" s="529"/>
      <c r="R112" s="517"/>
      <c r="S112" s="576"/>
      <c r="T112" s="190"/>
      <c r="U112" s="518"/>
      <c r="V112" s="510">
        <f t="shared" si="14"/>
        <v>0</v>
      </c>
      <c r="W112" s="526"/>
    </row>
    <row r="113" spans="1:23" s="530" customFormat="1">
      <c r="A113" s="481"/>
      <c r="B113" s="481"/>
      <c r="C113" s="481"/>
      <c r="D113" s="481"/>
      <c r="E113" s="481"/>
      <c r="F113" s="481"/>
      <c r="G113" s="481"/>
      <c r="H113" s="481"/>
      <c r="I113" s="481"/>
      <c r="J113" s="481"/>
      <c r="K113" s="481"/>
      <c r="L113" s="481"/>
      <c r="M113" s="481"/>
      <c r="N113" s="481"/>
      <c r="O113" s="481"/>
      <c r="P113" s="481"/>
      <c r="Q113" s="529"/>
      <c r="R113" s="517"/>
      <c r="S113" s="576"/>
      <c r="T113" s="190"/>
      <c r="U113" s="518"/>
      <c r="V113" s="510">
        <f t="shared" si="14"/>
        <v>0</v>
      </c>
      <c r="W113" s="526"/>
    </row>
    <row r="114" spans="1:23" s="485" customFormat="1">
      <c r="A114" s="481"/>
      <c r="B114" s="481"/>
      <c r="C114" s="481"/>
      <c r="D114" s="481"/>
      <c r="E114" s="481"/>
      <c r="F114" s="481"/>
      <c r="G114" s="481"/>
      <c r="H114" s="481"/>
      <c r="I114" s="481"/>
      <c r="J114" s="481"/>
      <c r="K114" s="481"/>
      <c r="L114" s="481"/>
      <c r="M114" s="481"/>
      <c r="N114" s="481"/>
      <c r="O114" s="481"/>
      <c r="P114" s="481"/>
      <c r="Q114" s="529"/>
      <c r="R114" s="517"/>
      <c r="S114" s="576"/>
      <c r="T114" s="540"/>
      <c r="U114" s="540"/>
      <c r="V114" s="510">
        <f t="shared" si="14"/>
        <v>0</v>
      </c>
      <c r="W114" s="526"/>
    </row>
    <row r="115" spans="1:23">
      <c r="Q115" s="529"/>
      <c r="R115" s="517"/>
      <c r="S115" s="578"/>
      <c r="T115" s="540"/>
      <c r="U115" s="518"/>
      <c r="V115" s="510">
        <f t="shared" si="14"/>
        <v>0</v>
      </c>
      <c r="W115" s="526"/>
    </row>
    <row r="116" spans="1:23">
      <c r="Q116" s="529"/>
      <c r="R116" s="329"/>
      <c r="S116" s="578"/>
      <c r="T116" s="190"/>
      <c r="U116" s="190"/>
      <c r="V116" s="510">
        <f t="shared" si="14"/>
        <v>0</v>
      </c>
      <c r="W116" s="526"/>
    </row>
    <row r="117" spans="1:23">
      <c r="Q117" s="529"/>
      <c r="R117" s="517"/>
      <c r="S117" s="578"/>
      <c r="T117" s="190"/>
      <c r="U117" s="190"/>
      <c r="V117" s="510">
        <f t="shared" si="14"/>
        <v>0</v>
      </c>
      <c r="W117" s="526"/>
    </row>
    <row r="118" spans="1:23">
      <c r="Q118" s="529"/>
      <c r="R118" s="579"/>
      <c r="S118" s="578"/>
      <c r="T118" s="540"/>
      <c r="U118" s="518"/>
      <c r="V118" s="510">
        <f t="shared" si="14"/>
        <v>0</v>
      </c>
      <c r="W118" s="526"/>
    </row>
    <row r="119" spans="1:23">
      <c r="Q119" s="529"/>
      <c r="R119" s="517"/>
      <c r="S119" s="576"/>
      <c r="T119" s="540"/>
      <c r="U119" s="518"/>
      <c r="V119" s="510">
        <f t="shared" si="14"/>
        <v>0</v>
      </c>
      <c r="W119" s="526"/>
    </row>
    <row r="120" spans="1:23">
      <c r="Q120" s="529"/>
      <c r="R120" s="329"/>
      <c r="S120" s="513"/>
      <c r="T120" s="190"/>
      <c r="U120" s="190"/>
      <c r="V120" s="510"/>
      <c r="W120" s="526"/>
    </row>
    <row r="121" spans="1:23">
      <c r="R121" s="563"/>
      <c r="S121" s="564"/>
      <c r="T121" s="565"/>
      <c r="U121" s="581"/>
      <c r="V121" s="534">
        <f>SUM(V107:V120)</f>
        <v>0</v>
      </c>
      <c r="W121" s="544">
        <f>SUM(W107:W120)</f>
        <v>0</v>
      </c>
    </row>
    <row r="122" spans="1:23">
      <c r="R122" s="566"/>
      <c r="S122" s="576"/>
      <c r="T122" s="190"/>
      <c r="U122" s="190"/>
      <c r="V122" s="510">
        <f t="shared" ref="V122:V128" si="15">ROUND(T122*U122,0)</f>
        <v>0</v>
      </c>
      <c r="W122" s="510"/>
    </row>
    <row r="123" spans="1:23">
      <c r="R123" s="517"/>
      <c r="S123" s="576"/>
      <c r="T123" s="518"/>
      <c r="U123" s="518"/>
      <c r="V123" s="510">
        <f t="shared" si="15"/>
        <v>0</v>
      </c>
      <c r="W123" s="526"/>
    </row>
    <row r="124" spans="1:23">
      <c r="R124" s="517"/>
      <c r="S124" s="576"/>
      <c r="T124" s="518"/>
      <c r="U124" s="518"/>
      <c r="V124" s="510">
        <f t="shared" si="15"/>
        <v>0</v>
      </c>
      <c r="W124" s="526"/>
    </row>
    <row r="125" spans="1:23">
      <c r="R125" s="517"/>
      <c r="S125" s="576"/>
      <c r="T125" s="518"/>
      <c r="U125" s="518"/>
      <c r="V125" s="510">
        <f t="shared" si="15"/>
        <v>0</v>
      </c>
      <c r="W125" s="526"/>
    </row>
    <row r="126" spans="1:23">
      <c r="R126" s="566"/>
      <c r="S126" s="576"/>
      <c r="T126" s="190"/>
      <c r="U126" s="190"/>
      <c r="V126" s="510">
        <f t="shared" si="15"/>
        <v>0</v>
      </c>
      <c r="W126" s="526"/>
    </row>
    <row r="127" spans="1:23">
      <c r="R127" s="540"/>
      <c r="S127" s="513"/>
      <c r="T127" s="518"/>
      <c r="U127" s="518"/>
      <c r="V127" s="510">
        <f t="shared" si="15"/>
        <v>0</v>
      </c>
      <c r="W127" s="526"/>
    </row>
    <row r="128" spans="1:23">
      <c r="R128" s="540"/>
      <c r="S128" s="513"/>
      <c r="T128" s="518"/>
      <c r="U128" s="518"/>
      <c r="V128" s="510">
        <f t="shared" si="15"/>
        <v>0</v>
      </c>
      <c r="W128" s="526"/>
    </row>
    <row r="129" spans="1:23" ht="12.75" customHeight="1">
      <c r="A129" s="500"/>
      <c r="B129" s="500"/>
      <c r="C129" s="584"/>
      <c r="D129" s="500"/>
      <c r="E129" s="500"/>
      <c r="F129" s="500"/>
      <c r="G129" s="500"/>
      <c r="H129" s="500"/>
      <c r="I129" s="500"/>
      <c r="J129" s="500"/>
      <c r="K129" s="500"/>
      <c r="L129" s="500"/>
      <c r="M129" s="500"/>
      <c r="N129" s="500"/>
      <c r="O129" s="552"/>
      <c r="P129" s="500"/>
      <c r="Q129" s="490"/>
      <c r="R129" s="484"/>
      <c r="S129" s="491"/>
    </row>
    <row r="130" spans="1:23" ht="18" customHeight="1">
      <c r="A130" s="485" t="s">
        <v>305</v>
      </c>
      <c r="B130" s="485"/>
      <c r="C130" s="585"/>
      <c r="D130" s="487"/>
      <c r="E130" s="487"/>
      <c r="F130" s="487"/>
      <c r="G130" s="484"/>
      <c r="H130" s="484"/>
      <c r="I130" s="484"/>
      <c r="J130" s="484"/>
      <c r="K130" s="484"/>
      <c r="L130" s="488"/>
      <c r="M130" s="484"/>
      <c r="N130" s="484"/>
      <c r="O130" s="489"/>
      <c r="P130" s="484"/>
      <c r="Q130" s="490"/>
      <c r="R130" s="484"/>
      <c r="S130" s="491"/>
    </row>
    <row r="131" spans="1:23" ht="18.75" customHeight="1">
      <c r="A131" s="492" t="s">
        <v>328</v>
      </c>
      <c r="B131" s="492"/>
      <c r="C131" s="492"/>
      <c r="D131" s="492"/>
      <c r="E131" s="492"/>
      <c r="F131" s="492"/>
      <c r="G131" s="492"/>
      <c r="H131" s="492"/>
      <c r="I131" s="492"/>
      <c r="J131" s="492"/>
      <c r="K131" s="492"/>
      <c r="L131" s="492"/>
      <c r="M131" s="492"/>
      <c r="N131" s="492"/>
      <c r="O131" s="492"/>
      <c r="P131" s="492"/>
      <c r="Q131" s="490"/>
      <c r="R131" s="484"/>
      <c r="S131" s="491"/>
    </row>
    <row r="132" spans="1:23" ht="18.75" customHeight="1">
      <c r="A132" s="493"/>
      <c r="B132" s="493"/>
      <c r="C132" s="494"/>
      <c r="D132" s="493"/>
      <c r="E132" s="493"/>
      <c r="F132" s="493"/>
      <c r="G132" s="493"/>
      <c r="H132" s="493"/>
      <c r="I132" s="493"/>
      <c r="J132" s="493"/>
      <c r="K132" s="493"/>
      <c r="L132" s="492"/>
      <c r="M132" s="493"/>
      <c r="N132" s="493"/>
      <c r="O132" s="495"/>
      <c r="P132" s="493"/>
      <c r="Q132" s="490"/>
      <c r="R132" s="484"/>
      <c r="S132" s="491"/>
    </row>
    <row r="133" spans="1:23" ht="12.75" customHeight="1">
      <c r="A133" s="496"/>
      <c r="B133" s="496"/>
      <c r="C133" s="497"/>
      <c r="D133" s="496"/>
      <c r="E133" s="496"/>
      <c r="F133" s="496"/>
      <c r="G133" s="496"/>
      <c r="H133" s="496"/>
      <c r="I133" s="496"/>
      <c r="J133" s="496"/>
      <c r="K133" s="496"/>
      <c r="L133" s="496"/>
      <c r="M133" s="496"/>
      <c r="N133" s="496"/>
      <c r="O133" s="498"/>
      <c r="P133" s="496"/>
      <c r="Q133" s="490"/>
      <c r="R133" s="484"/>
      <c r="S133" s="491"/>
    </row>
    <row r="134" spans="1:23" s="507" customFormat="1" ht="30.75" customHeight="1">
      <c r="A134" s="501" t="s">
        <v>35</v>
      </c>
      <c r="B134" s="501" t="s">
        <v>307</v>
      </c>
      <c r="C134" s="502" t="s">
        <v>308</v>
      </c>
      <c r="D134" s="503" t="s">
        <v>309</v>
      </c>
      <c r="E134" s="503" t="s">
        <v>310</v>
      </c>
      <c r="F134" s="503" t="s">
        <v>311</v>
      </c>
      <c r="G134" s="503" t="s">
        <v>312</v>
      </c>
      <c r="H134" s="503" t="s">
        <v>313</v>
      </c>
      <c r="I134" s="503" t="s">
        <v>314</v>
      </c>
      <c r="J134" s="503" t="s">
        <v>315</v>
      </c>
      <c r="K134" s="504" t="s">
        <v>316</v>
      </c>
      <c r="L134" s="503" t="s">
        <v>317</v>
      </c>
      <c r="M134" s="504" t="s">
        <v>318</v>
      </c>
      <c r="N134" s="503" t="s">
        <v>319</v>
      </c>
      <c r="O134" s="505" t="s">
        <v>310</v>
      </c>
      <c r="P134" s="503" t="s">
        <v>320</v>
      </c>
      <c r="Q134" s="506"/>
      <c r="R134" s="501" t="s">
        <v>307</v>
      </c>
      <c r="S134" s="503" t="s">
        <v>299</v>
      </c>
      <c r="T134" s="503" t="s">
        <v>244</v>
      </c>
      <c r="U134" s="503" t="s">
        <v>311</v>
      </c>
      <c r="V134" s="503" t="s">
        <v>321</v>
      </c>
      <c r="W134" s="501" t="s">
        <v>321</v>
      </c>
    </row>
    <row r="135" spans="1:23">
      <c r="A135" s="508" t="str">
        <f>IF(B135&lt;&gt;"",ROW()-(ROW()-1),"")</f>
        <v/>
      </c>
      <c r="B135" s="520"/>
      <c r="C135" s="509"/>
      <c r="D135" s="399">
        <f>ROUND(C135*O135,0)</f>
        <v>0</v>
      </c>
      <c r="E135" s="399"/>
      <c r="F135" s="399"/>
      <c r="G135" s="510">
        <f>D135*F135</f>
        <v>0</v>
      </c>
      <c r="H135" s="399">
        <f>IF($D$139&lt;&gt;0,H$139/($D$139+$E$139/5)*($D135+$E135/5),0)</f>
        <v>0</v>
      </c>
      <c r="I135" s="399">
        <f t="shared" ref="I135:K138" si="16">IF($D$139&lt;&gt;0,I$139/$D$139*$D135,0)</f>
        <v>0</v>
      </c>
      <c r="J135" s="399">
        <f t="shared" si="16"/>
        <v>0</v>
      </c>
      <c r="K135" s="399">
        <f t="shared" si="16"/>
        <v>0</v>
      </c>
      <c r="L135" s="510"/>
      <c r="M135" s="399" t="e">
        <f>34560000/($O$68+#REF!+#REF!)*O135</f>
        <v>#REF!</v>
      </c>
      <c r="N135" s="510">
        <f>ROUND(SUM(G135:L135),0)</f>
        <v>0</v>
      </c>
      <c r="O135" s="399"/>
      <c r="P135" s="399">
        <f>IF(N135&lt;&gt;0,N135/O135,0)</f>
        <v>0</v>
      </c>
      <c r="Q135" s="529"/>
      <c r="R135" s="512"/>
      <c r="S135" s="576"/>
      <c r="T135" s="190"/>
      <c r="U135" s="514"/>
      <c r="V135" s="510">
        <f t="shared" ref="V135:V144" si="17">ROUND(T135*U135,0)</f>
        <v>0</v>
      </c>
      <c r="W135" s="510"/>
    </row>
    <row r="136" spans="1:23">
      <c r="A136" s="508" t="str">
        <f>IF(B136&lt;&gt;"",A135+1,"")</f>
        <v/>
      </c>
      <c r="B136" s="329"/>
      <c r="C136" s="509"/>
      <c r="D136" s="399">
        <f>ROUND(C136*O136,0)</f>
        <v>0</v>
      </c>
      <c r="E136" s="399"/>
      <c r="F136" s="399"/>
      <c r="G136" s="510">
        <f>D136*F136</f>
        <v>0</v>
      </c>
      <c r="H136" s="399">
        <f>IF($D$139&lt;&gt;0,H$139/($D$139+$E$139/5)*($D136+$E136/5),0)</f>
        <v>0</v>
      </c>
      <c r="I136" s="399">
        <f t="shared" si="16"/>
        <v>0</v>
      </c>
      <c r="J136" s="399">
        <f t="shared" si="16"/>
        <v>0</v>
      </c>
      <c r="K136" s="399">
        <f t="shared" si="16"/>
        <v>0</v>
      </c>
      <c r="L136" s="399"/>
      <c r="M136" s="399"/>
      <c r="N136" s="510">
        <f>ROUND(SUM(G136:L136),0)</f>
        <v>0</v>
      </c>
      <c r="O136" s="516"/>
      <c r="P136" s="399">
        <f>IF(N136&lt;&gt;0,N136/O136,0)</f>
        <v>0</v>
      </c>
      <c r="Q136" s="529"/>
      <c r="R136" s="517"/>
      <c r="S136" s="576"/>
      <c r="T136" s="190"/>
      <c r="U136" s="518"/>
      <c r="V136" s="510">
        <f t="shared" si="17"/>
        <v>0</v>
      </c>
      <c r="W136" s="526"/>
    </row>
    <row r="137" spans="1:23">
      <c r="A137" s="508" t="str">
        <f>IF(B137&lt;&gt;"",A136+1,"")</f>
        <v/>
      </c>
      <c r="B137" s="520"/>
      <c r="C137" s="509"/>
      <c r="D137" s="399">
        <f>ROUND(C137*O137,0)</f>
        <v>0</v>
      </c>
      <c r="E137" s="399"/>
      <c r="F137" s="399"/>
      <c r="G137" s="510">
        <f>D137*F137</f>
        <v>0</v>
      </c>
      <c r="H137" s="399">
        <f>IF($D$139&lt;&gt;0,H$139/($D$139+$E$139/5)*($D137+$E137/5),0)</f>
        <v>0</v>
      </c>
      <c r="I137" s="399">
        <f t="shared" si="16"/>
        <v>0</v>
      </c>
      <c r="J137" s="399">
        <f t="shared" si="16"/>
        <v>0</v>
      </c>
      <c r="K137" s="399">
        <f t="shared" si="16"/>
        <v>0</v>
      </c>
      <c r="L137" s="399"/>
      <c r="M137" s="399">
        <v>25840000</v>
      </c>
      <c r="N137" s="510">
        <f>ROUND(SUM(G137:L137),0)</f>
        <v>0</v>
      </c>
      <c r="O137" s="516"/>
      <c r="P137" s="399">
        <f>IF(N137&lt;&gt;0,N137/O137,0)</f>
        <v>0</v>
      </c>
      <c r="Q137" s="529"/>
      <c r="R137" s="517"/>
      <c r="S137" s="576"/>
      <c r="T137" s="190"/>
      <c r="U137" s="518"/>
      <c r="V137" s="510">
        <f t="shared" si="17"/>
        <v>0</v>
      </c>
      <c r="W137" s="526"/>
    </row>
    <row r="138" spans="1:23">
      <c r="A138" s="508" t="str">
        <f>IF(B138&lt;&gt;"",#REF!+1,"")</f>
        <v/>
      </c>
      <c r="B138" s="520"/>
      <c r="C138" s="509"/>
      <c r="D138" s="399">
        <f>ROUND(C138*O138,0)</f>
        <v>0</v>
      </c>
      <c r="E138" s="399"/>
      <c r="F138" s="399"/>
      <c r="G138" s="510">
        <f>D138*F138</f>
        <v>0</v>
      </c>
      <c r="H138" s="399">
        <f>IF($D$139&lt;&gt;0,H$139/($D$139+$E$139/5)*($D138+$E138/5),0)</f>
        <v>0</v>
      </c>
      <c r="I138" s="399">
        <f t="shared" si="16"/>
        <v>0</v>
      </c>
      <c r="J138" s="399">
        <f t="shared" si="16"/>
        <v>0</v>
      </c>
      <c r="K138" s="399">
        <f t="shared" si="16"/>
        <v>0</v>
      </c>
      <c r="L138" s="399"/>
      <c r="M138" s="399" t="e">
        <f>34560000/($O$68+#REF!+#REF!)*O138</f>
        <v>#REF!</v>
      </c>
      <c r="N138" s="510">
        <f>ROUND(SUM(G138:L138),0)</f>
        <v>0</v>
      </c>
      <c r="O138" s="516"/>
      <c r="P138" s="399">
        <f>IF(N138&lt;&gt;0,N138/O138,0)</f>
        <v>0</v>
      </c>
      <c r="Q138" s="529"/>
      <c r="R138" s="517"/>
      <c r="S138" s="576"/>
      <c r="T138" s="540"/>
      <c r="U138" s="518"/>
      <c r="V138" s="510">
        <f t="shared" si="17"/>
        <v>0</v>
      </c>
      <c r="W138" s="526"/>
    </row>
    <row r="139" spans="1:23">
      <c r="A139" s="531"/>
      <c r="B139" s="532" t="s">
        <v>322</v>
      </c>
      <c r="C139" s="533"/>
      <c r="D139" s="534">
        <f>SUM(D135:D138)</f>
        <v>0</v>
      </c>
      <c r="E139" s="534"/>
      <c r="F139" s="534"/>
      <c r="G139" s="534">
        <f>SUM(G135:G138)</f>
        <v>0</v>
      </c>
      <c r="H139" s="535"/>
      <c r="I139" s="535">
        <f>V146</f>
        <v>0</v>
      </c>
      <c r="J139" s="535"/>
      <c r="K139" s="535">
        <v>57138842</v>
      </c>
      <c r="L139" s="534">
        <f>ROUND(SUM(L135:L138),0)</f>
        <v>0</v>
      </c>
      <c r="M139" s="534" t="e">
        <f>ROUND(SUM(M135:M138),0)</f>
        <v>#REF!</v>
      </c>
      <c r="N139" s="534">
        <f>ROUND(SUM(N135:N138),0)</f>
        <v>0</v>
      </c>
      <c r="O139" s="534">
        <f>ROUND(SUM(O135:O138),0)</f>
        <v>0</v>
      </c>
      <c r="P139" s="534"/>
      <c r="Q139" s="529"/>
      <c r="R139" s="517"/>
      <c r="S139" s="576"/>
      <c r="T139" s="190"/>
      <c r="U139" s="518"/>
      <c r="V139" s="510">
        <f t="shared" si="17"/>
        <v>0</v>
      </c>
      <c r="W139" s="526"/>
    </row>
    <row r="140" spans="1:23">
      <c r="Q140" s="529"/>
      <c r="R140" s="517"/>
      <c r="S140" s="576"/>
      <c r="T140" s="190"/>
      <c r="U140" s="518"/>
      <c r="V140" s="510">
        <f t="shared" si="17"/>
        <v>0</v>
      </c>
      <c r="W140" s="526"/>
    </row>
    <row r="141" spans="1:23" s="485" customFormat="1">
      <c r="A141" s="481"/>
      <c r="B141" s="481"/>
      <c r="C141" s="481"/>
      <c r="D141" s="481"/>
      <c r="E141" s="481"/>
      <c r="F141" s="481"/>
      <c r="G141" s="481"/>
      <c r="H141" s="481"/>
      <c r="I141" s="481"/>
      <c r="J141" s="481"/>
      <c r="K141" s="481"/>
      <c r="L141" s="481"/>
      <c r="M141" s="481"/>
      <c r="N141" s="481"/>
      <c r="O141" s="481"/>
      <c r="P141" s="481"/>
      <c r="Q141" s="529"/>
      <c r="R141" s="517"/>
      <c r="S141" s="576"/>
      <c r="T141" s="540"/>
      <c r="U141" s="540"/>
      <c r="V141" s="510">
        <f t="shared" si="17"/>
        <v>0</v>
      </c>
      <c r="W141" s="526"/>
    </row>
    <row r="142" spans="1:23">
      <c r="Q142" s="529"/>
      <c r="R142" s="517"/>
      <c r="S142" s="578"/>
      <c r="T142" s="540"/>
      <c r="U142" s="518"/>
      <c r="V142" s="510">
        <f t="shared" si="17"/>
        <v>0</v>
      </c>
      <c r="W142" s="526"/>
    </row>
    <row r="143" spans="1:23">
      <c r="Q143" s="529"/>
      <c r="R143" s="329"/>
      <c r="S143" s="576"/>
      <c r="T143" s="190"/>
      <c r="U143" s="190"/>
      <c r="V143" s="510">
        <f t="shared" si="17"/>
        <v>0</v>
      </c>
      <c r="W143" s="526"/>
    </row>
    <row r="144" spans="1:23">
      <c r="Q144" s="529"/>
      <c r="R144" s="579"/>
      <c r="S144" s="578"/>
      <c r="T144" s="540"/>
      <c r="U144" s="518"/>
      <c r="V144" s="510">
        <f t="shared" si="17"/>
        <v>0</v>
      </c>
      <c r="W144" s="526"/>
    </row>
    <row r="145" spans="1:23">
      <c r="Q145" s="529"/>
      <c r="R145" s="329"/>
      <c r="S145" s="513"/>
      <c r="T145" s="190"/>
      <c r="U145" s="190"/>
      <c r="V145" s="526"/>
      <c r="W145" s="526"/>
    </row>
    <row r="146" spans="1:23">
      <c r="R146" s="563"/>
      <c r="S146" s="564"/>
      <c r="T146" s="565"/>
      <c r="U146" s="581"/>
      <c r="V146" s="534">
        <f>SUM(V135:V145)</f>
        <v>0</v>
      </c>
      <c r="W146" s="544">
        <f>SUM(W135:W145)</f>
        <v>0</v>
      </c>
    </row>
    <row r="147" spans="1:23">
      <c r="R147" s="566"/>
      <c r="S147" s="576"/>
      <c r="T147" s="190"/>
      <c r="U147" s="190"/>
      <c r="V147" s="510">
        <f t="shared" ref="V147:V152" si="18">ROUND(T147*U147,0)</f>
        <v>0</v>
      </c>
      <c r="W147" s="510"/>
    </row>
    <row r="148" spans="1:23">
      <c r="R148" s="517"/>
      <c r="S148" s="576"/>
      <c r="T148" s="518"/>
      <c r="U148" s="518"/>
      <c r="V148" s="510">
        <f t="shared" si="18"/>
        <v>0</v>
      </c>
      <c r="W148" s="526"/>
    </row>
    <row r="149" spans="1:23">
      <c r="R149" s="517"/>
      <c r="S149" s="576"/>
      <c r="T149" s="518"/>
      <c r="U149" s="518"/>
      <c r="V149" s="510">
        <f t="shared" si="18"/>
        <v>0</v>
      </c>
      <c r="W149" s="526"/>
    </row>
    <row r="150" spans="1:23">
      <c r="R150" s="517"/>
      <c r="S150" s="576"/>
      <c r="T150" s="518"/>
      <c r="U150" s="518"/>
      <c r="V150" s="510">
        <f t="shared" si="18"/>
        <v>0</v>
      </c>
      <c r="W150" s="526"/>
    </row>
    <row r="151" spans="1:23">
      <c r="R151" s="517"/>
      <c r="S151" s="576"/>
      <c r="T151" s="518"/>
      <c r="U151" s="518"/>
      <c r="V151" s="510">
        <f t="shared" si="18"/>
        <v>0</v>
      </c>
      <c r="W151" s="526"/>
    </row>
    <row r="152" spans="1:23">
      <c r="R152" s="540"/>
      <c r="S152" s="513"/>
      <c r="T152" s="518"/>
      <c r="U152" s="518"/>
      <c r="V152" s="510">
        <f t="shared" si="18"/>
        <v>0</v>
      </c>
      <c r="W152" s="526"/>
    </row>
    <row r="153" spans="1:23" ht="16.5" customHeight="1">
      <c r="A153" s="485" t="s">
        <v>305</v>
      </c>
      <c r="B153" s="485"/>
      <c r="C153" s="486"/>
      <c r="D153" s="487"/>
      <c r="E153" s="487"/>
      <c r="F153" s="487"/>
      <c r="G153" s="484"/>
      <c r="H153" s="484"/>
      <c r="I153" s="484"/>
      <c r="J153" s="484"/>
      <c r="K153" s="484"/>
      <c r="L153" s="488"/>
      <c r="M153" s="484"/>
      <c r="N153" s="484"/>
      <c r="O153" s="489"/>
      <c r="P153" s="484"/>
      <c r="R153" s="484"/>
      <c r="S153" s="491"/>
    </row>
    <row r="154" spans="1:23" ht="16.5" customHeight="1">
      <c r="A154" s="492" t="s">
        <v>329</v>
      </c>
      <c r="B154" s="492"/>
      <c r="C154" s="492"/>
      <c r="D154" s="492"/>
      <c r="E154" s="492"/>
      <c r="F154" s="492"/>
      <c r="G154" s="492"/>
      <c r="H154" s="492"/>
      <c r="I154" s="492"/>
      <c r="J154" s="492"/>
      <c r="K154" s="492"/>
      <c r="L154" s="492"/>
      <c r="M154" s="492"/>
      <c r="N154" s="492"/>
      <c r="O154" s="492"/>
      <c r="P154" s="492"/>
      <c r="Q154" s="490"/>
      <c r="R154" s="484"/>
      <c r="S154" s="491"/>
    </row>
    <row r="155" spans="1:23" ht="11.25" customHeight="1">
      <c r="A155" s="493"/>
      <c r="B155" s="493"/>
      <c r="C155" s="494"/>
      <c r="D155" s="493"/>
      <c r="E155" s="493"/>
      <c r="F155" s="493"/>
      <c r="G155" s="493"/>
      <c r="H155" s="493"/>
      <c r="I155" s="493"/>
      <c r="J155" s="493"/>
      <c r="K155" s="493"/>
      <c r="L155" s="492"/>
      <c r="M155" s="493"/>
      <c r="N155" s="493"/>
      <c r="O155" s="495"/>
      <c r="P155" s="493"/>
      <c r="Q155" s="490"/>
      <c r="R155" s="484"/>
      <c r="S155" s="491"/>
    </row>
    <row r="156" spans="1:23" ht="11.25" customHeight="1">
      <c r="A156" s="496"/>
      <c r="B156" s="496"/>
      <c r="C156" s="497"/>
      <c r="D156" s="496"/>
      <c r="E156" s="496"/>
      <c r="F156" s="496"/>
      <c r="G156" s="496"/>
      <c r="H156" s="496"/>
      <c r="I156" s="496"/>
      <c r="J156" s="496"/>
      <c r="K156" s="496"/>
      <c r="L156" s="496"/>
      <c r="M156" s="496"/>
      <c r="N156" s="496"/>
      <c r="O156" s="498"/>
      <c r="P156" s="496"/>
      <c r="Q156" s="490"/>
      <c r="R156" s="484"/>
      <c r="S156" s="491"/>
    </row>
    <row r="157" spans="1:23" ht="28.5" customHeight="1">
      <c r="A157" s="501" t="s">
        <v>35</v>
      </c>
      <c r="B157" s="501" t="s">
        <v>307</v>
      </c>
      <c r="C157" s="502" t="s">
        <v>308</v>
      </c>
      <c r="D157" s="503" t="s">
        <v>309</v>
      </c>
      <c r="E157" s="503" t="s">
        <v>310</v>
      </c>
      <c r="F157" s="503" t="s">
        <v>311</v>
      </c>
      <c r="G157" s="503" t="s">
        <v>312</v>
      </c>
      <c r="H157" s="503" t="s">
        <v>313</v>
      </c>
      <c r="I157" s="503" t="s">
        <v>314</v>
      </c>
      <c r="J157" s="503" t="s">
        <v>315</v>
      </c>
      <c r="K157" s="504" t="s">
        <v>316</v>
      </c>
      <c r="L157" s="503" t="s">
        <v>317</v>
      </c>
      <c r="M157" s="504" t="s">
        <v>318</v>
      </c>
      <c r="N157" s="503" t="s">
        <v>319</v>
      </c>
      <c r="O157" s="505" t="s">
        <v>310</v>
      </c>
      <c r="P157" s="503" t="s">
        <v>320</v>
      </c>
      <c r="Q157" s="490"/>
      <c r="R157" s="501" t="s">
        <v>307</v>
      </c>
      <c r="S157" s="503" t="s">
        <v>299</v>
      </c>
      <c r="T157" s="503" t="s">
        <v>244</v>
      </c>
      <c r="U157" s="503" t="s">
        <v>311</v>
      </c>
      <c r="V157" s="503" t="s">
        <v>321</v>
      </c>
      <c r="W157" s="501" t="s">
        <v>321</v>
      </c>
    </row>
    <row r="158" spans="1:23" s="507" customFormat="1" ht="12" customHeight="1">
      <c r="A158" s="508" t="str">
        <f>IF(B158&lt;&gt;"",ROW()-(ROW()-1),"")</f>
        <v/>
      </c>
      <c r="B158" s="520"/>
      <c r="C158" s="509"/>
      <c r="D158" s="399">
        <f>ROUND(C158*O158,0)</f>
        <v>0</v>
      </c>
      <c r="E158" s="399"/>
      <c r="F158" s="399"/>
      <c r="G158" s="510">
        <f>(D158+E158)*F158</f>
        <v>0</v>
      </c>
      <c r="H158" s="399">
        <f>IF($D$163&lt;&gt;0,H$163/($D$163+$E$163/5)*($D158+$E158/5),0)</f>
        <v>0</v>
      </c>
      <c r="I158" s="399">
        <f t="shared" ref="I158:K161" si="19">IF($D$163&lt;&gt;0,I$163/$D$163*$D158,0)</f>
        <v>0</v>
      </c>
      <c r="J158" s="399">
        <f t="shared" si="19"/>
        <v>0</v>
      </c>
      <c r="K158" s="399">
        <f t="shared" si="19"/>
        <v>0</v>
      </c>
      <c r="L158" s="510"/>
      <c r="M158" s="399" t="e">
        <f>34560000/($O$68+#REF!+#REF!)*O158</f>
        <v>#REF!</v>
      </c>
      <c r="N158" s="510">
        <f>ROUND(SUM(G158:L158),0)</f>
        <v>0</v>
      </c>
      <c r="O158" s="399"/>
      <c r="P158" s="399">
        <f>IF(N158&lt;&gt;0,N158/O158,0)</f>
        <v>0</v>
      </c>
      <c r="Q158" s="506"/>
      <c r="R158" s="512"/>
      <c r="S158" s="576"/>
      <c r="T158" s="190"/>
      <c r="U158" s="514"/>
      <c r="V158" s="510">
        <f t="shared" ref="V158:V168" si="20">ROUND(T158*U158,0)</f>
        <v>0</v>
      </c>
      <c r="W158" s="510"/>
    </row>
    <row r="159" spans="1:23" ht="12" customHeight="1">
      <c r="A159" s="508" t="str">
        <f>IF(B159&lt;&gt;"",A158+1,"")</f>
        <v/>
      </c>
      <c r="B159" s="520"/>
      <c r="C159" s="509"/>
      <c r="D159" s="399">
        <f>ROUND(C159*O159,0)</f>
        <v>0</v>
      </c>
      <c r="E159" s="399"/>
      <c r="F159" s="399"/>
      <c r="G159" s="510">
        <f>(D159+E159)*F159</f>
        <v>0</v>
      </c>
      <c r="H159" s="399">
        <f>IF($D$163&lt;&gt;0,H$163/($D$163+$E$163/5)*($D159+$E159/5),0)</f>
        <v>0</v>
      </c>
      <c r="I159" s="399">
        <f t="shared" si="19"/>
        <v>0</v>
      </c>
      <c r="J159" s="399">
        <f t="shared" si="19"/>
        <v>0</v>
      </c>
      <c r="K159" s="399">
        <f t="shared" si="19"/>
        <v>0</v>
      </c>
      <c r="L159" s="399"/>
      <c r="M159" s="399">
        <v>25840000</v>
      </c>
      <c r="N159" s="510">
        <f>ROUND(SUM(G159:L159),0)</f>
        <v>0</v>
      </c>
      <c r="O159" s="516"/>
      <c r="P159" s="399">
        <f>IF(N159&lt;&gt;0,N159/O159,0)</f>
        <v>0</v>
      </c>
      <c r="Q159" s="529"/>
      <c r="R159" s="517"/>
      <c r="S159" s="576"/>
      <c r="T159" s="190"/>
      <c r="U159" s="518"/>
      <c r="V159" s="510">
        <f t="shared" si="20"/>
        <v>0</v>
      </c>
      <c r="W159" s="526"/>
    </row>
    <row r="160" spans="1:23" ht="12" customHeight="1">
      <c r="A160" s="508" t="str">
        <f>IF(B160&lt;&gt;"",A159+1,"")</f>
        <v/>
      </c>
      <c r="B160" s="520"/>
      <c r="C160" s="509"/>
      <c r="D160" s="399">
        <f>ROUND(C160*O160,0)</f>
        <v>0</v>
      </c>
      <c r="E160" s="399"/>
      <c r="F160" s="399"/>
      <c r="G160" s="510">
        <f>(D160+E160)*F160</f>
        <v>0</v>
      </c>
      <c r="H160" s="399">
        <f>IF($D$163&lt;&gt;0,H$163/($D$163+$E$163/5)*($D160+$E160/5),0)</f>
        <v>0</v>
      </c>
      <c r="I160" s="399">
        <f t="shared" si="19"/>
        <v>0</v>
      </c>
      <c r="J160" s="399">
        <f t="shared" si="19"/>
        <v>0</v>
      </c>
      <c r="K160" s="399">
        <f t="shared" si="19"/>
        <v>0</v>
      </c>
      <c r="L160" s="399"/>
      <c r="M160" s="399" t="e">
        <f>34560000/($O$68+#REF!+#REF!)*O160</f>
        <v>#REF!</v>
      </c>
      <c r="N160" s="510">
        <f>ROUND(SUM(G160:L160),0)</f>
        <v>0</v>
      </c>
      <c r="O160" s="516"/>
      <c r="P160" s="399">
        <f>IF(N160&lt;&gt;0,N160/O160,0)</f>
        <v>0</v>
      </c>
      <c r="Q160" s="529"/>
      <c r="R160" s="517"/>
      <c r="S160" s="576"/>
      <c r="T160" s="190"/>
      <c r="U160" s="518"/>
      <c r="V160" s="510">
        <f t="shared" si="20"/>
        <v>0</v>
      </c>
      <c r="W160" s="526"/>
    </row>
    <row r="161" spans="1:23" ht="12" customHeight="1">
      <c r="A161" s="508" t="str">
        <f>IF(B161&lt;&gt;"",A160+1,"")</f>
        <v/>
      </c>
      <c r="B161" s="520"/>
      <c r="C161" s="509"/>
      <c r="D161" s="399">
        <f>ROUND(C161*O161,0)</f>
        <v>0</v>
      </c>
      <c r="E161" s="399"/>
      <c r="F161" s="399"/>
      <c r="G161" s="510">
        <f>(D161+E161)*F161</f>
        <v>0</v>
      </c>
      <c r="H161" s="399">
        <f>IF($D$163&lt;&gt;0,H$163/($D$163+$E$163/5)*($D161+$E161/5),0)</f>
        <v>0</v>
      </c>
      <c r="I161" s="399">
        <f t="shared" si="19"/>
        <v>0</v>
      </c>
      <c r="J161" s="399">
        <f t="shared" si="19"/>
        <v>0</v>
      </c>
      <c r="K161" s="399">
        <f t="shared" si="19"/>
        <v>0</v>
      </c>
      <c r="L161" s="399"/>
      <c r="M161" s="399" t="e">
        <f>34560000/($O$68+#REF!+#REF!)*O161</f>
        <v>#REF!</v>
      </c>
      <c r="N161" s="510">
        <f>ROUND(SUM(G161:L161),0)</f>
        <v>0</v>
      </c>
      <c r="O161" s="516"/>
      <c r="P161" s="399">
        <f>IF(N161&lt;&gt;0,N161/O161,0)</f>
        <v>0</v>
      </c>
      <c r="Q161" s="529"/>
      <c r="R161" s="517"/>
      <c r="S161" s="576"/>
      <c r="T161" s="190"/>
      <c r="U161" s="518"/>
      <c r="V161" s="510">
        <f t="shared" si="20"/>
        <v>0</v>
      </c>
      <c r="W161" s="526"/>
    </row>
    <row r="162" spans="1:23" ht="12" customHeight="1">
      <c r="A162" s="508" t="str">
        <f>IF(B162&lt;&gt;"",#REF!+1,"")</f>
        <v/>
      </c>
      <c r="B162" s="521"/>
      <c r="C162" s="509"/>
      <c r="D162" s="524"/>
      <c r="E162" s="524"/>
      <c r="F162" s="524"/>
      <c r="G162" s="525"/>
      <c r="H162" s="570"/>
      <c r="I162" s="524"/>
      <c r="J162" s="526"/>
      <c r="K162" s="524"/>
      <c r="L162" s="527"/>
      <c r="M162" s="524"/>
      <c r="N162" s="558"/>
      <c r="O162" s="528"/>
      <c r="P162" s="524"/>
      <c r="Q162" s="529"/>
      <c r="R162" s="517"/>
      <c r="S162" s="576"/>
      <c r="T162" s="190"/>
      <c r="U162" s="190"/>
      <c r="V162" s="510">
        <f t="shared" si="20"/>
        <v>0</v>
      </c>
      <c r="W162" s="526"/>
    </row>
    <row r="163" spans="1:23" ht="12" customHeight="1">
      <c r="A163" s="531"/>
      <c r="B163" s="532" t="s">
        <v>322</v>
      </c>
      <c r="C163" s="533"/>
      <c r="D163" s="534">
        <f>SUM(D158:D161)</f>
        <v>0</v>
      </c>
      <c r="E163" s="534">
        <f>SUM(E158:E161)</f>
        <v>0</v>
      </c>
      <c r="F163" s="534"/>
      <c r="G163" s="534">
        <f>SUM(G158:G161)</f>
        <v>0</v>
      </c>
      <c r="H163" s="535"/>
      <c r="I163" s="535">
        <f>V170</f>
        <v>0</v>
      </c>
      <c r="J163" s="535"/>
      <c r="K163" s="535">
        <v>57138842</v>
      </c>
      <c r="L163" s="534">
        <f>ROUND(SUM(L158:L162),0)</f>
        <v>0</v>
      </c>
      <c r="M163" s="534" t="e">
        <f>ROUND(SUM(M158:M162),0)</f>
        <v>#REF!</v>
      </c>
      <c r="N163" s="534">
        <f>ROUND(SUM(N158:N162),0)</f>
        <v>0</v>
      </c>
      <c r="O163" s="534">
        <f>ROUND(SUM(O158:O162),0)</f>
        <v>0</v>
      </c>
      <c r="P163" s="534"/>
      <c r="Q163" s="529"/>
      <c r="R163" s="517"/>
      <c r="S163" s="576"/>
      <c r="T163" s="190"/>
      <c r="U163" s="518"/>
      <c r="V163" s="510">
        <f t="shared" si="20"/>
        <v>0</v>
      </c>
      <c r="W163" s="526"/>
    </row>
    <row r="164" spans="1:23" ht="12" customHeight="1">
      <c r="Q164" s="529"/>
      <c r="R164" s="517"/>
      <c r="S164" s="576"/>
      <c r="T164" s="190"/>
      <c r="U164" s="540"/>
      <c r="V164" s="510">
        <f t="shared" si="20"/>
        <v>0</v>
      </c>
      <c r="W164" s="526"/>
    </row>
    <row r="165" spans="1:23" ht="12" customHeight="1">
      <c r="Q165" s="529"/>
      <c r="R165" s="517"/>
      <c r="S165" s="513"/>
      <c r="T165" s="540"/>
      <c r="U165" s="518"/>
      <c r="V165" s="510">
        <f t="shared" si="20"/>
        <v>0</v>
      </c>
      <c r="W165" s="526"/>
    </row>
    <row r="166" spans="1:23" ht="12" customHeight="1">
      <c r="Q166" s="529"/>
      <c r="R166" s="579"/>
      <c r="S166" s="513"/>
      <c r="T166" s="540"/>
      <c r="U166" s="518"/>
      <c r="V166" s="510">
        <f t="shared" si="20"/>
        <v>0</v>
      </c>
      <c r="W166" s="526"/>
    </row>
    <row r="167" spans="1:23" ht="12" customHeight="1">
      <c r="Q167" s="529"/>
      <c r="R167" s="517"/>
      <c r="S167" s="513"/>
      <c r="T167" s="190"/>
      <c r="U167" s="190"/>
      <c r="V167" s="510">
        <f t="shared" si="20"/>
        <v>0</v>
      </c>
      <c r="W167" s="526"/>
    </row>
    <row r="168" spans="1:23" ht="12" customHeight="1">
      <c r="Q168" s="529"/>
      <c r="R168" s="329"/>
      <c r="S168" s="513"/>
      <c r="T168" s="190"/>
      <c r="U168" s="190"/>
      <c r="V168" s="510">
        <f t="shared" si="20"/>
        <v>0</v>
      </c>
      <c r="W168" s="526"/>
    </row>
    <row r="169" spans="1:23" s="530" customFormat="1" ht="12" customHeight="1">
      <c r="A169" s="481"/>
      <c r="B169" s="481"/>
      <c r="C169" s="481"/>
      <c r="D169" s="481"/>
      <c r="E169" s="481"/>
      <c r="F169" s="481"/>
      <c r="G169" s="481"/>
      <c r="H169" s="481"/>
      <c r="I169" s="481"/>
      <c r="J169" s="481"/>
      <c r="K169" s="481"/>
      <c r="L169" s="481"/>
      <c r="M169" s="481"/>
      <c r="N169" s="481"/>
      <c r="O169" s="481"/>
      <c r="P169" s="481"/>
      <c r="Q169" s="529"/>
      <c r="R169" s="517"/>
      <c r="S169" s="513"/>
      <c r="T169" s="190"/>
      <c r="U169" s="190"/>
      <c r="V169" s="510"/>
      <c r="W169" s="526"/>
    </row>
    <row r="170" spans="1:23" s="485" customFormat="1" ht="12" customHeight="1">
      <c r="A170" s="481"/>
      <c r="B170" s="481"/>
      <c r="C170" s="481"/>
      <c r="D170" s="481"/>
      <c r="E170" s="481"/>
      <c r="F170" s="481"/>
      <c r="G170" s="481"/>
      <c r="H170" s="481"/>
      <c r="I170" s="481"/>
      <c r="J170" s="481"/>
      <c r="K170" s="481"/>
      <c r="L170" s="481"/>
      <c r="M170" s="481"/>
      <c r="N170" s="481"/>
      <c r="O170" s="481"/>
      <c r="P170" s="481"/>
      <c r="Q170" s="529"/>
      <c r="R170" s="563"/>
      <c r="S170" s="564"/>
      <c r="T170" s="565"/>
      <c r="U170" s="581"/>
      <c r="V170" s="544">
        <f>SUM(V158:V169)</f>
        <v>0</v>
      </c>
      <c r="W170" s="544">
        <f>SUM(W158:W169)</f>
        <v>0</v>
      </c>
    </row>
    <row r="171" spans="1:23" ht="12" customHeight="1">
      <c r="R171" s="517"/>
      <c r="S171" s="576"/>
      <c r="T171" s="518"/>
      <c r="U171" s="518"/>
      <c r="V171" s="510">
        <f t="shared" ref="V171:V178" si="21">ROUND(T171*U171,0)</f>
        <v>0</v>
      </c>
      <c r="W171" s="526"/>
    </row>
    <row r="172" spans="1:23" ht="12" customHeight="1">
      <c r="R172" s="566"/>
      <c r="S172" s="576"/>
      <c r="T172" s="190"/>
      <c r="U172" s="190"/>
      <c r="V172" s="510">
        <f t="shared" si="21"/>
        <v>0</v>
      </c>
      <c r="W172" s="510"/>
    </row>
    <row r="173" spans="1:23" ht="12" customHeight="1">
      <c r="R173" s="517"/>
      <c r="S173" s="513"/>
      <c r="T173" s="518"/>
      <c r="U173" s="518"/>
      <c r="V173" s="510">
        <f t="shared" si="21"/>
        <v>0</v>
      </c>
      <c r="W173" s="526"/>
    </row>
    <row r="174" spans="1:23" ht="12" customHeight="1">
      <c r="R174" s="517"/>
      <c r="S174" s="513"/>
      <c r="T174" s="518"/>
      <c r="U174" s="518"/>
      <c r="V174" s="510">
        <f t="shared" si="21"/>
        <v>0</v>
      </c>
      <c r="W174" s="526"/>
    </row>
    <row r="175" spans="1:23" ht="12" customHeight="1">
      <c r="R175" s="540"/>
      <c r="S175" s="513"/>
      <c r="T175" s="518"/>
      <c r="U175" s="518"/>
      <c r="V175" s="510">
        <f t="shared" si="21"/>
        <v>0</v>
      </c>
      <c r="W175" s="526"/>
    </row>
    <row r="176" spans="1:23" ht="12" customHeight="1">
      <c r="R176" s="540"/>
      <c r="S176" s="513"/>
      <c r="T176" s="518"/>
      <c r="U176" s="518"/>
      <c r="V176" s="510">
        <f t="shared" si="21"/>
        <v>0</v>
      </c>
      <c r="W176" s="526"/>
    </row>
    <row r="177" spans="1:23" ht="12" customHeight="1">
      <c r="R177" s="540"/>
      <c r="S177" s="513"/>
      <c r="T177" s="518"/>
      <c r="U177" s="518"/>
      <c r="V177" s="510">
        <f t="shared" si="21"/>
        <v>0</v>
      </c>
      <c r="W177" s="526"/>
    </row>
    <row r="178" spans="1:23" ht="12" customHeight="1">
      <c r="R178" s="540"/>
      <c r="S178" s="513"/>
      <c r="T178" s="518"/>
      <c r="U178" s="518"/>
      <c r="V178" s="510">
        <f t="shared" si="21"/>
        <v>0</v>
      </c>
      <c r="W178" s="526"/>
    </row>
    <row r="179" spans="1:23">
      <c r="R179" s="484"/>
      <c r="S179" s="491"/>
    </row>
    <row r="180" spans="1:23" ht="20.25" customHeight="1">
      <c r="A180" s="485" t="s">
        <v>305</v>
      </c>
      <c r="B180" s="485"/>
      <c r="C180" s="486"/>
      <c r="D180" s="487"/>
      <c r="E180" s="487"/>
      <c r="F180" s="487"/>
      <c r="G180" s="484"/>
      <c r="H180" s="484"/>
      <c r="I180" s="484"/>
      <c r="J180" s="484"/>
      <c r="K180" s="484"/>
      <c r="L180" s="488"/>
      <c r="M180" s="484"/>
      <c r="N180" s="484"/>
      <c r="O180" s="489"/>
      <c r="P180" s="484"/>
      <c r="R180" s="484"/>
      <c r="S180" s="491"/>
    </row>
    <row r="181" spans="1:23" ht="20.25" customHeight="1">
      <c r="A181" s="492" t="s">
        <v>330</v>
      </c>
      <c r="B181" s="492"/>
      <c r="C181" s="492"/>
      <c r="D181" s="492"/>
      <c r="E181" s="492"/>
      <c r="F181" s="492"/>
      <c r="G181" s="492"/>
      <c r="H181" s="492"/>
      <c r="I181" s="492"/>
      <c r="J181" s="492"/>
      <c r="K181" s="492"/>
      <c r="L181" s="492"/>
      <c r="M181" s="492"/>
      <c r="N181" s="492"/>
      <c r="O181" s="492"/>
      <c r="P181" s="492"/>
      <c r="Q181" s="490"/>
      <c r="R181" s="484"/>
      <c r="S181" s="491"/>
    </row>
    <row r="182" spans="1:23" ht="12" customHeight="1">
      <c r="A182" s="493"/>
      <c r="B182" s="493"/>
      <c r="C182" s="494"/>
      <c r="D182" s="493"/>
      <c r="E182" s="493"/>
      <c r="F182" s="493"/>
      <c r="G182" s="493"/>
      <c r="H182" s="493"/>
      <c r="I182" s="493"/>
      <c r="J182" s="493"/>
      <c r="K182" s="493"/>
      <c r="L182" s="492"/>
      <c r="M182" s="493"/>
      <c r="N182" s="493"/>
      <c r="O182" s="495"/>
      <c r="P182" s="493"/>
      <c r="Q182" s="490"/>
      <c r="R182" s="484"/>
      <c r="S182" s="491"/>
    </row>
    <row r="183" spans="1:23" ht="12" customHeight="1">
      <c r="A183" s="496"/>
      <c r="B183" s="496"/>
      <c r="C183" s="497"/>
      <c r="D183" s="496"/>
      <c r="E183" s="496"/>
      <c r="F183" s="496"/>
      <c r="G183" s="496"/>
      <c r="H183" s="496"/>
      <c r="I183" s="496"/>
      <c r="J183" s="496"/>
      <c r="K183" s="496"/>
      <c r="L183" s="496"/>
      <c r="M183" s="496"/>
      <c r="N183" s="496"/>
      <c r="O183" s="498"/>
      <c r="P183" s="496"/>
      <c r="Q183" s="490"/>
      <c r="R183" s="484"/>
      <c r="S183" s="491"/>
    </row>
    <row r="184" spans="1:23" ht="36.75" customHeight="1">
      <c r="A184" s="501" t="s">
        <v>35</v>
      </c>
      <c r="B184" s="501" t="s">
        <v>307</v>
      </c>
      <c r="C184" s="502" t="s">
        <v>308</v>
      </c>
      <c r="D184" s="503" t="s">
        <v>309</v>
      </c>
      <c r="E184" s="503" t="s">
        <v>310</v>
      </c>
      <c r="F184" s="503" t="s">
        <v>311</v>
      </c>
      <c r="G184" s="503" t="s">
        <v>312</v>
      </c>
      <c r="H184" s="503" t="s">
        <v>313</v>
      </c>
      <c r="I184" s="503" t="s">
        <v>314</v>
      </c>
      <c r="J184" s="503" t="s">
        <v>315</v>
      </c>
      <c r="K184" s="504" t="s">
        <v>316</v>
      </c>
      <c r="L184" s="503" t="s">
        <v>317</v>
      </c>
      <c r="M184" s="504" t="s">
        <v>318</v>
      </c>
      <c r="N184" s="503" t="s">
        <v>319</v>
      </c>
      <c r="O184" s="505" t="s">
        <v>310</v>
      </c>
      <c r="P184" s="503" t="s">
        <v>320</v>
      </c>
      <c r="Q184" s="490"/>
      <c r="R184" s="501" t="s">
        <v>307</v>
      </c>
      <c r="S184" s="503" t="s">
        <v>299</v>
      </c>
      <c r="T184" s="503" t="s">
        <v>244</v>
      </c>
      <c r="U184" s="503" t="s">
        <v>311</v>
      </c>
      <c r="V184" s="503" t="s">
        <v>321</v>
      </c>
      <c r="W184" s="501" t="s">
        <v>321</v>
      </c>
    </row>
    <row r="185" spans="1:23" s="507" customFormat="1" ht="13.5" customHeight="1">
      <c r="A185" s="508" t="str">
        <f>IF(B185&lt;&gt;"",ROW()-(ROW()-1),"")</f>
        <v/>
      </c>
      <c r="B185" s="520"/>
      <c r="C185" s="509"/>
      <c r="D185" s="399">
        <f>ROUND(C185*O185,0)</f>
        <v>0</v>
      </c>
      <c r="E185" s="399"/>
      <c r="F185" s="399"/>
      <c r="G185" s="510">
        <f>(D185+E185)*F185</f>
        <v>0</v>
      </c>
      <c r="H185" s="399">
        <f>IF($E$191&lt;&gt;0,H$191/($D$191+$E$191/5)*($D185+$E185/5),0)</f>
        <v>0</v>
      </c>
      <c r="I185" s="399">
        <f t="shared" ref="I185:K189" si="22">IF($D$191&lt;&gt;0,I$191/$D$191*$D185,0)</f>
        <v>0</v>
      </c>
      <c r="J185" s="399">
        <f t="shared" si="22"/>
        <v>0</v>
      </c>
      <c r="K185" s="399">
        <f t="shared" si="22"/>
        <v>0</v>
      </c>
      <c r="L185" s="510"/>
      <c r="M185" s="399" t="e">
        <f>34560000/($O$68+#REF!+#REF!)*O185</f>
        <v>#REF!</v>
      </c>
      <c r="N185" s="510">
        <f>ROUND(SUM(G185:L185),0)</f>
        <v>0</v>
      </c>
      <c r="O185" s="399"/>
      <c r="P185" s="399">
        <f>IF(N185&lt;&gt;0,N185/O185,0)</f>
        <v>0</v>
      </c>
      <c r="Q185" s="506"/>
      <c r="R185" s="512"/>
      <c r="S185" s="576"/>
      <c r="T185" s="190"/>
      <c r="U185" s="190"/>
      <c r="V185" s="510">
        <f t="shared" ref="V185:V194" si="23">ROUND(T185*U185,0)</f>
        <v>0</v>
      </c>
      <c r="W185" s="510"/>
    </row>
    <row r="186" spans="1:23" ht="13.5" customHeight="1">
      <c r="A186" s="508" t="str">
        <f>IF(B186&lt;&gt;"",A185+1,"")</f>
        <v/>
      </c>
      <c r="B186" s="520"/>
      <c r="C186" s="509"/>
      <c r="D186" s="399">
        <f>ROUND(C186*O186,0)</f>
        <v>0</v>
      </c>
      <c r="E186" s="399"/>
      <c r="F186" s="399"/>
      <c r="G186" s="510">
        <f>(D186+E186)*F186</f>
        <v>0</v>
      </c>
      <c r="H186" s="399">
        <f>IF($E$191&lt;&gt;0,H$191/($D$191+$E$191/5)*($D186+$E186/5),0)</f>
        <v>0</v>
      </c>
      <c r="I186" s="399">
        <f t="shared" si="22"/>
        <v>0</v>
      </c>
      <c r="J186" s="399">
        <f t="shared" si="22"/>
        <v>0</v>
      </c>
      <c r="K186" s="399">
        <f t="shared" si="22"/>
        <v>0</v>
      </c>
      <c r="L186" s="510"/>
      <c r="M186" s="399"/>
      <c r="N186" s="510">
        <f>ROUND(SUM(G186:L186),0)</f>
        <v>0</v>
      </c>
      <c r="O186" s="399"/>
      <c r="P186" s="399">
        <f>IF(N186&lt;&gt;0,N186/O186,0)</f>
        <v>0</v>
      </c>
      <c r="Q186" s="529"/>
      <c r="R186" s="517"/>
      <c r="S186" s="576"/>
      <c r="T186" s="190"/>
      <c r="U186" s="190"/>
      <c r="V186" s="510">
        <f t="shared" si="23"/>
        <v>0</v>
      </c>
      <c r="W186" s="526"/>
    </row>
    <row r="187" spans="1:23" ht="13.5" customHeight="1">
      <c r="A187" s="508" t="str">
        <f>IF(B187&lt;&gt;"",A186+1,"")</f>
        <v/>
      </c>
      <c r="B187" s="520"/>
      <c r="C187" s="509"/>
      <c r="D187" s="399">
        <f>ROUND(C187*O187,0)</f>
        <v>0</v>
      </c>
      <c r="E187" s="399"/>
      <c r="F187" s="399"/>
      <c r="G187" s="510">
        <f>(D187+E187)*F187</f>
        <v>0</v>
      </c>
      <c r="H187" s="399">
        <f>IF($E$191&lt;&gt;0,H$191/($D$191+$E$191/5)*($D187+$E187/5),0)</f>
        <v>0</v>
      </c>
      <c r="I187" s="399">
        <f t="shared" si="22"/>
        <v>0</v>
      </c>
      <c r="J187" s="399">
        <f t="shared" si="22"/>
        <v>0</v>
      </c>
      <c r="K187" s="399">
        <f t="shared" si="22"/>
        <v>0</v>
      </c>
      <c r="L187" s="510"/>
      <c r="M187" s="399"/>
      <c r="N187" s="510">
        <f>ROUND(SUM(G187:L187),0)</f>
        <v>0</v>
      </c>
      <c r="O187" s="516"/>
      <c r="P187" s="399">
        <f>IF(N187&lt;&gt;0,N187/O187,0)</f>
        <v>0</v>
      </c>
      <c r="Q187" s="529"/>
      <c r="R187" s="517"/>
      <c r="S187" s="576"/>
      <c r="T187" s="190"/>
      <c r="U187" s="190"/>
      <c r="V187" s="510">
        <f t="shared" si="23"/>
        <v>0</v>
      </c>
      <c r="W187" s="526"/>
    </row>
    <row r="188" spans="1:23">
      <c r="A188" s="508" t="str">
        <f>IF(B188&lt;&gt;"",A187+1,"")</f>
        <v/>
      </c>
      <c r="B188" s="520"/>
      <c r="C188" s="509"/>
      <c r="D188" s="399">
        <f>ROUND(C188*O188,0)</f>
        <v>0</v>
      </c>
      <c r="E188" s="399"/>
      <c r="F188" s="399"/>
      <c r="G188" s="510">
        <f>(D188+E188)*F188</f>
        <v>0</v>
      </c>
      <c r="H188" s="399">
        <f>IF($E$191&lt;&gt;0,H$191/($D$191+$E$191/5)*($D188+$E188/5),0)</f>
        <v>0</v>
      </c>
      <c r="I188" s="399">
        <f t="shared" si="22"/>
        <v>0</v>
      </c>
      <c r="J188" s="399">
        <f t="shared" si="22"/>
        <v>0</v>
      </c>
      <c r="K188" s="399">
        <f t="shared" si="22"/>
        <v>0</v>
      </c>
      <c r="L188" s="510"/>
      <c r="M188" s="399"/>
      <c r="N188" s="510">
        <f>ROUND(SUM(G188:L188),0)</f>
        <v>0</v>
      </c>
      <c r="O188" s="516"/>
      <c r="P188" s="399">
        <f>IF(N188&lt;&gt;0,N188/O188,0)</f>
        <v>0</v>
      </c>
      <c r="Q188" s="529"/>
      <c r="R188" s="517"/>
      <c r="S188" s="576"/>
      <c r="T188" s="190"/>
      <c r="U188" s="190"/>
      <c r="V188" s="510">
        <f t="shared" si="23"/>
        <v>0</v>
      </c>
      <c r="W188" s="526"/>
    </row>
    <row r="189" spans="1:23">
      <c r="A189" s="508" t="str">
        <f>IF(B189&lt;&gt;"",A188+1,"")</f>
        <v/>
      </c>
      <c r="B189" s="520"/>
      <c r="C189" s="509"/>
      <c r="D189" s="399">
        <f>ROUND(C189*O189,0)</f>
        <v>0</v>
      </c>
      <c r="E189" s="399"/>
      <c r="F189" s="399"/>
      <c r="G189" s="510">
        <f>(D189+E189)*F189</f>
        <v>0</v>
      </c>
      <c r="H189" s="399">
        <f>IF($E$191&lt;&gt;0,H$191/($D$191+$E$191/5)*($D189+$E189/5),0)</f>
        <v>0</v>
      </c>
      <c r="I189" s="399">
        <f t="shared" si="22"/>
        <v>0</v>
      </c>
      <c r="J189" s="399">
        <f t="shared" si="22"/>
        <v>0</v>
      </c>
      <c r="K189" s="399">
        <f t="shared" si="22"/>
        <v>0</v>
      </c>
      <c r="L189" s="399"/>
      <c r="M189" s="399"/>
      <c r="N189" s="510">
        <f>ROUND(SUM(G189:L189),0)</f>
        <v>0</v>
      </c>
      <c r="O189" s="516"/>
      <c r="P189" s="399">
        <f>IF(N189&lt;&gt;0,N189/O189,0)</f>
        <v>0</v>
      </c>
      <c r="Q189" s="529"/>
      <c r="R189" s="517"/>
      <c r="S189" s="576"/>
      <c r="T189" s="190"/>
      <c r="U189" s="190"/>
      <c r="V189" s="510">
        <f t="shared" si="23"/>
        <v>0</v>
      </c>
      <c r="W189" s="526"/>
    </row>
    <row r="190" spans="1:23">
      <c r="A190" s="508" t="str">
        <f>IF(B190&lt;&gt;"",#REF!+1,"")</f>
        <v/>
      </c>
      <c r="B190" s="521"/>
      <c r="C190" s="522"/>
      <c r="D190" s="524"/>
      <c r="E190" s="524"/>
      <c r="F190" s="524"/>
      <c r="G190" s="525"/>
      <c r="H190" s="570"/>
      <c r="I190" s="524"/>
      <c r="J190" s="526"/>
      <c r="K190" s="524"/>
      <c r="L190" s="527"/>
      <c r="M190" s="524"/>
      <c r="N190" s="558"/>
      <c r="O190" s="528"/>
      <c r="P190" s="524"/>
      <c r="Q190" s="529"/>
      <c r="R190" s="517"/>
      <c r="S190" s="576"/>
      <c r="T190" s="190"/>
      <c r="U190" s="190"/>
      <c r="V190" s="510">
        <f t="shared" si="23"/>
        <v>0</v>
      </c>
      <c r="W190" s="526"/>
    </row>
    <row r="191" spans="1:23">
      <c r="A191" s="531"/>
      <c r="B191" s="532" t="s">
        <v>322</v>
      </c>
      <c r="C191" s="533"/>
      <c r="D191" s="534">
        <f>SUM(D185:D189)</f>
        <v>0</v>
      </c>
      <c r="E191" s="534">
        <f>SUM(E185:E189)</f>
        <v>0</v>
      </c>
      <c r="F191" s="534"/>
      <c r="G191" s="534">
        <f>SUM(G185:G189)</f>
        <v>0</v>
      </c>
      <c r="H191" s="535"/>
      <c r="I191" s="535">
        <f>V196</f>
        <v>0</v>
      </c>
      <c r="J191" s="535"/>
      <c r="K191" s="535">
        <v>57138842</v>
      </c>
      <c r="L191" s="534">
        <f>ROUND(SUM(L185:L190),0)</f>
        <v>0</v>
      </c>
      <c r="M191" s="534" t="e">
        <f>ROUND(SUM(M185:M190),0)</f>
        <v>#REF!</v>
      </c>
      <c r="N191" s="534">
        <f>ROUND(SUM(N185:N190),0)</f>
        <v>0</v>
      </c>
      <c r="O191" s="534">
        <f>ROUND(SUM(O185:O190),0)</f>
        <v>0</v>
      </c>
      <c r="P191" s="534"/>
      <c r="Q191" s="529"/>
      <c r="R191" s="517"/>
      <c r="S191" s="576"/>
      <c r="T191" s="190"/>
      <c r="U191" s="190"/>
      <c r="V191" s="510">
        <f t="shared" si="23"/>
        <v>0</v>
      </c>
      <c r="W191" s="526"/>
    </row>
    <row r="192" spans="1:23">
      <c r="Q192" s="529"/>
      <c r="R192" s="517"/>
      <c r="S192" s="576"/>
      <c r="T192" s="540"/>
      <c r="U192" s="518"/>
      <c r="V192" s="510">
        <f t="shared" si="23"/>
        <v>0</v>
      </c>
      <c r="W192" s="526"/>
    </row>
    <row r="193" spans="1:23">
      <c r="Q193" s="529"/>
      <c r="R193" s="579"/>
      <c r="S193" s="576"/>
      <c r="T193" s="540"/>
      <c r="U193" s="518"/>
      <c r="V193" s="510">
        <f t="shared" si="23"/>
        <v>0</v>
      </c>
      <c r="W193" s="526"/>
    </row>
    <row r="194" spans="1:23">
      <c r="Q194" s="529"/>
      <c r="R194" s="329"/>
      <c r="S194" s="576"/>
      <c r="T194" s="190"/>
      <c r="U194" s="190"/>
      <c r="V194" s="510">
        <f t="shared" si="23"/>
        <v>0</v>
      </c>
      <c r="W194" s="526"/>
    </row>
    <row r="195" spans="1:23" s="530" customFormat="1">
      <c r="A195" s="481"/>
      <c r="B195" s="481"/>
      <c r="C195" s="481"/>
      <c r="D195" s="481"/>
      <c r="E195" s="481"/>
      <c r="F195" s="481"/>
      <c r="G195" s="481"/>
      <c r="H195" s="481"/>
      <c r="I195" s="481"/>
      <c r="J195" s="481"/>
      <c r="K195" s="481"/>
      <c r="L195" s="481"/>
      <c r="M195" s="481"/>
      <c r="N195" s="481"/>
      <c r="O195" s="481"/>
      <c r="P195" s="481"/>
      <c r="Q195" s="529"/>
      <c r="R195" s="517"/>
      <c r="S195" s="513"/>
      <c r="T195" s="190"/>
      <c r="U195" s="190"/>
      <c r="V195" s="510"/>
      <c r="W195" s="526"/>
    </row>
    <row r="196" spans="1:23" s="485" customFormat="1">
      <c r="A196" s="481"/>
      <c r="B196" s="481"/>
      <c r="C196" s="481"/>
      <c r="D196" s="481"/>
      <c r="E196" s="481"/>
      <c r="F196" s="481"/>
      <c r="G196" s="481"/>
      <c r="H196" s="481"/>
      <c r="I196" s="481"/>
      <c r="J196" s="481"/>
      <c r="K196" s="481"/>
      <c r="L196" s="481"/>
      <c r="M196" s="481"/>
      <c r="N196" s="481"/>
      <c r="O196" s="481"/>
      <c r="P196" s="481"/>
      <c r="Q196" s="529"/>
      <c r="R196" s="563"/>
      <c r="S196" s="564"/>
      <c r="T196" s="565"/>
      <c r="U196" s="581"/>
      <c r="V196" s="544">
        <f>SUM(V185:V195)</f>
        <v>0</v>
      </c>
      <c r="W196" s="544">
        <f>SUM(W185:W195)</f>
        <v>0</v>
      </c>
    </row>
    <row r="197" spans="1:23">
      <c r="R197" s="566"/>
      <c r="S197" s="576"/>
      <c r="T197" s="190"/>
      <c r="U197" s="190"/>
      <c r="V197" s="510">
        <f t="shared" ref="V197:V204" si="24">ROUND(T197*U197,0)</f>
        <v>0</v>
      </c>
      <c r="W197" s="510"/>
    </row>
    <row r="198" spans="1:23">
      <c r="R198" s="566"/>
      <c r="S198" s="576"/>
      <c r="T198" s="518"/>
      <c r="U198" s="518"/>
      <c r="V198" s="510">
        <f t="shared" si="24"/>
        <v>0</v>
      </c>
      <c r="W198" s="526"/>
    </row>
    <row r="199" spans="1:23">
      <c r="R199" s="517"/>
      <c r="S199" s="576"/>
      <c r="T199" s="518"/>
      <c r="U199" s="518"/>
      <c r="V199" s="510">
        <f t="shared" si="24"/>
        <v>0</v>
      </c>
      <c r="W199" s="526"/>
    </row>
    <row r="200" spans="1:23">
      <c r="R200" s="540"/>
      <c r="S200" s="576"/>
      <c r="T200" s="518"/>
      <c r="U200" s="518"/>
      <c r="V200" s="510">
        <f t="shared" si="24"/>
        <v>0</v>
      </c>
      <c r="W200" s="526"/>
    </row>
    <row r="201" spans="1:23">
      <c r="R201" s="517"/>
      <c r="S201" s="513"/>
      <c r="T201" s="518"/>
      <c r="U201" s="518"/>
      <c r="V201" s="510">
        <f t="shared" si="24"/>
        <v>0</v>
      </c>
      <c r="W201" s="526"/>
    </row>
    <row r="202" spans="1:23">
      <c r="R202" s="517"/>
      <c r="S202" s="513"/>
      <c r="T202" s="518"/>
      <c r="U202" s="518"/>
      <c r="V202" s="510">
        <f t="shared" si="24"/>
        <v>0</v>
      </c>
      <c r="W202" s="526"/>
    </row>
    <row r="203" spans="1:23">
      <c r="R203" s="540"/>
      <c r="S203" s="513"/>
      <c r="T203" s="518"/>
      <c r="U203" s="518"/>
      <c r="V203" s="510">
        <f t="shared" si="24"/>
        <v>0</v>
      </c>
      <c r="W203" s="526"/>
    </row>
    <row r="204" spans="1:23">
      <c r="R204" s="540"/>
      <c r="S204" s="513"/>
      <c r="T204" s="518"/>
      <c r="U204" s="518"/>
      <c r="V204" s="510">
        <f t="shared" si="24"/>
        <v>0</v>
      </c>
      <c r="W204" s="526"/>
    </row>
    <row r="205" spans="1:23">
      <c r="A205" s="493"/>
      <c r="B205" s="493"/>
      <c r="C205" s="494"/>
      <c r="D205" s="493"/>
      <c r="E205" s="493"/>
      <c r="F205" s="493"/>
      <c r="G205" s="493"/>
      <c r="H205" s="493"/>
      <c r="I205" s="493"/>
      <c r="J205" s="493"/>
      <c r="K205" s="493"/>
      <c r="L205" s="492"/>
      <c r="M205" s="493"/>
      <c r="N205" s="493"/>
      <c r="O205" s="495"/>
      <c r="P205" s="493"/>
      <c r="R205" s="484"/>
      <c r="S205" s="491"/>
    </row>
    <row r="206" spans="1:23" ht="18.75" customHeight="1">
      <c r="A206" s="500"/>
      <c r="B206" s="500"/>
      <c r="C206" s="584"/>
      <c r="D206" s="500"/>
      <c r="E206" s="500"/>
      <c r="F206" s="500"/>
      <c r="G206" s="500"/>
      <c r="H206" s="500"/>
      <c r="I206" s="500"/>
      <c r="J206" s="500"/>
      <c r="K206" s="500"/>
      <c r="L206" s="500"/>
      <c r="M206" s="500"/>
      <c r="N206" s="500"/>
      <c r="O206" s="552"/>
      <c r="P206" s="500"/>
      <c r="Q206" s="490"/>
      <c r="R206" s="484"/>
      <c r="S206" s="491"/>
    </row>
    <row r="207" spans="1:23" ht="20.25" customHeight="1">
      <c r="A207" s="485" t="s">
        <v>305</v>
      </c>
      <c r="B207" s="485"/>
      <c r="C207" s="486"/>
      <c r="D207" s="487"/>
      <c r="E207" s="487"/>
      <c r="F207" s="487"/>
      <c r="G207" s="484"/>
      <c r="H207" s="484"/>
      <c r="I207" s="484"/>
      <c r="J207" s="484"/>
      <c r="K207" s="484"/>
      <c r="L207" s="488"/>
      <c r="M207" s="484"/>
      <c r="N207" s="484"/>
      <c r="O207" s="489"/>
      <c r="P207" s="484"/>
      <c r="Q207" s="490"/>
      <c r="R207" s="484"/>
      <c r="S207" s="491"/>
    </row>
    <row r="208" spans="1:23" ht="20.25" customHeight="1">
      <c r="A208" s="492" t="s">
        <v>331</v>
      </c>
      <c r="B208" s="492"/>
      <c r="C208" s="492"/>
      <c r="D208" s="492"/>
      <c r="E208" s="492"/>
      <c r="F208" s="492"/>
      <c r="G208" s="492"/>
      <c r="H208" s="492"/>
      <c r="I208" s="492"/>
      <c r="J208" s="492"/>
      <c r="K208" s="492"/>
      <c r="L208" s="492"/>
      <c r="M208" s="492"/>
      <c r="N208" s="492"/>
      <c r="O208" s="492"/>
      <c r="P208" s="492"/>
      <c r="Q208" s="490"/>
      <c r="R208" s="484"/>
      <c r="S208" s="491"/>
    </row>
    <row r="209" spans="1:23" ht="12" customHeight="1">
      <c r="A209" s="493"/>
      <c r="B209" s="493"/>
      <c r="C209" s="494"/>
      <c r="D209" s="493"/>
      <c r="E209" s="493"/>
      <c r="F209" s="493"/>
      <c r="G209" s="493"/>
      <c r="H209" s="493"/>
      <c r="I209" s="493"/>
      <c r="J209" s="493"/>
      <c r="K209" s="493"/>
      <c r="L209" s="492"/>
      <c r="M209" s="493"/>
      <c r="N209" s="493"/>
      <c r="O209" s="495"/>
      <c r="P209" s="493"/>
      <c r="Q209" s="490"/>
      <c r="R209" s="484"/>
      <c r="S209" s="491"/>
    </row>
    <row r="210" spans="1:23" ht="12" customHeight="1">
      <c r="A210" s="496"/>
      <c r="B210" s="496"/>
      <c r="C210" s="497"/>
      <c r="D210" s="496"/>
      <c r="E210" s="496"/>
      <c r="F210" s="496"/>
      <c r="G210" s="496"/>
      <c r="H210" s="496"/>
      <c r="I210" s="496"/>
      <c r="J210" s="496"/>
      <c r="K210" s="496"/>
      <c r="L210" s="496"/>
      <c r="M210" s="496"/>
      <c r="N210" s="496"/>
      <c r="O210" s="498"/>
      <c r="P210" s="496"/>
      <c r="Q210" s="490"/>
      <c r="R210" s="484"/>
      <c r="S210" s="491"/>
    </row>
    <row r="211" spans="1:23" ht="36.75" customHeight="1">
      <c r="A211" s="501" t="s">
        <v>35</v>
      </c>
      <c r="B211" s="501" t="s">
        <v>307</v>
      </c>
      <c r="C211" s="502" t="s">
        <v>308</v>
      </c>
      <c r="D211" s="503" t="s">
        <v>309</v>
      </c>
      <c r="E211" s="503" t="s">
        <v>310</v>
      </c>
      <c r="F211" s="503" t="s">
        <v>311</v>
      </c>
      <c r="G211" s="503" t="s">
        <v>312</v>
      </c>
      <c r="H211" s="503" t="s">
        <v>313</v>
      </c>
      <c r="I211" s="503" t="s">
        <v>314</v>
      </c>
      <c r="J211" s="503" t="s">
        <v>315</v>
      </c>
      <c r="K211" s="504" t="s">
        <v>316</v>
      </c>
      <c r="L211" s="503" t="s">
        <v>317</v>
      </c>
      <c r="M211" s="504" t="s">
        <v>318</v>
      </c>
      <c r="N211" s="503" t="s">
        <v>319</v>
      </c>
      <c r="O211" s="505" t="s">
        <v>310</v>
      </c>
      <c r="P211" s="503" t="s">
        <v>320</v>
      </c>
      <c r="Q211" s="490"/>
      <c r="R211" s="501" t="s">
        <v>307</v>
      </c>
      <c r="S211" s="503" t="s">
        <v>299</v>
      </c>
      <c r="T211" s="503" t="s">
        <v>244</v>
      </c>
      <c r="U211" s="503" t="s">
        <v>311</v>
      </c>
      <c r="V211" s="503" t="s">
        <v>321</v>
      </c>
      <c r="W211" s="501" t="s">
        <v>321</v>
      </c>
    </row>
    <row r="212" spans="1:23" s="507" customFormat="1" ht="13.5" customHeight="1">
      <c r="A212" s="508" t="str">
        <f>IF(B212&lt;&gt;"",ROW()-(ROW()-1),"")</f>
        <v/>
      </c>
      <c r="B212" s="520"/>
      <c r="C212" s="509"/>
      <c r="D212" s="399">
        <f t="shared" ref="D212:D217" si="25">ROUND(C212*O212,0)</f>
        <v>0</v>
      </c>
      <c r="E212" s="399"/>
      <c r="F212" s="399"/>
      <c r="G212" s="510">
        <f t="shared" ref="G212:G217" si="26">(D212+E212)*F212</f>
        <v>0</v>
      </c>
      <c r="H212" s="399">
        <f t="shared" ref="H212:H217" si="27">IF($D$219&lt;&gt;0,H$219/($D$219+$E$219/4)*($D212+$E212/4),0)</f>
        <v>0</v>
      </c>
      <c r="I212" s="399">
        <f t="shared" ref="I212:K217" si="28">IF($D$219&lt;&gt;0,I$219/$D$219*$D212,0)</f>
        <v>0</v>
      </c>
      <c r="J212" s="399">
        <f t="shared" si="28"/>
        <v>0</v>
      </c>
      <c r="K212" s="399">
        <f t="shared" si="28"/>
        <v>0</v>
      </c>
      <c r="L212" s="399"/>
      <c r="M212" s="399"/>
      <c r="N212" s="510">
        <f t="shared" ref="N212:N217" si="29">ROUND(SUM(G212:L212),0)</f>
        <v>0</v>
      </c>
      <c r="O212" s="516"/>
      <c r="P212" s="399">
        <f t="shared" ref="P212:P217" si="30">IF(N212&lt;&gt;0,N212/O212,0)</f>
        <v>0</v>
      </c>
      <c r="Q212" s="506"/>
      <c r="R212" s="512"/>
      <c r="S212" s="576"/>
      <c r="T212" s="190"/>
      <c r="U212" s="190"/>
      <c r="V212" s="510">
        <f t="shared" ref="V212:V221" si="31">ROUND(T212*U212,0)</f>
        <v>0</v>
      </c>
      <c r="W212" s="510"/>
    </row>
    <row r="213" spans="1:23" ht="13.5" customHeight="1">
      <c r="A213" s="508" t="str">
        <f t="shared" ref="A213:A218" si="32">IF(B213&lt;&gt;"",A212+1,"")</f>
        <v/>
      </c>
      <c r="B213" s="520"/>
      <c r="C213" s="509"/>
      <c r="D213" s="399">
        <f t="shared" si="25"/>
        <v>0</v>
      </c>
      <c r="E213" s="399"/>
      <c r="F213" s="399"/>
      <c r="G213" s="510">
        <f t="shared" si="26"/>
        <v>0</v>
      </c>
      <c r="H213" s="399">
        <f t="shared" si="27"/>
        <v>0</v>
      </c>
      <c r="I213" s="399">
        <f t="shared" si="28"/>
        <v>0</v>
      </c>
      <c r="J213" s="399">
        <f t="shared" si="28"/>
        <v>0</v>
      </c>
      <c r="K213" s="399">
        <f t="shared" si="28"/>
        <v>0</v>
      </c>
      <c r="L213" s="510"/>
      <c r="M213" s="399" t="e">
        <f>34560000/($O$68+#REF!+#REF!)*O213</f>
        <v>#REF!</v>
      </c>
      <c r="N213" s="510">
        <f t="shared" si="29"/>
        <v>0</v>
      </c>
      <c r="O213" s="399"/>
      <c r="P213" s="399">
        <f t="shared" si="30"/>
        <v>0</v>
      </c>
      <c r="Q213" s="529"/>
      <c r="R213" s="517"/>
      <c r="S213" s="576"/>
      <c r="T213" s="190"/>
      <c r="U213" s="190"/>
      <c r="V213" s="510">
        <f t="shared" si="31"/>
        <v>0</v>
      </c>
      <c r="W213" s="526"/>
    </row>
    <row r="214" spans="1:23" ht="13.5" customHeight="1">
      <c r="A214" s="508" t="str">
        <f t="shared" si="32"/>
        <v/>
      </c>
      <c r="B214" s="326"/>
      <c r="C214" s="509"/>
      <c r="D214" s="399">
        <f t="shared" si="25"/>
        <v>0</v>
      </c>
      <c r="E214" s="399"/>
      <c r="F214" s="399"/>
      <c r="G214" s="510">
        <f t="shared" si="26"/>
        <v>0</v>
      </c>
      <c r="H214" s="399">
        <f t="shared" si="27"/>
        <v>0</v>
      </c>
      <c r="I214" s="399">
        <f t="shared" si="28"/>
        <v>0</v>
      </c>
      <c r="J214" s="399">
        <f t="shared" si="28"/>
        <v>0</v>
      </c>
      <c r="K214" s="399">
        <f t="shared" si="28"/>
        <v>0</v>
      </c>
      <c r="L214" s="399"/>
      <c r="M214" s="399"/>
      <c r="N214" s="510">
        <f t="shared" si="29"/>
        <v>0</v>
      </c>
      <c r="O214" s="516"/>
      <c r="P214" s="399">
        <f t="shared" si="30"/>
        <v>0</v>
      </c>
      <c r="Q214" s="529"/>
      <c r="R214" s="517"/>
      <c r="S214" s="576"/>
      <c r="T214" s="190"/>
      <c r="U214" s="190"/>
      <c r="V214" s="510">
        <f t="shared" si="31"/>
        <v>0</v>
      </c>
      <c r="W214" s="526"/>
    </row>
    <row r="215" spans="1:23" ht="13.5" customHeight="1">
      <c r="A215" s="508" t="str">
        <f t="shared" si="32"/>
        <v/>
      </c>
      <c r="B215" s="520"/>
      <c r="C215" s="509"/>
      <c r="D215" s="399">
        <f t="shared" si="25"/>
        <v>0</v>
      </c>
      <c r="E215" s="399"/>
      <c r="F215" s="399"/>
      <c r="G215" s="510">
        <f t="shared" si="26"/>
        <v>0</v>
      </c>
      <c r="H215" s="399">
        <f t="shared" si="27"/>
        <v>0</v>
      </c>
      <c r="I215" s="399">
        <f t="shared" si="28"/>
        <v>0</v>
      </c>
      <c r="J215" s="399">
        <f t="shared" si="28"/>
        <v>0</v>
      </c>
      <c r="K215" s="399">
        <f t="shared" si="28"/>
        <v>0</v>
      </c>
      <c r="L215" s="399"/>
      <c r="M215" s="399"/>
      <c r="N215" s="510">
        <f t="shared" si="29"/>
        <v>0</v>
      </c>
      <c r="O215" s="516"/>
      <c r="P215" s="399">
        <f t="shared" si="30"/>
        <v>0</v>
      </c>
      <c r="Q215" s="529"/>
      <c r="R215" s="517"/>
      <c r="S215" s="576"/>
      <c r="T215" s="190"/>
      <c r="U215" s="190"/>
      <c r="V215" s="510">
        <f t="shared" si="31"/>
        <v>0</v>
      </c>
      <c r="W215" s="526"/>
    </row>
    <row r="216" spans="1:23" ht="13.5" customHeight="1">
      <c r="A216" s="508" t="str">
        <f t="shared" si="32"/>
        <v/>
      </c>
      <c r="B216" s="520"/>
      <c r="C216" s="509"/>
      <c r="D216" s="399">
        <f t="shared" si="25"/>
        <v>0</v>
      </c>
      <c r="E216" s="399"/>
      <c r="F216" s="399"/>
      <c r="G216" s="510">
        <f t="shared" si="26"/>
        <v>0</v>
      </c>
      <c r="H216" s="399">
        <f t="shared" si="27"/>
        <v>0</v>
      </c>
      <c r="I216" s="399">
        <f t="shared" si="28"/>
        <v>0</v>
      </c>
      <c r="J216" s="399">
        <f t="shared" si="28"/>
        <v>0</v>
      </c>
      <c r="K216" s="399">
        <f t="shared" si="28"/>
        <v>0</v>
      </c>
      <c r="L216" s="399"/>
      <c r="M216" s="399"/>
      <c r="N216" s="510">
        <f t="shared" si="29"/>
        <v>0</v>
      </c>
      <c r="O216" s="516"/>
      <c r="P216" s="399">
        <f t="shared" si="30"/>
        <v>0</v>
      </c>
      <c r="Q216" s="529"/>
      <c r="R216" s="517"/>
      <c r="S216" s="576"/>
      <c r="T216" s="190"/>
      <c r="U216" s="190"/>
      <c r="V216" s="510">
        <f t="shared" si="31"/>
        <v>0</v>
      </c>
      <c r="W216" s="526"/>
    </row>
    <row r="217" spans="1:23">
      <c r="A217" s="508" t="str">
        <f t="shared" si="32"/>
        <v/>
      </c>
      <c r="B217" s="520"/>
      <c r="C217" s="509"/>
      <c r="D217" s="399">
        <f t="shared" si="25"/>
        <v>0</v>
      </c>
      <c r="E217" s="399"/>
      <c r="F217" s="399"/>
      <c r="G217" s="510">
        <f t="shared" si="26"/>
        <v>0</v>
      </c>
      <c r="H217" s="399">
        <f t="shared" si="27"/>
        <v>0</v>
      </c>
      <c r="I217" s="399">
        <f t="shared" si="28"/>
        <v>0</v>
      </c>
      <c r="J217" s="399">
        <f t="shared" si="28"/>
        <v>0</v>
      </c>
      <c r="K217" s="399">
        <f t="shared" si="28"/>
        <v>0</v>
      </c>
      <c r="L217" s="399"/>
      <c r="M217" s="399"/>
      <c r="N217" s="510">
        <f t="shared" si="29"/>
        <v>0</v>
      </c>
      <c r="O217" s="516"/>
      <c r="P217" s="399">
        <f t="shared" si="30"/>
        <v>0</v>
      </c>
      <c r="Q217" s="529"/>
      <c r="R217" s="517"/>
      <c r="S217" s="576"/>
      <c r="T217" s="190"/>
      <c r="U217" s="518"/>
      <c r="V217" s="510">
        <f t="shared" si="31"/>
        <v>0</v>
      </c>
      <c r="W217" s="526"/>
    </row>
    <row r="218" spans="1:23">
      <c r="A218" s="508" t="str">
        <f t="shared" si="32"/>
        <v/>
      </c>
      <c r="B218" s="521"/>
      <c r="C218" s="522"/>
      <c r="D218" s="524"/>
      <c r="E218" s="524"/>
      <c r="F218" s="524"/>
      <c r="G218" s="525"/>
      <c r="H218" s="570"/>
      <c r="I218" s="524"/>
      <c r="J218" s="526"/>
      <c r="K218" s="524"/>
      <c r="L218" s="527"/>
      <c r="M218" s="524"/>
      <c r="N218" s="558"/>
      <c r="O218" s="528"/>
      <c r="P218" s="524"/>
      <c r="Q218" s="529"/>
      <c r="R218" s="517"/>
      <c r="S218" s="578"/>
      <c r="T218" s="190"/>
      <c r="U218" s="190"/>
      <c r="V218" s="510">
        <f t="shared" si="31"/>
        <v>0</v>
      </c>
      <c r="W218" s="526"/>
    </row>
    <row r="219" spans="1:23" s="530" customFormat="1">
      <c r="A219" s="531"/>
      <c r="B219" s="532" t="s">
        <v>322</v>
      </c>
      <c r="C219" s="533"/>
      <c r="D219" s="534">
        <f>SUM(D212:D217)</f>
        <v>0</v>
      </c>
      <c r="E219" s="534">
        <f>SUM(E212:E217)</f>
        <v>0</v>
      </c>
      <c r="F219" s="534"/>
      <c r="G219" s="534">
        <f>SUM(G212:G218)</f>
        <v>0</v>
      </c>
      <c r="H219" s="535"/>
      <c r="I219" s="535">
        <f>V223</f>
        <v>0</v>
      </c>
      <c r="J219" s="535"/>
      <c r="K219" s="535">
        <v>57138842</v>
      </c>
      <c r="L219" s="534">
        <f>ROUND(SUM(L212:L218),0)</f>
        <v>0</v>
      </c>
      <c r="M219" s="534" t="e">
        <f>ROUND(SUM(M212:M218),0)</f>
        <v>#REF!</v>
      </c>
      <c r="N219" s="534">
        <f>ROUND(SUM(N212:N218),0)</f>
        <v>0</v>
      </c>
      <c r="O219" s="534">
        <f>ROUND(SUM(O212:O218),0)</f>
        <v>0</v>
      </c>
      <c r="P219" s="534"/>
      <c r="Q219" s="529"/>
      <c r="R219" s="517"/>
      <c r="S219" s="578"/>
      <c r="T219" s="540"/>
      <c r="U219" s="518"/>
      <c r="V219" s="510">
        <f t="shared" si="31"/>
        <v>0</v>
      </c>
      <c r="W219" s="526"/>
    </row>
    <row r="220" spans="1:23" s="485" customFormat="1">
      <c r="A220" s="481"/>
      <c r="B220" s="481"/>
      <c r="C220" s="481"/>
      <c r="D220" s="481"/>
      <c r="E220" s="481"/>
      <c r="F220" s="481"/>
      <c r="G220" s="481"/>
      <c r="H220" s="481"/>
      <c r="I220" s="481"/>
      <c r="J220" s="481"/>
      <c r="K220" s="481"/>
      <c r="L220" s="481"/>
      <c r="M220" s="481"/>
      <c r="N220" s="481"/>
      <c r="O220" s="481"/>
      <c r="P220" s="481"/>
      <c r="Q220" s="529"/>
      <c r="R220" s="579"/>
      <c r="S220" s="578"/>
      <c r="T220" s="540"/>
      <c r="U220" s="518"/>
      <c r="V220" s="510">
        <f t="shared" si="31"/>
        <v>0</v>
      </c>
      <c r="W220" s="526"/>
    </row>
    <row r="221" spans="1:23">
      <c r="Q221" s="529"/>
      <c r="R221" s="329"/>
      <c r="S221" s="578"/>
      <c r="T221" s="190"/>
      <c r="U221" s="190"/>
      <c r="V221" s="510">
        <f t="shared" si="31"/>
        <v>0</v>
      </c>
      <c r="W221" s="526"/>
    </row>
    <row r="222" spans="1:23">
      <c r="Q222" s="529"/>
      <c r="R222" s="580"/>
      <c r="S222" s="513"/>
      <c r="T222" s="190"/>
      <c r="U222" s="190"/>
      <c r="V222" s="526"/>
      <c r="W222" s="526"/>
    </row>
    <row r="223" spans="1:23">
      <c r="Q223" s="529"/>
      <c r="R223" s="563"/>
      <c r="S223" s="564"/>
      <c r="T223" s="565"/>
      <c r="U223" s="581"/>
      <c r="V223" s="544">
        <f>SUM(V212:V222)</f>
        <v>0</v>
      </c>
      <c r="W223" s="544">
        <f>SUM(W212:W222)</f>
        <v>0</v>
      </c>
    </row>
    <row r="224" spans="1:23">
      <c r="R224" s="517"/>
      <c r="S224" s="576"/>
      <c r="T224" s="190"/>
      <c r="U224" s="518"/>
      <c r="V224" s="510">
        <f t="shared" ref="V224:V231" si="33">ROUND(T224*U224,0)</f>
        <v>0</v>
      </c>
      <c r="W224" s="510"/>
    </row>
    <row r="225" spans="1:23">
      <c r="R225" s="517"/>
      <c r="S225" s="576"/>
      <c r="T225" s="518"/>
      <c r="U225" s="518"/>
      <c r="V225" s="510">
        <f t="shared" si="33"/>
        <v>0</v>
      </c>
      <c r="W225" s="526"/>
    </row>
    <row r="226" spans="1:23">
      <c r="R226" s="332"/>
      <c r="S226" s="576"/>
      <c r="T226" s="518"/>
      <c r="U226" s="518"/>
      <c r="V226" s="510">
        <f t="shared" si="33"/>
        <v>0</v>
      </c>
      <c r="W226" s="526"/>
    </row>
    <row r="227" spans="1:23">
      <c r="R227" s="540"/>
      <c r="S227" s="576"/>
      <c r="T227" s="518"/>
      <c r="U227" s="518"/>
      <c r="V227" s="510">
        <f t="shared" si="33"/>
        <v>0</v>
      </c>
      <c r="W227" s="526"/>
    </row>
    <row r="228" spans="1:23">
      <c r="R228" s="517"/>
      <c r="S228" s="576"/>
      <c r="T228" s="518"/>
      <c r="U228" s="518"/>
      <c r="V228" s="510">
        <f t="shared" si="33"/>
        <v>0</v>
      </c>
      <c r="W228" s="526"/>
    </row>
    <row r="229" spans="1:23">
      <c r="R229" s="517"/>
      <c r="S229" s="513"/>
      <c r="T229" s="518"/>
      <c r="U229" s="518"/>
      <c r="V229" s="510">
        <f t="shared" si="33"/>
        <v>0</v>
      </c>
      <c r="W229" s="526"/>
    </row>
    <row r="230" spans="1:23">
      <c r="R230" s="540"/>
      <c r="S230" s="513"/>
      <c r="T230" s="518"/>
      <c r="U230" s="518"/>
      <c r="V230" s="510">
        <f t="shared" si="33"/>
        <v>0</v>
      </c>
      <c r="W230" s="526"/>
    </row>
    <row r="231" spans="1:23">
      <c r="R231" s="540"/>
      <c r="S231" s="513"/>
      <c r="T231" s="518"/>
      <c r="U231" s="518"/>
      <c r="V231" s="510">
        <f t="shared" si="33"/>
        <v>0</v>
      </c>
      <c r="W231" s="526"/>
    </row>
    <row r="232" spans="1:23">
      <c r="R232" s="490"/>
      <c r="S232" s="567"/>
      <c r="T232" s="500"/>
      <c r="U232" s="500"/>
      <c r="V232" s="538"/>
      <c r="W232" s="568"/>
    </row>
    <row r="233" spans="1:23" ht="20.25" customHeight="1">
      <c r="A233" s="485" t="s">
        <v>305</v>
      </c>
      <c r="B233" s="485"/>
      <c r="C233" s="486"/>
      <c r="D233" s="487"/>
      <c r="E233" s="487"/>
      <c r="F233" s="487"/>
      <c r="G233" s="484"/>
      <c r="H233" s="484"/>
      <c r="I233" s="484"/>
      <c r="J233" s="484"/>
      <c r="K233" s="484"/>
      <c r="L233" s="488"/>
      <c r="M233" s="484"/>
      <c r="N233" s="484"/>
      <c r="O233" s="489"/>
      <c r="P233" s="484"/>
      <c r="R233" s="484"/>
      <c r="S233" s="491"/>
    </row>
    <row r="234" spans="1:23" ht="20.25" customHeight="1">
      <c r="A234" s="492" t="s">
        <v>332</v>
      </c>
      <c r="B234" s="492"/>
      <c r="C234" s="492"/>
      <c r="D234" s="492"/>
      <c r="E234" s="492"/>
      <c r="F234" s="492"/>
      <c r="G234" s="492"/>
      <c r="H234" s="492"/>
      <c r="I234" s="492"/>
      <c r="J234" s="492"/>
      <c r="K234" s="492"/>
      <c r="L234" s="492"/>
      <c r="M234" s="492"/>
      <c r="N234" s="492"/>
      <c r="O234" s="492"/>
      <c r="P234" s="492"/>
      <c r="Q234" s="490"/>
      <c r="R234" s="484"/>
      <c r="S234" s="491"/>
    </row>
    <row r="235" spans="1:23" ht="12" customHeight="1">
      <c r="A235" s="493"/>
      <c r="B235" s="493"/>
      <c r="C235" s="494"/>
      <c r="D235" s="493"/>
      <c r="E235" s="493"/>
      <c r="F235" s="493"/>
      <c r="G235" s="493"/>
      <c r="H235" s="493"/>
      <c r="I235" s="493"/>
      <c r="J235" s="493"/>
      <c r="K235" s="493"/>
      <c r="L235" s="492"/>
      <c r="M235" s="493"/>
      <c r="N235" s="493"/>
      <c r="O235" s="495"/>
      <c r="P235" s="493"/>
      <c r="Q235" s="490"/>
      <c r="R235" s="484"/>
      <c r="S235" s="491"/>
    </row>
    <row r="236" spans="1:23" ht="12" customHeight="1">
      <c r="A236" s="496"/>
      <c r="B236" s="496"/>
      <c r="C236" s="497"/>
      <c r="D236" s="496"/>
      <c r="E236" s="496"/>
      <c r="F236" s="496"/>
      <c r="G236" s="496"/>
      <c r="H236" s="496"/>
      <c r="I236" s="496"/>
      <c r="J236" s="496"/>
      <c r="K236" s="496"/>
      <c r="L236" s="496"/>
      <c r="M236" s="496"/>
      <c r="N236" s="496"/>
      <c r="O236" s="498"/>
      <c r="P236" s="496"/>
      <c r="Q236" s="490"/>
      <c r="R236" s="484"/>
      <c r="S236" s="491"/>
    </row>
    <row r="237" spans="1:23" ht="36.75" customHeight="1">
      <c r="A237" s="501" t="s">
        <v>35</v>
      </c>
      <c r="B237" s="501" t="s">
        <v>307</v>
      </c>
      <c r="C237" s="502" t="s">
        <v>308</v>
      </c>
      <c r="D237" s="503" t="s">
        <v>309</v>
      </c>
      <c r="E237" s="503" t="s">
        <v>310</v>
      </c>
      <c r="F237" s="503" t="s">
        <v>311</v>
      </c>
      <c r="G237" s="503" t="s">
        <v>312</v>
      </c>
      <c r="H237" s="503" t="s">
        <v>313</v>
      </c>
      <c r="I237" s="503" t="s">
        <v>314</v>
      </c>
      <c r="J237" s="503" t="s">
        <v>315</v>
      </c>
      <c r="K237" s="504" t="s">
        <v>316</v>
      </c>
      <c r="L237" s="503" t="s">
        <v>317</v>
      </c>
      <c r="M237" s="504" t="s">
        <v>318</v>
      </c>
      <c r="N237" s="503" t="s">
        <v>319</v>
      </c>
      <c r="O237" s="505" t="s">
        <v>310</v>
      </c>
      <c r="P237" s="503" t="s">
        <v>320</v>
      </c>
      <c r="Q237" s="490"/>
      <c r="R237" s="501" t="s">
        <v>307</v>
      </c>
      <c r="S237" s="503" t="s">
        <v>299</v>
      </c>
      <c r="T237" s="503" t="s">
        <v>244</v>
      </c>
      <c r="U237" s="503" t="s">
        <v>311</v>
      </c>
      <c r="V237" s="503" t="s">
        <v>321</v>
      </c>
      <c r="W237" s="501" t="s">
        <v>321</v>
      </c>
    </row>
    <row r="238" spans="1:23" s="507" customFormat="1" ht="13.5" customHeight="1">
      <c r="A238" s="508" t="str">
        <f>IF(B238&lt;&gt;"",ROW()-(ROW()-1),"")</f>
        <v/>
      </c>
      <c r="B238" s="520"/>
      <c r="C238" s="509"/>
      <c r="D238" s="399">
        <f t="shared" ref="D238:D243" si="34">ROUND(C238*O238,0)</f>
        <v>0</v>
      </c>
      <c r="E238" s="399"/>
      <c r="F238" s="399"/>
      <c r="G238" s="510">
        <f t="shared" ref="G238:G243" si="35">(D238+E238)*F238</f>
        <v>0</v>
      </c>
      <c r="H238" s="399">
        <f t="shared" ref="H238:H243" si="36">IF($D$245&lt;&gt;0,H$245/($D$245+$E$245/4)*($D238+$E238/4),0)</f>
        <v>0</v>
      </c>
      <c r="I238" s="399">
        <f t="shared" ref="I238:K243" si="37">IF($D$245&lt;&gt;0,I$245/$D$245*$D238,0)</f>
        <v>0</v>
      </c>
      <c r="J238" s="399">
        <f t="shared" si="37"/>
        <v>0</v>
      </c>
      <c r="K238" s="399">
        <f t="shared" si="37"/>
        <v>0</v>
      </c>
      <c r="L238" s="510">
        <f t="shared" ref="L238:L243" si="38">V250</f>
        <v>0</v>
      </c>
      <c r="M238" s="399" t="e">
        <f>34560000/($O$68+#REF!+#REF!)*O238</f>
        <v>#REF!</v>
      </c>
      <c r="N238" s="510"/>
      <c r="O238" s="516"/>
      <c r="P238" s="399">
        <f t="shared" ref="P238:P243" si="39">IF(N238&lt;&gt;0,N238/O238,0)</f>
        <v>0</v>
      </c>
      <c r="Q238" s="506"/>
      <c r="R238" s="512"/>
      <c r="S238" s="576"/>
      <c r="T238" s="190"/>
      <c r="U238" s="190"/>
      <c r="V238" s="510">
        <f t="shared" ref="V238:V247" si="40">ROUND(T238*U238,0)</f>
        <v>0</v>
      </c>
      <c r="W238" s="510"/>
    </row>
    <row r="239" spans="1:23" ht="13.5" customHeight="1">
      <c r="A239" s="508" t="str">
        <f t="shared" ref="A239:A244" si="41">IF(B239&lt;&gt;"",A238+1,"")</f>
        <v/>
      </c>
      <c r="B239" s="520"/>
      <c r="C239" s="509"/>
      <c r="D239" s="399">
        <f t="shared" si="34"/>
        <v>0</v>
      </c>
      <c r="E239" s="399"/>
      <c r="F239" s="399"/>
      <c r="G239" s="510">
        <f t="shared" si="35"/>
        <v>0</v>
      </c>
      <c r="H239" s="399">
        <f t="shared" si="36"/>
        <v>0</v>
      </c>
      <c r="I239" s="399">
        <f t="shared" si="37"/>
        <v>0</v>
      </c>
      <c r="J239" s="399">
        <f t="shared" si="37"/>
        <v>0</v>
      </c>
      <c r="K239" s="399">
        <f t="shared" si="37"/>
        <v>0</v>
      </c>
      <c r="L239" s="399">
        <f t="shared" si="38"/>
        <v>0</v>
      </c>
      <c r="M239" s="399"/>
      <c r="N239" s="510"/>
      <c r="O239" s="516"/>
      <c r="P239" s="399">
        <f t="shared" si="39"/>
        <v>0</v>
      </c>
      <c r="Q239" s="529"/>
      <c r="R239" s="517"/>
      <c r="S239" s="576"/>
      <c r="T239" s="190"/>
      <c r="U239" s="190"/>
      <c r="V239" s="510">
        <f t="shared" si="40"/>
        <v>0</v>
      </c>
      <c r="W239" s="526"/>
    </row>
    <row r="240" spans="1:23" ht="13.5" customHeight="1">
      <c r="A240" s="508" t="str">
        <f t="shared" si="41"/>
        <v/>
      </c>
      <c r="B240" s="520"/>
      <c r="C240" s="509"/>
      <c r="D240" s="399">
        <f t="shared" si="34"/>
        <v>0</v>
      </c>
      <c r="E240" s="399"/>
      <c r="F240" s="399"/>
      <c r="G240" s="510">
        <f t="shared" si="35"/>
        <v>0</v>
      </c>
      <c r="H240" s="399">
        <f t="shared" si="36"/>
        <v>0</v>
      </c>
      <c r="I240" s="399">
        <f t="shared" si="37"/>
        <v>0</v>
      </c>
      <c r="J240" s="399">
        <f t="shared" si="37"/>
        <v>0</v>
      </c>
      <c r="K240" s="399">
        <f t="shared" si="37"/>
        <v>0</v>
      </c>
      <c r="L240" s="399">
        <f t="shared" si="38"/>
        <v>0</v>
      </c>
      <c r="M240" s="399">
        <v>25840000</v>
      </c>
      <c r="N240" s="510"/>
      <c r="O240" s="516"/>
      <c r="P240" s="399">
        <f t="shared" si="39"/>
        <v>0</v>
      </c>
      <c r="Q240" s="529"/>
      <c r="R240" s="517"/>
      <c r="S240" s="576"/>
      <c r="T240" s="190"/>
      <c r="U240" s="190"/>
      <c r="V240" s="510">
        <f t="shared" si="40"/>
        <v>0</v>
      </c>
      <c r="W240" s="526"/>
    </row>
    <row r="241" spans="1:23" ht="13.5" customHeight="1">
      <c r="A241" s="508" t="str">
        <f t="shared" si="41"/>
        <v/>
      </c>
      <c r="B241" s="520"/>
      <c r="C241" s="509"/>
      <c r="D241" s="399">
        <f t="shared" si="34"/>
        <v>0</v>
      </c>
      <c r="E241" s="399"/>
      <c r="F241" s="399"/>
      <c r="G241" s="510">
        <f t="shared" si="35"/>
        <v>0</v>
      </c>
      <c r="H241" s="399">
        <f t="shared" si="36"/>
        <v>0</v>
      </c>
      <c r="I241" s="399">
        <f t="shared" si="37"/>
        <v>0</v>
      </c>
      <c r="J241" s="399">
        <f t="shared" si="37"/>
        <v>0</v>
      </c>
      <c r="K241" s="399">
        <f t="shared" si="37"/>
        <v>0</v>
      </c>
      <c r="L241" s="399">
        <f t="shared" si="38"/>
        <v>0</v>
      </c>
      <c r="M241" s="399" t="e">
        <f>34560000/($O$68+#REF!+#REF!)*O241</f>
        <v>#REF!</v>
      </c>
      <c r="N241" s="510"/>
      <c r="O241" s="516"/>
      <c r="P241" s="399">
        <f t="shared" si="39"/>
        <v>0</v>
      </c>
      <c r="Q241" s="529"/>
      <c r="R241" s="517"/>
      <c r="S241" s="576"/>
      <c r="T241" s="190"/>
      <c r="U241" s="190"/>
      <c r="V241" s="510">
        <f t="shared" si="40"/>
        <v>0</v>
      </c>
      <c r="W241" s="526"/>
    </row>
    <row r="242" spans="1:23" ht="13.5" customHeight="1">
      <c r="A242" s="508" t="str">
        <f t="shared" si="41"/>
        <v/>
      </c>
      <c r="B242" s="520"/>
      <c r="C242" s="509"/>
      <c r="D242" s="399">
        <f t="shared" si="34"/>
        <v>0</v>
      </c>
      <c r="E242" s="399"/>
      <c r="F242" s="399"/>
      <c r="G242" s="510">
        <f t="shared" si="35"/>
        <v>0</v>
      </c>
      <c r="H242" s="399">
        <f t="shared" si="36"/>
        <v>0</v>
      </c>
      <c r="I242" s="399">
        <f t="shared" si="37"/>
        <v>0</v>
      </c>
      <c r="J242" s="399">
        <f t="shared" si="37"/>
        <v>0</v>
      </c>
      <c r="K242" s="399">
        <f t="shared" si="37"/>
        <v>0</v>
      </c>
      <c r="L242" s="399">
        <f t="shared" si="38"/>
        <v>0</v>
      </c>
      <c r="M242" s="399"/>
      <c r="N242" s="510"/>
      <c r="O242" s="516"/>
      <c r="P242" s="399">
        <f t="shared" si="39"/>
        <v>0</v>
      </c>
      <c r="Q242" s="529"/>
      <c r="R242" s="517"/>
      <c r="S242" s="576"/>
      <c r="T242" s="190"/>
      <c r="U242" s="190"/>
      <c r="V242" s="510">
        <f t="shared" si="40"/>
        <v>0</v>
      </c>
      <c r="W242" s="526"/>
    </row>
    <row r="243" spans="1:23">
      <c r="A243" s="508" t="str">
        <f t="shared" si="41"/>
        <v/>
      </c>
      <c r="B243" s="520"/>
      <c r="C243" s="509"/>
      <c r="D243" s="399">
        <f t="shared" si="34"/>
        <v>0</v>
      </c>
      <c r="E243" s="399"/>
      <c r="F243" s="399"/>
      <c r="G243" s="510">
        <f t="shared" si="35"/>
        <v>0</v>
      </c>
      <c r="H243" s="399">
        <f t="shared" si="36"/>
        <v>0</v>
      </c>
      <c r="I243" s="399">
        <f t="shared" si="37"/>
        <v>0</v>
      </c>
      <c r="J243" s="399">
        <f t="shared" si="37"/>
        <v>0</v>
      </c>
      <c r="K243" s="399">
        <f t="shared" si="37"/>
        <v>0</v>
      </c>
      <c r="L243" s="399">
        <f t="shared" si="38"/>
        <v>0</v>
      </c>
      <c r="M243" s="399" t="e">
        <f>34560000/($O$68+#REF!+#REF!)*O243</f>
        <v>#REF!</v>
      </c>
      <c r="N243" s="510"/>
      <c r="O243" s="516"/>
      <c r="P243" s="399">
        <f t="shared" si="39"/>
        <v>0</v>
      </c>
      <c r="Q243" s="529"/>
      <c r="R243" s="517"/>
      <c r="S243" s="576"/>
      <c r="T243" s="190"/>
      <c r="U243" s="518"/>
      <c r="V243" s="510">
        <f t="shared" si="40"/>
        <v>0</v>
      </c>
      <c r="W243" s="526"/>
    </row>
    <row r="244" spans="1:23">
      <c r="A244" s="508" t="str">
        <f t="shared" si="41"/>
        <v/>
      </c>
      <c r="B244" s="521"/>
      <c r="C244" s="522"/>
      <c r="D244" s="524"/>
      <c r="E244" s="524"/>
      <c r="F244" s="524"/>
      <c r="G244" s="525"/>
      <c r="H244" s="570"/>
      <c r="I244" s="524"/>
      <c r="J244" s="526"/>
      <c r="K244" s="524"/>
      <c r="L244" s="527"/>
      <c r="M244" s="524"/>
      <c r="N244" s="558"/>
      <c r="O244" s="528"/>
      <c r="P244" s="524"/>
      <c r="Q244" s="529"/>
      <c r="R244" s="517"/>
      <c r="S244" s="578"/>
      <c r="T244" s="190"/>
      <c r="U244" s="190"/>
      <c r="V244" s="510">
        <f t="shared" si="40"/>
        <v>0</v>
      </c>
      <c r="W244" s="526"/>
    </row>
    <row r="245" spans="1:23" s="530" customFormat="1">
      <c r="A245" s="531"/>
      <c r="B245" s="532" t="s">
        <v>322</v>
      </c>
      <c r="C245" s="533"/>
      <c r="D245" s="534">
        <f>SUM(D238:D243)</f>
        <v>0</v>
      </c>
      <c r="E245" s="534">
        <f>SUM(E238:E243)</f>
        <v>0</v>
      </c>
      <c r="F245" s="534"/>
      <c r="G245" s="534">
        <f>SUM(G238:G243)</f>
        <v>0</v>
      </c>
      <c r="H245" s="535"/>
      <c r="I245" s="535">
        <f>V249</f>
        <v>0</v>
      </c>
      <c r="J245" s="535"/>
      <c r="K245" s="535">
        <v>57138842</v>
      </c>
      <c r="L245" s="534">
        <f>ROUND(SUM(L238:L244),0)</f>
        <v>0</v>
      </c>
      <c r="M245" s="534" t="e">
        <f>ROUND(SUM(M238:M244),0)</f>
        <v>#REF!</v>
      </c>
      <c r="N245" s="534">
        <f>ROUND(SUM(N238:N244),0)</f>
        <v>0</v>
      </c>
      <c r="O245" s="534">
        <f>ROUND(SUM(O238:O244),0)</f>
        <v>0</v>
      </c>
      <c r="P245" s="534"/>
      <c r="Q245" s="529"/>
      <c r="R245" s="517"/>
      <c r="S245" s="578"/>
      <c r="T245" s="540"/>
      <c r="U245" s="518"/>
      <c r="V245" s="510">
        <f t="shared" si="40"/>
        <v>0</v>
      </c>
      <c r="W245" s="526"/>
    </row>
    <row r="246" spans="1:23" s="485" customFormat="1">
      <c r="A246" s="481"/>
      <c r="B246" s="481"/>
      <c r="C246" s="481"/>
      <c r="D246" s="481"/>
      <c r="E246" s="481"/>
      <c r="F246" s="481"/>
      <c r="G246" s="481"/>
      <c r="H246" s="481"/>
      <c r="I246" s="481"/>
      <c r="J246" s="481"/>
      <c r="K246" s="481"/>
      <c r="L246" s="481"/>
      <c r="M246" s="481"/>
      <c r="N246" s="481"/>
      <c r="O246" s="481"/>
      <c r="P246" s="481"/>
      <c r="Q246" s="529"/>
      <c r="R246" s="579"/>
      <c r="S246" s="578"/>
      <c r="T246" s="540"/>
      <c r="U246" s="518"/>
      <c r="V246" s="510">
        <f t="shared" si="40"/>
        <v>0</v>
      </c>
      <c r="W246" s="526"/>
    </row>
    <row r="247" spans="1:23">
      <c r="Q247" s="529"/>
      <c r="R247" s="329"/>
      <c r="S247" s="578"/>
      <c r="T247" s="190"/>
      <c r="U247" s="190"/>
      <c r="V247" s="510">
        <f t="shared" si="40"/>
        <v>0</v>
      </c>
      <c r="W247" s="526"/>
    </row>
    <row r="248" spans="1:23">
      <c r="Q248" s="529"/>
      <c r="R248" s="580"/>
      <c r="S248" s="513"/>
      <c r="T248" s="190"/>
      <c r="U248" s="190"/>
      <c r="V248" s="526"/>
      <c r="W248" s="526"/>
    </row>
    <row r="249" spans="1:23">
      <c r="Q249" s="529"/>
      <c r="R249" s="563"/>
      <c r="S249" s="564"/>
      <c r="T249" s="565"/>
      <c r="U249" s="581"/>
      <c r="V249" s="544">
        <f>SUM(V238:V248)</f>
        <v>0</v>
      </c>
      <c r="W249" s="544">
        <f>SUM(W238:W248)</f>
        <v>0</v>
      </c>
    </row>
    <row r="250" spans="1:23">
      <c r="R250" s="540"/>
      <c r="S250" s="576"/>
      <c r="T250" s="190"/>
      <c r="U250" s="190"/>
      <c r="V250" s="510">
        <f t="shared" ref="V250:V255" si="42">ROUND(T250*U250,0)</f>
        <v>0</v>
      </c>
      <c r="W250" s="510"/>
    </row>
    <row r="251" spans="1:23">
      <c r="R251" s="517"/>
      <c r="S251" s="576"/>
      <c r="T251" s="518"/>
      <c r="U251" s="518"/>
      <c r="V251" s="510">
        <f t="shared" si="42"/>
        <v>0</v>
      </c>
      <c r="W251" s="526"/>
    </row>
    <row r="252" spans="1:23">
      <c r="R252" s="540"/>
      <c r="S252" s="576"/>
      <c r="T252" s="518"/>
      <c r="U252" s="518"/>
      <c r="V252" s="510">
        <f t="shared" si="42"/>
        <v>0</v>
      </c>
      <c r="W252" s="526"/>
    </row>
    <row r="253" spans="1:23">
      <c r="R253" s="517"/>
      <c r="S253" s="513"/>
      <c r="T253" s="518"/>
      <c r="U253" s="518"/>
      <c r="V253" s="510">
        <f t="shared" si="42"/>
        <v>0</v>
      </c>
      <c r="W253" s="526"/>
    </row>
    <row r="254" spans="1:23">
      <c r="R254" s="517"/>
      <c r="S254" s="513"/>
      <c r="T254" s="518"/>
      <c r="U254" s="518"/>
      <c r="V254" s="510">
        <f t="shared" si="42"/>
        <v>0</v>
      </c>
      <c r="W254" s="526"/>
    </row>
    <row r="255" spans="1:23">
      <c r="R255" s="540"/>
      <c r="S255" s="513"/>
      <c r="T255" s="518"/>
      <c r="U255" s="518"/>
      <c r="V255" s="510">
        <f t="shared" si="42"/>
        <v>0</v>
      </c>
      <c r="W255" s="526"/>
    </row>
    <row r="256" spans="1:23">
      <c r="R256" s="540"/>
      <c r="S256" s="513"/>
      <c r="T256" s="518"/>
      <c r="U256" s="518"/>
      <c r="V256" s="586">
        <f>SUM(V250:V255)</f>
        <v>0</v>
      </c>
      <c r="W256" s="526"/>
    </row>
    <row r="257" spans="1:23">
      <c r="A257" s="492"/>
      <c r="B257" s="492"/>
      <c r="C257" s="492"/>
      <c r="D257" s="492"/>
      <c r="E257" s="492"/>
      <c r="F257" s="492"/>
      <c r="G257" s="492"/>
      <c r="H257" s="492"/>
      <c r="I257" s="492"/>
      <c r="J257" s="492"/>
      <c r="K257" s="492"/>
      <c r="L257" s="492"/>
      <c r="M257" s="492"/>
      <c r="N257" s="492"/>
      <c r="O257" s="492"/>
      <c r="P257" s="492"/>
      <c r="R257" s="484"/>
      <c r="S257" s="491"/>
    </row>
    <row r="258" spans="1:23" ht="20.25" customHeight="1">
      <c r="A258" s="485" t="s">
        <v>305</v>
      </c>
      <c r="B258" s="485"/>
      <c r="C258" s="486"/>
      <c r="D258" s="487"/>
      <c r="E258" s="487"/>
      <c r="F258" s="487"/>
      <c r="G258" s="484"/>
      <c r="H258" s="484"/>
      <c r="I258" s="484"/>
      <c r="J258" s="484"/>
      <c r="K258" s="484"/>
      <c r="L258" s="488"/>
      <c r="M258" s="484"/>
      <c r="N258" s="484"/>
      <c r="O258" s="489"/>
      <c r="P258" s="484"/>
      <c r="Q258" s="490"/>
      <c r="R258" s="484"/>
      <c r="S258" s="491"/>
    </row>
    <row r="259" spans="1:23" ht="20.25" customHeight="1">
      <c r="A259" s="492" t="s">
        <v>333</v>
      </c>
      <c r="B259" s="492"/>
      <c r="C259" s="492"/>
      <c r="D259" s="492"/>
      <c r="E259" s="492"/>
      <c r="F259" s="492"/>
      <c r="G259" s="492"/>
      <c r="H259" s="492"/>
      <c r="I259" s="492"/>
      <c r="J259" s="492"/>
      <c r="K259" s="492"/>
      <c r="L259" s="492"/>
      <c r="M259" s="492"/>
      <c r="N259" s="492"/>
      <c r="O259" s="492"/>
      <c r="P259" s="492"/>
      <c r="Q259" s="490"/>
      <c r="R259" s="484"/>
      <c r="S259" s="491"/>
    </row>
    <row r="260" spans="1:23" ht="12" customHeight="1">
      <c r="A260" s="493"/>
      <c r="B260" s="493"/>
      <c r="C260" s="494"/>
      <c r="D260" s="493"/>
      <c r="E260" s="493"/>
      <c r="F260" s="493"/>
      <c r="G260" s="493"/>
      <c r="H260" s="493"/>
      <c r="I260" s="493"/>
      <c r="J260" s="493"/>
      <c r="K260" s="493"/>
      <c r="L260" s="492"/>
      <c r="M260" s="493"/>
      <c r="N260" s="493"/>
      <c r="O260" s="495"/>
      <c r="P260" s="493"/>
      <c r="Q260" s="490"/>
      <c r="R260" s="484"/>
      <c r="S260" s="491"/>
    </row>
    <row r="261" spans="1:23" ht="12" customHeight="1">
      <c r="A261" s="496"/>
      <c r="B261" s="496"/>
      <c r="C261" s="497"/>
      <c r="D261" s="496"/>
      <c r="E261" s="496"/>
      <c r="F261" s="496"/>
      <c r="G261" s="496"/>
      <c r="H261" s="496"/>
      <c r="I261" s="496"/>
      <c r="J261" s="496"/>
      <c r="K261" s="496"/>
      <c r="L261" s="496"/>
      <c r="M261" s="496"/>
      <c r="N261" s="496"/>
      <c r="O261" s="498"/>
      <c r="P261" s="496"/>
      <c r="Q261" s="490"/>
      <c r="R261" s="484"/>
      <c r="S261" s="491"/>
    </row>
    <row r="262" spans="1:23" ht="36.75" customHeight="1">
      <c r="A262" s="501" t="s">
        <v>35</v>
      </c>
      <c r="B262" s="501" t="s">
        <v>307</v>
      </c>
      <c r="C262" s="502" t="s">
        <v>308</v>
      </c>
      <c r="D262" s="503" t="s">
        <v>309</v>
      </c>
      <c r="E262" s="503" t="s">
        <v>310</v>
      </c>
      <c r="F262" s="503" t="s">
        <v>311</v>
      </c>
      <c r="G262" s="503" t="s">
        <v>312</v>
      </c>
      <c r="H262" s="503" t="s">
        <v>313</v>
      </c>
      <c r="I262" s="503" t="s">
        <v>314</v>
      </c>
      <c r="J262" s="503" t="s">
        <v>315</v>
      </c>
      <c r="K262" s="504" t="s">
        <v>316</v>
      </c>
      <c r="L262" s="503" t="s">
        <v>317</v>
      </c>
      <c r="M262" s="504" t="s">
        <v>318</v>
      </c>
      <c r="N262" s="503" t="s">
        <v>319</v>
      </c>
      <c r="O262" s="505" t="s">
        <v>310</v>
      </c>
      <c r="P262" s="503" t="s">
        <v>320</v>
      </c>
      <c r="Q262" s="490"/>
      <c r="R262" s="501" t="s">
        <v>307</v>
      </c>
      <c r="S262" s="503" t="s">
        <v>299</v>
      </c>
      <c r="T262" s="503" t="s">
        <v>244</v>
      </c>
      <c r="U262" s="503" t="s">
        <v>311</v>
      </c>
      <c r="V262" s="503" t="s">
        <v>321</v>
      </c>
      <c r="W262" s="501" t="s">
        <v>321</v>
      </c>
    </row>
    <row r="263" spans="1:23" s="507" customFormat="1" ht="13.5" customHeight="1">
      <c r="A263" s="508" t="str">
        <f>IF(B263&lt;&gt;"",ROW()-(ROW()-1),"")</f>
        <v/>
      </c>
      <c r="B263" s="583"/>
      <c r="C263" s="509"/>
      <c r="D263" s="399">
        <f t="shared" ref="D263:D268" si="43">ROUND(C263*O263,0)</f>
        <v>0</v>
      </c>
      <c r="E263" s="399"/>
      <c r="F263" s="399"/>
      <c r="G263" s="510">
        <f t="shared" ref="G263:G268" si="44">(D263+E263)*F263</f>
        <v>0</v>
      </c>
      <c r="H263" s="399">
        <f t="shared" ref="H263:H268" si="45">IF($D$270&lt;&gt;0,H$270/($D$270+$E$270/4)*($D263+$E263/4),0)</f>
        <v>0</v>
      </c>
      <c r="I263" s="399">
        <f t="shared" ref="I263:K268" si="46">IF($D$270&lt;&gt;0,I$270/$D$270*$D263,0)</f>
        <v>0</v>
      </c>
      <c r="J263" s="399">
        <f t="shared" si="46"/>
        <v>0</v>
      </c>
      <c r="K263" s="399">
        <f t="shared" si="46"/>
        <v>0</v>
      </c>
      <c r="L263" s="587"/>
      <c r="M263" s="399" t="e">
        <f>34560000/($O$68+#REF!+#REF!)*O263</f>
        <v>#REF!</v>
      </c>
      <c r="N263" s="510">
        <f t="shared" ref="N263:N268" si="47">ROUND(SUM(G263:L263),0)</f>
        <v>0</v>
      </c>
      <c r="O263" s="399"/>
      <c r="P263" s="399">
        <f t="shared" ref="P263:P268" si="48">IF(N263&lt;&gt;0,N263/O263,0)</f>
        <v>0</v>
      </c>
      <c r="Q263" s="506"/>
      <c r="R263" s="512"/>
      <c r="S263" s="576"/>
      <c r="T263" s="190"/>
      <c r="U263" s="190"/>
      <c r="V263" s="510">
        <f t="shared" ref="V263:V272" si="49">ROUND(T263*U263,0)</f>
        <v>0</v>
      </c>
      <c r="W263" s="510"/>
    </row>
    <row r="264" spans="1:23" ht="13.5" customHeight="1">
      <c r="A264" s="508" t="str">
        <f t="shared" ref="A264:A269" si="50">IF(B264&lt;&gt;"",A263+1,"")</f>
        <v/>
      </c>
      <c r="B264" s="520"/>
      <c r="C264" s="509"/>
      <c r="D264" s="399">
        <f t="shared" si="43"/>
        <v>0</v>
      </c>
      <c r="E264" s="399"/>
      <c r="F264" s="399"/>
      <c r="G264" s="510">
        <f t="shared" si="44"/>
        <v>0</v>
      </c>
      <c r="H264" s="399">
        <f t="shared" si="45"/>
        <v>0</v>
      </c>
      <c r="I264" s="399">
        <f t="shared" si="46"/>
        <v>0</v>
      </c>
      <c r="J264" s="399">
        <f t="shared" si="46"/>
        <v>0</v>
      </c>
      <c r="K264" s="399">
        <f t="shared" si="46"/>
        <v>0</v>
      </c>
      <c r="L264" s="587"/>
      <c r="M264" s="399"/>
      <c r="N264" s="510">
        <f t="shared" si="47"/>
        <v>0</v>
      </c>
      <c r="O264" s="516"/>
      <c r="P264" s="399">
        <f t="shared" si="48"/>
        <v>0</v>
      </c>
      <c r="Q264" s="529"/>
      <c r="R264" s="517"/>
      <c r="S264" s="576"/>
      <c r="T264" s="190"/>
      <c r="U264" s="190"/>
      <c r="V264" s="510">
        <f t="shared" si="49"/>
        <v>0</v>
      </c>
      <c r="W264" s="526"/>
    </row>
    <row r="265" spans="1:23" ht="13.5" customHeight="1">
      <c r="A265" s="508" t="str">
        <f t="shared" si="50"/>
        <v/>
      </c>
      <c r="B265" s="520"/>
      <c r="C265" s="509"/>
      <c r="D265" s="399">
        <f t="shared" si="43"/>
        <v>0</v>
      </c>
      <c r="E265" s="399"/>
      <c r="F265" s="399"/>
      <c r="G265" s="510">
        <f t="shared" si="44"/>
        <v>0</v>
      </c>
      <c r="H265" s="399">
        <f t="shared" si="45"/>
        <v>0</v>
      </c>
      <c r="I265" s="399">
        <f t="shared" si="46"/>
        <v>0</v>
      </c>
      <c r="J265" s="399">
        <f t="shared" si="46"/>
        <v>0</v>
      </c>
      <c r="K265" s="399">
        <f t="shared" si="46"/>
        <v>0</v>
      </c>
      <c r="L265" s="587"/>
      <c r="M265" s="399">
        <v>25840000</v>
      </c>
      <c r="N265" s="510">
        <f t="shared" si="47"/>
        <v>0</v>
      </c>
      <c r="O265" s="516"/>
      <c r="P265" s="399">
        <f t="shared" si="48"/>
        <v>0</v>
      </c>
      <c r="Q265" s="529"/>
      <c r="R265" s="517"/>
      <c r="S265" s="576"/>
      <c r="T265" s="190"/>
      <c r="U265" s="190"/>
      <c r="V265" s="510">
        <f t="shared" si="49"/>
        <v>0</v>
      </c>
      <c r="W265" s="526"/>
    </row>
    <row r="266" spans="1:23" ht="13.5" customHeight="1">
      <c r="A266" s="508" t="str">
        <f t="shared" si="50"/>
        <v/>
      </c>
      <c r="B266" s="520"/>
      <c r="C266" s="509"/>
      <c r="D266" s="399">
        <f t="shared" si="43"/>
        <v>0</v>
      </c>
      <c r="E266" s="399"/>
      <c r="F266" s="399"/>
      <c r="G266" s="510">
        <f t="shared" si="44"/>
        <v>0</v>
      </c>
      <c r="H266" s="399">
        <f t="shared" si="45"/>
        <v>0</v>
      </c>
      <c r="I266" s="399">
        <f t="shared" si="46"/>
        <v>0</v>
      </c>
      <c r="J266" s="399">
        <f t="shared" si="46"/>
        <v>0</v>
      </c>
      <c r="K266" s="399">
        <f t="shared" si="46"/>
        <v>0</v>
      </c>
      <c r="L266" s="399"/>
      <c r="M266" s="399" t="e">
        <f>34560000/($O$68+#REF!+#REF!)*O266</f>
        <v>#REF!</v>
      </c>
      <c r="N266" s="510">
        <f t="shared" si="47"/>
        <v>0</v>
      </c>
      <c r="O266" s="516"/>
      <c r="P266" s="399">
        <f t="shared" si="48"/>
        <v>0</v>
      </c>
      <c r="Q266" s="529"/>
      <c r="R266" s="517"/>
      <c r="S266" s="576"/>
      <c r="T266" s="190"/>
      <c r="U266" s="190"/>
      <c r="V266" s="510">
        <f t="shared" si="49"/>
        <v>0</v>
      </c>
      <c r="W266" s="526"/>
    </row>
    <row r="267" spans="1:23" ht="13.5" customHeight="1">
      <c r="A267" s="508" t="str">
        <f t="shared" si="50"/>
        <v/>
      </c>
      <c r="B267" s="520"/>
      <c r="C267" s="509"/>
      <c r="D267" s="399">
        <f t="shared" si="43"/>
        <v>0</v>
      </c>
      <c r="E267" s="399"/>
      <c r="F267" s="399"/>
      <c r="G267" s="510">
        <f t="shared" si="44"/>
        <v>0</v>
      </c>
      <c r="H267" s="399">
        <f t="shared" si="45"/>
        <v>0</v>
      </c>
      <c r="I267" s="399">
        <f t="shared" si="46"/>
        <v>0</v>
      </c>
      <c r="J267" s="399">
        <f t="shared" si="46"/>
        <v>0</v>
      </c>
      <c r="K267" s="399">
        <f t="shared" si="46"/>
        <v>0</v>
      </c>
      <c r="L267" s="399"/>
      <c r="M267" s="399"/>
      <c r="N267" s="510">
        <f t="shared" si="47"/>
        <v>0</v>
      </c>
      <c r="O267" s="516"/>
      <c r="P267" s="399">
        <f t="shared" si="48"/>
        <v>0</v>
      </c>
      <c r="Q267" s="529"/>
      <c r="R267" s="517"/>
      <c r="S267" s="576"/>
      <c r="T267" s="190"/>
      <c r="U267" s="190"/>
      <c r="V267" s="510">
        <f t="shared" si="49"/>
        <v>0</v>
      </c>
      <c r="W267" s="526"/>
    </row>
    <row r="268" spans="1:23">
      <c r="A268" s="508" t="str">
        <f t="shared" si="50"/>
        <v/>
      </c>
      <c r="B268" s="520"/>
      <c r="C268" s="509"/>
      <c r="D268" s="399">
        <f t="shared" si="43"/>
        <v>0</v>
      </c>
      <c r="E268" s="399"/>
      <c r="F268" s="399"/>
      <c r="G268" s="510">
        <f t="shared" si="44"/>
        <v>0</v>
      </c>
      <c r="H268" s="399">
        <f t="shared" si="45"/>
        <v>0</v>
      </c>
      <c r="I268" s="399">
        <f t="shared" si="46"/>
        <v>0</v>
      </c>
      <c r="J268" s="399">
        <f t="shared" si="46"/>
        <v>0</v>
      </c>
      <c r="K268" s="399">
        <f t="shared" si="46"/>
        <v>0</v>
      </c>
      <c r="L268" s="399"/>
      <c r="M268" s="399" t="e">
        <f>34560000/($O$68+#REF!+#REF!)*O268</f>
        <v>#REF!</v>
      </c>
      <c r="N268" s="510">
        <f t="shared" si="47"/>
        <v>0</v>
      </c>
      <c r="O268" s="516"/>
      <c r="P268" s="399">
        <f t="shared" si="48"/>
        <v>0</v>
      </c>
      <c r="Q268" s="529"/>
      <c r="R268" s="517"/>
      <c r="S268" s="576"/>
      <c r="T268" s="190"/>
      <c r="U268" s="518"/>
      <c r="V268" s="510">
        <f t="shared" si="49"/>
        <v>0</v>
      </c>
      <c r="W268" s="526"/>
    </row>
    <row r="269" spans="1:23">
      <c r="A269" s="508" t="str">
        <f t="shared" si="50"/>
        <v/>
      </c>
      <c r="B269" s="521"/>
      <c r="C269" s="522"/>
      <c r="D269" s="524"/>
      <c r="E269" s="524"/>
      <c r="F269" s="524"/>
      <c r="G269" s="525"/>
      <c r="H269" s="570"/>
      <c r="I269" s="524"/>
      <c r="J269" s="526"/>
      <c r="K269" s="524"/>
      <c r="L269" s="527"/>
      <c r="M269" s="524"/>
      <c r="N269" s="558"/>
      <c r="O269" s="528"/>
      <c r="P269" s="524"/>
      <c r="Q269" s="529"/>
      <c r="R269" s="517"/>
      <c r="S269" s="576"/>
      <c r="T269" s="190"/>
      <c r="U269" s="190"/>
      <c r="V269" s="510">
        <f t="shared" si="49"/>
        <v>0</v>
      </c>
      <c r="W269" s="526"/>
    </row>
    <row r="270" spans="1:23" s="530" customFormat="1">
      <c r="A270" s="531"/>
      <c r="B270" s="532" t="s">
        <v>322</v>
      </c>
      <c r="C270" s="533"/>
      <c r="D270" s="534">
        <f>SUM(D263:D268)</f>
        <v>0</v>
      </c>
      <c r="E270" s="534">
        <f>SUM(E263:E268)</f>
        <v>0</v>
      </c>
      <c r="F270" s="534"/>
      <c r="G270" s="534">
        <f>SUM(G263:G268)</f>
        <v>0</v>
      </c>
      <c r="H270" s="535"/>
      <c r="I270" s="535">
        <f>V274</f>
        <v>0</v>
      </c>
      <c r="J270" s="535"/>
      <c r="K270" s="535"/>
      <c r="L270" s="534">
        <f>ROUND(SUM(L263:L269),0)</f>
        <v>0</v>
      </c>
      <c r="M270" s="534" t="e">
        <f>ROUND(SUM(M263:M269),0)</f>
        <v>#REF!</v>
      </c>
      <c r="N270" s="534">
        <f>ROUND(SUM(N263:N269),0)</f>
        <v>0</v>
      </c>
      <c r="O270" s="534">
        <f>ROUND(SUM(O263:O269),0)</f>
        <v>0</v>
      </c>
      <c r="P270" s="534"/>
      <c r="Q270" s="529"/>
      <c r="R270" s="517"/>
      <c r="S270" s="513"/>
      <c r="T270" s="540"/>
      <c r="U270" s="518"/>
      <c r="V270" s="510">
        <f t="shared" si="49"/>
        <v>0</v>
      </c>
      <c r="W270" s="526"/>
    </row>
    <row r="271" spans="1:23" s="485" customFormat="1">
      <c r="A271" s="481"/>
      <c r="B271" s="481"/>
      <c r="C271" s="481"/>
      <c r="D271" s="481"/>
      <c r="E271" s="481"/>
      <c r="F271" s="481"/>
      <c r="G271" s="481"/>
      <c r="H271" s="481"/>
      <c r="I271" s="481"/>
      <c r="J271" s="481"/>
      <c r="K271" s="481"/>
      <c r="L271" s="481"/>
      <c r="M271" s="481"/>
      <c r="N271" s="481"/>
      <c r="O271" s="481"/>
      <c r="P271" s="481"/>
      <c r="Q271" s="529"/>
      <c r="R271" s="579"/>
      <c r="S271" s="513"/>
      <c r="T271" s="540"/>
      <c r="U271" s="518"/>
      <c r="V271" s="510">
        <f t="shared" si="49"/>
        <v>0</v>
      </c>
      <c r="W271" s="526"/>
    </row>
    <row r="272" spans="1:23">
      <c r="L272" s="489">
        <f>L270-V282</f>
        <v>0</v>
      </c>
      <c r="Q272" s="529"/>
      <c r="R272" s="329"/>
      <c r="S272" s="513"/>
      <c r="T272" s="190"/>
      <c r="U272" s="190"/>
      <c r="V272" s="510">
        <f t="shared" si="49"/>
        <v>0</v>
      </c>
      <c r="W272" s="526"/>
    </row>
    <row r="273" spans="7:23">
      <c r="Q273" s="529"/>
      <c r="R273" s="580"/>
      <c r="S273" s="513"/>
      <c r="T273" s="190"/>
      <c r="U273" s="190"/>
      <c r="V273" s="526"/>
      <c r="W273" s="526"/>
    </row>
    <row r="274" spans="7:23">
      <c r="Q274" s="529"/>
      <c r="R274" s="563"/>
      <c r="S274" s="564"/>
      <c r="T274" s="565"/>
      <c r="U274" s="581"/>
      <c r="V274" s="544">
        <f>SUM(V263:V273)</f>
        <v>0</v>
      </c>
      <c r="W274" s="544">
        <f>SUM(W263:W273)</f>
        <v>0</v>
      </c>
    </row>
    <row r="275" spans="7:23">
      <c r="R275" s="566"/>
      <c r="S275" s="576"/>
      <c r="T275" s="190"/>
      <c r="U275" s="190"/>
      <c r="V275" s="510">
        <f t="shared" ref="V275:V281" si="51">ROUND(T275*U275,0)</f>
        <v>0</v>
      </c>
      <c r="W275" s="510"/>
    </row>
    <row r="276" spans="7:23">
      <c r="R276" s="517"/>
      <c r="S276" s="576"/>
      <c r="T276" s="518"/>
      <c r="U276" s="190"/>
      <c r="V276" s="510">
        <f t="shared" si="51"/>
        <v>0</v>
      </c>
      <c r="W276" s="526"/>
    </row>
    <row r="277" spans="7:23">
      <c r="R277" s="517"/>
      <c r="S277" s="576"/>
      <c r="T277" s="518"/>
      <c r="U277" s="190"/>
      <c r="V277" s="510">
        <f t="shared" si="51"/>
        <v>0</v>
      </c>
      <c r="W277" s="526"/>
    </row>
    <row r="278" spans="7:23">
      <c r="R278" s="517"/>
      <c r="S278" s="576"/>
      <c r="T278" s="518"/>
      <c r="U278" s="518"/>
      <c r="V278" s="510">
        <f t="shared" si="51"/>
        <v>0</v>
      </c>
      <c r="W278" s="526"/>
    </row>
    <row r="279" spans="7:23">
      <c r="R279" s="517"/>
      <c r="S279" s="513"/>
      <c r="T279" s="518"/>
      <c r="U279" s="518"/>
      <c r="V279" s="510">
        <f t="shared" si="51"/>
        <v>0</v>
      </c>
      <c r="W279" s="526"/>
    </row>
    <row r="280" spans="7:23">
      <c r="R280" s="517"/>
      <c r="S280" s="513"/>
      <c r="T280" s="518"/>
      <c r="U280" s="518"/>
      <c r="V280" s="510">
        <f t="shared" si="51"/>
        <v>0</v>
      </c>
      <c r="W280" s="526"/>
    </row>
    <row r="281" spans="7:23">
      <c r="R281" s="540"/>
      <c r="S281" s="513"/>
      <c r="T281" s="518"/>
      <c r="U281" s="518"/>
      <c r="V281" s="510">
        <f t="shared" si="51"/>
        <v>0</v>
      </c>
      <c r="W281" s="526"/>
    </row>
    <row r="282" spans="7:23">
      <c r="R282" s="540"/>
      <c r="S282" s="513"/>
      <c r="T282" s="518"/>
      <c r="U282" s="518"/>
      <c r="V282" s="586">
        <f>SUM(V275:V281)</f>
        <v>0</v>
      </c>
      <c r="W282" s="526"/>
    </row>
    <row r="284" spans="7:23">
      <c r="G284" s="484"/>
      <c r="N284" s="484"/>
    </row>
    <row r="285" spans="7:23">
      <c r="G285" s="484"/>
      <c r="H285" s="484"/>
      <c r="I285" s="484"/>
      <c r="J285" s="484"/>
      <c r="K285" s="484"/>
      <c r="L285" s="484"/>
      <c r="M285" s="484"/>
      <c r="N285" s="484"/>
    </row>
    <row r="286" spans="7:23">
      <c r="G286" s="546"/>
      <c r="N286" s="546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0" customWidth="1"/>
    <col min="2" max="2" width="15.7109375" style="730" customWidth="1"/>
    <col min="3" max="3" width="16.85546875" style="730" customWidth="1"/>
    <col min="4" max="8" width="15.28515625" style="730" customWidth="1"/>
    <col min="9" max="9" width="10.140625" style="730" customWidth="1"/>
    <col min="10" max="10" width="5.85546875" style="730" customWidth="1"/>
    <col min="11" max="16384" width="10.28515625" style="730"/>
  </cols>
  <sheetData>
    <row r="1" spans="1:10" s="588" customFormat="1" ht="19.5" customHeight="1">
      <c r="A1" s="717" t="str">
        <f>TH!A1</f>
        <v>Đơn vị: CÔNG TY TNHH HẢI SẢN AN LẠC</v>
      </c>
      <c r="B1" s="717"/>
      <c r="D1" s="589"/>
      <c r="E1" s="589"/>
      <c r="F1" s="1107" t="s">
        <v>334</v>
      </c>
      <c r="G1" s="1107"/>
      <c r="H1" s="1107"/>
      <c r="I1" s="590"/>
      <c r="J1" s="591"/>
    </row>
    <row r="2" spans="1:10" s="588" customFormat="1" ht="19.5" customHeight="1">
      <c r="A2" s="823" t="str">
        <f>TH!A2</f>
        <v>Địa chỉ: Lô A14, Đường 4A, KCN Hải Sơn, Đức Hòa, Long An</v>
      </c>
      <c r="B2" s="717"/>
      <c r="D2" s="592"/>
      <c r="E2" s="592"/>
      <c r="F2" s="1108" t="s">
        <v>126</v>
      </c>
      <c r="G2" s="1108"/>
      <c r="H2" s="1108"/>
      <c r="I2" s="590"/>
      <c r="J2" s="479">
        <v>1</v>
      </c>
    </row>
    <row r="3" spans="1:10" s="588" customFormat="1" ht="15">
      <c r="A3" s="718"/>
      <c r="B3" s="719"/>
      <c r="C3" s="592"/>
      <c r="D3" s="592"/>
      <c r="E3" s="592"/>
      <c r="F3" s="1108"/>
      <c r="G3" s="1108"/>
      <c r="H3" s="1108"/>
      <c r="I3" s="590"/>
    </row>
    <row r="4" spans="1:10" s="721" customFormat="1" ht="17.25" customHeight="1">
      <c r="A4" s="1109" t="s">
        <v>335</v>
      </c>
      <c r="B4" s="1109"/>
      <c r="C4" s="1109"/>
      <c r="D4" s="1109"/>
      <c r="E4" s="1109"/>
      <c r="F4" s="1109"/>
      <c r="G4" s="1109"/>
      <c r="H4" s="1109"/>
      <c r="I4" s="720"/>
    </row>
    <row r="5" spans="1:10" s="722" customFormat="1" ht="17.25" customHeight="1">
      <c r="B5" s="723"/>
      <c r="C5" s="724" t="s">
        <v>266</v>
      </c>
      <c r="D5" s="723" t="str">
        <f>IF($J$2&lt;10,"0"&amp;$J$2&amp;"  năm 2016",$J$2&amp;"  năm 2016")</f>
        <v>01  năm 2016</v>
      </c>
      <c r="E5" s="723"/>
      <c r="F5" s="723"/>
      <c r="G5" s="723"/>
      <c r="H5" s="723"/>
      <c r="I5" s="723"/>
    </row>
    <row r="6" spans="1:10" s="722" customFormat="1" ht="17.25" customHeight="1">
      <c r="B6" s="725"/>
      <c r="C6" s="1110" t="s">
        <v>336</v>
      </c>
      <c r="D6" s="1110"/>
      <c r="E6" s="1111" t="s">
        <v>261</v>
      </c>
      <c r="F6" s="1111"/>
      <c r="H6" s="725"/>
      <c r="I6" s="723"/>
    </row>
    <row r="7" spans="1:10" s="727" customFormat="1" ht="9.75" customHeight="1">
      <c r="A7" s="726"/>
      <c r="B7" s="726"/>
      <c r="C7" s="726"/>
      <c r="D7" s="726"/>
      <c r="E7" s="726"/>
      <c r="F7" s="726"/>
      <c r="G7" s="726"/>
      <c r="H7" s="726"/>
      <c r="I7" s="725"/>
    </row>
    <row r="8" spans="1:10" s="594" customFormat="1" ht="17.25" customHeight="1">
      <c r="A8" s="1112" t="s">
        <v>337</v>
      </c>
      <c r="B8" s="1113" t="s">
        <v>338</v>
      </c>
      <c r="C8" s="1113" t="s">
        <v>339</v>
      </c>
      <c r="D8" s="1113"/>
      <c r="E8" s="1113"/>
      <c r="F8" s="1113"/>
      <c r="G8" s="1113"/>
      <c r="H8" s="1113"/>
      <c r="I8" s="593"/>
    </row>
    <row r="9" spans="1:10" s="597" customFormat="1" ht="28.5">
      <c r="A9" s="1112"/>
      <c r="B9" s="1113"/>
      <c r="C9" s="595" t="s">
        <v>340</v>
      </c>
      <c r="D9" s="595" t="s">
        <v>341</v>
      </c>
      <c r="E9" s="595" t="s">
        <v>342</v>
      </c>
      <c r="F9" s="595" t="s">
        <v>343</v>
      </c>
      <c r="G9" s="595" t="s">
        <v>344</v>
      </c>
      <c r="H9" s="595" t="s">
        <v>345</v>
      </c>
      <c r="I9" s="596"/>
    </row>
    <row r="10" spans="1:10" s="600" customFormat="1" ht="15">
      <c r="A10" s="598" t="s">
        <v>2</v>
      </c>
      <c r="B10" s="599">
        <v>1</v>
      </c>
      <c r="C10" s="599">
        <v>2</v>
      </c>
      <c r="D10" s="599">
        <v>3</v>
      </c>
      <c r="E10" s="599">
        <v>4</v>
      </c>
      <c r="F10" s="599">
        <v>5</v>
      </c>
      <c r="G10" s="599">
        <v>6</v>
      </c>
      <c r="H10" s="599">
        <v>7</v>
      </c>
      <c r="I10" s="590"/>
    </row>
    <row r="11" spans="1:10" s="722" customFormat="1" ht="24.75" customHeight="1">
      <c r="A11" s="728" t="s">
        <v>346</v>
      </c>
      <c r="B11" s="729">
        <f>ROUND(SUM(C11:H11),0)</f>
        <v>0</v>
      </c>
      <c r="C11" s="729">
        <v>0</v>
      </c>
      <c r="D11" s="729">
        <v>0</v>
      </c>
      <c r="E11" s="729">
        <v>0</v>
      </c>
      <c r="F11" s="729">
        <v>0</v>
      </c>
      <c r="G11" s="729">
        <v>0</v>
      </c>
      <c r="H11" s="729">
        <v>0</v>
      </c>
      <c r="I11" s="723"/>
    </row>
    <row r="12" spans="1:10" s="722" customFormat="1" ht="24.75" customHeight="1">
      <c r="A12" s="728" t="s">
        <v>347</v>
      </c>
      <c r="B12" s="729">
        <f ca="1">ROUND(SUM(C12:H12),0)</f>
        <v>2108273740</v>
      </c>
      <c r="C12" s="729">
        <f ca="1">IF(ISNA(VLOOKUP($E6,INDIRECT("DSSP"&amp;$J$2),6,0)),0,VLOOKUP($E6,INDIRECT("DSSP"&amp;$J$2),6,0))</f>
        <v>1914000000</v>
      </c>
      <c r="D12" s="729">
        <f ca="1">IF(ISNA(VLOOKUP($E6,INDIRECT("DSSP"&amp;$J$2),7,0)),0,VLOOKUP($E6,INDIRECT("DSSP"&amp;$J$2),7,0))</f>
        <v>76689004.104627773</v>
      </c>
      <c r="E12" s="729">
        <f ca="1">IF(ISNA(VLOOKUP($E6,INDIRECT("DSSP"&amp;$J$2),8,0)),0,VLOOKUP($E6,INDIRECT("DSSP"&amp;$J$2),8,0))</f>
        <v>27934714.334004026</v>
      </c>
      <c r="F12" s="729">
        <f ca="1">IF(ISNA(VLOOKUP($E6,INDIRECT("DSSP"&amp;$J$2),9,0)),0,VLOOKUP($E6,INDIRECT("DSSP"&amp;$J$2),9,0))</f>
        <v>44073604.828973837</v>
      </c>
      <c r="G12" s="729">
        <f ca="1">IF(ISNA(VLOOKUP($E6,INDIRECT("DSSP"&amp;$J$2),10,0)),0,VLOOKUP($E6,INDIRECT("DSSP"&amp;$J$2),10,0))</f>
        <v>30351417.078470826</v>
      </c>
      <c r="H12" s="729">
        <f ca="1">IF(ISNA(VLOOKUP($E6,INDIRECT("DSSP"&amp;$J$2),11,0)),0,VLOOKUP($E6,INDIRECT("DSSP"&amp;$J$2),11,0))</f>
        <v>15225000</v>
      </c>
      <c r="I12" s="723"/>
    </row>
    <row r="13" spans="1:10" s="722" customFormat="1" ht="24.75" customHeight="1">
      <c r="A13" s="728" t="s">
        <v>348</v>
      </c>
      <c r="B13" s="729">
        <f ca="1">ROUND(IF(ISNA(VLOOKUP($E6,INDIRECT("DSSP"&amp;$J$2),13,0)),0,VLOOKUP($E6,INDIRECT("DSSP"&amp;$J$2),13,0)),0)</f>
        <v>2108273740</v>
      </c>
      <c r="C13" s="729">
        <f t="shared" ref="C13:H13" ca="1" si="0">C12</f>
        <v>1914000000</v>
      </c>
      <c r="D13" s="729">
        <f t="shared" ca="1" si="0"/>
        <v>76689004.104627773</v>
      </c>
      <c r="E13" s="729">
        <f t="shared" ca="1" si="0"/>
        <v>27934714.334004026</v>
      </c>
      <c r="F13" s="729">
        <f t="shared" ca="1" si="0"/>
        <v>44073604.828973837</v>
      </c>
      <c r="G13" s="729">
        <f t="shared" ca="1" si="0"/>
        <v>30351417.078470826</v>
      </c>
      <c r="H13" s="729">
        <f t="shared" ca="1" si="0"/>
        <v>15225000</v>
      </c>
      <c r="I13" s="723"/>
    </row>
    <row r="14" spans="1:10" s="722" customFormat="1" ht="24.75" customHeight="1">
      <c r="A14" s="728" t="s">
        <v>349</v>
      </c>
      <c r="B14" s="729">
        <f ca="1">B12-B13</f>
        <v>0</v>
      </c>
      <c r="C14" s="729">
        <f t="shared" ref="C14:H14" ca="1" si="1">C12-C13</f>
        <v>0</v>
      </c>
      <c r="D14" s="729">
        <f t="shared" ca="1" si="1"/>
        <v>0</v>
      </c>
      <c r="E14" s="729">
        <f t="shared" ca="1" si="1"/>
        <v>0</v>
      </c>
      <c r="F14" s="729">
        <f t="shared" ca="1" si="1"/>
        <v>0</v>
      </c>
      <c r="G14" s="729">
        <f t="shared" ca="1" si="1"/>
        <v>0</v>
      </c>
      <c r="H14" s="729">
        <f t="shared" ca="1" si="1"/>
        <v>0</v>
      </c>
      <c r="I14" s="723"/>
    </row>
    <row r="15" spans="1:10" s="722" customFormat="1" ht="15">
      <c r="B15" s="723"/>
      <c r="C15" s="723"/>
      <c r="D15" s="723"/>
      <c r="E15" s="723"/>
      <c r="F15" s="723"/>
      <c r="G15" s="723"/>
      <c r="H15" s="723"/>
      <c r="I15" s="723"/>
    </row>
    <row r="16" spans="1:10" s="722" customFormat="1" ht="15">
      <c r="B16" s="723"/>
      <c r="C16" s="723"/>
      <c r="D16" s="723"/>
      <c r="E16" s="1106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06"/>
      <c r="G16" s="1106"/>
      <c r="H16" s="1106"/>
      <c r="I16" s="723"/>
    </row>
    <row r="17" spans="2:9" s="722" customFormat="1" ht="15">
      <c r="B17" s="600" t="s">
        <v>350</v>
      </c>
      <c r="C17" s="723"/>
      <c r="D17" s="723"/>
      <c r="E17" s="1106" t="s">
        <v>12</v>
      </c>
      <c r="F17" s="1106"/>
      <c r="G17" s="1106"/>
      <c r="H17" s="1106"/>
      <c r="I17" s="723"/>
    </row>
    <row r="19" spans="2:9" ht="15">
      <c r="E19" s="731"/>
    </row>
    <row r="26" spans="2:9">
      <c r="B26" s="704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6" customWidth="1"/>
    <col min="2" max="2" width="9.140625" style="636" customWidth="1"/>
    <col min="3" max="3" width="9" style="637" customWidth="1"/>
    <col min="4" max="4" width="28.140625" style="636" customWidth="1"/>
    <col min="5" max="5" width="9.140625" style="636" customWidth="1"/>
    <col min="6" max="6" width="9.28515625" style="637" customWidth="1"/>
    <col min="7" max="7" width="9" style="636" customWidth="1"/>
    <col min="8" max="8" width="14.5703125" style="636" customWidth="1"/>
    <col min="9" max="9" width="6" style="636" customWidth="1"/>
    <col min="10" max="10" width="14.140625" style="636" customWidth="1"/>
    <col min="11" max="11" width="14.85546875" style="638" customWidth="1"/>
    <col min="12" max="12" width="14.42578125" style="636" customWidth="1"/>
    <col min="13" max="13" width="5.85546875" style="636" customWidth="1"/>
    <col min="14" max="14" width="7.42578125" style="636" customWidth="1"/>
    <col min="15" max="15" width="11.7109375" style="636" customWidth="1"/>
    <col min="16" max="16" width="4.5703125" style="705" customWidth="1"/>
    <col min="17" max="17" width="12.85546875" style="636" bestFit="1" customWidth="1"/>
    <col min="18" max="16384" width="9.140625" style="636"/>
  </cols>
  <sheetData>
    <row r="1" spans="1:17" ht="15" customHeight="1">
      <c r="A1" s="824" t="str">
        <f>TH!A1</f>
        <v>Đơn vị: CÔNG TY TNHH HẢI SẢN AN LẠC</v>
      </c>
      <c r="M1" s="639"/>
      <c r="N1" s="640" t="s">
        <v>385</v>
      </c>
      <c r="O1" s="639"/>
    </row>
    <row r="2" spans="1:17" ht="15" customHeight="1">
      <c r="A2" s="635" t="str">
        <f>TH!A2</f>
        <v>Địa chỉ: Lô A14, Đường 4A, KCN Hải Sơn, Đức Hòa, Long An</v>
      </c>
      <c r="L2" s="638"/>
      <c r="M2" s="638"/>
      <c r="N2" s="641" t="s">
        <v>232</v>
      </c>
      <c r="O2" s="638"/>
    </row>
    <row r="3" spans="1:17" ht="15" customHeight="1">
      <c r="L3" s="638"/>
      <c r="M3" s="638"/>
      <c r="N3" s="641" t="s">
        <v>177</v>
      </c>
      <c r="O3" s="638"/>
    </row>
    <row r="5" spans="1:17" s="642" customFormat="1" ht="24" customHeight="1">
      <c r="A5" s="1116" t="s">
        <v>386</v>
      </c>
      <c r="B5" s="1116"/>
      <c r="C5" s="1116"/>
      <c r="D5" s="1116"/>
      <c r="E5" s="1116"/>
      <c r="F5" s="1116"/>
      <c r="G5" s="1116"/>
      <c r="H5" s="1116"/>
      <c r="I5" s="1116"/>
      <c r="J5" s="1116"/>
      <c r="K5" s="1116"/>
      <c r="L5" s="1116"/>
      <c r="M5" s="1116"/>
      <c r="N5" s="1116"/>
      <c r="O5" s="1116"/>
      <c r="P5" s="706"/>
    </row>
    <row r="6" spans="1:17" s="642" customFormat="1" ht="21" customHeight="1">
      <c r="A6" s="1117" t="s">
        <v>513</v>
      </c>
      <c r="B6" s="1117"/>
      <c r="C6" s="1117"/>
      <c r="D6" s="1117"/>
      <c r="E6" s="1117"/>
      <c r="F6" s="1117"/>
      <c r="G6" s="1117"/>
      <c r="H6" s="1117"/>
      <c r="I6" s="1117"/>
      <c r="J6" s="1117"/>
      <c r="K6" s="1117"/>
      <c r="L6" s="1117"/>
      <c r="M6" s="1117"/>
      <c r="N6" s="1117"/>
      <c r="O6" s="1117"/>
      <c r="P6" s="706"/>
    </row>
    <row r="7" spans="1:17" s="642" customFormat="1" ht="21" customHeight="1">
      <c r="A7" s="1118" t="s">
        <v>430</v>
      </c>
      <c r="B7" s="1118"/>
      <c r="C7" s="1118"/>
      <c r="D7" s="1118"/>
      <c r="E7" s="1118"/>
      <c r="F7" s="1118"/>
      <c r="G7" s="1118"/>
      <c r="H7" s="1118"/>
      <c r="I7" s="1118"/>
      <c r="J7" s="1118"/>
      <c r="K7" s="1118"/>
      <c r="L7" s="1118"/>
      <c r="M7" s="1118"/>
      <c r="N7" s="1118"/>
      <c r="O7" s="1118"/>
      <c r="P7" s="706"/>
    </row>
    <row r="8" spans="1:17">
      <c r="D8" s="637"/>
    </row>
    <row r="9" spans="1:17" s="643" customFormat="1" ht="24" customHeight="1">
      <c r="A9" s="1114" t="s">
        <v>298</v>
      </c>
      <c r="B9" s="1120" t="s">
        <v>387</v>
      </c>
      <c r="C9" s="1121"/>
      <c r="D9" s="1121"/>
      <c r="E9" s="1121"/>
      <c r="F9" s="1121"/>
      <c r="G9" s="1121"/>
      <c r="H9" s="1122"/>
      <c r="I9" s="1120" t="s">
        <v>388</v>
      </c>
      <c r="J9" s="1121"/>
      <c r="K9" s="1121"/>
      <c r="L9" s="1122"/>
      <c r="M9" s="1123" t="s">
        <v>389</v>
      </c>
      <c r="N9" s="1123"/>
      <c r="O9" s="1123"/>
      <c r="P9" s="707"/>
    </row>
    <row r="10" spans="1:17" s="643" customFormat="1" ht="24" customHeight="1">
      <c r="A10" s="1119"/>
      <c r="B10" s="1120" t="s">
        <v>390</v>
      </c>
      <c r="C10" s="1122"/>
      <c r="D10" s="1114" t="s">
        <v>391</v>
      </c>
      <c r="E10" s="1114" t="s">
        <v>392</v>
      </c>
      <c r="F10" s="1114" t="s">
        <v>393</v>
      </c>
      <c r="G10" s="1114" t="s">
        <v>394</v>
      </c>
      <c r="H10" s="1114" t="s">
        <v>395</v>
      </c>
      <c r="I10" s="1120" t="s">
        <v>396</v>
      </c>
      <c r="J10" s="1122"/>
      <c r="K10" s="1124" t="s">
        <v>397</v>
      </c>
      <c r="L10" s="1114" t="s">
        <v>398</v>
      </c>
      <c r="M10" s="1123" t="s">
        <v>390</v>
      </c>
      <c r="N10" s="1123"/>
      <c r="O10" s="1123" t="s">
        <v>399</v>
      </c>
      <c r="P10" s="707"/>
    </row>
    <row r="11" spans="1:17" s="643" customFormat="1" ht="55.5" customHeight="1">
      <c r="A11" s="1115"/>
      <c r="B11" s="644" t="s">
        <v>400</v>
      </c>
      <c r="C11" s="644" t="s">
        <v>299</v>
      </c>
      <c r="D11" s="1115"/>
      <c r="E11" s="1115"/>
      <c r="F11" s="1115"/>
      <c r="G11" s="1115"/>
      <c r="H11" s="1115"/>
      <c r="I11" s="644" t="s">
        <v>401</v>
      </c>
      <c r="J11" s="644" t="s">
        <v>402</v>
      </c>
      <c r="K11" s="1125"/>
      <c r="L11" s="1115"/>
      <c r="M11" s="644" t="s">
        <v>15</v>
      </c>
      <c r="N11" s="644" t="s">
        <v>299</v>
      </c>
      <c r="O11" s="1123"/>
      <c r="P11" s="707"/>
    </row>
    <row r="12" spans="1:17" s="647" customFormat="1" ht="13.5">
      <c r="A12" s="645" t="s">
        <v>2</v>
      </c>
      <c r="B12" s="645" t="s">
        <v>3</v>
      </c>
      <c r="C12" s="645" t="s">
        <v>4</v>
      </c>
      <c r="D12" s="645" t="s">
        <v>5</v>
      </c>
      <c r="E12" s="645" t="s">
        <v>6</v>
      </c>
      <c r="F12" s="645" t="s">
        <v>138</v>
      </c>
      <c r="G12" s="645" t="s">
        <v>403</v>
      </c>
      <c r="H12" s="645">
        <v>1</v>
      </c>
      <c r="I12" s="645">
        <v>2</v>
      </c>
      <c r="J12" s="645">
        <v>3</v>
      </c>
      <c r="K12" s="646"/>
      <c r="L12" s="645">
        <v>4</v>
      </c>
      <c r="M12" s="645" t="s">
        <v>404</v>
      </c>
      <c r="N12" s="645" t="s">
        <v>405</v>
      </c>
      <c r="O12" s="645" t="s">
        <v>406</v>
      </c>
      <c r="P12" s="708"/>
    </row>
    <row r="13" spans="1:17" s="647" customFormat="1" ht="21.75" customHeight="1">
      <c r="A13" s="667" t="s">
        <v>404</v>
      </c>
      <c r="B13" s="669" t="s">
        <v>429</v>
      </c>
      <c r="C13" s="667"/>
      <c r="D13" s="667"/>
      <c r="E13" s="667"/>
      <c r="F13" s="667"/>
      <c r="G13" s="709"/>
      <c r="H13" s="674"/>
      <c r="I13" s="674"/>
      <c r="J13" s="674"/>
      <c r="K13" s="674"/>
      <c r="L13" s="8"/>
      <c r="M13" s="667"/>
      <c r="N13" s="667"/>
      <c r="O13" s="189"/>
      <c r="P13" s="708" t="str">
        <f>IF(D13='THE-TS'!$D$11,"x","")</f>
        <v/>
      </c>
      <c r="Q13" s="701"/>
    </row>
    <row r="14" spans="1:17" ht="21.75" customHeight="1">
      <c r="A14" s="668">
        <v>1</v>
      </c>
      <c r="B14" s="678" t="s">
        <v>497</v>
      </c>
      <c r="C14" s="648">
        <v>40682</v>
      </c>
      <c r="D14" s="224" t="s">
        <v>493</v>
      </c>
      <c r="E14" s="517" t="s">
        <v>407</v>
      </c>
      <c r="F14" s="678"/>
      <c r="G14" s="709" t="s">
        <v>501</v>
      </c>
      <c r="H14" s="277">
        <v>18000000</v>
      </c>
      <c r="I14" s="277">
        <v>5</v>
      </c>
      <c r="J14" s="8"/>
      <c r="K14" s="8"/>
      <c r="L14" s="8">
        <f t="shared" ref="L14:L16" si="0">K14+J14</f>
        <v>0</v>
      </c>
      <c r="M14" s="664"/>
      <c r="N14" s="517"/>
      <c r="O14" s="189"/>
      <c r="P14" s="708" t="str">
        <f>IF(D14='THE-TS'!$D$11,"x","")</f>
        <v>x</v>
      </c>
      <c r="Q14" s="701"/>
    </row>
    <row r="15" spans="1:17" ht="21.75" customHeight="1">
      <c r="A15" s="668">
        <v>2</v>
      </c>
      <c r="B15" s="677" t="s">
        <v>498</v>
      </c>
      <c r="C15" s="648">
        <v>40686</v>
      </c>
      <c r="D15" s="224" t="s">
        <v>494</v>
      </c>
      <c r="E15" s="517" t="s">
        <v>407</v>
      </c>
      <c r="F15" s="678"/>
      <c r="G15" s="709" t="s">
        <v>502</v>
      </c>
      <c r="H15" s="277">
        <v>27000000</v>
      </c>
      <c r="I15" s="277">
        <v>5</v>
      </c>
      <c r="J15" s="8"/>
      <c r="K15" s="8"/>
      <c r="L15" s="8">
        <f t="shared" si="0"/>
        <v>0</v>
      </c>
      <c r="M15" s="664"/>
      <c r="N15" s="517"/>
      <c r="O15" s="189"/>
      <c r="P15" s="708" t="str">
        <f>IF(D15='THE-TS'!$D$11,"x","")</f>
        <v/>
      </c>
      <c r="Q15" s="701"/>
    </row>
    <row r="16" spans="1:17" ht="21.75" customHeight="1">
      <c r="A16" s="668">
        <v>3</v>
      </c>
      <c r="B16" s="677" t="s">
        <v>450</v>
      </c>
      <c r="C16" s="648">
        <v>40710</v>
      </c>
      <c r="D16" s="224" t="s">
        <v>495</v>
      </c>
      <c r="E16" s="517" t="s">
        <v>407</v>
      </c>
      <c r="F16" s="678"/>
      <c r="G16" s="709" t="s">
        <v>503</v>
      </c>
      <c r="H16" s="277">
        <v>320000000</v>
      </c>
      <c r="I16" s="277">
        <v>5</v>
      </c>
      <c r="J16" s="8"/>
      <c r="K16" s="8"/>
      <c r="L16" s="8">
        <f t="shared" si="0"/>
        <v>0</v>
      </c>
      <c r="M16" s="664"/>
      <c r="N16" s="189"/>
      <c r="O16" s="189"/>
      <c r="P16" s="708" t="str">
        <f>IF(D16='THE-TS'!$D$11,"x","")</f>
        <v/>
      </c>
      <c r="Q16" s="701"/>
    </row>
    <row r="17" spans="1:16" ht="21.75" customHeight="1">
      <c r="A17" s="649"/>
      <c r="B17" s="670"/>
      <c r="C17" s="671"/>
      <c r="D17" s="672"/>
      <c r="E17" s="650"/>
      <c r="F17" s="671"/>
      <c r="G17" s="670"/>
      <c r="H17" s="675"/>
      <c r="I17" s="675"/>
      <c r="J17" s="334"/>
      <c r="K17" s="334"/>
      <c r="L17" s="334"/>
      <c r="M17" s="650"/>
      <c r="N17" s="650"/>
      <c r="O17" s="650"/>
      <c r="P17" s="708" t="str">
        <f>IF(D17='THE-TS'!$D$11,"x","")</f>
        <v/>
      </c>
    </row>
    <row r="18" spans="1:16" s="653" customFormat="1" ht="21.75" customHeight="1">
      <c r="A18" s="651"/>
      <c r="B18" s="652"/>
      <c r="C18" s="651"/>
      <c r="D18" s="651" t="s">
        <v>408</v>
      </c>
      <c r="E18" s="651" t="s">
        <v>19</v>
      </c>
      <c r="F18" s="651" t="s">
        <v>19</v>
      </c>
      <c r="G18" s="651" t="s">
        <v>19</v>
      </c>
      <c r="H18" s="676">
        <f>SUM(H13:H17)</f>
        <v>365000000</v>
      </c>
      <c r="I18" s="676"/>
      <c r="J18" s="676">
        <f>SUM(J13:J17)</f>
        <v>0</v>
      </c>
      <c r="K18" s="676">
        <f>SUM(K13:K17)</f>
        <v>0</v>
      </c>
      <c r="L18" s="676">
        <f>SUM(L13:L17)</f>
        <v>0</v>
      </c>
      <c r="M18" s="715" t="s">
        <v>19</v>
      </c>
      <c r="N18" s="715" t="s">
        <v>19</v>
      </c>
      <c r="O18" s="715" t="s">
        <v>19</v>
      </c>
      <c r="P18" s="708" t="str">
        <f>IF(D18='THE-TS'!$D$11,"x","")</f>
        <v/>
      </c>
    </row>
    <row r="19" spans="1:16" ht="6.75" customHeight="1">
      <c r="A19" s="551"/>
      <c r="B19" s="551"/>
      <c r="C19" s="654"/>
      <c r="D19" s="551"/>
      <c r="E19" s="654"/>
      <c r="F19" s="654"/>
      <c r="G19" s="654"/>
      <c r="H19" s="551"/>
      <c r="I19" s="551"/>
      <c r="J19" s="551"/>
      <c r="K19" s="655"/>
      <c r="L19" s="551"/>
      <c r="M19" s="551"/>
      <c r="N19" s="551"/>
      <c r="O19" s="551"/>
      <c r="P19" s="708" t="str">
        <f>IF(D19='THE-TS'!$D$11,"x","")</f>
        <v/>
      </c>
    </row>
    <row r="20" spans="1:16" ht="13.5" customHeight="1">
      <c r="A20" s="551"/>
      <c r="B20" s="551"/>
      <c r="C20" s="654"/>
      <c r="D20" s="551" t="s">
        <v>409</v>
      </c>
      <c r="E20" s="551"/>
      <c r="F20" s="654"/>
      <c r="G20" s="551"/>
      <c r="H20" s="638"/>
      <c r="I20" s="638"/>
      <c r="J20" s="716"/>
      <c r="L20" s="638"/>
      <c r="M20" s="551"/>
      <c r="N20" s="551"/>
      <c r="O20" s="551"/>
      <c r="P20" s="708" t="str">
        <f>IF(D20='THE-TS'!$D$11,"x","")</f>
        <v/>
      </c>
    </row>
    <row r="21" spans="1:16" ht="13.5" customHeight="1">
      <c r="A21" s="551"/>
      <c r="B21" s="551"/>
      <c r="C21" s="654"/>
      <c r="D21" s="551" t="s">
        <v>427</v>
      </c>
      <c r="E21" s="551"/>
      <c r="F21" s="654"/>
      <c r="G21" s="551"/>
      <c r="H21" s="665"/>
      <c r="I21" s="551"/>
      <c r="J21" s="673"/>
      <c r="K21" s="655"/>
      <c r="L21" s="551"/>
      <c r="M21" s="551"/>
      <c r="N21" s="551"/>
      <c r="O21" s="551"/>
      <c r="P21" s="708" t="str">
        <f>IF(D21='THE-TS'!$D$11,"x","")</f>
        <v/>
      </c>
    </row>
    <row r="22" spans="1:16" ht="13.5" customHeight="1">
      <c r="K22" s="656"/>
      <c r="L22" s="641" t="s">
        <v>428</v>
      </c>
      <c r="P22" s="708" t="str">
        <f>IF(D22='THE-TS'!$D$11,"x","")</f>
        <v/>
      </c>
    </row>
    <row r="23" spans="1:16" ht="13.5" customHeight="1">
      <c r="B23" s="637"/>
      <c r="D23" s="637" t="s">
        <v>11</v>
      </c>
      <c r="F23" s="637" t="s">
        <v>410</v>
      </c>
      <c r="I23" s="657"/>
      <c r="K23" s="654"/>
      <c r="L23" s="654" t="s">
        <v>113</v>
      </c>
      <c r="P23" s="708" t="str">
        <f>IF(D23='THE-TS'!$D$11,"x","")</f>
        <v/>
      </c>
    </row>
    <row r="24" spans="1:16" ht="13.5" customHeight="1">
      <c r="B24" s="637"/>
      <c r="D24" s="637"/>
      <c r="P24" s="708" t="str">
        <f>IF(D24='THE-TS'!$D$11,"x","")</f>
        <v/>
      </c>
    </row>
    <row r="25" spans="1:16" ht="13.5" customHeight="1">
      <c r="H25" s="658"/>
      <c r="J25" s="658"/>
      <c r="L25" s="658"/>
      <c r="P25" s="708" t="str">
        <f>IF(D25='THE-TS'!$D$11,"x","")</f>
        <v/>
      </c>
    </row>
    <row r="26" spans="1:16" ht="13.5" customHeight="1">
      <c r="H26" s="659"/>
      <c r="P26" s="708" t="str">
        <f>IF(D26='THE-TS'!$D$11,"x","")</f>
        <v/>
      </c>
    </row>
    <row r="27" spans="1:16" ht="13.5" customHeight="1">
      <c r="H27" s="659"/>
      <c r="J27" s="658"/>
      <c r="P27" s="708" t="str">
        <f>IF(D27='THE-TS'!$D$11,"x","")</f>
        <v/>
      </c>
    </row>
    <row r="28" spans="1:16" ht="13.5" customHeight="1">
      <c r="H28" s="659"/>
      <c r="P28" s="708" t="str">
        <f>IF(D28='THE-TS'!$D$11,"x","")</f>
        <v/>
      </c>
    </row>
    <row r="29" spans="1:16" ht="13.5" customHeight="1">
      <c r="H29" s="659"/>
      <c r="P29" s="708" t="str">
        <f>IF(D29='THE-TS'!$D$11,"x","")</f>
        <v/>
      </c>
    </row>
    <row r="30" spans="1:16" s="660" customFormat="1" ht="13.5" customHeight="1">
      <c r="C30" s="661"/>
      <c r="D30" s="661" t="s">
        <v>172</v>
      </c>
      <c r="F30" s="661"/>
      <c r="H30" s="662"/>
      <c r="K30" s="663"/>
      <c r="L30" s="660" t="s">
        <v>107</v>
      </c>
      <c r="P30" s="708" t="str">
        <f>IF(D30='THE-TS'!$D$11,"x","")</f>
        <v/>
      </c>
    </row>
    <row r="31" spans="1:16" ht="13.5">
      <c r="P31" s="708" t="str">
        <f>IF(D31='THE-TS'!$D$11,"x","")</f>
        <v/>
      </c>
    </row>
    <row r="32" spans="1:16" ht="13.5" customHeight="1">
      <c r="H32" s="659"/>
      <c r="P32" s="708" t="str">
        <f>IF(D32='THE-TS'!$D$11,"x","")</f>
        <v/>
      </c>
    </row>
  </sheetData>
  <mergeCells count="18">
    <mergeCell ref="I10:J10"/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0" customWidth="1"/>
    <col min="2" max="2" width="10.140625" style="680" customWidth="1"/>
    <col min="3" max="3" width="11.5703125" style="680" customWidth="1"/>
    <col min="4" max="4" width="28.7109375" style="680" customWidth="1"/>
    <col min="5" max="5" width="13.28515625" style="680" customWidth="1"/>
    <col min="6" max="6" width="9.140625" style="680"/>
    <col min="7" max="7" width="14" style="680" customWidth="1"/>
    <col min="8" max="8" width="14.7109375" style="680" customWidth="1"/>
    <col min="9" max="10" width="9.140625" style="680"/>
    <col min="11" max="11" width="13.85546875" style="680" customWidth="1"/>
    <col min="12" max="16384" width="9.140625" style="680"/>
  </cols>
  <sheetData>
    <row r="1" spans="1:11" hidden="1"/>
    <row r="2" spans="1:11">
      <c r="A2" s="825" t="str">
        <f>TH!A1</f>
        <v>Đơn vị: CÔNG TY TNHH HẢI SẢN AN LẠC</v>
      </c>
      <c r="B2" s="679"/>
      <c r="C2" s="679"/>
      <c r="D2" s="679"/>
      <c r="E2" s="640"/>
      <c r="F2" s="640"/>
      <c r="G2" s="640" t="s">
        <v>411</v>
      </c>
      <c r="H2" s="640"/>
    </row>
    <row r="3" spans="1:11">
      <c r="A3" s="697" t="str">
        <f>TH!A2</f>
        <v>Địa chỉ: Lô A14, Đường 4A, KCN Hải Sơn, Đức Hòa, Long An</v>
      </c>
      <c r="B3" s="679"/>
      <c r="C3" s="679"/>
      <c r="D3" s="679"/>
      <c r="E3" s="641"/>
      <c r="F3" s="641"/>
      <c r="G3" s="641" t="s">
        <v>232</v>
      </c>
      <c r="H3" s="641"/>
    </row>
    <row r="4" spans="1:11">
      <c r="A4" s="637"/>
      <c r="B4" s="637"/>
      <c r="C4" s="641"/>
      <c r="D4" s="641"/>
      <c r="E4" s="641"/>
      <c r="F4" s="641"/>
      <c r="G4" s="641" t="s">
        <v>177</v>
      </c>
      <c r="H4" s="641"/>
    </row>
    <row r="5" spans="1:11">
      <c r="A5" s="637"/>
      <c r="B5" s="637"/>
      <c r="C5" s="641"/>
      <c r="D5" s="641"/>
      <c r="E5" s="641"/>
      <c r="F5" s="641"/>
      <c r="G5" s="641"/>
      <c r="H5" s="641"/>
    </row>
    <row r="6" spans="1:11" ht="23.25" customHeight="1" thickBot="1">
      <c r="A6" s="1140" t="s">
        <v>412</v>
      </c>
      <c r="B6" s="1140"/>
      <c r="C6" s="1140"/>
      <c r="D6" s="1140"/>
      <c r="E6" s="1140"/>
      <c r="F6" s="1140"/>
      <c r="G6" s="1140"/>
      <c r="H6" s="1140"/>
    </row>
    <row r="7" spans="1:11" ht="17.25" customHeight="1" thickBot="1">
      <c r="A7" s="1126" t="str">
        <f ca="1" xml:space="preserve"> IF(ROWS($1:1)&gt;COUNT(Dong3),"","Số: "&amp;OFFSET('SO-TS'!$G$1,SMALL(Dong3,ROWS($1:1)),))</f>
        <v>Số: SX01/11</v>
      </c>
      <c r="B7" s="1126"/>
      <c r="C7" s="1126"/>
      <c r="D7" s="1126"/>
      <c r="E7" s="1126"/>
      <c r="F7" s="1126"/>
      <c r="G7" s="1126"/>
      <c r="H7" s="1126"/>
      <c r="J7" s="698" t="s">
        <v>431</v>
      </c>
      <c r="K7" s="699" t="s">
        <v>437</v>
      </c>
    </row>
    <row r="8" spans="1:11" ht="17.25" customHeight="1">
      <c r="A8" s="1141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1"/>
      <c r="C8" s="1141"/>
      <c r="D8" s="1141"/>
      <c r="E8" s="1141"/>
      <c r="F8" s="1141"/>
      <c r="G8" s="1141"/>
      <c r="H8" s="1141"/>
    </row>
    <row r="9" spans="1:11" ht="12" customHeight="1">
      <c r="A9" s="637"/>
      <c r="B9" s="637"/>
      <c r="C9" s="637"/>
      <c r="D9" s="637"/>
      <c r="E9" s="637"/>
      <c r="F9" s="637"/>
      <c r="G9" s="641"/>
      <c r="H9" s="641"/>
    </row>
    <row r="10" spans="1:11" ht="15" customHeight="1">
      <c r="A10" s="636" t="str">
        <f ca="1">"Căn cứ vào biên bản giao nhận TSCĐ "&amp;"  "&amp;A7&amp;"  "&amp;A8</f>
        <v>Căn cứ vào biên bản giao nhận TSCĐ   Số: SX01/11  Ngày   19   tháng   5  năm   2011</v>
      </c>
      <c r="B10" s="636"/>
      <c r="C10" s="636"/>
      <c r="D10" s="636"/>
      <c r="E10" s="636"/>
      <c r="F10" s="636"/>
      <c r="G10" s="636"/>
      <c r="H10" s="636"/>
    </row>
    <row r="11" spans="1:11" ht="15" customHeight="1">
      <c r="A11" s="636" t="s">
        <v>432</v>
      </c>
      <c r="B11" s="636"/>
      <c r="C11" s="636"/>
      <c r="D11" s="636" t="s">
        <v>493</v>
      </c>
      <c r="E11" s="636" t="str">
        <f ca="1" xml:space="preserve"> IF(ROWS($1:1)&gt;COUNT(Dong3),"","Số hiệu TSCĐ:   "&amp;OFFSET('SO-TS'!$G$1,SMALL(Dong3,ROWS($1:1)),))</f>
        <v>Số hiệu TSCĐ:   SX01/11</v>
      </c>
      <c r="F11" s="636"/>
      <c r="H11" s="636"/>
    </row>
    <row r="12" spans="1:11" ht="15" customHeight="1">
      <c r="A12" s="636" t="str">
        <f ca="1" xml:space="preserve"> IF(ROWS($1:1)&gt;COUNT(Dong3),"","Nước sản xuất:   "&amp;OFFSET('SO-TS'!$E$1,SMALL(Dong3,ROWS($1:1)),))</f>
        <v>Nước sản xuất:   Việt Nam</v>
      </c>
      <c r="B12" s="636"/>
      <c r="C12" s="636"/>
      <c r="D12" s="636"/>
      <c r="E12" s="636" t="s">
        <v>433</v>
      </c>
      <c r="F12" s="636"/>
      <c r="G12" s="636"/>
      <c r="H12" s="636"/>
    </row>
    <row r="13" spans="1:11" ht="15" customHeight="1">
      <c r="A13" s="636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6"/>
      <c r="C13" s="636"/>
      <c r="D13" s="636"/>
      <c r="E13" s="636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6"/>
      <c r="G13" s="636"/>
      <c r="H13" s="636"/>
    </row>
    <row r="14" spans="1:11" ht="15" customHeight="1">
      <c r="A14" s="636" t="s">
        <v>413</v>
      </c>
      <c r="B14" s="636"/>
      <c r="C14" s="636"/>
      <c r="D14" s="636"/>
      <c r="E14" s="636"/>
      <c r="F14" s="636"/>
      <c r="G14" s="636"/>
      <c r="H14" s="636"/>
    </row>
    <row r="15" spans="1:11" ht="15" customHeight="1">
      <c r="A15" s="636" t="s">
        <v>435</v>
      </c>
      <c r="B15" s="636"/>
      <c r="C15" s="636"/>
      <c r="D15" s="636"/>
      <c r="E15" s="636"/>
      <c r="F15" s="636"/>
      <c r="G15" s="636"/>
      <c r="H15" s="636"/>
    </row>
    <row r="16" spans="1:11" ht="15" customHeight="1">
      <c r="A16" s="700" t="s">
        <v>434</v>
      </c>
      <c r="B16" s="700"/>
      <c r="C16" s="700"/>
      <c r="D16" s="700"/>
      <c r="E16" s="700"/>
      <c r="F16" s="700"/>
      <c r="G16" s="700"/>
      <c r="H16" s="700"/>
    </row>
    <row r="17" spans="1:8" s="694" customFormat="1" ht="18" customHeight="1">
      <c r="A17" s="1130" t="s">
        <v>132</v>
      </c>
      <c r="B17" s="1131"/>
      <c r="C17" s="1134" t="s">
        <v>414</v>
      </c>
      <c r="D17" s="1135"/>
      <c r="E17" s="1136"/>
      <c r="F17" s="1137" t="s">
        <v>415</v>
      </c>
      <c r="G17" s="1138"/>
      <c r="H17" s="1139"/>
    </row>
    <row r="18" spans="1:8" s="694" customFormat="1" ht="28.5" customHeight="1">
      <c r="A18" s="1132"/>
      <c r="B18" s="1133"/>
      <c r="C18" s="666" t="s">
        <v>416</v>
      </c>
      <c r="D18" s="666" t="s">
        <v>0</v>
      </c>
      <c r="E18" s="666" t="s">
        <v>417</v>
      </c>
      <c r="F18" s="666" t="s">
        <v>418</v>
      </c>
      <c r="G18" s="666" t="s">
        <v>419</v>
      </c>
      <c r="H18" s="666" t="s">
        <v>420</v>
      </c>
    </row>
    <row r="19" spans="1:8" s="696" customFormat="1">
      <c r="A19" s="1142" t="s">
        <v>2</v>
      </c>
      <c r="B19" s="1143"/>
      <c r="C19" s="695" t="s">
        <v>3</v>
      </c>
      <c r="D19" s="695" t="s">
        <v>4</v>
      </c>
      <c r="E19" s="695">
        <v>1</v>
      </c>
      <c r="F19" s="695">
        <v>2</v>
      </c>
      <c r="G19" s="695">
        <v>3</v>
      </c>
      <c r="H19" s="695">
        <v>4</v>
      </c>
    </row>
    <row r="20" spans="1:8" ht="17.25" customHeight="1">
      <c r="A20" s="603">
        <f ca="1">IF(B20&lt;&gt;"",ROW()-19,"")</f>
        <v>1</v>
      </c>
      <c r="B20" s="681" t="str">
        <f ca="1" xml:space="preserve"> IF(ROWS($1:1)&gt;COUNT(Dong3),"",OFFSET('SO-TS'!G$1,SMALL(Dong3,ROWS($1:1)),))</f>
        <v>SX01/11</v>
      </c>
      <c r="C20" s="681">
        <f ca="1" xml:space="preserve"> IF(ROWS($1:1)&gt;COUNT(Dong3),"",OFFSET('SO-TS'!F$1,SMALL(Dong3,ROWS($1:1)),))</f>
        <v>0</v>
      </c>
      <c r="D20" s="710" t="str">
        <f ca="1" xml:space="preserve"> IF(ROWS($1:1)&gt;COUNT(Dong3),"",OFFSET('SO-TS'!D$1,SMALL(Dong3,ROWS($1:1)),))</f>
        <v>Máy chap khe khổ 2m</v>
      </c>
      <c r="E20" s="711">
        <f ca="1" xml:space="preserve"> IF(ROWS($1:1)&gt;COUNT(Dong3),"",OFFSET('SO-TS'!H$1,SMALL(Dong3,ROWS($1:1)),))</f>
        <v>18000000</v>
      </c>
      <c r="F20" s="712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3" t="str">
        <f t="shared" ref="A21:A25" ca="1" si="0">IF(B21&lt;&gt;"",ROW()-19,"")</f>
        <v/>
      </c>
      <c r="B21" s="681" t="str">
        <f ca="1" xml:space="preserve"> IF(ROWS($1:2)&gt;COUNT(Dong3),"",OFFSET('SO-TS'!B$1,SMALL(Dong3,ROWS($1:2)),))</f>
        <v/>
      </c>
      <c r="C21" s="681" t="str">
        <f ca="1" xml:space="preserve"> IF(ROWS($1:2)&gt;COUNT(Dong3),"",OFFSET('SO-TS'!F$1,SMALL(Dong3,ROWS($1:2)),))</f>
        <v/>
      </c>
      <c r="D21" s="710" t="str">
        <f ca="1" xml:space="preserve"> IF(ROWS($1:2)&gt;COUNT(Dong3),"",OFFSET('SO-TS'!D$1,SMALL(Dong3,ROWS($1:2)),))</f>
        <v/>
      </c>
      <c r="E21" s="711" t="str">
        <f ca="1" xml:space="preserve"> IF(ROWS($1:2)&gt;COUNT(Dong3),"",OFFSET('SO-TS'!H$1,SMALL(Dong3,ROWS($1:2)),))</f>
        <v/>
      </c>
      <c r="F21" s="712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4">
        <f ca="1">IF(G21&lt;&gt;0,H20+G21,0)</f>
        <v>0</v>
      </c>
    </row>
    <row r="22" spans="1:8" ht="17.25" customHeight="1">
      <c r="A22" s="603" t="str">
        <f t="shared" ca="1" si="0"/>
        <v/>
      </c>
      <c r="B22" s="681" t="str">
        <f ca="1" xml:space="preserve"> IF(ROWS($1:3)&gt;COUNT(Dong3),"",OFFSET('SO-TS'!B$1,SMALL(Dong3,ROWS($1:3)),))</f>
        <v/>
      </c>
      <c r="C22" s="681" t="str">
        <f ca="1" xml:space="preserve"> IF(ROWS($1:3)&gt;COUNT(Dong3),"",OFFSET('SO-TS'!F$1,SMALL(Dong3,ROWS($1:3)),))</f>
        <v/>
      </c>
      <c r="D22" s="710" t="str">
        <f ca="1" xml:space="preserve"> IF(ROWS($1:3)&gt;COUNT(Dong3),"",OFFSET('SO-TS'!D$1,SMALL(Dong3,ROWS($1:3)),))</f>
        <v/>
      </c>
      <c r="E22" s="711" t="str">
        <f ca="1" xml:space="preserve"> IF(ROWS($1:3)&gt;COUNT(Dong3),"",OFFSET('SO-TS'!H$1,SMALL(Dong3,ROWS($1:3)),))</f>
        <v/>
      </c>
      <c r="F22" s="712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4">
        <f t="shared" ref="H22:H24" ca="1" si="1">IF(G22&lt;&gt;0,H21+G22,0)</f>
        <v>0</v>
      </c>
    </row>
    <row r="23" spans="1:8" ht="17.25" customHeight="1">
      <c r="A23" s="603" t="str">
        <f t="shared" ca="1" si="0"/>
        <v/>
      </c>
      <c r="B23" s="681" t="str">
        <f ca="1" xml:space="preserve"> IF(ROWS($1:4)&gt;COUNT(Dong3),"",OFFSET('SO-TS'!B$1,SMALL(Dong3,ROWS($1:4)),))</f>
        <v/>
      </c>
      <c r="C23" s="681" t="str">
        <f ca="1" xml:space="preserve"> IF(ROWS($1:4)&gt;COUNT(Dong3),"",OFFSET('SO-TS'!F$1,SMALL(Dong3,ROWS($1:4)),))</f>
        <v/>
      </c>
      <c r="D23" s="710" t="str">
        <f ca="1" xml:space="preserve"> IF(ROWS($1:4)&gt;COUNT(Dong3),"",OFFSET('SO-TS'!D$1,SMALL(Dong3,ROWS($1:4)),))</f>
        <v/>
      </c>
      <c r="E23" s="711" t="str">
        <f ca="1" xml:space="preserve"> IF(ROWS($1:4)&gt;COUNT(Dong3),"",OFFSET('SO-TS'!H$1,SMALL(Dong3,ROWS($1:4)),))</f>
        <v/>
      </c>
      <c r="F23" s="712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4">
        <f t="shared" ca="1" si="1"/>
        <v>0</v>
      </c>
    </row>
    <row r="24" spans="1:8" ht="17.25" customHeight="1">
      <c r="A24" s="603" t="str">
        <f t="shared" ca="1" si="0"/>
        <v/>
      </c>
      <c r="B24" s="681" t="str">
        <f ca="1" xml:space="preserve"> IF(ROWS($1:5)&gt;COUNT(Dong3),"",OFFSET('SO-TS'!B$1,SMALL(Dong3,ROWS($1:5)),))</f>
        <v/>
      </c>
      <c r="C24" s="681" t="str">
        <f ca="1" xml:space="preserve"> IF(ROWS($1:5)&gt;COUNT(Dong3),"",OFFSET('SO-TS'!F$1,SMALL(Dong3,ROWS($1:5)),))</f>
        <v/>
      </c>
      <c r="D24" s="710" t="str">
        <f ca="1" xml:space="preserve"> IF(ROWS($1:5)&gt;COUNT(Dong3),"",OFFSET('SO-TS'!D$1,SMALL(Dong3,ROWS($1:5)),))</f>
        <v/>
      </c>
      <c r="E24" s="711" t="str">
        <f ca="1" xml:space="preserve"> IF(ROWS($1:5)&gt;COUNT(Dong3),"",OFFSET('SO-TS'!H$1,SMALL(Dong3,ROWS($1:5)),))</f>
        <v/>
      </c>
      <c r="F24" s="712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4">
        <f t="shared" ca="1" si="1"/>
        <v>0</v>
      </c>
    </row>
    <row r="25" spans="1:8" ht="17.25" customHeight="1">
      <c r="A25" s="603" t="str">
        <f t="shared" si="0"/>
        <v/>
      </c>
      <c r="B25" s="649"/>
      <c r="C25" s="682"/>
      <c r="D25" s="682"/>
      <c r="E25" s="713"/>
      <c r="F25" s="683"/>
      <c r="G25" s="713"/>
      <c r="H25" s="713"/>
    </row>
    <row r="26" spans="1:8" ht="17.25" customHeight="1">
      <c r="A26" s="651"/>
      <c r="B26" s="651" t="s">
        <v>421</v>
      </c>
      <c r="C26" s="684"/>
      <c r="D26" s="684"/>
      <c r="E26" s="715">
        <f ca="1">SUM(E20:E25)</f>
        <v>18000000</v>
      </c>
      <c r="F26" s="684"/>
      <c r="G26" s="715">
        <f ca="1">SUM(G20:G25)</f>
        <v>0</v>
      </c>
      <c r="H26" s="715"/>
    </row>
    <row r="27" spans="1:8" ht="17.25" customHeight="1">
      <c r="A27" s="685"/>
      <c r="B27" s="685"/>
      <c r="C27" s="686"/>
      <c r="D27" s="686"/>
      <c r="E27" s="686"/>
      <c r="F27" s="686"/>
      <c r="G27" s="687"/>
      <c r="H27" s="687"/>
    </row>
    <row r="28" spans="1:8" ht="17.25" customHeight="1">
      <c r="A28" s="685"/>
      <c r="B28" s="685"/>
      <c r="C28" s="686"/>
      <c r="D28" s="686"/>
      <c r="E28" s="686"/>
      <c r="F28" s="686"/>
      <c r="G28" s="687"/>
      <c r="H28" s="687"/>
    </row>
    <row r="29" spans="1:8" ht="17.25" customHeight="1">
      <c r="A29" s="1144" t="s">
        <v>422</v>
      </c>
      <c r="B29" s="1144"/>
      <c r="C29" s="1144"/>
      <c r="D29" s="1144"/>
      <c r="E29" s="1144"/>
      <c r="F29" s="1144"/>
      <c r="G29" s="1144"/>
      <c r="H29" s="1144"/>
    </row>
    <row r="30" spans="1:8" ht="27" customHeight="1">
      <c r="A30" s="651" t="s">
        <v>35</v>
      </c>
      <c r="B30" s="1120" t="s">
        <v>423</v>
      </c>
      <c r="C30" s="1122"/>
      <c r="D30" s="684" t="s">
        <v>239</v>
      </c>
      <c r="E30" s="684" t="s">
        <v>424</v>
      </c>
      <c r="F30" s="684" t="s">
        <v>425</v>
      </c>
      <c r="G30" s="687"/>
      <c r="H30" s="687"/>
    </row>
    <row r="31" spans="1:8" ht="17.25" customHeight="1">
      <c r="A31" s="651" t="s">
        <v>2</v>
      </c>
      <c r="B31" s="651" t="s">
        <v>3</v>
      </c>
      <c r="C31" s="684"/>
      <c r="D31" s="684" t="s">
        <v>4</v>
      </c>
      <c r="E31" s="684">
        <v>1</v>
      </c>
      <c r="F31" s="684">
        <v>2</v>
      </c>
      <c r="G31" s="687"/>
      <c r="H31" s="687"/>
    </row>
    <row r="32" spans="1:8" ht="17.25" customHeight="1">
      <c r="A32" s="688"/>
      <c r="B32" s="688"/>
      <c r="C32" s="689"/>
      <c r="D32" s="689"/>
      <c r="E32" s="689"/>
      <c r="F32" s="689"/>
      <c r="G32" s="687"/>
      <c r="H32" s="687"/>
    </row>
    <row r="33" spans="1:8" ht="17.25" customHeight="1">
      <c r="A33" s="690"/>
      <c r="B33" s="690"/>
      <c r="C33" s="691"/>
      <c r="D33" s="691"/>
      <c r="E33" s="691"/>
      <c r="F33" s="691"/>
      <c r="G33" s="687"/>
      <c r="H33" s="687"/>
    </row>
    <row r="34" spans="1:8" ht="17.25" customHeight="1">
      <c r="A34" s="690"/>
      <c r="B34" s="690"/>
      <c r="C34" s="691"/>
      <c r="D34" s="691"/>
      <c r="E34" s="691"/>
      <c r="F34" s="691"/>
      <c r="G34" s="687"/>
      <c r="H34" s="687"/>
    </row>
    <row r="35" spans="1:8" ht="17.25" customHeight="1">
      <c r="A35" s="690"/>
      <c r="B35" s="690"/>
      <c r="C35" s="691"/>
      <c r="D35" s="691"/>
      <c r="E35" s="691"/>
      <c r="F35" s="691"/>
      <c r="G35" s="687"/>
      <c r="H35" s="687"/>
    </row>
    <row r="36" spans="1:8" ht="17.25" customHeight="1">
      <c r="A36" s="692"/>
      <c r="B36" s="692"/>
      <c r="C36" s="693"/>
      <c r="D36" s="693"/>
      <c r="E36" s="693"/>
      <c r="F36" s="693"/>
      <c r="G36" s="687"/>
      <c r="H36" s="687"/>
    </row>
    <row r="37" spans="1:8">
      <c r="A37" s="685"/>
      <c r="B37" s="685"/>
      <c r="C37" s="686"/>
      <c r="D37" s="686"/>
      <c r="E37" s="686"/>
      <c r="F37" s="686"/>
      <c r="G37" s="687"/>
      <c r="H37" s="687"/>
    </row>
    <row r="38" spans="1:8">
      <c r="A38" s="1145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5"/>
      <c r="C38" s="1145"/>
      <c r="D38" s="1145"/>
      <c r="E38" s="1145"/>
      <c r="F38" s="1145"/>
      <c r="G38" s="1145"/>
      <c r="H38" s="1145"/>
    </row>
    <row r="39" spans="1:8">
      <c r="A39" s="1145" t="str">
        <f ca="1" xml:space="preserve"> IF(ROWS($1:1)&gt;COUNT(Dong3),"","Lý do giảm:   "&amp;OFFSET('SO-TS'!$O$1,SMALL(Dong3,ROWS($1:1)),))</f>
        <v xml:space="preserve">Lý do giảm:   </v>
      </c>
      <c r="B39" s="1145"/>
      <c r="C39" s="1145"/>
      <c r="D39" s="1145"/>
      <c r="E39" s="1145"/>
      <c r="F39" s="1145"/>
      <c r="G39" s="1145"/>
      <c r="H39" s="1145"/>
    </row>
    <row r="40" spans="1:8">
      <c r="A40" s="661"/>
      <c r="B40" s="661"/>
      <c r="C40" s="656"/>
      <c r="D40" s="656"/>
      <c r="E40" s="1129" t="s">
        <v>504</v>
      </c>
      <c r="F40" s="1129"/>
      <c r="G40" s="1129"/>
      <c r="H40" s="1129"/>
    </row>
    <row r="41" spans="1:8">
      <c r="A41" s="1126" t="s">
        <v>426</v>
      </c>
      <c r="B41" s="1126"/>
      <c r="C41" s="1126" t="s">
        <v>12</v>
      </c>
      <c r="D41" s="1126"/>
      <c r="E41" s="1127" t="s">
        <v>113</v>
      </c>
      <c r="F41" s="1127"/>
      <c r="G41" s="1127"/>
      <c r="H41" s="1127"/>
    </row>
    <row r="42" spans="1:8">
      <c r="A42" s="637"/>
      <c r="B42" s="637"/>
      <c r="C42" s="641"/>
      <c r="D42" s="641"/>
      <c r="E42" s="641"/>
      <c r="F42" s="641"/>
      <c r="G42" s="641"/>
      <c r="H42" s="641"/>
    </row>
    <row r="43" spans="1:8">
      <c r="A43" s="637"/>
      <c r="B43" s="637"/>
      <c r="C43" s="641"/>
      <c r="D43" s="641"/>
      <c r="E43" s="641"/>
      <c r="F43" s="641"/>
      <c r="G43" s="641"/>
      <c r="H43" s="641"/>
    </row>
    <row r="44" spans="1:8">
      <c r="A44" s="637"/>
      <c r="B44" s="637"/>
      <c r="C44" s="641"/>
      <c r="D44" s="641"/>
      <c r="E44" s="641"/>
      <c r="F44" s="641"/>
      <c r="G44" s="641"/>
      <c r="H44" s="641"/>
    </row>
    <row r="45" spans="1:8">
      <c r="A45" s="637"/>
      <c r="B45" s="637"/>
      <c r="C45" s="641"/>
      <c r="D45" s="641"/>
      <c r="E45" s="641"/>
      <c r="F45" s="641"/>
      <c r="G45" s="641"/>
      <c r="H45" s="641"/>
    </row>
    <row r="46" spans="1:8">
      <c r="A46" s="637"/>
      <c r="B46" s="637"/>
      <c r="C46" s="641"/>
      <c r="D46" s="641"/>
      <c r="E46" s="641"/>
      <c r="F46" s="641"/>
      <c r="G46" s="641"/>
      <c r="H46" s="641"/>
    </row>
    <row r="47" spans="1:8">
      <c r="A47" s="637"/>
      <c r="B47" s="637"/>
      <c r="C47" s="641"/>
      <c r="D47" s="641"/>
      <c r="E47" s="641"/>
      <c r="F47" s="641"/>
      <c r="G47" s="641"/>
      <c r="H47" s="641"/>
    </row>
    <row r="48" spans="1:8">
      <c r="A48" s="637"/>
      <c r="B48" s="637"/>
      <c r="C48" s="641"/>
      <c r="D48" s="641"/>
      <c r="E48" s="641"/>
      <c r="F48" s="641"/>
      <c r="G48" s="641"/>
      <c r="H48" s="641"/>
    </row>
    <row r="49" spans="1:8">
      <c r="A49" s="1128" t="s">
        <v>172</v>
      </c>
      <c r="B49" s="1128"/>
      <c r="C49" s="656"/>
      <c r="D49" s="656"/>
      <c r="E49" s="1129" t="s">
        <v>107</v>
      </c>
      <c r="F49" s="1129"/>
      <c r="G49" s="1129"/>
      <c r="H49" s="1129"/>
    </row>
  </sheetData>
  <dataConsolidate/>
  <mergeCells count="17"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  <mergeCell ref="A41:B41"/>
    <mergeCell ref="C41:D41"/>
    <mergeCell ref="E41:H41"/>
    <mergeCell ref="A49:B49"/>
    <mergeCell ref="E49:H4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69" customWidth="1"/>
    <col min="2" max="2" width="11" style="269" customWidth="1"/>
    <col min="3" max="3" width="22.140625" style="269" customWidth="1"/>
    <col min="4" max="4" width="6.7109375" style="269" customWidth="1"/>
    <col min="5" max="5" width="6.42578125" style="269" customWidth="1"/>
    <col min="6" max="6" width="8.85546875" style="269" customWidth="1"/>
    <col min="7" max="7" width="20.7109375" style="269" customWidth="1"/>
    <col min="8" max="11" width="9.140625" style="269"/>
    <col min="12" max="12" width="10.85546875" style="269" customWidth="1"/>
    <col min="13" max="16384" width="9.140625" style="269"/>
  </cols>
  <sheetData>
    <row r="1" spans="1:12">
      <c r="A1" s="94" t="s">
        <v>120</v>
      </c>
      <c r="D1" s="1148"/>
      <c r="E1" s="1148"/>
      <c r="F1" s="1148"/>
      <c r="G1" s="1148"/>
      <c r="I1" s="1148" t="s">
        <v>180</v>
      </c>
      <c r="J1" s="1148"/>
      <c r="K1" s="1148"/>
      <c r="L1" s="1148"/>
    </row>
    <row r="2" spans="1:12">
      <c r="A2" s="249" t="s">
        <v>121</v>
      </c>
      <c r="D2" s="1148"/>
      <c r="E2" s="1148"/>
      <c r="F2" s="1148"/>
      <c r="G2" s="1148"/>
      <c r="I2" s="1148" t="s">
        <v>176</v>
      </c>
      <c r="J2" s="1148"/>
      <c r="K2" s="1148"/>
      <c r="L2" s="1148"/>
    </row>
    <row r="3" spans="1:12">
      <c r="D3" s="1148"/>
      <c r="E3" s="1148"/>
      <c r="F3" s="1148"/>
      <c r="G3" s="1148"/>
      <c r="I3" s="1148" t="s">
        <v>181</v>
      </c>
      <c r="J3" s="1148"/>
      <c r="K3" s="1148"/>
      <c r="L3" s="1148"/>
    </row>
    <row r="8" spans="1:12" ht="40.5" customHeight="1">
      <c r="H8" s="270"/>
      <c r="I8" s="270"/>
      <c r="J8" s="270"/>
    </row>
    <row r="10" spans="1:12" ht="29.25" customHeight="1">
      <c r="A10" s="1146" t="s">
        <v>97</v>
      </c>
      <c r="B10" s="1146"/>
      <c r="C10" s="1146"/>
      <c r="D10" s="1146"/>
      <c r="E10" s="1146"/>
      <c r="F10" s="1146"/>
      <c r="G10" s="1146"/>
    </row>
    <row r="11" spans="1:12" ht="6" customHeight="1">
      <c r="H11" s="271"/>
      <c r="I11" s="271"/>
    </row>
    <row r="12" spans="1:12" ht="20.25">
      <c r="A12" s="1147" t="s">
        <v>182</v>
      </c>
      <c r="B12" s="1147"/>
      <c r="C12" s="1147"/>
      <c r="D12" s="1147"/>
      <c r="E12" s="1147"/>
      <c r="F12" s="1147"/>
      <c r="G12" s="1147"/>
    </row>
    <row r="13" spans="1:12" ht="64.5" customHeight="1"/>
    <row r="16" spans="1:12" ht="22.5" customHeight="1">
      <c r="B16" s="272" t="s">
        <v>183</v>
      </c>
    </row>
    <row r="17" spans="2:2" ht="22.5" customHeight="1">
      <c r="B17" s="272" t="s">
        <v>184</v>
      </c>
    </row>
    <row r="18" spans="2:2" ht="22.5" customHeight="1">
      <c r="B18" s="272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2016-07-06T07:17:37Z</dcterms:modified>
</cp:coreProperties>
</file>